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imon\OneDrive\Desktop\Corporate-project-\Project\"/>
    </mc:Choice>
  </mc:AlternateContent>
  <xr:revisionPtr revIDLastSave="1389" documentId="13_ncr:1_{D6F335B7-F14E-4252-BB11-080FF721C412}" xr6:coauthVersionLast="45" xr6:coauthVersionMax="45" xr10:uidLastSave="{996D5A59-9FD8-47AD-95AF-CA1670EFF355}"/>
  <bookViews>
    <workbookView xWindow="-108" yWindow="-108" windowWidth="23256" windowHeight="12576" firstSheet="4" activeTab="11" xr2:uid="{00000000-000D-0000-FFFF-FFFF00000000}"/>
  </bookViews>
  <sheets>
    <sheet name="A2A " sheetId="20" r:id="rId1"/>
    <sheet name="Index " sheetId="21" r:id="rId2"/>
    <sheet name="Financial statements" sheetId="1" r:id="rId3"/>
    <sheet name="Income Statement" sheetId="3" state="hidden" r:id="rId4"/>
    <sheet name="Reorganised Statements" sheetId="2" r:id="rId5"/>
    <sheet name="Cash flows" sheetId="8" state="hidden" r:id="rId6"/>
    <sheet name="Trailing 12-months" sheetId="5" r:id="rId7"/>
    <sheet name="Ratios " sheetId="13" r:id="rId8"/>
    <sheet name="Consob Reorg " sheetId="12" state="hidden" r:id="rId9"/>
    <sheet name="WACC" sheetId="16" r:id="rId10"/>
    <sheet name="Forecasts Gianmarco " sheetId="11" r:id="rId11"/>
    <sheet name="Forecasts Simone" sheetId="17" r:id="rId12"/>
    <sheet name="DCF Valuation Simone " sheetId="19" r:id="rId13"/>
  </sheets>
  <externalReferences>
    <externalReference r:id="rId14"/>
    <externalReference r:id="rId15"/>
  </externalReferences>
  <definedNames>
    <definedName name="solver_cvg" localSheetId="11" hidden="1">0.0001</definedName>
    <definedName name="solver_drv" localSheetId="11" hidden="1">2</definedName>
    <definedName name="solver_eng" localSheetId="11" hidden="1">1</definedName>
    <definedName name="solver_est" localSheetId="11" hidden="1">1</definedName>
    <definedName name="solver_itr" localSheetId="11" hidden="1">2147483647</definedName>
    <definedName name="solver_mip" localSheetId="11" hidden="1">2147483647</definedName>
    <definedName name="solver_mni" localSheetId="11" hidden="1">30</definedName>
    <definedName name="solver_mrt" localSheetId="11" hidden="1">0.075</definedName>
    <definedName name="solver_msl" localSheetId="11" hidden="1">2</definedName>
    <definedName name="solver_neg" localSheetId="11" hidden="1">1</definedName>
    <definedName name="solver_nod" localSheetId="11" hidden="1">2147483647</definedName>
    <definedName name="solver_num" localSheetId="11" hidden="1">0</definedName>
    <definedName name="solver_nwt" localSheetId="11" hidden="1">1</definedName>
    <definedName name="solver_opt" localSheetId="11" hidden="1">'Forecasts Simone'!#REF!</definedName>
    <definedName name="solver_pre" localSheetId="11" hidden="1">0.000001</definedName>
    <definedName name="solver_rbv" localSheetId="11" hidden="1">2</definedName>
    <definedName name="solver_rlx" localSheetId="11" hidden="1">2</definedName>
    <definedName name="solver_rsd" localSheetId="11" hidden="1">0</definedName>
    <definedName name="solver_scl" localSheetId="11" hidden="1">2</definedName>
    <definedName name="solver_sho" localSheetId="11" hidden="1">2</definedName>
    <definedName name="solver_ssz" localSheetId="11" hidden="1">100</definedName>
    <definedName name="solver_tim" localSheetId="11" hidden="1">2147483647</definedName>
    <definedName name="solver_tol" localSheetId="11" hidden="1">0.01</definedName>
    <definedName name="solver_typ" localSheetId="11" hidden="1">3</definedName>
    <definedName name="solver_val" localSheetId="11" hidden="1">1561</definedName>
    <definedName name="solver_ver" localSheetId="1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19" l="1"/>
  <c r="K157" i="19"/>
  <c r="I30" i="19"/>
  <c r="I27" i="19"/>
  <c r="K164" i="19"/>
  <c r="K150" i="19"/>
  <c r="G67" i="16"/>
  <c r="D17" i="13" l="1"/>
  <c r="F87" i="11" l="1"/>
  <c r="G20" i="11"/>
  <c r="D137" i="19" l="1"/>
  <c r="H109" i="19"/>
  <c r="H125" i="19" s="1"/>
  <c r="I109" i="19"/>
  <c r="I125" i="19" s="1"/>
  <c r="J109" i="19"/>
  <c r="J125" i="19" s="1"/>
  <c r="K109" i="19"/>
  <c r="L109" i="19"/>
  <c r="L110" i="19" s="1"/>
  <c r="D97" i="19"/>
  <c r="H70" i="19"/>
  <c r="I70" i="19"/>
  <c r="I86" i="19" s="1"/>
  <c r="J70" i="19"/>
  <c r="K70" i="19"/>
  <c r="K71" i="19" s="1"/>
  <c r="L70" i="19"/>
  <c r="L86" i="19" s="1"/>
  <c r="C58" i="19"/>
  <c r="E80" i="19" s="1"/>
  <c r="K110" i="19" l="1"/>
  <c r="E119" i="19"/>
  <c r="E114" i="19" s="1"/>
  <c r="K125" i="19"/>
  <c r="J110" i="19"/>
  <c r="I110" i="19"/>
  <c r="L125" i="19"/>
  <c r="J71" i="19"/>
  <c r="K86" i="19"/>
  <c r="J86" i="19"/>
  <c r="H86" i="19"/>
  <c r="L71" i="19"/>
  <c r="E75" i="19" s="1"/>
  <c r="M86" i="19" s="1"/>
  <c r="N86" i="19" s="1"/>
  <c r="O86" i="19" s="1"/>
  <c r="I71" i="19"/>
  <c r="M125" i="19" l="1"/>
  <c r="N125" i="19" s="1"/>
  <c r="O125" i="19" s="1"/>
  <c r="I12" i="19" l="1"/>
  <c r="J12" i="19" s="1"/>
  <c r="K12" i="19" s="1"/>
  <c r="L12" i="19" s="1"/>
  <c r="D238" i="17" l="1"/>
  <c r="W238" i="17" s="1"/>
  <c r="E238" i="17"/>
  <c r="X238" i="17" s="1"/>
  <c r="F238" i="17"/>
  <c r="Y238" i="17" s="1"/>
  <c r="C238" i="17"/>
  <c r="V238" i="17" s="1"/>
  <c r="H138" i="17"/>
  <c r="G138" i="17"/>
  <c r="C139" i="17"/>
  <c r="D139" i="17"/>
  <c r="E139" i="17"/>
  <c r="F139" i="17"/>
  <c r="G139" i="17" s="1"/>
  <c r="H139" i="17" s="1"/>
  <c r="I139" i="17" s="1"/>
  <c r="J139" i="17" s="1"/>
  <c r="B139" i="17"/>
  <c r="C210" i="17"/>
  <c r="V210" i="17" s="1"/>
  <c r="D210" i="17"/>
  <c r="W210" i="17" s="1"/>
  <c r="E210" i="17"/>
  <c r="X210" i="17" s="1"/>
  <c r="F210" i="17"/>
  <c r="Y210" i="17" s="1"/>
  <c r="B210" i="17"/>
  <c r="U210" i="17" s="1"/>
  <c r="C207" i="17"/>
  <c r="V207" i="17" s="1"/>
  <c r="D207" i="17"/>
  <c r="E207" i="17"/>
  <c r="F207" i="17"/>
  <c r="Y207" i="17" s="1"/>
  <c r="B207" i="17"/>
  <c r="C190" i="17"/>
  <c r="V190" i="17" s="1"/>
  <c r="D190" i="17"/>
  <c r="W190" i="17" s="1"/>
  <c r="E190" i="17"/>
  <c r="X190" i="17" s="1"/>
  <c r="F190" i="17"/>
  <c r="B190" i="17"/>
  <c r="U190" i="17" s="1"/>
  <c r="T38" i="17"/>
  <c r="U207" i="17" l="1"/>
  <c r="G190" i="17"/>
  <c r="H190" i="17" s="1"/>
  <c r="I190" i="17" s="1"/>
  <c r="J190" i="17" s="1"/>
  <c r="K190" i="17" s="1"/>
  <c r="Y190" i="17"/>
  <c r="W207" i="17"/>
  <c r="X207" i="17"/>
  <c r="H137" i="17"/>
  <c r="K139" i="17"/>
  <c r="G137" i="17"/>
  <c r="G140" i="17" s="1"/>
  <c r="L31" i="19"/>
  <c r="I14" i="19"/>
  <c r="G12" i="19"/>
  <c r="F12" i="19"/>
  <c r="E12" i="19"/>
  <c r="D12" i="19"/>
  <c r="C138" i="17" s="1"/>
  <c r="C137" i="17" s="1"/>
  <c r="C12" i="19"/>
  <c r="B138" i="17" s="1"/>
  <c r="B137" i="17" s="1"/>
  <c r="D14" i="19" l="1"/>
  <c r="H14" i="19"/>
  <c r="F138" i="17"/>
  <c r="F137" i="17" s="1"/>
  <c r="E14" i="19"/>
  <c r="D138" i="17"/>
  <c r="D137" i="17" s="1"/>
  <c r="F14" i="19"/>
  <c r="E138" i="17"/>
  <c r="E137" i="17" s="1"/>
  <c r="I138" i="17"/>
  <c r="I137" i="17" s="1"/>
  <c r="G14" i="19"/>
  <c r="J14" i="19" l="1"/>
  <c r="J138" i="17"/>
  <c r="J137" i="17" s="1"/>
  <c r="K138" i="17" l="1"/>
  <c r="K137" i="17" s="1"/>
  <c r="K14" i="19"/>
  <c r="L14" i="19" l="1"/>
  <c r="L30" i="19" s="1"/>
  <c r="L32" i="19" l="1"/>
  <c r="M12" i="19" s="1"/>
  <c r="M14" i="19" l="1"/>
  <c r="N12" i="19"/>
  <c r="O12" i="19" s="1"/>
  <c r="N14" i="19" l="1"/>
  <c r="O14" i="19"/>
  <c r="G12" i="11" l="1"/>
  <c r="N108" i="11"/>
  <c r="K96" i="11"/>
  <c r="L96" i="11"/>
  <c r="M96" i="11"/>
  <c r="N96" i="11"/>
  <c r="J96" i="11"/>
  <c r="J108" i="11" l="1"/>
  <c r="K108" i="11"/>
  <c r="K109" i="11" s="1"/>
  <c r="K101" i="11" s="1"/>
  <c r="L108" i="11"/>
  <c r="M108" i="11"/>
  <c r="O96" i="11"/>
  <c r="L109" i="11" l="1"/>
  <c r="L101" i="11" s="1"/>
  <c r="H55" i="11"/>
  <c r="H49" i="11"/>
  <c r="C16" i="11"/>
  <c r="J29" i="11"/>
  <c r="K29" i="11" s="1"/>
  <c r="L29" i="11" s="1"/>
  <c r="M29" i="11" s="1"/>
  <c r="N29" i="11" s="1"/>
  <c r="O29" i="11" s="1"/>
  <c r="K97" i="11" l="1"/>
  <c r="P97" i="11"/>
  <c r="M109" i="11"/>
  <c r="M101" i="11" s="1"/>
  <c r="N97" i="11"/>
  <c r="M97" i="11"/>
  <c r="J97" i="11"/>
  <c r="L97" i="11"/>
  <c r="J56" i="11"/>
  <c r="O97" i="11"/>
  <c r="N109" i="11" l="1"/>
  <c r="N101" i="11" s="1"/>
  <c r="J32" i="11"/>
  <c r="K32" i="11" s="1"/>
  <c r="L32" i="11" s="1"/>
  <c r="M32" i="11" s="1"/>
  <c r="N32" i="11" s="1"/>
  <c r="O32" i="11" s="1"/>
  <c r="O34" i="11"/>
  <c r="N59" i="11"/>
  <c r="F35" i="11"/>
  <c r="G35" i="11"/>
  <c r="H35" i="11"/>
  <c r="I35" i="11"/>
  <c r="I33" i="11"/>
  <c r="H33" i="11"/>
  <c r="G33" i="11"/>
  <c r="M34" i="11" l="1"/>
  <c r="L34" i="11"/>
  <c r="K34" i="11"/>
  <c r="N34" i="11"/>
  <c r="J34" i="11"/>
  <c r="O109" i="11"/>
  <c r="O123" i="11"/>
  <c r="J109" i="11"/>
  <c r="J101" i="11" s="1"/>
  <c r="J92" i="11"/>
  <c r="K92" i="11" s="1"/>
  <c r="L92" i="11" s="1"/>
  <c r="M92" i="11" s="1"/>
  <c r="N92" i="11" s="1"/>
  <c r="G93" i="11"/>
  <c r="H93" i="11"/>
  <c r="I93" i="11"/>
  <c r="F93" i="11"/>
  <c r="F98" i="11"/>
  <c r="G98" i="11"/>
  <c r="H98" i="11"/>
  <c r="I98" i="11"/>
  <c r="E98" i="11"/>
  <c r="H96" i="11"/>
  <c r="E102" i="11"/>
  <c r="F102" i="11"/>
  <c r="F104" i="11" s="1"/>
  <c r="H102" i="11"/>
  <c r="H104" i="11" s="1"/>
  <c r="I102" i="11"/>
  <c r="I104" i="11" s="1"/>
  <c r="G96" i="11"/>
  <c r="I96" i="11"/>
  <c r="F96" i="11"/>
  <c r="O92" i="11" l="1"/>
  <c r="P92" i="11"/>
  <c r="K89" i="11"/>
  <c r="P101" i="11"/>
  <c r="O101" i="11"/>
  <c r="G99" i="11"/>
  <c r="F99" i="11"/>
  <c r="H99" i="11"/>
  <c r="I99" i="11"/>
  <c r="G102" i="11"/>
  <c r="G104" i="11" s="1"/>
  <c r="C111" i="17"/>
  <c r="D111" i="17"/>
  <c r="E111" i="17"/>
  <c r="F111" i="17"/>
  <c r="B111" i="17"/>
  <c r="C110" i="17"/>
  <c r="D110" i="17"/>
  <c r="E110" i="17"/>
  <c r="F110" i="17"/>
  <c r="B110" i="17"/>
  <c r="C92" i="17"/>
  <c r="D92" i="17"/>
  <c r="E92" i="17"/>
  <c r="F92" i="17"/>
  <c r="B92" i="17"/>
  <c r="C90" i="17"/>
  <c r="D90" i="17"/>
  <c r="E90" i="17"/>
  <c r="F90" i="17"/>
  <c r="B90" i="17"/>
  <c r="C84" i="17"/>
  <c r="C202" i="17" s="1"/>
  <c r="V202" i="17" s="1"/>
  <c r="D84" i="17"/>
  <c r="D202" i="17" s="1"/>
  <c r="W202" i="17" s="1"/>
  <c r="E84" i="17"/>
  <c r="E202" i="17" s="1"/>
  <c r="X202" i="17" s="1"/>
  <c r="F84" i="17"/>
  <c r="F202" i="17" s="1"/>
  <c r="Y202" i="17" s="1"/>
  <c r="C85" i="17"/>
  <c r="C203" i="17" s="1"/>
  <c r="V203" i="17" s="1"/>
  <c r="D85" i="17"/>
  <c r="D203" i="17" s="1"/>
  <c r="E85" i="17"/>
  <c r="E203" i="17" s="1"/>
  <c r="X203" i="17" s="1"/>
  <c r="F85" i="17"/>
  <c r="F203" i="17" s="1"/>
  <c r="Y203" i="17" s="1"/>
  <c r="C86" i="17"/>
  <c r="D86" i="17"/>
  <c r="E86" i="17"/>
  <c r="F86" i="17"/>
  <c r="B85" i="17"/>
  <c r="B203" i="17" s="1"/>
  <c r="B86" i="17"/>
  <c r="B84" i="17"/>
  <c r="B202" i="17" s="1"/>
  <c r="U202" i="17" s="1"/>
  <c r="C53" i="17"/>
  <c r="D53" i="17"/>
  <c r="E53" i="17"/>
  <c r="F53" i="17"/>
  <c r="B53" i="17"/>
  <c r="C42" i="17"/>
  <c r="D42" i="17"/>
  <c r="E42" i="17"/>
  <c r="F42" i="17"/>
  <c r="B42" i="17"/>
  <c r="C15" i="17"/>
  <c r="D15" i="17"/>
  <c r="D162" i="17" s="1"/>
  <c r="W162" i="17" s="1"/>
  <c r="E15" i="17"/>
  <c r="E162" i="17" s="1"/>
  <c r="X162" i="17" s="1"/>
  <c r="F15" i="17"/>
  <c r="F162" i="17" s="1"/>
  <c r="Y162" i="17" s="1"/>
  <c r="C16" i="17"/>
  <c r="D16" i="17"/>
  <c r="D163" i="17" s="1"/>
  <c r="W163" i="17" s="1"/>
  <c r="E16" i="17"/>
  <c r="E163" i="17" s="1"/>
  <c r="X163" i="17" s="1"/>
  <c r="F16" i="17"/>
  <c r="F163" i="17" s="1"/>
  <c r="Y163" i="17" s="1"/>
  <c r="C17" i="17"/>
  <c r="D17" i="17"/>
  <c r="E17" i="17"/>
  <c r="F17" i="17"/>
  <c r="B16" i="17"/>
  <c r="B17" i="17"/>
  <c r="B15" i="17"/>
  <c r="C11" i="17"/>
  <c r="D11" i="17"/>
  <c r="E11" i="17"/>
  <c r="E159" i="17" s="1"/>
  <c r="X159" i="17" s="1"/>
  <c r="F11" i="17"/>
  <c r="F159" i="17" s="1"/>
  <c r="Y159" i="17" s="1"/>
  <c r="B11" i="17"/>
  <c r="C9" i="17"/>
  <c r="D9" i="17"/>
  <c r="E9" i="17"/>
  <c r="F9" i="17"/>
  <c r="B9" i="17"/>
  <c r="C8" i="17"/>
  <c r="D8" i="17"/>
  <c r="E8" i="17"/>
  <c r="F8" i="17"/>
  <c r="B8" i="17"/>
  <c r="E236" i="17" l="1"/>
  <c r="X236" i="17" s="1"/>
  <c r="W203" i="17"/>
  <c r="C236" i="17"/>
  <c r="V236" i="17" s="1"/>
  <c r="U203" i="17"/>
  <c r="C237" i="17"/>
  <c r="V237" i="17" s="1"/>
  <c r="F236" i="17"/>
  <c r="Y236" i="17" s="1"/>
  <c r="D170" i="17"/>
  <c r="C170" i="17"/>
  <c r="E237" i="17"/>
  <c r="X237" i="17" s="1"/>
  <c r="C204" i="17"/>
  <c r="V204" i="17" s="1"/>
  <c r="D235" i="17"/>
  <c r="W235" i="17" s="1"/>
  <c r="D237" i="17"/>
  <c r="W237" i="17" s="1"/>
  <c r="E204" i="17"/>
  <c r="X204" i="17" s="1"/>
  <c r="F235" i="17"/>
  <c r="Y235" i="17" s="1"/>
  <c r="F237" i="17"/>
  <c r="Y237" i="17" s="1"/>
  <c r="D204" i="17"/>
  <c r="W204" i="17" s="1"/>
  <c r="E235" i="17"/>
  <c r="X235" i="17" s="1"/>
  <c r="E170" i="17"/>
  <c r="F204" i="17"/>
  <c r="Y204" i="17" s="1"/>
  <c r="B204" i="17"/>
  <c r="U204" i="17" s="1"/>
  <c r="C235" i="17"/>
  <c r="V235" i="17" s="1"/>
  <c r="D236" i="17"/>
  <c r="W236" i="17" s="1"/>
  <c r="E164" i="17"/>
  <c r="X164" i="17" s="1"/>
  <c r="D159" i="17"/>
  <c r="W159" i="17" s="1"/>
  <c r="C164" i="17"/>
  <c r="V164" i="17" s="1"/>
  <c r="C162" i="17"/>
  <c r="V162" i="17" s="1"/>
  <c r="D164" i="17"/>
  <c r="W164" i="17" s="1"/>
  <c r="C159" i="17"/>
  <c r="V159" i="17" s="1"/>
  <c r="B170" i="17"/>
  <c r="U170" i="17" s="1"/>
  <c r="F164" i="17"/>
  <c r="Y164" i="17" s="1"/>
  <c r="B162" i="17"/>
  <c r="U162" i="17" s="1"/>
  <c r="F170" i="17"/>
  <c r="B159" i="17"/>
  <c r="U159" i="17" s="1"/>
  <c r="B164" i="17"/>
  <c r="U164" i="17" s="1"/>
  <c r="B163" i="17"/>
  <c r="U163" i="17" s="1"/>
  <c r="C163" i="17"/>
  <c r="V163" i="17" s="1"/>
  <c r="P96" i="11"/>
  <c r="D234" i="17" l="1"/>
  <c r="W234" i="17" s="1"/>
  <c r="W170" i="17"/>
  <c r="C234" i="17"/>
  <c r="V234" i="17" s="1"/>
  <c r="V170" i="17"/>
  <c r="E234" i="17"/>
  <c r="X234" i="17" s="1"/>
  <c r="X170" i="17"/>
  <c r="F234" i="17"/>
  <c r="Y234" i="17" s="1"/>
  <c r="Y170" i="17"/>
  <c r="C65" i="17"/>
  <c r="C195" i="17" s="1"/>
  <c r="V195" i="17" s="1"/>
  <c r="D65" i="17"/>
  <c r="D195" i="17" s="1"/>
  <c r="W195" i="17" s="1"/>
  <c r="E65" i="17"/>
  <c r="E195" i="17" s="1"/>
  <c r="X195" i="17" s="1"/>
  <c r="F65" i="17"/>
  <c r="F195" i="17" s="1"/>
  <c r="Y195" i="17" s="1"/>
  <c r="B65" i="17"/>
  <c r="B195" i="17" s="1"/>
  <c r="U195" i="17" s="1"/>
  <c r="C64" i="17"/>
  <c r="C194" i="17" s="1"/>
  <c r="V194" i="17" s="1"/>
  <c r="D64" i="17"/>
  <c r="D194" i="17" s="1"/>
  <c r="W194" i="17" s="1"/>
  <c r="E64" i="17"/>
  <c r="E194" i="17" s="1"/>
  <c r="X194" i="17" s="1"/>
  <c r="F64" i="17"/>
  <c r="F194" i="17" s="1"/>
  <c r="Y194" i="17" s="1"/>
  <c r="B64" i="17"/>
  <c r="B194" i="17" s="1"/>
  <c r="U194" i="17" s="1"/>
  <c r="C63" i="17"/>
  <c r="C193" i="17" s="1"/>
  <c r="V193" i="17" s="1"/>
  <c r="D63" i="17"/>
  <c r="D193" i="17" s="1"/>
  <c r="W193" i="17" s="1"/>
  <c r="E63" i="17"/>
  <c r="E193" i="17" s="1"/>
  <c r="X193" i="17" s="1"/>
  <c r="F63" i="17"/>
  <c r="F193" i="17" s="1"/>
  <c r="B63" i="17"/>
  <c r="B193" i="17" s="1"/>
  <c r="U193" i="17" s="1"/>
  <c r="U196" i="17" s="1"/>
  <c r="F196" i="17" l="1"/>
  <c r="Y193" i="17"/>
  <c r="Y196" i="17" s="1"/>
  <c r="W196" i="17"/>
  <c r="V196" i="17"/>
  <c r="X196" i="17"/>
  <c r="D225" i="17"/>
  <c r="W225" i="17" s="1"/>
  <c r="E226" i="17"/>
  <c r="X226" i="17" s="1"/>
  <c r="F225" i="17"/>
  <c r="Y225" i="17" s="1"/>
  <c r="B196" i="17"/>
  <c r="C224" i="17"/>
  <c r="V224" i="17" s="1"/>
  <c r="E225" i="17"/>
  <c r="X225" i="17" s="1"/>
  <c r="C225" i="17"/>
  <c r="V225" i="17" s="1"/>
  <c r="D226" i="17"/>
  <c r="W226" i="17" s="1"/>
  <c r="C226" i="17"/>
  <c r="V226" i="17" s="1"/>
  <c r="E224" i="17"/>
  <c r="X224" i="17" s="1"/>
  <c r="F224" i="17"/>
  <c r="Y224" i="17" s="1"/>
  <c r="C196" i="17"/>
  <c r="D224" i="17"/>
  <c r="W224" i="17" s="1"/>
  <c r="F226" i="17"/>
  <c r="Y226" i="17" s="1"/>
  <c r="E196" i="17"/>
  <c r="D196" i="17"/>
  <c r="B67" i="17"/>
  <c r="D35" i="13"/>
  <c r="F67" i="17"/>
  <c r="H35" i="13"/>
  <c r="D39" i="13"/>
  <c r="B69" i="17"/>
  <c r="D37" i="13"/>
  <c r="F35" i="13"/>
  <c r="D67" i="17"/>
  <c r="H39" i="13"/>
  <c r="F69" i="17"/>
  <c r="G69" i="17" s="1"/>
  <c r="H69" i="17" s="1"/>
  <c r="I69" i="17" s="1"/>
  <c r="J69" i="17" s="1"/>
  <c r="K69" i="17" s="1"/>
  <c r="H37" i="13"/>
  <c r="E35" i="13"/>
  <c r="C67" i="17"/>
  <c r="G37" i="13"/>
  <c r="E69" i="17"/>
  <c r="G39" i="13"/>
  <c r="E37" i="13"/>
  <c r="E39" i="13"/>
  <c r="C69" i="17"/>
  <c r="E67" i="17"/>
  <c r="G35" i="13"/>
  <c r="F37" i="13"/>
  <c r="D69" i="17"/>
  <c r="F39" i="13"/>
  <c r="M59" i="11"/>
  <c r="L59" i="11"/>
  <c r="K59" i="11"/>
  <c r="D7" i="13"/>
  <c r="E7" i="13"/>
  <c r="F7" i="13"/>
  <c r="G143" i="17"/>
  <c r="K136" i="17"/>
  <c r="K144" i="17" s="1"/>
  <c r="J136" i="17"/>
  <c r="J144" i="17" s="1"/>
  <c r="I136" i="17"/>
  <c r="I144" i="17" s="1"/>
  <c r="H136" i="17"/>
  <c r="H144" i="17" s="1"/>
  <c r="G136" i="17"/>
  <c r="F136" i="17"/>
  <c r="E136" i="17"/>
  <c r="D136" i="17"/>
  <c r="C136" i="17"/>
  <c r="B136" i="17"/>
  <c r="H125" i="17"/>
  <c r="I125" i="17" s="1"/>
  <c r="J125" i="17" s="1"/>
  <c r="H121" i="17"/>
  <c r="I121" i="17" s="1"/>
  <c r="U118" i="17"/>
  <c r="K105" i="17"/>
  <c r="J105" i="17"/>
  <c r="I105" i="17"/>
  <c r="H105" i="17"/>
  <c r="G86" i="17"/>
  <c r="G85" i="17"/>
  <c r="G84" i="17"/>
  <c r="G59" i="16"/>
  <c r="C58" i="16"/>
  <c r="G57" i="16"/>
  <c r="E57" i="16"/>
  <c r="G56" i="16"/>
  <c r="E56" i="16"/>
  <c r="C55" i="16"/>
  <c r="C60" i="16" s="1"/>
  <c r="C51" i="16"/>
  <c r="C53" i="16" s="1"/>
  <c r="E49" i="16"/>
  <c r="E51" i="16" s="1"/>
  <c r="E53" i="16" s="1"/>
  <c r="D25" i="16"/>
  <c r="F9" i="16"/>
  <c r="E9" i="16"/>
  <c r="I9" i="16" s="1"/>
  <c r="I10" i="16" s="1"/>
  <c r="F7" i="16"/>
  <c r="G67" i="17" l="1"/>
  <c r="H67" i="17" s="1"/>
  <c r="I67" i="17" s="1"/>
  <c r="J67" i="17" s="1"/>
  <c r="K67" i="17" s="1"/>
  <c r="J9" i="16"/>
  <c r="J10" i="16" s="1"/>
  <c r="E227" i="17"/>
  <c r="D227" i="17"/>
  <c r="G235" i="17"/>
  <c r="F227" i="17"/>
  <c r="C227" i="17"/>
  <c r="G144" i="17"/>
  <c r="H84" i="17"/>
  <c r="G202" i="17"/>
  <c r="H85" i="17"/>
  <c r="G203" i="17"/>
  <c r="H86" i="17"/>
  <c r="H235" i="17" s="1"/>
  <c r="G204" i="17"/>
  <c r="D140" i="17"/>
  <c r="H145" i="17"/>
  <c r="E58" i="16"/>
  <c r="D41" i="16"/>
  <c r="D44" i="16" s="1"/>
  <c r="F99" i="17"/>
  <c r="B99" i="17"/>
  <c r="C140" i="17"/>
  <c r="G145" i="17"/>
  <c r="E10" i="17"/>
  <c r="E158" i="17" s="1"/>
  <c r="X158" i="17" s="1"/>
  <c r="X160" i="17" s="1"/>
  <c r="D10" i="17"/>
  <c r="D158" i="17" s="1"/>
  <c r="W158" i="17" s="1"/>
  <c r="W160" i="17" s="1"/>
  <c r="E112" i="17"/>
  <c r="E99" i="17"/>
  <c r="D112" i="17"/>
  <c r="G105" i="17"/>
  <c r="B12" i="17"/>
  <c r="F12" i="17"/>
  <c r="E12" i="17"/>
  <c r="B112" i="17"/>
  <c r="F112" i="17"/>
  <c r="D99" i="17"/>
  <c r="D209" i="17" s="1"/>
  <c r="W209" i="17" s="1"/>
  <c r="W211" i="17" s="1"/>
  <c r="W213" i="17" s="1"/>
  <c r="C112" i="17"/>
  <c r="C12" i="17"/>
  <c r="C10" i="17"/>
  <c r="D12" i="17"/>
  <c r="B10" i="17"/>
  <c r="F10" i="17"/>
  <c r="F158" i="17" s="1"/>
  <c r="Y158" i="17" s="1"/>
  <c r="Y160" i="17" s="1"/>
  <c r="C99" i="17"/>
  <c r="C209" i="17" s="1"/>
  <c r="V209" i="17" s="1"/>
  <c r="V211" i="17" s="1"/>
  <c r="V213" i="17" s="1"/>
  <c r="K125" i="17"/>
  <c r="J121" i="17"/>
  <c r="E140" i="17"/>
  <c r="V118" i="17"/>
  <c r="W118" i="17" s="1"/>
  <c r="X118" i="17" s="1"/>
  <c r="Y118" i="17" s="1"/>
  <c r="B140" i="17"/>
  <c r="F140" i="17"/>
  <c r="G50" i="16"/>
  <c r="G53" i="16" s="1"/>
  <c r="C41" i="16"/>
  <c r="C44" i="16" s="1"/>
  <c r="C63" i="16"/>
  <c r="E55" i="16"/>
  <c r="Y227" i="17" l="1"/>
  <c r="V227" i="17"/>
  <c r="W227" i="17"/>
  <c r="X227" i="17"/>
  <c r="C211" i="17"/>
  <c r="C213" i="17" s="1"/>
  <c r="D242" i="17"/>
  <c r="W242" i="17" s="1"/>
  <c r="D211" i="17"/>
  <c r="D213" i="17" s="1"/>
  <c r="E242" i="17"/>
  <c r="X242" i="17" s="1"/>
  <c r="G147" i="17"/>
  <c r="G207" i="17" s="1"/>
  <c r="G237" i="17"/>
  <c r="B97" i="17"/>
  <c r="B209" i="17"/>
  <c r="U209" i="17" s="1"/>
  <c r="U211" i="17" s="1"/>
  <c r="U213" i="17" s="1"/>
  <c r="E97" i="17"/>
  <c r="X127" i="17" s="1"/>
  <c r="E209" i="17"/>
  <c r="X209" i="17" s="1"/>
  <c r="X211" i="17" s="1"/>
  <c r="X213" i="17" s="1"/>
  <c r="F94" i="17"/>
  <c r="F95" i="17" s="1"/>
  <c r="F97" i="17" s="1"/>
  <c r="Y127" i="17" s="1"/>
  <c r="F209" i="17"/>
  <c r="Y209" i="17" s="1"/>
  <c r="Y211" i="17" s="1"/>
  <c r="Y213" i="17" s="1"/>
  <c r="G236" i="17"/>
  <c r="H140" i="17"/>
  <c r="I86" i="17"/>
  <c r="H204" i="17"/>
  <c r="I85" i="17"/>
  <c r="H203" i="17"/>
  <c r="C158" i="17"/>
  <c r="V158" i="17" s="1"/>
  <c r="V160" i="17" s="1"/>
  <c r="B158" i="17"/>
  <c r="U158" i="17" s="1"/>
  <c r="U160" i="17" s="1"/>
  <c r="I84" i="17"/>
  <c r="H202" i="17"/>
  <c r="T8" i="17"/>
  <c r="T11" i="17"/>
  <c r="U5" i="17"/>
  <c r="U8" i="17"/>
  <c r="U11" i="17"/>
  <c r="V8" i="17"/>
  <c r="V11" i="17"/>
  <c r="V5" i="17"/>
  <c r="E96" i="17"/>
  <c r="B96" i="17"/>
  <c r="G33" i="13"/>
  <c r="E68" i="17"/>
  <c r="C68" i="17"/>
  <c r="E33" i="13"/>
  <c r="D68" i="17"/>
  <c r="F33" i="13"/>
  <c r="H33" i="13"/>
  <c r="F68" i="17"/>
  <c r="G68" i="17" s="1"/>
  <c r="B68" i="17"/>
  <c r="D33" i="13"/>
  <c r="D97" i="17"/>
  <c r="W127" i="17" s="1"/>
  <c r="D96" i="17"/>
  <c r="C96" i="17"/>
  <c r="C97" i="17"/>
  <c r="K121" i="17"/>
  <c r="G55" i="16"/>
  <c r="F67" i="16" s="1"/>
  <c r="E60" i="16"/>
  <c r="E63" i="16" s="1"/>
  <c r="H68" i="17" l="1"/>
  <c r="I68" i="17" s="1"/>
  <c r="J68" i="17" s="1"/>
  <c r="K68" i="17" s="1"/>
  <c r="F96" i="17"/>
  <c r="T91" i="17"/>
  <c r="T92" i="17" s="1"/>
  <c r="F211" i="17"/>
  <c r="F213" i="17" s="1"/>
  <c r="B211" i="17"/>
  <c r="B213" i="17" s="1"/>
  <c r="C242" i="17"/>
  <c r="V242" i="17" s="1"/>
  <c r="H143" i="17"/>
  <c r="H147" i="17" s="1"/>
  <c r="H207" i="17" s="1"/>
  <c r="E211" i="17"/>
  <c r="E213" i="17" s="1"/>
  <c r="F242" i="17"/>
  <c r="Y242" i="17" s="1"/>
  <c r="T6" i="17"/>
  <c r="H236" i="17"/>
  <c r="I235" i="17"/>
  <c r="H237" i="17"/>
  <c r="J85" i="17"/>
  <c r="I203" i="17"/>
  <c r="J84" i="17"/>
  <c r="I202" i="17"/>
  <c r="J86" i="17"/>
  <c r="I204" i="17"/>
  <c r="T12" i="17"/>
  <c r="T9" i="17"/>
  <c r="F65" i="16"/>
  <c r="F42" i="13"/>
  <c r="F41" i="13"/>
  <c r="E42" i="13"/>
  <c r="E41" i="13"/>
  <c r="H42" i="13"/>
  <c r="H41" i="13"/>
  <c r="G42" i="13"/>
  <c r="G41" i="13"/>
  <c r="D42" i="13"/>
  <c r="D41" i="13"/>
  <c r="I140" i="17"/>
  <c r="I145" i="17"/>
  <c r="V127" i="17"/>
  <c r="G60" i="16"/>
  <c r="G65" i="16" l="1"/>
  <c r="C59" i="19"/>
  <c r="C56" i="19"/>
  <c r="H87" i="19" s="1"/>
  <c r="H88" i="19" s="1"/>
  <c r="H89" i="19" s="1"/>
  <c r="I143" i="17"/>
  <c r="I147" i="17" s="1"/>
  <c r="J235" i="17"/>
  <c r="I237" i="17"/>
  <c r="I236" i="17"/>
  <c r="K86" i="17"/>
  <c r="K204" i="17" s="1"/>
  <c r="J204" i="17"/>
  <c r="K84" i="17"/>
  <c r="K202" i="17" s="1"/>
  <c r="J202" i="17"/>
  <c r="K85" i="17"/>
  <c r="K203" i="17" s="1"/>
  <c r="J203" i="17"/>
  <c r="G63" i="16"/>
  <c r="C15" i="11" s="1"/>
  <c r="J140" i="17"/>
  <c r="J145" i="17"/>
  <c r="E76" i="19" l="1"/>
  <c r="E81" i="19"/>
  <c r="I18" i="19"/>
  <c r="J18" i="19" s="1"/>
  <c r="H19" i="19"/>
  <c r="I87" i="19"/>
  <c r="J87" i="19" s="1"/>
  <c r="I25" i="19"/>
  <c r="O18" i="19"/>
  <c r="E82" i="19"/>
  <c r="C17" i="11"/>
  <c r="C60" i="19"/>
  <c r="E120" i="19" s="1"/>
  <c r="K236" i="17"/>
  <c r="J236" i="17"/>
  <c r="J143" i="17"/>
  <c r="J147" i="17" s="1"/>
  <c r="I207" i="17"/>
  <c r="K237" i="17"/>
  <c r="J237" i="17"/>
  <c r="K235" i="17"/>
  <c r="K145" i="17"/>
  <c r="K140" i="17"/>
  <c r="J19" i="19" l="1"/>
  <c r="L88" i="19"/>
  <c r="J88" i="19"/>
  <c r="K88" i="19"/>
  <c r="K18" i="19"/>
  <c r="L18" i="19" s="1"/>
  <c r="I88" i="19"/>
  <c r="I89" i="19" s="1"/>
  <c r="E131" i="11"/>
  <c r="J131" i="11"/>
  <c r="I19" i="19"/>
  <c r="I31" i="19"/>
  <c r="P18" i="19"/>
  <c r="E121" i="19"/>
  <c r="K143" i="17"/>
  <c r="K147" i="17" s="1"/>
  <c r="J207" i="17"/>
  <c r="L19" i="19" l="1"/>
  <c r="K19" i="19"/>
  <c r="K87" i="19"/>
  <c r="J89" i="19"/>
  <c r="K207" i="17"/>
  <c r="G57" i="11"/>
  <c r="H57" i="11"/>
  <c r="I57" i="11"/>
  <c r="F57" i="11"/>
  <c r="F155" i="2"/>
  <c r="F145" i="2" s="1"/>
  <c r="F138" i="2" s="1"/>
  <c r="E155" i="2"/>
  <c r="E145" i="2" s="1"/>
  <c r="E138" i="2" s="1"/>
  <c r="D155" i="2"/>
  <c r="C155" i="2"/>
  <c r="C145" i="2" s="1"/>
  <c r="F135" i="2"/>
  <c r="E135" i="2"/>
  <c r="D135" i="2"/>
  <c r="C135" i="2"/>
  <c r="I32" i="19" l="1"/>
  <c r="M18" i="19" s="1"/>
  <c r="M19" i="19" s="1"/>
  <c r="J35" i="19"/>
  <c r="K89" i="19"/>
  <c r="L87" i="19"/>
  <c r="M87" i="19" s="1"/>
  <c r="D145" i="2"/>
  <c r="D138" i="2" s="1"/>
  <c r="J255" i="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J196" i="1"/>
  <c r="J198" i="1" s="1"/>
  <c r="I196" i="1"/>
  <c r="I198" i="1" s="1"/>
  <c r="H196" i="1"/>
  <c r="H198" i="1" s="1"/>
  <c r="G196" i="1"/>
  <c r="G198" i="1" s="1"/>
  <c r="F196" i="1"/>
  <c r="F198" i="1" s="1"/>
  <c r="C138" i="2" l="1"/>
  <c r="N87" i="19"/>
  <c r="M88" i="19"/>
  <c r="M89" i="19" s="1"/>
  <c r="N18" i="19"/>
  <c r="L89" i="19"/>
  <c r="D92" i="19" s="1"/>
  <c r="I216" i="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O87" i="19" l="1"/>
  <c r="O88" i="19" s="1"/>
  <c r="N88" i="19"/>
  <c r="N89" i="19" s="1"/>
  <c r="P19" i="19"/>
  <c r="J37" i="19" s="1"/>
  <c r="N19" i="19"/>
  <c r="O19" i="19"/>
  <c r="G7" i="13"/>
  <c r="J249" i="1"/>
  <c r="J259" i="1" s="1"/>
  <c r="J262" i="1" s="1"/>
  <c r="J265" i="1" s="1"/>
  <c r="E72" i="11"/>
  <c r="E70" i="11"/>
  <c r="F25" i="11"/>
  <c r="G53" i="11"/>
  <c r="I51" i="11"/>
  <c r="H51" i="11"/>
  <c r="I55" i="11"/>
  <c r="G55" i="11"/>
  <c r="H53" i="11"/>
  <c r="I53" i="11"/>
  <c r="G51" i="11"/>
  <c r="I49" i="11"/>
  <c r="G49" i="11"/>
  <c r="E21" i="11" s="1"/>
  <c r="F45" i="11"/>
  <c r="G45" i="11"/>
  <c r="H45" i="11"/>
  <c r="I45" i="11"/>
  <c r="J36" i="19" l="1"/>
  <c r="J38" i="19" s="1"/>
  <c r="P87" i="19"/>
  <c r="F24" i="11"/>
  <c r="F23" i="11"/>
  <c r="J52" i="11" s="1"/>
  <c r="F22" i="11"/>
  <c r="J50" i="11" s="1"/>
  <c r="J54" i="11"/>
  <c r="K54" i="11" s="1"/>
  <c r="L54" i="11" s="1"/>
  <c r="M54" i="11" s="1"/>
  <c r="N54" i="11" s="1"/>
  <c r="O54" i="11" s="1"/>
  <c r="H7" i="13"/>
  <c r="J44" i="11"/>
  <c r="P88" i="19" l="1"/>
  <c r="P89" i="19" s="1"/>
  <c r="D94" i="19" s="1"/>
  <c r="O89" i="19"/>
  <c r="D93" i="19" s="1"/>
  <c r="J37" i="11"/>
  <c r="J45" i="11"/>
  <c r="K44" i="11"/>
  <c r="K56" i="11"/>
  <c r="D95" i="19" l="1"/>
  <c r="D98" i="19" s="1"/>
  <c r="K45" i="11"/>
  <c r="K37" i="11"/>
  <c r="L44" i="11"/>
  <c r="L56" i="11"/>
  <c r="L45" i="11" l="1"/>
  <c r="L37" i="11"/>
  <c r="M44" i="11"/>
  <c r="M56" i="11"/>
  <c r="N56" i="11" l="1"/>
  <c r="M45" i="11"/>
  <c r="M37" i="11"/>
  <c r="N44" i="11"/>
  <c r="O44" i="11" l="1"/>
  <c r="O56" i="11"/>
  <c r="N45" i="11"/>
  <c r="N37" i="11"/>
  <c r="D152" i="12"/>
  <c r="E152" i="12"/>
  <c r="F152" i="12"/>
  <c r="C152" i="12"/>
  <c r="D158" i="12"/>
  <c r="E158" i="12"/>
  <c r="F158" i="12"/>
  <c r="C158" i="12"/>
  <c r="D151" i="12"/>
  <c r="E151" i="12"/>
  <c r="F151" i="12"/>
  <c r="D139" i="12"/>
  <c r="D135" i="12"/>
  <c r="E135" i="12"/>
  <c r="E139" i="12" s="1"/>
  <c r="F135" i="12"/>
  <c r="F139" i="12" s="1"/>
  <c r="C135" i="12"/>
  <c r="C139" i="12" s="1"/>
  <c r="D130" i="12"/>
  <c r="E130" i="12"/>
  <c r="F130" i="12"/>
  <c r="C130" i="12"/>
  <c r="D48" i="12"/>
  <c r="D50" i="12" s="1"/>
  <c r="E48" i="12"/>
  <c r="E50" i="12" s="1"/>
  <c r="F48" i="12"/>
  <c r="F50" i="12" s="1"/>
  <c r="G48" i="12"/>
  <c r="G50" i="12" s="1"/>
  <c r="C44" i="12"/>
  <c r="C151" i="12" s="1"/>
  <c r="D24" i="12"/>
  <c r="E24" i="12"/>
  <c r="F24" i="12"/>
  <c r="G24" i="12"/>
  <c r="C24" i="12"/>
  <c r="D16" i="12"/>
  <c r="E16" i="12"/>
  <c r="F16" i="12"/>
  <c r="G16" i="12"/>
  <c r="C16" i="12"/>
  <c r="D14" i="12"/>
  <c r="E14" i="12"/>
  <c r="F14" i="12"/>
  <c r="G14" i="12"/>
  <c r="G29" i="12" s="1"/>
  <c r="C14" i="12"/>
  <c r="C29" i="12" s="1"/>
  <c r="D9" i="12"/>
  <c r="E9" i="12"/>
  <c r="F9" i="12"/>
  <c r="G9" i="12"/>
  <c r="C9" i="12"/>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F89" i="12" l="1"/>
  <c r="F105" i="12" s="1"/>
  <c r="E150" i="12" s="1"/>
  <c r="F29" i="12"/>
  <c r="F34" i="12" s="1"/>
  <c r="F51" i="12" s="1"/>
  <c r="C34" i="12"/>
  <c r="E29" i="12"/>
  <c r="E34" i="12" s="1"/>
  <c r="E51" i="12" s="1"/>
  <c r="F147" i="12"/>
  <c r="F148" i="12" s="1"/>
  <c r="G34" i="12"/>
  <c r="G51" i="12" s="1"/>
  <c r="D29" i="12"/>
  <c r="D34" i="12" s="1"/>
  <c r="D51" i="12" s="1"/>
  <c r="E147" i="12"/>
  <c r="E153" i="12" s="1"/>
  <c r="O45" i="11"/>
  <c r="O37" i="11"/>
  <c r="C147" i="12"/>
  <c r="C148" i="12" s="1"/>
  <c r="C48" i="12"/>
  <c r="C50" i="12" s="1"/>
  <c r="C51" i="12" s="1"/>
  <c r="D147" i="12"/>
  <c r="D76" i="12"/>
  <c r="D86" i="12" s="1"/>
  <c r="D107" i="12" s="1"/>
  <c r="D120" i="12" s="1"/>
  <c r="C156" i="12" s="1"/>
  <c r="G89" i="12"/>
  <c r="G105" i="12" s="1"/>
  <c r="F150" i="12" s="1"/>
  <c r="F153" i="12" s="1"/>
  <c r="G76" i="12"/>
  <c r="G86" i="12" s="1"/>
  <c r="C86" i="12"/>
  <c r="F76" i="12"/>
  <c r="F86" i="12" s="1"/>
  <c r="F107" i="12" s="1"/>
  <c r="F120" i="12" s="1"/>
  <c r="E156" i="12" s="1"/>
  <c r="C107" i="12"/>
  <c r="C120" i="12" s="1"/>
  <c r="E76" i="12"/>
  <c r="E86" i="12" s="1"/>
  <c r="E107" i="12" s="1"/>
  <c r="E120" i="12" s="1"/>
  <c r="D156" i="12" s="1"/>
  <c r="E148" i="12" l="1"/>
  <c r="F154" i="12"/>
  <c r="G107" i="12"/>
  <c r="G120" i="12" s="1"/>
  <c r="F156" i="12" s="1"/>
  <c r="F157" i="12" s="1"/>
  <c r="F164" i="12" s="1"/>
  <c r="C153" i="12"/>
  <c r="C157" i="12" s="1"/>
  <c r="C164" i="12" s="1"/>
  <c r="D153" i="12"/>
  <c r="D148" i="12"/>
  <c r="E157" i="12"/>
  <c r="E164" i="12" s="1"/>
  <c r="E154" i="12"/>
  <c r="C154" i="12" l="1"/>
  <c r="D154" i="12"/>
  <c r="D157" i="12"/>
  <c r="D164" i="12" s="1"/>
  <c r="C60" i="5"/>
  <c r="C66" i="5"/>
  <c r="C69" i="5"/>
  <c r="C53" i="5"/>
  <c r="D66" i="5"/>
  <c r="D69" i="5"/>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F6" i="16" s="1"/>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C99" i="5" l="1"/>
  <c r="D90" i="5"/>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D21" i="2"/>
  <c r="E21" i="2"/>
  <c r="F21" i="2"/>
  <c r="G21" i="2"/>
  <c r="F199" i="17" s="1"/>
  <c r="Y199" i="17" s="1"/>
  <c r="C21" i="2"/>
  <c r="G19" i="2"/>
  <c r="F19" i="2"/>
  <c r="E19" i="2"/>
  <c r="D19" i="2"/>
  <c r="C19" i="2"/>
  <c r="E230" i="17" l="1"/>
  <c r="X230" i="17" s="1"/>
  <c r="D199" i="17"/>
  <c r="W199" i="17" s="1"/>
  <c r="C199" i="17"/>
  <c r="V199" i="17" s="1"/>
  <c r="D230" i="17"/>
  <c r="W230" i="17" s="1"/>
  <c r="B199" i="17"/>
  <c r="U199" i="17" s="1"/>
  <c r="C230" i="17"/>
  <c r="V230" i="17" s="1"/>
  <c r="E199" i="17"/>
  <c r="X199" i="17" s="1"/>
  <c r="F230" i="17"/>
  <c r="Y230" i="17" s="1"/>
  <c r="E39" i="8"/>
  <c r="F39" i="8"/>
  <c r="G39" i="8"/>
  <c r="D39" i="8"/>
  <c r="E12" i="8"/>
  <c r="F12" i="8"/>
  <c r="G12" i="8"/>
  <c r="D12" i="8"/>
  <c r="E11" i="8"/>
  <c r="F11" i="8"/>
  <c r="G11" i="8"/>
  <c r="D11" i="8"/>
  <c r="F10" i="8"/>
  <c r="G10" i="8"/>
  <c r="E10" i="8"/>
  <c r="D10" i="8"/>
  <c r="G110" i="2"/>
  <c r="F180" i="17" s="1"/>
  <c r="Y180" i="17" s="1"/>
  <c r="F110" i="2"/>
  <c r="E180" i="17" s="1"/>
  <c r="X180" i="17" s="1"/>
  <c r="E110" i="2"/>
  <c r="D180" i="17" s="1"/>
  <c r="W180" i="17" s="1"/>
  <c r="D110" i="2"/>
  <c r="C180" i="17" s="1"/>
  <c r="V180" i="17" s="1"/>
  <c r="C110" i="2"/>
  <c r="B180" i="17" s="1"/>
  <c r="U180" i="17" s="1"/>
  <c r="G106" i="2"/>
  <c r="G109" i="2" s="1"/>
  <c r="F106" i="2"/>
  <c r="F109" i="2" s="1"/>
  <c r="E178" i="17" s="1"/>
  <c r="E106" i="2"/>
  <c r="E109" i="2" s="1"/>
  <c r="D106" i="2"/>
  <c r="D109" i="2" s="1"/>
  <c r="C106" i="2"/>
  <c r="C109" i="2" s="1"/>
  <c r="C96" i="2"/>
  <c r="G94" i="2"/>
  <c r="G96" i="2" s="1"/>
  <c r="F113" i="17" s="1"/>
  <c r="F114" i="17" s="1"/>
  <c r="F94" i="2"/>
  <c r="F96" i="2" s="1"/>
  <c r="E113" i="17" s="1"/>
  <c r="E114" i="17" s="1"/>
  <c r="G114" i="17" s="1"/>
  <c r="E94" i="2"/>
  <c r="E96" i="2" s="1"/>
  <c r="D94" i="2"/>
  <c r="D96" i="2" s="1"/>
  <c r="G87" i="2"/>
  <c r="F87" i="2"/>
  <c r="G76" i="2"/>
  <c r="F58" i="17" s="1"/>
  <c r="F76" i="2"/>
  <c r="E58" i="17" s="1"/>
  <c r="E76" i="2"/>
  <c r="D58" i="17" s="1"/>
  <c r="D76" i="2"/>
  <c r="C58" i="17" s="1"/>
  <c r="C76" i="2"/>
  <c r="B58" i="17" s="1"/>
  <c r="B171" i="17" s="1"/>
  <c r="U171" i="17" s="1"/>
  <c r="G72" i="2"/>
  <c r="F72" i="2"/>
  <c r="E72" i="2"/>
  <c r="D72" i="2"/>
  <c r="C72" i="2"/>
  <c r="G66" i="2"/>
  <c r="G61" i="2" s="1"/>
  <c r="F18" i="17" s="1"/>
  <c r="F66" i="2"/>
  <c r="F61" i="2" s="1"/>
  <c r="E18" i="17" s="1"/>
  <c r="E66" i="2"/>
  <c r="E61" i="2" s="1"/>
  <c r="D18" i="17" s="1"/>
  <c r="D66" i="2"/>
  <c r="D61" i="2" s="1"/>
  <c r="C18" i="17" s="1"/>
  <c r="C165" i="17" s="1"/>
  <c r="V165" i="17" s="1"/>
  <c r="V167" i="17" s="1"/>
  <c r="C66" i="2"/>
  <c r="C61" i="2" s="1"/>
  <c r="B18" i="17" s="1"/>
  <c r="B165" i="17" s="1"/>
  <c r="U165" i="17" s="1"/>
  <c r="U167" i="17" s="1"/>
  <c r="G55" i="2"/>
  <c r="F55" i="2"/>
  <c r="E55" i="2"/>
  <c r="E52" i="2" s="1"/>
  <c r="E52" i="5" s="1"/>
  <c r="D55" i="2"/>
  <c r="D52" i="2" s="1"/>
  <c r="D52" i="5" s="1"/>
  <c r="C55" i="2"/>
  <c r="X178" i="17" l="1"/>
  <c r="E220" i="17"/>
  <c r="X220" i="17" s="1"/>
  <c r="U168" i="17"/>
  <c r="U172" i="17"/>
  <c r="G64" i="5"/>
  <c r="F178" i="17"/>
  <c r="V168" i="17"/>
  <c r="C64" i="5"/>
  <c r="B178" i="17"/>
  <c r="U178" i="17" s="1"/>
  <c r="E64" i="5"/>
  <c r="D81" i="5" s="1"/>
  <c r="D178" i="17"/>
  <c r="D64" i="5"/>
  <c r="C81" i="5" s="1"/>
  <c r="C178" i="17"/>
  <c r="F171" i="17"/>
  <c r="Y171" i="17" s="1"/>
  <c r="D171" i="17"/>
  <c r="W171" i="17" s="1"/>
  <c r="E171" i="17"/>
  <c r="X171" i="17" s="1"/>
  <c r="T14" i="17"/>
  <c r="D165" i="17"/>
  <c r="W165" i="17" s="1"/>
  <c r="W167" i="17" s="1"/>
  <c r="V14" i="17"/>
  <c r="F165" i="17"/>
  <c r="Y165" i="17" s="1"/>
  <c r="Y167" i="17" s="1"/>
  <c r="U14" i="17"/>
  <c r="E165" i="17"/>
  <c r="X165" i="17" s="1"/>
  <c r="X167" i="17" s="1"/>
  <c r="C171" i="17"/>
  <c r="V171" i="17" s="1"/>
  <c r="V172" i="17" s="1"/>
  <c r="B19" i="17"/>
  <c r="B21" i="17" s="1"/>
  <c r="D19" i="17"/>
  <c r="G58" i="17"/>
  <c r="H114" i="17"/>
  <c r="C19" i="17"/>
  <c r="F19" i="17"/>
  <c r="E19" i="17"/>
  <c r="E83" i="2"/>
  <c r="E99" i="2" s="1"/>
  <c r="D117" i="17" s="1"/>
  <c r="D113" i="17"/>
  <c r="D114" i="17" s="1"/>
  <c r="D83" i="2"/>
  <c r="C113" i="17"/>
  <c r="C114" i="17" s="1"/>
  <c r="C83" i="2"/>
  <c r="B113" i="17"/>
  <c r="B114" i="17" s="1"/>
  <c r="F52" i="2"/>
  <c r="F52" i="5" s="1"/>
  <c r="E57" i="5"/>
  <c r="D94" i="5" s="1"/>
  <c r="C68" i="2"/>
  <c r="C54" i="5"/>
  <c r="D99" i="2"/>
  <c r="C117" i="17" s="1"/>
  <c r="F64" i="5"/>
  <c r="E81" i="5" s="1"/>
  <c r="E68" i="2"/>
  <c r="E70" i="2" s="1"/>
  <c r="E80" i="2" s="1"/>
  <c r="E54" i="5"/>
  <c r="E56" i="5" s="1"/>
  <c r="F68" i="2"/>
  <c r="F54" i="5"/>
  <c r="C57" i="5"/>
  <c r="E95" i="5"/>
  <c r="E94" i="5" s="1"/>
  <c r="F57" i="5"/>
  <c r="D68" i="2"/>
  <c r="D70" i="2" s="1"/>
  <c r="D80" i="2" s="1"/>
  <c r="D54" i="5"/>
  <c r="D56" i="5" s="1"/>
  <c r="F95" i="5"/>
  <c r="F94" i="5" s="1"/>
  <c r="G57" i="5"/>
  <c r="G68" i="2"/>
  <c r="G54" i="5"/>
  <c r="D57" i="5"/>
  <c r="D13" i="8"/>
  <c r="E13" i="8"/>
  <c r="G13" i="8"/>
  <c r="F13" i="8"/>
  <c r="G83" i="2"/>
  <c r="C52" i="2"/>
  <c r="G52" i="2"/>
  <c r="F83" i="2"/>
  <c r="D39" i="2"/>
  <c r="E39" i="2"/>
  <c r="F39" i="2"/>
  <c r="G39" i="2"/>
  <c r="C39" i="2"/>
  <c r="D51" i="13" s="1"/>
  <c r="D13" i="2"/>
  <c r="E13" i="2"/>
  <c r="F13" i="2"/>
  <c r="G13" i="2"/>
  <c r="C13" i="2"/>
  <c r="E11" i="13" l="1"/>
  <c r="E13" i="13"/>
  <c r="D28" i="8"/>
  <c r="F11" i="13"/>
  <c r="F13" i="13"/>
  <c r="V173" i="17"/>
  <c r="V178" i="17"/>
  <c r="C220" i="17"/>
  <c r="V220" i="17" s="1"/>
  <c r="Y178" i="17"/>
  <c r="F220" i="17"/>
  <c r="Y220" i="17" s="1"/>
  <c r="Y172" i="17"/>
  <c r="Y168" i="17"/>
  <c r="W178" i="17"/>
  <c r="D220" i="17"/>
  <c r="W220" i="17" s="1"/>
  <c r="U173" i="17"/>
  <c r="W172" i="17"/>
  <c r="W168" i="17"/>
  <c r="X168" i="17"/>
  <c r="X172" i="17"/>
  <c r="T15" i="17"/>
  <c r="D175" i="17"/>
  <c r="C175" i="17"/>
  <c r="H58" i="17"/>
  <c r="G171" i="17"/>
  <c r="C42" i="2"/>
  <c r="D53" i="13"/>
  <c r="D48" i="13"/>
  <c r="G48" i="13"/>
  <c r="G51" i="13"/>
  <c r="G53" i="13"/>
  <c r="C61" i="5"/>
  <c r="C62" i="5" s="1"/>
  <c r="E48" i="13"/>
  <c r="E53" i="13"/>
  <c r="E51" i="13"/>
  <c r="E8" i="16"/>
  <c r="F8" i="16"/>
  <c r="H51" i="13"/>
  <c r="H48" i="13"/>
  <c r="H53" i="13"/>
  <c r="E25" i="17"/>
  <c r="E26" i="17" s="1"/>
  <c r="E21" i="17"/>
  <c r="F48" i="13"/>
  <c r="F53" i="13"/>
  <c r="F51" i="13"/>
  <c r="C99" i="2"/>
  <c r="B117" i="17" s="1"/>
  <c r="F25" i="17"/>
  <c r="F21" i="17"/>
  <c r="D25" i="17"/>
  <c r="D26" i="17" s="1"/>
  <c r="D21" i="17"/>
  <c r="F70" i="2"/>
  <c r="F80" i="2" s="1"/>
  <c r="C25" i="17"/>
  <c r="C21" i="17"/>
  <c r="B25" i="17"/>
  <c r="E61" i="5"/>
  <c r="E62" i="5" s="1"/>
  <c r="D103" i="5" s="1"/>
  <c r="I114" i="17"/>
  <c r="J114" i="17" s="1"/>
  <c r="K114" i="17" s="1"/>
  <c r="G61" i="5"/>
  <c r="G62" i="5" s="1"/>
  <c r="D61" i="5"/>
  <c r="D62" i="5" s="1"/>
  <c r="C103" i="5" s="1"/>
  <c r="F61" i="5"/>
  <c r="F62" i="5" s="1"/>
  <c r="F56" i="5"/>
  <c r="F59" i="5" s="1"/>
  <c r="D101" i="2"/>
  <c r="D114" i="2" s="1"/>
  <c r="E46" i="13"/>
  <c r="E5" i="13"/>
  <c r="E28" i="8"/>
  <c r="E59" i="5"/>
  <c r="E101" i="2"/>
  <c r="E114" i="2" s="1"/>
  <c r="F46" i="13"/>
  <c r="F5" i="13"/>
  <c r="D59" i="5"/>
  <c r="D95" i="5"/>
  <c r="G70" i="2"/>
  <c r="G80" i="2" s="1"/>
  <c r="H13" i="13" s="1"/>
  <c r="G52" i="5"/>
  <c r="G56" i="5" s="1"/>
  <c r="G59" i="5" s="1"/>
  <c r="G63" i="5" s="1"/>
  <c r="G65" i="5" s="1"/>
  <c r="G68" i="5" s="1"/>
  <c r="G71" i="5" s="1"/>
  <c r="F109" i="5" s="1"/>
  <c r="F42" i="2"/>
  <c r="G29" i="8"/>
  <c r="C70" i="2"/>
  <c r="C80" i="2" s="1"/>
  <c r="C52" i="5"/>
  <c r="C56" i="5" s="1"/>
  <c r="C59" i="5" s="1"/>
  <c r="C63" i="5" s="1"/>
  <c r="C65" i="5" s="1"/>
  <c r="C68" i="5" s="1"/>
  <c r="C71" i="5" s="1"/>
  <c r="C94" i="5"/>
  <c r="C95" i="5"/>
  <c r="E42" i="2"/>
  <c r="F29" i="8"/>
  <c r="D42" i="2"/>
  <c r="E29" i="8"/>
  <c r="G99" i="2"/>
  <c r="F117" i="17" s="1"/>
  <c r="F118" i="17" s="1"/>
  <c r="F99" i="2"/>
  <c r="E117" i="17" s="1"/>
  <c r="E118" i="17" s="1"/>
  <c r="F16" i="8"/>
  <c r="E16" i="8"/>
  <c r="G16" i="8"/>
  <c r="G42" i="2"/>
  <c r="D135" i="19" s="1"/>
  <c r="D16" i="8"/>
  <c r="C44" i="2"/>
  <c r="D29" i="8"/>
  <c r="F101" i="2" l="1"/>
  <c r="F114" i="2" s="1"/>
  <c r="G13" i="13"/>
  <c r="G11" i="13"/>
  <c r="D9" i="13"/>
  <c r="D15" i="13" s="1"/>
  <c r="D11" i="13"/>
  <c r="D13" i="13"/>
  <c r="D5" i="13"/>
  <c r="F10" i="19"/>
  <c r="F15" i="19"/>
  <c r="X173" i="17"/>
  <c r="Y173" i="17"/>
  <c r="W176" i="17"/>
  <c r="W173" i="17"/>
  <c r="D15" i="19"/>
  <c r="D10" i="19"/>
  <c r="C241" i="17"/>
  <c r="V241" i="17" s="1"/>
  <c r="V175" i="17"/>
  <c r="V176" i="17" s="1"/>
  <c r="D241" i="17"/>
  <c r="W241" i="17" s="1"/>
  <c r="W175" i="17"/>
  <c r="E15" i="19"/>
  <c r="E10" i="19"/>
  <c r="B175" i="17"/>
  <c r="U175" i="17" s="1"/>
  <c r="U176" i="17" s="1"/>
  <c r="E175" i="17"/>
  <c r="F175" i="17"/>
  <c r="I58" i="17"/>
  <c r="H171" i="17"/>
  <c r="E101" i="17"/>
  <c r="C101" i="17"/>
  <c r="C102" i="17" s="1"/>
  <c r="E7" i="8"/>
  <c r="D101" i="17"/>
  <c r="B26" i="17"/>
  <c r="D40" i="16"/>
  <c r="D43" i="16" s="1"/>
  <c r="J6" i="16"/>
  <c r="J7" i="16" s="1"/>
  <c r="G5" i="13"/>
  <c r="C26" i="17"/>
  <c r="F101" i="17"/>
  <c r="G46" i="13"/>
  <c r="G25" i="17"/>
  <c r="F26" i="17"/>
  <c r="G26" i="17" s="1"/>
  <c r="H26" i="17" s="1"/>
  <c r="I26" i="17" s="1"/>
  <c r="J26" i="17" s="1"/>
  <c r="B101" i="17"/>
  <c r="B102" i="17" s="1"/>
  <c r="D49" i="13"/>
  <c r="D63" i="5"/>
  <c r="C82" i="5" s="1"/>
  <c r="C105" i="5" s="1"/>
  <c r="E63" i="5"/>
  <c r="E65" i="5" s="1"/>
  <c r="E68" i="5" s="1"/>
  <c r="E71" i="5" s="1"/>
  <c r="D109" i="5" s="1"/>
  <c r="F63" i="5"/>
  <c r="F65" i="5" s="1"/>
  <c r="F68" i="5" s="1"/>
  <c r="F71" i="5" s="1"/>
  <c r="E80" i="5"/>
  <c r="E34" i="8"/>
  <c r="D34" i="8"/>
  <c r="D80" i="5"/>
  <c r="D123" i="2"/>
  <c r="C123" i="2"/>
  <c r="G101" i="2"/>
  <c r="G114" i="2" s="1"/>
  <c r="H46" i="13"/>
  <c r="H5" i="13"/>
  <c r="F28" i="8"/>
  <c r="E123" i="2"/>
  <c r="D7" i="8"/>
  <c r="D8" i="8" s="1"/>
  <c r="C101" i="2"/>
  <c r="C114" i="2" s="1"/>
  <c r="D46" i="13"/>
  <c r="E44" i="2"/>
  <c r="F49" i="13" s="1"/>
  <c r="G28" i="8"/>
  <c r="G44" i="2"/>
  <c r="H49" i="13" s="1"/>
  <c r="D44" i="2"/>
  <c r="E49" i="13" s="1"/>
  <c r="F44" i="2"/>
  <c r="G49" i="13" s="1"/>
  <c r="F34" i="8"/>
  <c r="C80" i="5"/>
  <c r="F80" i="5"/>
  <c r="D65" i="5"/>
  <c r="D68" i="5" s="1"/>
  <c r="D71" i="5" s="1"/>
  <c r="C109" i="5" s="1"/>
  <c r="E8" i="8"/>
  <c r="E30" i="8"/>
  <c r="E103" i="5"/>
  <c r="F103" i="5"/>
  <c r="F7" i="8"/>
  <c r="D20" i="2"/>
  <c r="E20" i="2"/>
  <c r="F20" i="2"/>
  <c r="G20" i="2"/>
  <c r="C20" i="2"/>
  <c r="G52" i="1"/>
  <c r="H52" i="1"/>
  <c r="I52" i="1"/>
  <c r="J52" i="1"/>
  <c r="F52" i="1"/>
  <c r="D30" i="8" l="1"/>
  <c r="G34" i="8"/>
  <c r="G10" i="19"/>
  <c r="G15" i="19"/>
  <c r="C10" i="19"/>
  <c r="C15" i="19"/>
  <c r="K26" i="17"/>
  <c r="F241" i="17"/>
  <c r="Y241" i="17" s="1"/>
  <c r="Y175" i="17"/>
  <c r="Y176" i="17" s="1"/>
  <c r="E241" i="17"/>
  <c r="X241" i="17" s="1"/>
  <c r="X175" i="17"/>
  <c r="X176" i="17" s="1"/>
  <c r="J58" i="17"/>
  <c r="I171" i="17"/>
  <c r="C103" i="17"/>
  <c r="G10" i="17"/>
  <c r="H25" i="17"/>
  <c r="B103" i="17"/>
  <c r="D102" i="17"/>
  <c r="D103" i="17"/>
  <c r="D82" i="5"/>
  <c r="D105" i="5" s="1"/>
  <c r="F102" i="17"/>
  <c r="F103" i="17"/>
  <c r="G103" i="17" s="1"/>
  <c r="H103" i="17" s="1"/>
  <c r="I103" i="17" s="1"/>
  <c r="J103" i="17" s="1"/>
  <c r="E102" i="17"/>
  <c r="G102" i="17" s="1"/>
  <c r="E103" i="17"/>
  <c r="G7" i="8"/>
  <c r="F123" i="2"/>
  <c r="F124" i="2" s="1"/>
  <c r="E146" i="2"/>
  <c r="E124" i="2"/>
  <c r="C144" i="2"/>
  <c r="C146" i="2"/>
  <c r="C124" i="2"/>
  <c r="D146" i="2"/>
  <c r="D124" i="2"/>
  <c r="D144" i="2"/>
  <c r="C83" i="5"/>
  <c r="C100" i="5" s="1"/>
  <c r="C106" i="5" s="1"/>
  <c r="C110" i="5" s="1"/>
  <c r="C116" i="5" s="1"/>
  <c r="D83" i="5"/>
  <c r="D100" i="5" s="1"/>
  <c r="D106" i="5" s="1"/>
  <c r="D110" i="5" s="1"/>
  <c r="D116" i="5" s="1"/>
  <c r="E82" i="5"/>
  <c r="E109" i="5"/>
  <c r="G8" i="8"/>
  <c r="G30" i="8"/>
  <c r="F8" i="8"/>
  <c r="F30" i="8"/>
  <c r="G158" i="17" l="1"/>
  <c r="G64" i="17"/>
  <c r="H102" i="17"/>
  <c r="I102" i="17" s="1"/>
  <c r="J102" i="17" s="1"/>
  <c r="K102" i="17" s="1"/>
  <c r="K58" i="17"/>
  <c r="K171" i="17" s="1"/>
  <c r="J171" i="17"/>
  <c r="G15" i="17"/>
  <c r="G162" i="17" s="1"/>
  <c r="G11" i="17"/>
  <c r="G159" i="17" s="1"/>
  <c r="G16" i="17"/>
  <c r="G163" i="17" s="1"/>
  <c r="G18" i="17"/>
  <c r="G165" i="17" s="1"/>
  <c r="I25" i="17"/>
  <c r="H10" i="17"/>
  <c r="H158" i="17" s="1"/>
  <c r="H101" i="17"/>
  <c r="G101" i="17"/>
  <c r="F144" i="2"/>
  <c r="F139" i="2" s="1"/>
  <c r="F146" i="2"/>
  <c r="F137" i="2" s="1"/>
  <c r="F132" i="2" s="1"/>
  <c r="C139" i="2"/>
  <c r="E144" i="2"/>
  <c r="C137" i="2"/>
  <c r="D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E137" i="2" l="1"/>
  <c r="E132" i="2" s="1"/>
  <c r="H15" i="17"/>
  <c r="H162" i="17" s="1"/>
  <c r="H11" i="17"/>
  <c r="H159" i="17" s="1"/>
  <c r="H16" i="17"/>
  <c r="H163" i="17" s="1"/>
  <c r="H18" i="17"/>
  <c r="H165" i="17" s="1"/>
  <c r="E139" i="2"/>
  <c r="G99" i="17"/>
  <c r="G117" i="17" s="1"/>
  <c r="H64" i="17"/>
  <c r="G65" i="17"/>
  <c r="G63" i="17"/>
  <c r="I101" i="17"/>
  <c r="J25" i="17"/>
  <c r="I10" i="17"/>
  <c r="I158" i="17" s="1"/>
  <c r="H99" i="17"/>
  <c r="H209" i="17" s="1"/>
  <c r="D132" i="2"/>
  <c r="D139" i="2"/>
  <c r="C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G209" i="17" l="1"/>
  <c r="G118" i="17"/>
  <c r="H242" i="17"/>
  <c r="G242" i="17"/>
  <c r="I15" i="17"/>
  <c r="I162" i="17" s="1"/>
  <c r="I11" i="17"/>
  <c r="I159" i="17" s="1"/>
  <c r="I16" i="17"/>
  <c r="I163" i="17" s="1"/>
  <c r="I18" i="17"/>
  <c r="H92" i="17"/>
  <c r="H106" i="17"/>
  <c r="U94" i="17" s="1"/>
  <c r="V122" i="17" s="1"/>
  <c r="H96" i="17"/>
  <c r="H97" i="17" s="1"/>
  <c r="H111" i="17" s="1"/>
  <c r="I64" i="17"/>
  <c r="G92" i="17"/>
  <c r="G96" i="17"/>
  <c r="G97" i="17" s="1"/>
  <c r="G111" i="17" s="1"/>
  <c r="G106" i="17"/>
  <c r="T94" i="17" s="1"/>
  <c r="U122" i="17" s="1"/>
  <c r="U119" i="17" s="1"/>
  <c r="J10" i="17"/>
  <c r="J158" i="17" s="1"/>
  <c r="J101" i="17"/>
  <c r="K25" i="17"/>
  <c r="K10" i="17" s="1"/>
  <c r="H63" i="17"/>
  <c r="H65" i="17"/>
  <c r="I99" i="17"/>
  <c r="T58" i="3"/>
  <c r="I39" i="3"/>
  <c r="G61" i="3"/>
  <c r="G71" i="3" s="1"/>
  <c r="G74" i="3" s="1"/>
  <c r="F61" i="3"/>
  <c r="F71" i="3" s="1"/>
  <c r="F74" i="3" s="1"/>
  <c r="T27" i="3"/>
  <c r="H39" i="3"/>
  <c r="T36" i="3"/>
  <c r="H117" i="17" l="1"/>
  <c r="H118" i="17"/>
  <c r="I118" i="17" s="1"/>
  <c r="J118" i="17" s="1"/>
  <c r="K118" i="17" s="1"/>
  <c r="I209" i="17"/>
  <c r="I242" i="17" s="1"/>
  <c r="I117" i="17"/>
  <c r="I165" i="17"/>
  <c r="J11" i="17"/>
  <c r="J159" i="17" s="1"/>
  <c r="J15" i="17"/>
  <c r="J162" i="17" s="1"/>
  <c r="J16" i="17"/>
  <c r="J163" i="17" s="1"/>
  <c r="J18" i="17"/>
  <c r="J165" i="17" s="1"/>
  <c r="H12" i="17"/>
  <c r="H19" i="17" s="1"/>
  <c r="H21" i="17" s="1"/>
  <c r="G12" i="17"/>
  <c r="G19" i="17" s="1"/>
  <c r="V119" i="17"/>
  <c r="H110" i="17" s="1"/>
  <c r="H112" i="17" s="1"/>
  <c r="H113" i="17" s="1"/>
  <c r="H175" i="17" s="1"/>
  <c r="I12" i="17"/>
  <c r="I19" i="17" s="1"/>
  <c r="I17" i="17" s="1"/>
  <c r="J99" i="17"/>
  <c r="I96" i="17"/>
  <c r="I97" i="17" s="1"/>
  <c r="I111" i="17" s="1"/>
  <c r="I106" i="17"/>
  <c r="V94" i="17" s="1"/>
  <c r="W122" i="17" s="1"/>
  <c r="W119" i="17" s="1"/>
  <c r="I110" i="17" s="1"/>
  <c r="I92" i="17"/>
  <c r="J64" i="17"/>
  <c r="K101" i="17"/>
  <c r="K158" i="17"/>
  <c r="I65" i="17"/>
  <c r="I63" i="17"/>
  <c r="I61" i="3"/>
  <c r="I71" i="3" s="1"/>
  <c r="I74" i="3" s="1"/>
  <c r="I77" i="3" s="1"/>
  <c r="I92" i="3" s="1"/>
  <c r="I93" i="3" s="1"/>
  <c r="T38" i="3"/>
  <c r="H61" i="3"/>
  <c r="J209" i="17" l="1"/>
  <c r="J242" i="17" s="1"/>
  <c r="J117" i="17"/>
  <c r="I112" i="17"/>
  <c r="I113" i="17" s="1"/>
  <c r="I175" i="17" s="1"/>
  <c r="G110" i="17"/>
  <c r="G112" i="17" s="1"/>
  <c r="G113" i="17" s="1"/>
  <c r="G175" i="17" s="1"/>
  <c r="I164" i="17"/>
  <c r="H241" i="17"/>
  <c r="I241" i="17"/>
  <c r="K11" i="17"/>
  <c r="K15" i="17"/>
  <c r="K162" i="17" s="1"/>
  <c r="K16" i="17"/>
  <c r="K18" i="17"/>
  <c r="K165" i="17" s="1"/>
  <c r="H17" i="17"/>
  <c r="G17" i="17"/>
  <c r="G21" i="17"/>
  <c r="X37" i="17"/>
  <c r="X38" i="17" s="1"/>
  <c r="I21" i="17"/>
  <c r="J12" i="17"/>
  <c r="J19" i="17" s="1"/>
  <c r="J17" i="17" s="1"/>
  <c r="J63" i="17"/>
  <c r="J65" i="17"/>
  <c r="J92" i="17"/>
  <c r="J96" i="17"/>
  <c r="J97" i="17" s="1"/>
  <c r="J111" i="17" s="1"/>
  <c r="J106" i="17"/>
  <c r="W94" i="17" s="1"/>
  <c r="X122" i="17" s="1"/>
  <c r="X119" i="17" s="1"/>
  <c r="J110" i="17" s="1"/>
  <c r="K64" i="17"/>
  <c r="K99" i="17"/>
  <c r="T60" i="3"/>
  <c r="H71" i="3"/>
  <c r="K209" i="17" l="1"/>
  <c r="K242" i="17" s="1"/>
  <c r="K117" i="17"/>
  <c r="G241" i="17"/>
  <c r="G164" i="17"/>
  <c r="H164" i="17"/>
  <c r="K159" i="17"/>
  <c r="K163" i="17"/>
  <c r="J164" i="17"/>
  <c r="J112" i="17"/>
  <c r="J113" i="17" s="1"/>
  <c r="J175" i="17" s="1"/>
  <c r="J21" i="17"/>
  <c r="K12" i="17"/>
  <c r="K19" i="17" s="1"/>
  <c r="K63" i="17"/>
  <c r="K65" i="17"/>
  <c r="K106" i="17"/>
  <c r="X94" i="17" s="1"/>
  <c r="Y122" i="17" s="1"/>
  <c r="Y119" i="17" s="1"/>
  <c r="K92" i="17"/>
  <c r="K96" i="17"/>
  <c r="K97" i="17" s="1"/>
  <c r="K111" i="17" s="1"/>
  <c r="H74" i="3"/>
  <c r="T70" i="3"/>
  <c r="K17" i="17" l="1"/>
  <c r="K21" i="17"/>
  <c r="K110" i="17"/>
  <c r="K112" i="17" s="1"/>
  <c r="K113" i="17" s="1"/>
  <c r="K175" i="17" s="1"/>
  <c r="K164" i="17"/>
  <c r="H77" i="3"/>
  <c r="T73" i="3"/>
  <c r="J241" i="17" l="1"/>
  <c r="K241" i="17"/>
  <c r="H92" i="3"/>
  <c r="H93" i="3" s="1"/>
  <c r="T76" i="3"/>
  <c r="F175" i="1" l="1"/>
  <c r="F168" i="1"/>
  <c r="F143" i="1"/>
  <c r="F136" i="1"/>
  <c r="F132" i="1"/>
  <c r="F125" i="1"/>
  <c r="F121" i="1"/>
  <c r="F110" i="1"/>
  <c r="F87" i="1"/>
  <c r="F82" i="1"/>
  <c r="R68" i="1"/>
  <c r="Q68" i="1"/>
  <c r="P68" i="1"/>
  <c r="F62" i="1"/>
  <c r="F57" i="1"/>
  <c r="F42" i="1"/>
  <c r="C18" i="2" s="1"/>
  <c r="F29" i="1"/>
  <c r="C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F18" i="2" s="1"/>
  <c r="H42" i="1"/>
  <c r="E18" i="2" s="1"/>
  <c r="G42" i="1"/>
  <c r="D18" i="2" s="1"/>
  <c r="R37" i="1"/>
  <c r="Q37" i="1"/>
  <c r="P37" i="1"/>
  <c r="R36" i="1"/>
  <c r="P36" i="1"/>
  <c r="S34" i="1"/>
  <c r="R34" i="1"/>
  <c r="Q34" i="1"/>
  <c r="P34" i="1"/>
  <c r="T33" i="1"/>
  <c r="T39" i="1" s="1"/>
  <c r="S32" i="1"/>
  <c r="R32" i="1"/>
  <c r="Q32" i="1"/>
  <c r="P32" i="1"/>
  <c r="S31" i="1"/>
  <c r="R31" i="1"/>
  <c r="Q31" i="1"/>
  <c r="P31" i="1"/>
  <c r="J29" i="1"/>
  <c r="I29" i="1"/>
  <c r="F6" i="2" s="1"/>
  <c r="H29" i="1"/>
  <c r="E6" i="2" s="1"/>
  <c r="G29" i="1"/>
  <c r="D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F5" i="2" s="1"/>
  <c r="H18" i="1"/>
  <c r="E5" i="2" s="1"/>
  <c r="G18" i="1"/>
  <c r="D5" i="2" s="1"/>
  <c r="R17" i="1"/>
  <c r="Q17" i="1"/>
  <c r="P17" i="1"/>
  <c r="R16" i="1"/>
  <c r="Q16" i="1"/>
  <c r="P16" i="1"/>
  <c r="R15" i="1"/>
  <c r="Q15" i="1"/>
  <c r="P15" i="1"/>
  <c r="R14" i="1"/>
  <c r="Q14" i="1"/>
  <c r="P14" i="1"/>
  <c r="R13" i="1"/>
  <c r="Q13" i="1"/>
  <c r="P13" i="1"/>
  <c r="R12" i="1"/>
  <c r="Q12" i="1"/>
  <c r="P12" i="1"/>
  <c r="R11" i="1"/>
  <c r="Q11" i="1"/>
  <c r="P11" i="1"/>
  <c r="R10" i="1"/>
  <c r="Q10" i="1"/>
  <c r="P10" i="1"/>
  <c r="R9" i="1"/>
  <c r="Q9" i="1"/>
  <c r="P9" i="1"/>
  <c r="C32" i="17" l="1"/>
  <c r="C52" i="17" s="1"/>
  <c r="C189" i="17" s="1"/>
  <c r="V189" i="17" s="1"/>
  <c r="D32" i="17"/>
  <c r="D52" i="17" s="1"/>
  <c r="D189" i="17" s="1"/>
  <c r="W189" i="17" s="1"/>
  <c r="E32" i="17"/>
  <c r="E52" i="17" s="1"/>
  <c r="E189" i="17" s="1"/>
  <c r="X189" i="17" s="1"/>
  <c r="D30" i="17"/>
  <c r="D31" i="17"/>
  <c r="E30" i="17"/>
  <c r="E31" i="17"/>
  <c r="C31" i="17"/>
  <c r="C30" i="17"/>
  <c r="B32" i="17"/>
  <c r="B52" i="17" s="1"/>
  <c r="B189" i="17" s="1"/>
  <c r="U189" i="17" s="1"/>
  <c r="C17" i="2"/>
  <c r="F19" i="8"/>
  <c r="E19" i="8"/>
  <c r="E8" i="2"/>
  <c r="F8" i="2"/>
  <c r="D8" i="2"/>
  <c r="F17" i="2"/>
  <c r="S55" i="1"/>
  <c r="F16" i="2"/>
  <c r="S80" i="1"/>
  <c r="G17" i="2"/>
  <c r="S165" i="1"/>
  <c r="F177" i="1"/>
  <c r="D25" i="13" s="1"/>
  <c r="E16" i="2"/>
  <c r="S50" i="1"/>
  <c r="S29" i="1"/>
  <c r="G6" i="2"/>
  <c r="S75" i="1"/>
  <c r="G16" i="2"/>
  <c r="D17" i="2"/>
  <c r="S122" i="1"/>
  <c r="S158" i="1"/>
  <c r="C5" i="2"/>
  <c r="F91" i="1"/>
  <c r="C16" i="2"/>
  <c r="C15" i="2" s="1"/>
  <c r="S38" i="1"/>
  <c r="G18" i="2"/>
  <c r="S126" i="1"/>
  <c r="S18" i="1"/>
  <c r="G5" i="2"/>
  <c r="D16" i="2"/>
  <c r="E17" i="2"/>
  <c r="S115" i="1"/>
  <c r="S111" i="1"/>
  <c r="J112" i="1"/>
  <c r="I112" i="1"/>
  <c r="G9" i="13" s="1"/>
  <c r="G15" i="13" s="1"/>
  <c r="F112" i="1"/>
  <c r="G112" i="1"/>
  <c r="E9" i="13" s="1"/>
  <c r="E15" i="13" s="1"/>
  <c r="F137" i="1"/>
  <c r="H112" i="1"/>
  <c r="F9" i="13" s="1"/>
  <c r="F15" i="13" s="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B198" i="17" l="1"/>
  <c r="F32" i="17"/>
  <c r="F52" i="17" s="1"/>
  <c r="F55" i="17" s="1"/>
  <c r="D19" i="8"/>
  <c r="B30" i="17"/>
  <c r="B31" i="17"/>
  <c r="C55" i="17"/>
  <c r="C56" i="17"/>
  <c r="F56" i="17"/>
  <c r="F31" i="17"/>
  <c r="F30" i="17"/>
  <c r="E55" i="17"/>
  <c r="E56" i="17"/>
  <c r="D41" i="17"/>
  <c r="D188" i="17" s="1"/>
  <c r="D33" i="17"/>
  <c r="D34" i="17" s="1"/>
  <c r="C41" i="17"/>
  <c r="C188" i="17" s="1"/>
  <c r="C33" i="17"/>
  <c r="C34" i="17" s="1"/>
  <c r="B66" i="17"/>
  <c r="E6" i="16"/>
  <c r="H9" i="13"/>
  <c r="H15" i="13" s="1"/>
  <c r="E41" i="17"/>
  <c r="E188" i="17" s="1"/>
  <c r="E33" i="17"/>
  <c r="D55" i="17"/>
  <c r="D56" i="17"/>
  <c r="D23" i="13"/>
  <c r="D22" i="13"/>
  <c r="D26" i="13"/>
  <c r="F26" i="13"/>
  <c r="F22" i="13"/>
  <c r="F23" i="13"/>
  <c r="E17" i="13"/>
  <c r="E19" i="13"/>
  <c r="F17" i="13"/>
  <c r="F19" i="13"/>
  <c r="D19" i="13"/>
  <c r="G19" i="13"/>
  <c r="G17" i="13"/>
  <c r="H26" i="13"/>
  <c r="H22" i="13"/>
  <c r="H23" i="13"/>
  <c r="S102" i="1"/>
  <c r="H17" i="13"/>
  <c r="H25" i="13"/>
  <c r="F44" i="11"/>
  <c r="E55" i="13"/>
  <c r="G44" i="11"/>
  <c r="F55" i="13"/>
  <c r="H44" i="11"/>
  <c r="G55" i="13"/>
  <c r="F179" i="1"/>
  <c r="F183" i="1" s="1"/>
  <c r="G19" i="8"/>
  <c r="C26" i="2"/>
  <c r="B76" i="17" s="1"/>
  <c r="F15" i="2"/>
  <c r="G8" i="2"/>
  <c r="E71" i="11" s="1"/>
  <c r="G15" i="2"/>
  <c r="F198" i="17" s="1"/>
  <c r="C8" i="2"/>
  <c r="E15" i="2"/>
  <c r="D15" i="2"/>
  <c r="Q102" i="1"/>
  <c r="P50" i="1"/>
  <c r="R102" i="1"/>
  <c r="P102" i="1"/>
  <c r="T174" i="1"/>
  <c r="Q127" i="1"/>
  <c r="I179" i="1"/>
  <c r="I183" i="1" s="1"/>
  <c r="R167" i="1"/>
  <c r="Q167" i="1"/>
  <c r="H179" i="1"/>
  <c r="P127" i="1"/>
  <c r="S83" i="1"/>
  <c r="I57" i="1"/>
  <c r="R48" i="1"/>
  <c r="Q48" i="1"/>
  <c r="R127" i="1"/>
  <c r="G179" i="1"/>
  <c r="P167" i="1"/>
  <c r="J179" i="1"/>
  <c r="G91" i="1"/>
  <c r="Y198" i="17" l="1"/>
  <c r="Y200" i="17" s="1"/>
  <c r="Y205" i="17" s="1"/>
  <c r="F200" i="17"/>
  <c r="E233" i="17"/>
  <c r="X233" i="17" s="1"/>
  <c r="D191" i="17"/>
  <c r="W188" i="17"/>
  <c r="E191" i="17"/>
  <c r="X188" i="17"/>
  <c r="D198" i="17"/>
  <c r="E229" i="17"/>
  <c r="E198" i="17"/>
  <c r="F229" i="17"/>
  <c r="C191" i="17"/>
  <c r="V188" i="17"/>
  <c r="U198" i="17"/>
  <c r="U200" i="17" s="1"/>
  <c r="U205" i="17" s="1"/>
  <c r="B200" i="17"/>
  <c r="C198" i="17"/>
  <c r="D229" i="17"/>
  <c r="C229" i="17"/>
  <c r="D233" i="17"/>
  <c r="W233" i="17" s="1"/>
  <c r="G48" i="17"/>
  <c r="F189" i="17"/>
  <c r="Y189" i="17" s="1"/>
  <c r="G26" i="2"/>
  <c r="F76" i="17" s="1"/>
  <c r="F66" i="17"/>
  <c r="E34" i="17"/>
  <c r="F45" i="17"/>
  <c r="E44" i="17"/>
  <c r="E45" i="17"/>
  <c r="F26" i="2"/>
  <c r="E76" i="17" s="1"/>
  <c r="E66" i="17"/>
  <c r="B41" i="17"/>
  <c r="B188" i="17" s="1"/>
  <c r="B33" i="17"/>
  <c r="B34" i="17" s="1"/>
  <c r="D45" i="17"/>
  <c r="D44" i="17"/>
  <c r="B78" i="17"/>
  <c r="I6" i="16"/>
  <c r="C40" i="16"/>
  <c r="C43" i="16" s="1"/>
  <c r="I7" i="16"/>
  <c r="B70" i="17"/>
  <c r="D26" i="2"/>
  <c r="C76" i="17" s="1"/>
  <c r="C80" i="17" s="1"/>
  <c r="C66" i="17"/>
  <c r="F33" i="17"/>
  <c r="F34" i="17" s="1"/>
  <c r="F41" i="17"/>
  <c r="G50" i="17"/>
  <c r="G53" i="17" s="1"/>
  <c r="G56" i="17" s="1"/>
  <c r="E26" i="2"/>
  <c r="D76" i="17" s="1"/>
  <c r="D66" i="17"/>
  <c r="E26" i="13"/>
  <c r="E22" i="13"/>
  <c r="E23" i="13"/>
  <c r="G47" i="11"/>
  <c r="G58" i="11"/>
  <c r="G46" i="11"/>
  <c r="I44" i="11"/>
  <c r="H55" i="13"/>
  <c r="G57" i="13" s="1"/>
  <c r="H58" i="11"/>
  <c r="H46" i="11"/>
  <c r="H47" i="11"/>
  <c r="F47" i="11"/>
  <c r="F58" i="11"/>
  <c r="F46" i="11"/>
  <c r="R169" i="1"/>
  <c r="G31" i="2"/>
  <c r="G45" i="2" s="1"/>
  <c r="C31" i="2"/>
  <c r="C45" i="2" s="1"/>
  <c r="F15" i="8"/>
  <c r="F17" i="8" s="1"/>
  <c r="F25" i="8" s="1"/>
  <c r="E15" i="8"/>
  <c r="E17" i="8" s="1"/>
  <c r="E25" i="8" s="1"/>
  <c r="G15" i="8"/>
  <c r="G17" i="8" s="1"/>
  <c r="D15" i="8"/>
  <c r="D17" i="8" s="1"/>
  <c r="D25" i="8" s="1"/>
  <c r="Q169" i="1"/>
  <c r="H183" i="1"/>
  <c r="R50" i="1"/>
  <c r="I91" i="1"/>
  <c r="Q50" i="1"/>
  <c r="G183" i="1"/>
  <c r="P169" i="1"/>
  <c r="P83" i="1"/>
  <c r="J183" i="1"/>
  <c r="S169" i="1"/>
  <c r="C233" i="17" l="1"/>
  <c r="V233" i="17" s="1"/>
  <c r="U188" i="17"/>
  <c r="B191" i="17"/>
  <c r="B205" i="17" s="1"/>
  <c r="Y229" i="17"/>
  <c r="Y231" i="17" s="1"/>
  <c r="F231" i="17"/>
  <c r="V198" i="17"/>
  <c r="V200" i="17" s="1"/>
  <c r="V205" i="17" s="1"/>
  <c r="C200" i="17"/>
  <c r="C205" i="17" s="1"/>
  <c r="V229" i="17"/>
  <c r="V231" i="17" s="1"/>
  <c r="C231" i="17"/>
  <c r="X198" i="17"/>
  <c r="X200" i="17" s="1"/>
  <c r="X205" i="17" s="1"/>
  <c r="E200" i="17"/>
  <c r="E205" i="17" s="1"/>
  <c r="W198" i="17"/>
  <c r="W200" i="17" s="1"/>
  <c r="W205" i="17" s="1"/>
  <c r="D200" i="17"/>
  <c r="D205" i="17" s="1"/>
  <c r="W229" i="17"/>
  <c r="W231" i="17" s="1"/>
  <c r="D231" i="17"/>
  <c r="X229" i="17"/>
  <c r="X231" i="17" s="1"/>
  <c r="E231" i="17"/>
  <c r="F44" i="17"/>
  <c r="F188" i="17"/>
  <c r="T42" i="17"/>
  <c r="T43" i="17" s="1"/>
  <c r="C45" i="17"/>
  <c r="C44" i="17"/>
  <c r="E72" i="17"/>
  <c r="D70" i="17"/>
  <c r="F72" i="17"/>
  <c r="E70" i="17"/>
  <c r="D72" i="17"/>
  <c r="C70" i="17"/>
  <c r="E80" i="17"/>
  <c r="D78" i="17"/>
  <c r="F80" i="17"/>
  <c r="E78" i="17"/>
  <c r="C62" i="16"/>
  <c r="G62" i="16"/>
  <c r="D80" i="17"/>
  <c r="C78" i="17"/>
  <c r="F70" i="17"/>
  <c r="G37" i="17"/>
  <c r="G39" i="17" s="1"/>
  <c r="C72" i="17"/>
  <c r="F78" i="17"/>
  <c r="G78" i="17" s="1"/>
  <c r="H78" i="17" s="1"/>
  <c r="I78" i="17" s="1"/>
  <c r="J78" i="17" s="1"/>
  <c r="G26" i="13"/>
  <c r="G22" i="13"/>
  <c r="G23" i="13"/>
  <c r="I58" i="11"/>
  <c r="I46" i="11"/>
  <c r="H19" i="11" s="1"/>
  <c r="I47" i="11"/>
  <c r="G25" i="8"/>
  <c r="G26" i="8" s="1"/>
  <c r="F31" i="2"/>
  <c r="F45" i="2" s="1"/>
  <c r="D31" i="2"/>
  <c r="D45" i="2" s="1"/>
  <c r="E31" i="2"/>
  <c r="E45" i="2" s="1"/>
  <c r="D26" i="8"/>
  <c r="D31" i="8"/>
  <c r="D35" i="8" s="1"/>
  <c r="D41" i="8" s="1"/>
  <c r="E26" i="8"/>
  <c r="E31" i="8"/>
  <c r="E35" i="8" s="1"/>
  <c r="E41" i="8" s="1"/>
  <c r="F26" i="8"/>
  <c r="F31" i="8"/>
  <c r="F35" i="8" s="1"/>
  <c r="F41" i="8" s="1"/>
  <c r="P173" i="1"/>
  <c r="Q173" i="1"/>
  <c r="S173" i="1"/>
  <c r="R173" i="1"/>
  <c r="R83" i="1"/>
  <c r="Q83" i="1"/>
  <c r="F81" i="5"/>
  <c r="F82" i="5"/>
  <c r="K78" i="17" l="1"/>
  <c r="G70" i="17"/>
  <c r="H70" i="17" s="1"/>
  <c r="I70" i="17" s="1"/>
  <c r="J70" i="17" s="1"/>
  <c r="K70" i="17" s="1"/>
  <c r="C55" i="19"/>
  <c r="F191" i="17"/>
  <c r="F205" i="17" s="1"/>
  <c r="Y188" i="17"/>
  <c r="F233" i="17"/>
  <c r="Y233" i="17" s="1"/>
  <c r="J44" i="17"/>
  <c r="G44" i="17"/>
  <c r="X43" i="17"/>
  <c r="I44" i="17"/>
  <c r="K44" i="17"/>
  <c r="H44" i="17"/>
  <c r="X42" i="17"/>
  <c r="I38" i="17" s="1"/>
  <c r="G42" i="17"/>
  <c r="G170" i="17" s="1"/>
  <c r="G234" i="17" s="1"/>
  <c r="J35" i="11"/>
  <c r="J38" i="11" s="1"/>
  <c r="J40" i="11" s="1"/>
  <c r="F83" i="5"/>
  <c r="F100" i="5" s="1"/>
  <c r="G31" i="8"/>
  <c r="G35" i="8" s="1"/>
  <c r="G41" i="8" s="1"/>
  <c r="F105" i="5"/>
  <c r="E115" i="19" l="1"/>
  <c r="H126" i="19"/>
  <c r="H127" i="19"/>
  <c r="H128" i="19" s="1"/>
  <c r="G76" i="17"/>
  <c r="G45" i="17"/>
  <c r="G66" i="17"/>
  <c r="G72" i="17" s="1"/>
  <c r="G49" i="17"/>
  <c r="I49" i="17"/>
  <c r="I55" i="17" s="1"/>
  <c r="H49" i="17"/>
  <c r="H55" i="17" s="1"/>
  <c r="K49" i="17"/>
  <c r="K55" i="17" s="1"/>
  <c r="J49" i="17"/>
  <c r="J55" i="17" s="1"/>
  <c r="K38" i="17"/>
  <c r="G38" i="17"/>
  <c r="J38" i="17"/>
  <c r="H38" i="17"/>
  <c r="H76" i="17"/>
  <c r="H200" i="17" s="1"/>
  <c r="K35" i="11"/>
  <c r="K38" i="11" s="1"/>
  <c r="J42" i="11"/>
  <c r="J58" i="11" s="1"/>
  <c r="J60" i="11" s="1"/>
  <c r="F106" i="5"/>
  <c r="F110" i="5" s="1"/>
  <c r="F116" i="5" s="1"/>
  <c r="I126" i="19" l="1"/>
  <c r="J126" i="19" s="1"/>
  <c r="G80" i="17"/>
  <c r="G200" i="17"/>
  <c r="H80" i="17"/>
  <c r="G55" i="17"/>
  <c r="G52" i="17"/>
  <c r="G189" i="17" s="1"/>
  <c r="H37" i="17"/>
  <c r="H39" i="17" s="1"/>
  <c r="G41" i="17"/>
  <c r="G188" i="17" s="1"/>
  <c r="H66" i="17"/>
  <c r="I76" i="17"/>
  <c r="L35" i="11"/>
  <c r="L38" i="11" s="1"/>
  <c r="J127" i="19" l="1"/>
  <c r="J128" i="19" s="1"/>
  <c r="K127" i="19"/>
  <c r="I127" i="19"/>
  <c r="I128" i="19" s="1"/>
  <c r="L127" i="19"/>
  <c r="H231" i="17"/>
  <c r="G231" i="17"/>
  <c r="I80" i="17"/>
  <c r="I200" i="17"/>
  <c r="G191" i="17"/>
  <c r="G205" i="17" s="1"/>
  <c r="G233" i="17"/>
  <c r="H42" i="17"/>
  <c r="H48" i="17"/>
  <c r="G32" i="17"/>
  <c r="G31" i="17"/>
  <c r="K76" i="17"/>
  <c r="J76" i="17"/>
  <c r="J200" i="17" s="1"/>
  <c r="I66" i="17"/>
  <c r="I72" i="17" s="1"/>
  <c r="H72" i="17"/>
  <c r="M35" i="11"/>
  <c r="M38" i="11" s="1"/>
  <c r="K126" i="19" l="1"/>
  <c r="L126" i="19" s="1"/>
  <c r="K200" i="17"/>
  <c r="K231" i="17" s="1"/>
  <c r="J231" i="17"/>
  <c r="I231" i="17"/>
  <c r="H41" i="17"/>
  <c r="K80" i="17"/>
  <c r="J80" i="17"/>
  <c r="K66" i="17"/>
  <c r="J66" i="17"/>
  <c r="H50" i="17"/>
  <c r="H53" i="17" s="1"/>
  <c r="H56" i="17" s="1"/>
  <c r="I37" i="17"/>
  <c r="I39" i="17" s="1"/>
  <c r="G30" i="17"/>
  <c r="G34" i="17" s="1"/>
  <c r="H45" i="17"/>
  <c r="O35" i="11"/>
  <c r="O38" i="11" s="1"/>
  <c r="N35" i="11"/>
  <c r="N38" i="11" s="1"/>
  <c r="G33" i="17" l="1"/>
  <c r="K128" i="19"/>
  <c r="M126" i="19"/>
  <c r="L128" i="19"/>
  <c r="H188" i="17"/>
  <c r="H170" i="17"/>
  <c r="H234" i="17" s="1"/>
  <c r="H31" i="17"/>
  <c r="K72" i="17"/>
  <c r="I42" i="17"/>
  <c r="J72" i="17"/>
  <c r="H52" i="17"/>
  <c r="H189" i="17" s="1"/>
  <c r="M127" i="19" l="1"/>
  <c r="M128" i="19" s="1"/>
  <c r="D131" i="19"/>
  <c r="N126" i="19"/>
  <c r="N127" i="19" s="1"/>
  <c r="H233" i="17"/>
  <c r="H191" i="17"/>
  <c r="H205" i="17" s="1"/>
  <c r="I48" i="17"/>
  <c r="H32" i="17"/>
  <c r="I41" i="17"/>
  <c r="I188" i="17" s="1"/>
  <c r="I45" i="17"/>
  <c r="H30" i="17" l="1"/>
  <c r="H33" i="17" s="1"/>
  <c r="H34" i="17"/>
  <c r="O126" i="19"/>
  <c r="O127" i="19" s="1"/>
  <c r="N128" i="19"/>
  <c r="I31" i="17"/>
  <c r="J37" i="17"/>
  <c r="J39" i="17" s="1"/>
  <c r="I50" i="17"/>
  <c r="I53" i="17" s="1"/>
  <c r="I170" i="17" s="1"/>
  <c r="I234" i="17" s="1"/>
  <c r="E67" i="11"/>
  <c r="K40" i="11"/>
  <c r="K42" i="11" s="1"/>
  <c r="K58" i="11" s="1"/>
  <c r="K60" i="11" s="1"/>
  <c r="P126" i="19" l="1"/>
  <c r="I56" i="17"/>
  <c r="I52" i="17"/>
  <c r="I189" i="17" s="1"/>
  <c r="J42" i="17"/>
  <c r="L40" i="11"/>
  <c r="P127" i="19" l="1"/>
  <c r="P128" i="19" s="1"/>
  <c r="O128" i="19"/>
  <c r="D132" i="19" s="1"/>
  <c r="I191" i="17"/>
  <c r="I205" i="17" s="1"/>
  <c r="I233" i="17"/>
  <c r="J45" i="17"/>
  <c r="J41" i="17"/>
  <c r="J188" i="17" s="1"/>
  <c r="J48" i="17"/>
  <c r="I32" i="17"/>
  <c r="M40" i="11"/>
  <c r="L42" i="11"/>
  <c r="L58" i="11" s="1"/>
  <c r="L60" i="11" s="1"/>
  <c r="I30" i="17" l="1"/>
  <c r="I33" i="17" s="1"/>
  <c r="I34" i="17"/>
  <c r="D133" i="19"/>
  <c r="D134" i="19" s="1"/>
  <c r="D136" i="19" s="1"/>
  <c r="D138" i="19" s="1"/>
  <c r="J31" i="17"/>
  <c r="K37" i="17"/>
  <c r="K39" i="17" s="1"/>
  <c r="J50" i="17"/>
  <c r="J53" i="17" s="1"/>
  <c r="J170" i="17" s="1"/>
  <c r="J234" i="17" s="1"/>
  <c r="N40" i="11"/>
  <c r="M42" i="11"/>
  <c r="M58" i="11" s="1"/>
  <c r="M60" i="11" s="1"/>
  <c r="J52" i="17" l="1"/>
  <c r="J189" i="17" s="1"/>
  <c r="K42" i="17"/>
  <c r="J56" i="17"/>
  <c r="O40" i="11"/>
  <c r="D65" i="11" s="1"/>
  <c r="D66" i="11" s="1"/>
  <c r="N42" i="11"/>
  <c r="N58" i="11" s="1"/>
  <c r="N60" i="11" s="1"/>
  <c r="J191" i="17" l="1"/>
  <c r="J205" i="17" s="1"/>
  <c r="J233" i="17"/>
  <c r="K41" i="17"/>
  <c r="K45" i="17"/>
  <c r="J32" i="17"/>
  <c r="K48" i="17"/>
  <c r="O42" i="11"/>
  <c r="O58" i="11" s="1"/>
  <c r="E69" i="11"/>
  <c r="E73" i="11" s="1"/>
  <c r="E74" i="11" s="1"/>
  <c r="J30" i="17" l="1"/>
  <c r="J33" i="17" s="1"/>
  <c r="J34" i="17"/>
  <c r="K188" i="17"/>
  <c r="K31" i="17"/>
  <c r="K50" i="17"/>
  <c r="K53" i="17" s="1"/>
  <c r="K170" i="17" s="1"/>
  <c r="K234" i="17" s="1"/>
  <c r="J95" i="11"/>
  <c r="K56" i="17" l="1"/>
  <c r="J98" i="11"/>
  <c r="J102" i="11" s="1"/>
  <c r="J104" i="11" s="1"/>
  <c r="J106" i="11" s="1"/>
  <c r="J122" i="11" s="1"/>
  <c r="J124" i="11" s="1"/>
  <c r="K95" i="11"/>
  <c r="K52" i="17"/>
  <c r="K189" i="17" s="1"/>
  <c r="K233" i="17" s="1"/>
  <c r="K191" i="17" l="1"/>
  <c r="K205" i="17" s="1"/>
  <c r="K32" i="17"/>
  <c r="K30" i="17" s="1"/>
  <c r="K33" i="17" s="1"/>
  <c r="K34" i="17" s="1"/>
  <c r="L95" i="11"/>
  <c r="K98" i="11"/>
  <c r="K102" i="11" s="1"/>
  <c r="K104" i="11" s="1"/>
  <c r="K106" i="11" s="1"/>
  <c r="K122" i="11" s="1"/>
  <c r="K124" i="11" s="1"/>
  <c r="M95" i="11" l="1"/>
  <c r="L98" i="11"/>
  <c r="L102" i="11" s="1"/>
  <c r="L104" i="11" s="1"/>
  <c r="L106" i="11" s="1"/>
  <c r="L122" i="11" s="1"/>
  <c r="L124" i="11" s="1"/>
  <c r="M98" i="11" l="1"/>
  <c r="M102" i="11" s="1"/>
  <c r="M104" i="11" s="1"/>
  <c r="M106" i="11" s="1"/>
  <c r="M122" i="11" s="1"/>
  <c r="M124" i="11" s="1"/>
  <c r="N95" i="11"/>
  <c r="N98" i="11" l="1"/>
  <c r="N102" i="11" s="1"/>
  <c r="N104" i="11" s="1"/>
  <c r="N106" i="11" s="1"/>
  <c r="N122" i="11" s="1"/>
  <c r="N124" i="11" s="1"/>
  <c r="P95" i="11"/>
  <c r="P98" i="11" s="1"/>
  <c r="P102" i="11" s="1"/>
  <c r="P104" i="11" s="1"/>
  <c r="O95" i="11"/>
  <c r="O98" i="11" s="1"/>
  <c r="O102" i="11" s="1"/>
  <c r="O104" i="11" s="1"/>
  <c r="D129" i="11" l="1"/>
  <c r="D130" i="11" s="1"/>
  <c r="E133" i="11" s="1"/>
  <c r="E137" i="11" s="1"/>
  <c r="E138" i="11" s="1"/>
  <c r="O106" i="11"/>
  <c r="O122" i="11" s="1"/>
  <c r="O124" i="11" s="1"/>
  <c r="P106" i="11"/>
  <c r="I129" i="11"/>
  <c r="I130" i="11" s="1"/>
  <c r="J133" i="11" l="1"/>
  <c r="J137" i="11" s="1"/>
  <c r="J138" i="11" s="1"/>
  <c r="B160" i="17" l="1"/>
  <c r="H160" i="17"/>
  <c r="F160" i="17"/>
  <c r="G160" i="17"/>
  <c r="I160" i="17"/>
  <c r="E160" i="17"/>
  <c r="C160" i="17"/>
  <c r="J160" i="17"/>
  <c r="D160" i="17"/>
  <c r="K160" i="17"/>
  <c r="B167" i="17"/>
  <c r="B168" i="17" s="1"/>
  <c r="B172" i="17" l="1"/>
  <c r="B173" i="17" s="1"/>
  <c r="B176" i="17" l="1"/>
  <c r="B179" i="17" s="1"/>
  <c r="G167" i="17"/>
  <c r="G168" i="17" s="1"/>
  <c r="F167" i="17"/>
  <c r="F168" i="17" s="1"/>
  <c r="E167" i="17"/>
  <c r="E172" i="17" s="1"/>
  <c r="C167" i="17"/>
  <c r="C172" i="17" s="1"/>
  <c r="K167" i="17"/>
  <c r="I167" i="17"/>
  <c r="D167" i="17"/>
  <c r="D168" i="17" s="1"/>
  <c r="H167" i="17"/>
  <c r="J167" i="17"/>
  <c r="J168" i="17" s="1"/>
  <c r="E219" i="17" l="1"/>
  <c r="X219" i="17" s="1"/>
  <c r="E173" i="17"/>
  <c r="C219" i="17"/>
  <c r="V219" i="17" s="1"/>
  <c r="C173" i="17"/>
  <c r="K172" i="17"/>
  <c r="K219" i="17" s="1"/>
  <c r="K168" i="17"/>
  <c r="I172" i="17"/>
  <c r="I173" i="17" s="1"/>
  <c r="I168" i="17"/>
  <c r="U179" i="17"/>
  <c r="B181" i="17"/>
  <c r="H172" i="17"/>
  <c r="H176" i="17" s="1"/>
  <c r="H168" i="17"/>
  <c r="K124" i="17"/>
  <c r="K126" i="17" s="1"/>
  <c r="H219" i="17"/>
  <c r="H124" i="17"/>
  <c r="H126" i="17" s="1"/>
  <c r="G172" i="17"/>
  <c r="D172" i="17"/>
  <c r="D173" i="17" s="1"/>
  <c r="C176" i="17"/>
  <c r="K173" i="17"/>
  <c r="K176" i="17"/>
  <c r="E176" i="17"/>
  <c r="F172" i="17"/>
  <c r="F219" i="17" s="1"/>
  <c r="Y219" i="17" s="1"/>
  <c r="C168" i="17"/>
  <c r="E168" i="17"/>
  <c r="J172" i="17"/>
  <c r="H173" i="17" l="1"/>
  <c r="I124" i="17"/>
  <c r="I126" i="17" s="1"/>
  <c r="I176" i="17"/>
  <c r="I219" i="17"/>
  <c r="H120" i="17"/>
  <c r="K120" i="17"/>
  <c r="J219" i="17"/>
  <c r="J124" i="17"/>
  <c r="J126" i="17" s="1"/>
  <c r="G173" i="17"/>
  <c r="G124" i="17"/>
  <c r="G126" i="17" s="1"/>
  <c r="G219" i="17"/>
  <c r="I120" i="17"/>
  <c r="G176" i="17"/>
  <c r="E179" i="17"/>
  <c r="E221" i="17"/>
  <c r="X221" i="17" s="1"/>
  <c r="X222" i="17" s="1"/>
  <c r="X239" i="17" s="1"/>
  <c r="C179" i="17"/>
  <c r="C221" i="17"/>
  <c r="V221" i="17" s="1"/>
  <c r="V222" i="17" s="1"/>
  <c r="V239" i="17" s="1"/>
  <c r="D176" i="17"/>
  <c r="D219" i="17"/>
  <c r="W219" i="17" s="1"/>
  <c r="F176" i="17"/>
  <c r="F173" i="17"/>
  <c r="J176" i="17"/>
  <c r="J173" i="17"/>
  <c r="F109" i="19" l="1"/>
  <c r="E181" i="17"/>
  <c r="E246" i="17" s="1"/>
  <c r="X246" i="17" s="1"/>
  <c r="X179" i="17"/>
  <c r="C181" i="17"/>
  <c r="C246" i="17" s="1"/>
  <c r="V246" i="17" s="1"/>
  <c r="V179" i="17"/>
  <c r="V244" i="17"/>
  <c r="D70" i="19" s="1"/>
  <c r="D109" i="19"/>
  <c r="J120" i="17"/>
  <c r="G120" i="17"/>
  <c r="K130" i="17"/>
  <c r="K122" i="17"/>
  <c r="K128" i="17" s="1"/>
  <c r="I130" i="17"/>
  <c r="I122" i="17"/>
  <c r="I128" i="17" s="1"/>
  <c r="H130" i="17"/>
  <c r="H122" i="17"/>
  <c r="H128" i="17" s="1"/>
  <c r="C222" i="17"/>
  <c r="C239" i="17" s="1"/>
  <c r="C243" i="17"/>
  <c r="V243" i="17" s="1"/>
  <c r="E222" i="17"/>
  <c r="E239" i="17" s="1"/>
  <c r="E243" i="17"/>
  <c r="X243" i="17" s="1"/>
  <c r="X244" i="17" s="1"/>
  <c r="F70" i="19" s="1"/>
  <c r="D179" i="17"/>
  <c r="D221" i="17"/>
  <c r="F179" i="17"/>
  <c r="F221" i="17"/>
  <c r="Y221" i="17" s="1"/>
  <c r="Y222" i="17" s="1"/>
  <c r="Y239" i="17" s="1"/>
  <c r="E244" i="17" l="1"/>
  <c r="E247" i="17" s="1"/>
  <c r="X247" i="17" s="1"/>
  <c r="F181" i="17"/>
  <c r="F246" i="17" s="1"/>
  <c r="Y246" i="17" s="1"/>
  <c r="Y179" i="17"/>
  <c r="D243" i="17"/>
  <c r="W243" i="17" s="1"/>
  <c r="W221" i="17"/>
  <c r="W222" i="17" s="1"/>
  <c r="W239" i="17" s="1"/>
  <c r="D181" i="17"/>
  <c r="D246" i="17" s="1"/>
  <c r="W246" i="17" s="1"/>
  <c r="W179" i="17"/>
  <c r="G109" i="19"/>
  <c r="I178" i="17"/>
  <c r="I131" i="17"/>
  <c r="K178" i="17"/>
  <c r="K131" i="17"/>
  <c r="G122" i="17"/>
  <c r="G128" i="17" s="1"/>
  <c r="G130" i="17"/>
  <c r="J130" i="17"/>
  <c r="J122" i="17"/>
  <c r="J128" i="17" s="1"/>
  <c r="H178" i="17"/>
  <c r="H131" i="17"/>
  <c r="D222" i="17"/>
  <c r="D239" i="17" s="1"/>
  <c r="F222" i="17"/>
  <c r="F239" i="17" s="1"/>
  <c r="F243" i="17"/>
  <c r="Y243" i="17" s="1"/>
  <c r="Y244" i="17" s="1"/>
  <c r="G70" i="19" s="1"/>
  <c r="H71" i="19" s="1"/>
  <c r="C244" i="17"/>
  <c r="C247" i="17" s="1"/>
  <c r="V247" i="17" s="1"/>
  <c r="D244" i="17" l="1"/>
  <c r="D247" i="17" s="1"/>
  <c r="W247" i="17" s="1"/>
  <c r="W244" i="17"/>
  <c r="E70" i="19" s="1"/>
  <c r="F71" i="19" s="1"/>
  <c r="E109" i="19"/>
  <c r="G110" i="19"/>
  <c r="H110" i="19"/>
  <c r="J178" i="17"/>
  <c r="J131" i="17"/>
  <c r="G178" i="17"/>
  <c r="G131" i="17"/>
  <c r="K220" i="17"/>
  <c r="K179" i="17"/>
  <c r="K180" i="17" s="1"/>
  <c r="K181" i="17" s="1"/>
  <c r="K246" i="17" s="1"/>
  <c r="H220" i="17"/>
  <c r="H179" i="17"/>
  <c r="H180" i="17" s="1"/>
  <c r="H181" i="17" s="1"/>
  <c r="H246" i="17" s="1"/>
  <c r="I220" i="17"/>
  <c r="I179" i="17"/>
  <c r="I180" i="17" s="1"/>
  <c r="I181" i="17" s="1"/>
  <c r="I246" i="17" s="1"/>
  <c r="F244" i="17"/>
  <c r="F247" i="17" s="1"/>
  <c r="Y247" i="17" s="1"/>
  <c r="E110" i="19" l="1"/>
  <c r="F110" i="19"/>
  <c r="G220" i="17"/>
  <c r="G179" i="17"/>
  <c r="G180" i="17" s="1"/>
  <c r="G181" i="17" s="1"/>
  <c r="G246" i="17" s="1"/>
  <c r="H221" i="17"/>
  <c r="H243" i="17" s="1"/>
  <c r="K221" i="17"/>
  <c r="K243" i="17" s="1"/>
  <c r="I221" i="17"/>
  <c r="I243" i="17" s="1"/>
  <c r="J220" i="17"/>
  <c r="J179" i="17"/>
  <c r="J180" i="17" s="1"/>
  <c r="J181" i="17" s="1"/>
  <c r="J246" i="17" s="1"/>
  <c r="H222" i="17" l="1"/>
  <c r="H239" i="17" s="1"/>
  <c r="H244" i="17" s="1"/>
  <c r="H247" i="17" s="1"/>
  <c r="K222" i="17"/>
  <c r="K239" i="17" s="1"/>
  <c r="K244" i="17" s="1"/>
  <c r="K247" i="17" s="1"/>
  <c r="I222" i="17"/>
  <c r="I239" i="17" s="1"/>
  <c r="I244" i="17" s="1"/>
  <c r="I247" i="17" s="1"/>
  <c r="J221" i="17"/>
  <c r="J243" i="17" s="1"/>
  <c r="G221" i="17"/>
  <c r="G243" i="17" s="1"/>
  <c r="J222" i="17" l="1"/>
  <c r="J239" i="17" s="1"/>
  <c r="J244" i="17" s="1"/>
  <c r="J247" i="17" s="1"/>
  <c r="G222" i="17"/>
  <c r="G239" i="17" s="1"/>
  <c r="G244" i="17" s="1"/>
  <c r="G247" i="17" s="1"/>
  <c r="G252" i="17" s="1"/>
  <c r="G210" i="17" l="1"/>
  <c r="G211" i="17" s="1"/>
  <c r="G213" i="17" s="1"/>
  <c r="H251" i="17"/>
  <c r="H252" i="17" s="1"/>
  <c r="I251" i="17" l="1"/>
  <c r="I252" i="17" s="1"/>
  <c r="H210" i="17"/>
  <c r="H211" i="17" s="1"/>
  <c r="H213" i="17" s="1"/>
  <c r="I210" i="17" l="1"/>
  <c r="I211" i="17" s="1"/>
  <c r="I213" i="17" s="1"/>
  <c r="J251" i="17"/>
  <c r="J252" i="17" s="1"/>
  <c r="J210" i="17" l="1"/>
  <c r="J211" i="17" s="1"/>
  <c r="J213" i="17" s="1"/>
  <c r="K251" i="17"/>
  <c r="K252" i="17" s="1"/>
  <c r="K210" i="17" s="1"/>
  <c r="K211" i="17" s="1"/>
  <c r="K213" i="17" s="1"/>
  <c r="Q174" i="1"/>
  <c r="Q87" i="1"/>
  <c r="F142" i="2"/>
  <c r="D128" i="2"/>
  <c r="S174" i="1"/>
  <c r="S87" i="1"/>
  <c r="J95" i="1"/>
  <c r="J184" i="1"/>
  <c r="D127" i="2"/>
  <c r="E150" i="2"/>
  <c r="E147" i="2"/>
  <c r="E151" i="2"/>
  <c r="E157" i="2"/>
  <c r="F127" i="2"/>
  <c r="J46" i="1"/>
  <c r="S39" i="1"/>
  <c r="E128" i="2"/>
  <c r="D142" i="2"/>
  <c r="Q39" i="1"/>
  <c r="H46" i="1"/>
  <c r="H95" i="1"/>
  <c r="H184" i="1"/>
  <c r="D150" i="2"/>
  <c r="D126" i="2"/>
  <c r="D129" i="2"/>
  <c r="D133" i="2"/>
  <c r="D141" i="2"/>
  <c r="D147" i="2"/>
  <c r="D151" i="2"/>
  <c r="D157" i="2"/>
  <c r="P174" i="1"/>
  <c r="P87" i="1"/>
  <c r="F128" i="2"/>
  <c r="C128" i="2"/>
  <c r="E126" i="2"/>
  <c r="E129" i="2"/>
  <c r="E133" i="2"/>
  <c r="E141" i="2"/>
  <c r="E142" i="2"/>
  <c r="C142" i="2"/>
  <c r="H33" i="1"/>
  <c r="Q33" i="1"/>
  <c r="F131" i="2"/>
  <c r="G95" i="1"/>
  <c r="G184" i="1"/>
  <c r="D131" i="2"/>
  <c r="C127" i="2"/>
  <c r="C131" i="2"/>
  <c r="R33" i="1"/>
  <c r="R174" i="1"/>
  <c r="R87" i="1"/>
  <c r="J33" i="1"/>
  <c r="S33" i="1"/>
  <c r="G46" i="1"/>
  <c r="P39" i="1"/>
  <c r="F150" i="2"/>
  <c r="F126" i="2"/>
  <c r="F129" i="2"/>
  <c r="F133" i="2"/>
  <c r="F141" i="2"/>
  <c r="F147" i="2"/>
  <c r="F151" i="2"/>
  <c r="F157" i="2"/>
  <c r="F184" i="1"/>
  <c r="F33" i="1"/>
  <c r="F46" i="1"/>
  <c r="F95" i="1"/>
  <c r="E131" i="2"/>
  <c r="C150" i="2"/>
  <c r="C126" i="2"/>
  <c r="C129" i="2"/>
  <c r="C133" i="2"/>
  <c r="C141" i="2"/>
  <c r="C147" i="2"/>
  <c r="C151" i="2"/>
  <c r="C157" i="2"/>
  <c r="R39" i="1"/>
  <c r="G33" i="1"/>
  <c r="P33" i="1"/>
  <c r="I33" i="1"/>
  <c r="I46" i="1"/>
  <c r="I95" i="1"/>
  <c r="I184" i="1"/>
  <c r="E127" i="2"/>
</calcChain>
</file>

<file path=xl/sharedStrings.xml><?xml version="1.0" encoding="utf-8"?>
<sst xmlns="http://schemas.openxmlformats.org/spreadsheetml/2006/main" count="1585" uniqueCount="846">
  <si>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</si>
  <si>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</si>
  <si>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</si>
  <si>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</si>
  <si>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</si>
  <si>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</si>
  <si>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</si>
  <si>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</si>
  <si>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</si>
  <si>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</si>
  <si>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</si>
  <si>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</si>
  <si>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</si>
  <si>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</si>
  <si>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</si>
  <si>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</si>
  <si>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</si>
  <si>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</si>
  <si>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</si>
  <si>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</si>
  <si>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</si>
  <si>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</si>
  <si>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</si>
  <si>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</si>
  <si>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</si>
  <si>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</si>
  <si>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</si>
  <si>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</si>
  <si>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</si>
  <si>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</si>
  <si>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</si>
  <si>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</si>
  <si>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</si>
  <si>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</si>
  <si>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</si>
  <si>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</si>
  <si>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</si>
  <si>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</si>
  <si>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</si>
  <si>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</si>
  <si>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</si>
  <si>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</si>
  <si>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</si>
  <si>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</si>
  <si>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</si>
  <si>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</si>
  <si>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</si>
  <si>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</si>
  <si>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</si>
  <si>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</si>
  <si>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</si>
  <si>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</si>
  <si>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</si>
  <si>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</si>
  <si>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</si>
  <si>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</si>
  <si>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</si>
  <si>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</si>
  <si>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</si>
  <si>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</si>
  <si>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</si>
  <si>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</si>
  <si>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</si>
  <si>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</si>
  <si>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</si>
  <si>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</si>
  <si>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</si>
  <si>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</si>
  <si>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</si>
  <si>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</si>
  <si>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</si>
  <si>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</si>
  <si>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</si>
  <si>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</si>
  <si>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</si>
  <si>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</si>
  <si>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</si>
  <si>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</si>
  <si>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</si>
  <si>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</si>
  <si>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</si>
  <si>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</si>
  <si>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</si>
  <si>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</si>
  <si>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</si>
  <si>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</si>
  <si>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</si>
  <si>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</si>
  <si>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</si>
  <si>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</si>
  <si>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</si>
  <si>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</si>
  <si>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</si>
  <si>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</si>
  <si>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</si>
  <si>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</si>
  <si>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</si>
  <si>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</si>
  <si>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</si>
  <si>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</si>
  <si>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</si>
  <si>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</si>
  <si>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</si>
  <si>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</si>
  <si>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</si>
  <si>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</si>
  <si>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</si>
  <si>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</si>
  <si>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</si>
  <si>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</si>
  <si>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</si>
  <si>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</si>
  <si>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</si>
  <si>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</si>
  <si>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</si>
  <si>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</si>
  <si>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</si>
  <si>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</si>
  <si>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</si>
  <si>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</si>
  <si>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</si>
  <si>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</si>
  <si>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</si>
  <si>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</si>
  <si>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</si>
  <si>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</si>
  <si>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</si>
  <si>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</si>
  <si>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</si>
  <si>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</si>
  <si>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</si>
  <si>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</si>
  <si>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</si>
  <si>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</si>
  <si>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</si>
  <si>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</si>
  <si>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</si>
  <si>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</si>
  <si>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</si>
  <si>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</si>
  <si>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</si>
  <si>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</si>
  <si>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</si>
  <si>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</si>
  <si>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</si>
  <si>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</si>
  <si>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</si>
  <si>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</si>
  <si>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</si>
  <si>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</si>
  <si>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</si>
  <si>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</si>
  <si>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</si>
  <si>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</si>
  <si>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</si>
  <si>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</si>
  <si>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</si>
  <si>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</si>
  <si>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</si>
  <si>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</si>
  <si>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</si>
  <si>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</si>
  <si>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</si>
  <si>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</si>
  <si>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</si>
  <si>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</si>
  <si>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</si>
  <si>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</si>
  <si>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</si>
  <si>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</si>
  <si>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</si>
  <si>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</si>
  <si>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</si>
  <si>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</si>
  <si>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</si>
  <si>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</si>
  <si>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</si>
  <si>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</si>
  <si>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</si>
  <si>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</si>
  <si>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</si>
  <si>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</si>
  <si>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</si>
  <si>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</si>
  <si>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</si>
  <si>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</si>
  <si>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</si>
  <si>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</si>
  <si>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</si>
  <si>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</si>
  <si>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</si>
  <si>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</si>
  <si>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</si>
  <si>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</si>
  <si>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</si>
  <si>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</si>
  <si>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</si>
  <si>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</si>
  <si>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</si>
  <si>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</si>
  <si>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</si>
  <si>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</si>
  <si>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</si>
  <si>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</si>
  <si>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</si>
  <si>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</si>
  <si>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</si>
  <si>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</si>
  <si>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</si>
  <si>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</si>
  <si>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</si>
  <si>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</si>
  <si>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</si>
  <si>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</si>
  <si>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</si>
  <si>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</si>
  <si>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</si>
  <si>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</si>
  <si>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</si>
  <si>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</si>
  <si>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</si>
  <si>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</si>
  <si>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</si>
  <si>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</si>
  <si>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</si>
  <si>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</si>
  <si>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</si>
  <si>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</si>
  <si>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</si>
  <si>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</si>
  <si>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</si>
  <si>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</si>
  <si>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</si>
  <si>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</si>
  <si>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</si>
  <si>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</si>
  <si>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</si>
  <si>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</si>
  <si>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</si>
  <si>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</si>
  <si>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</si>
  <si>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</si>
  <si>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</si>
  <si>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</si>
  <si>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</si>
  <si>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</si>
  <si>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</si>
  <si>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</si>
  <si>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</si>
  <si>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</si>
  <si>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</si>
  <si>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</si>
  <si>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</si>
  <si>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</si>
  <si>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</si>
  <si>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</si>
  <si>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</si>
  <si>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</si>
  <si>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</si>
  <si>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</si>
  <si>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</si>
  <si>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</si>
  <si>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</si>
  <si>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</si>
  <si>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</si>
  <si>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</si>
  <si>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</si>
  <si>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</si>
  <si>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</si>
  <si>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</si>
  <si>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</si>
  <si>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</si>
  <si>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</si>
  <si>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</si>
  <si>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</si>
  <si>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</si>
  <si>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</si>
  <si>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</si>
  <si>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</si>
  <si>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</si>
  <si>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</si>
  <si>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</si>
  <si>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</si>
  <si>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</si>
  <si>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</si>
  <si>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</si>
  <si>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</si>
  <si>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</si>
  <si>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</si>
  <si>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</si>
  <si>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</si>
  <si>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</si>
  <si>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</si>
  <si>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</si>
  <si>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</si>
  <si>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</si>
  <si>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</si>
  <si>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</si>
  <si>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</si>
  <si>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</si>
  <si>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</si>
  <si>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</si>
  <si>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</si>
  <si>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</si>
  <si>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</si>
  <si>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</si>
  <si>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</si>
  <si>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</si>
  <si>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</si>
  <si>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</si>
  <si>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</si>
  <si>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</si>
  <si>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</si>
  <si>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</si>
  <si>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</si>
  <si>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</si>
  <si>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</si>
  <si>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</si>
  <si>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</si>
  <si>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</si>
  <si>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</si>
  <si>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</si>
  <si>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</si>
  <si>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</si>
  <si>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</si>
  <si>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</si>
  <si>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</si>
  <si>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</si>
  <si>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</si>
  <si>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</si>
  <si>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</si>
  <si>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</si>
  <si>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</si>
  <si>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</si>
  <si>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</si>
  <si>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</si>
  <si>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</si>
  <si>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</si>
  <si>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</si>
  <si>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</si>
  <si>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</si>
  <si>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</si>
  <si>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</si>
  <si>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</si>
  <si>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</si>
  <si>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</si>
  <si>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</si>
  <si>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</si>
  <si>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</si>
  <si>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</si>
  <si>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</si>
  <si>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</si>
  <si>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</si>
  <si>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</si>
  <si>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</si>
  <si>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</si>
  <si>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</si>
  <si>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</si>
  <si>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</si>
  <si>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</si>
  <si>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</si>
  <si>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</si>
  <si>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</si>
  <si>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</si>
  <si>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</si>
  <si>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</si>
  <si>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</si>
  <si>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</si>
  <si>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</si>
  <si>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</si>
  <si>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</si>
  <si>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</si>
  <si>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</si>
  <si>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</si>
  <si>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</si>
  <si>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</si>
  <si>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</si>
  <si>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</si>
  <si>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</si>
  <si>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</si>
  <si>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</si>
  <si>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</si>
  <si>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</si>
  <si>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</si>
  <si>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</si>
  <si>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</si>
  <si>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</si>
  <si>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</si>
  <si>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</si>
  <si>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</si>
  <si>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</si>
  <si>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</si>
  <si>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</si>
  <si>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</si>
  <si>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</si>
  <si>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</si>
  <si>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</si>
  <si>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</si>
  <si>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</si>
  <si>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</si>
  <si>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</si>
  <si>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</si>
  <si>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</si>
  <si>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</si>
  <si>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</si>
  <si>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</si>
  <si>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</si>
  <si>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</si>
  <si>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</si>
  <si>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</si>
  <si>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</si>
  <si>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</si>
  <si>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</si>
  <si>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</si>
  <si>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</si>
  <si>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</si>
  <si>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</si>
  <si>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</si>
  <si>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</si>
  <si>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</si>
  <si>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</si>
  <si>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</si>
  <si>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</si>
  <si>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</si>
  <si>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</si>
  <si>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</si>
  <si>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</si>
  <si>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</si>
  <si>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</si>
  <si>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</si>
  <si>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</si>
  <si>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</si>
  <si>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</si>
  <si>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</si>
  <si>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</si>
  <si>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</si>
  <si>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</si>
  <si>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</si>
  <si>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</si>
  <si>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</si>
  <si>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</si>
  <si>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</si>
  <si>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</si>
  <si>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</si>
  <si>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</si>
  <si>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</si>
  <si>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</si>
  <si>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</si>
  <si>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</si>
  <si>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</si>
  <si>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</si>
  <si>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</si>
  <si>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</si>
  <si>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</si>
  <si>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</si>
  <si>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</si>
  <si>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</si>
  <si>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</si>
  <si>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</si>
  <si>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</si>
  <si>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</si>
  <si>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</si>
  <si>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</si>
  <si>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</si>
  <si>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</si>
  <si>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</si>
  <si>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</si>
  <si>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</si>
  <si>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</si>
  <si>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</si>
  <si>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</si>
  <si>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</si>
  <si>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</si>
  <si>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</si>
  <si>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</si>
  <si>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</si>
  <si>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</si>
  <si>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</si>
  <si>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</si>
  <si>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</si>
  <si>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</si>
  <si>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</si>
  <si>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</si>
  <si>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</si>
  <si>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</si>
  <si>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</si>
  <si>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</si>
  <si>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</si>
  <si>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</si>
  <si>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</si>
  <si>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</si>
  <si>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</si>
  <si>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</si>
  <si>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</si>
  <si>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</si>
  <si>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</si>
  <si>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</si>
  <si>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</si>
  <si>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</si>
  <si>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</si>
  <si>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</si>
  <si>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</si>
  <si>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</si>
  <si>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</si>
  <si>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</si>
  <si>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</si>
  <si>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</si>
  <si>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</si>
  <si>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</si>
  <si>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</si>
  <si>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</si>
  <si>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</si>
  <si>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</si>
  <si>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</si>
  <si>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</si>
  <si>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</si>
  <si>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</si>
  <si>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</si>
  <si>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</si>
  <si>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</si>
  <si>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</si>
  <si>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</si>
  <si>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
  </si>
  <si>
    <t xml:space="preserve">WACC = </t>
  </si>
  <si>
    <t xml:space="preserve">Present value </t>
  </si>
  <si>
    <t>D&amp;A</t>
  </si>
  <si>
    <t xml:space="preserve">CAPEX </t>
  </si>
  <si>
    <t>D&amp;A as a % of CAPEX</t>
  </si>
  <si>
    <t>Forecast</t>
  </si>
  <si>
    <t>CAPEX as a % of revenues</t>
  </si>
  <si>
    <t>∆ NWC</t>
  </si>
  <si>
    <t>changes %</t>
  </si>
  <si>
    <t>compounded WACC</t>
  </si>
  <si>
    <t>TOTAL VALUE =</t>
  </si>
  <si>
    <t>Terminal value =</t>
  </si>
  <si>
    <t xml:space="preserve">value of equity in commo stock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</si>
  <si>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</si>
  <si>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</si>
  <si>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</si>
  <si>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</si>
  <si>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</si>
  <si>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</si>
  <si>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WACC according to Python development </t>
  </si>
  <si>
    <t>Explicit forecast</t>
  </si>
  <si>
    <t>Decreasing growth phase (3Y)</t>
  </si>
  <si>
    <t xml:space="preserve">Other operating revenues as % of sales </t>
  </si>
  <si>
    <t>Sales</t>
  </si>
  <si>
    <t xml:space="preserve">Raw materials as % of sales </t>
  </si>
  <si>
    <t>Services as % of sales</t>
  </si>
  <si>
    <t xml:space="preserve">Labour cost as %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</si>
  <si>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</si>
  <si>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</si>
  <si>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</si>
  <si>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</si>
  <si>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</si>
  <si>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</si>
  <si>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</si>
  <si>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</si>
  <si>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</si>
  <si>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Cumulative sales</t>
  </si>
  <si>
    <t xml:space="preserve"> + Capex</t>
  </si>
  <si>
    <t xml:space="preserve">Splitted per year </t>
  </si>
  <si>
    <t>Capex for 1 u. sales</t>
  </si>
  <si>
    <t xml:space="preserve"> - D&amp;A</t>
  </si>
  <si>
    <t xml:space="preserve">Tangibles </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</si>
  <si>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</si>
  <si>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</si>
  <si>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</si>
  <si>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</si>
  <si>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</si>
  <si>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</si>
  <si>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</si>
  <si>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</si>
  <si>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</si>
  <si>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</si>
  <si>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</si>
  <si>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</si>
  <si>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</si>
  <si>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</si>
  <si>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</si>
  <si>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</si>
  <si>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</si>
  <si>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</si>
  <si>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</si>
  <si>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</si>
  <si>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</si>
  <si>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</si>
  <si>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</si>
  <si>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xml:space="preserve">Bank loans and Bonds (M/L)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</si>
  <si>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</si>
  <si>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</si>
  <si>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</si>
  <si>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</si>
  <si>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</si>
  <si>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</si>
  <si>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</si>
  <si>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</si>
  <si>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</si>
  <si>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</si>
  <si>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</si>
  <si>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</si>
  <si>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</si>
  <si>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</si>
  <si>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</si>
  <si>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</si>
  <si>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</si>
  <si>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</si>
  <si>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</si>
  <si>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</si>
  <si>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</si>
  <si>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</si>
  <si>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</si>
  <si>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</si>
  <si>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</si>
  <si>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</si>
  <si>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</si>
  <si>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</si>
  <si>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</si>
  <si>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</si>
  <si>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</si>
  <si>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</si>
  <si>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</si>
  <si>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</si>
  <si>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</si>
  <si>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</si>
  <si>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</si>
  <si>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</si>
  <si>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</si>
  <si>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</si>
  <si>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</si>
  <si>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</si>
  <si>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</si>
  <si>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</si>
  <si>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</si>
  <si>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</si>
  <si>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</si>
  <si>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</si>
  <si>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</si>
  <si>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</si>
  <si>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</si>
  <si>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</si>
  <si>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</si>
  <si>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</si>
  <si>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</si>
  <si>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</si>
  <si>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</si>
  <si>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</si>
  <si>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</si>
  <si>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</si>
  <si>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</si>
  <si>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</si>
  <si>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</si>
  <si>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</si>
  <si>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</si>
  <si>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</si>
  <si>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</si>
  <si>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</si>
  <si>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</si>
  <si>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</si>
  <si>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</si>
  <si>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</si>
  <si>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</si>
  <si>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</si>
  <si>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</si>
  <si>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</si>
  <si>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</si>
  <si>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</si>
  <si>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</si>
  <si>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</si>
  <si>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</si>
  <si>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</si>
  <si>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</si>
  <si>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(low ebit)</t>
  </si>
  <si>
    <t>ROA</t>
  </si>
  <si>
    <t>Ebit(1-t)/ (Bv Debt + Bv Equity) [Average]</t>
  </si>
  <si>
    <t xml:space="preserve">(Ebit(1-t)/Sales )x (Salex/BV of capital) </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</si>
  <si>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</si>
  <si>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</si>
  <si>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</si>
  <si>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</si>
  <si>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</si>
  <si>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</si>
  <si>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</si>
  <si>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</si>
  <si>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</si>
  <si>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</si>
  <si>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</si>
  <si>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</si>
  <si>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</si>
  <si>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</si>
  <si>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</si>
  <si>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</si>
  <si>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</si>
  <si>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</si>
  <si>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</si>
  <si>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</si>
  <si>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</si>
  <si>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</si>
  <si>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</si>
  <si>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</si>
  <si>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</si>
  <si>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</si>
  <si>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</si>
  <si>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</si>
  <si>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</si>
  <si>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</si>
  <si>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</si>
  <si>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</si>
  <si>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</si>
  <si>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</si>
  <si>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</si>
  <si>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</si>
  <si>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</si>
  <si>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</si>
  <si>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</si>
  <si>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</si>
  <si>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EBIT*(1-t) </t>
  </si>
  <si>
    <t xml:space="preserve">EBIT*(1-t)    </t>
  </si>
  <si>
    <t xml:space="preserve">NOPAT </t>
  </si>
  <si>
    <t xml:space="preserve">tax shield </t>
  </si>
  <si>
    <t>growth rate%</t>
  </si>
  <si>
    <t>Assumptions:</t>
  </si>
  <si>
    <t>growth rate for EBITDA euquals to which one was declared by managment =</t>
  </si>
  <si>
    <t>Expected growth rate for EBITDA =</t>
  </si>
  <si>
    <t>Tax rate =</t>
  </si>
  <si>
    <t>Stable Cost of Equity (B = 1)</t>
  </si>
  <si>
    <t>EBITDA(no accurals)</t>
  </si>
  <si>
    <t>Since we have used a different way to compute FCFF and FCFE, I've must modified a little Damodaran's model. I'm going to consider, in addition to tax in EBIT, also the tax shild generated by financial items (pratically NOPAT)  and changes in provision, employee benefit, tax ansset and other minor to forecast consistently FCFF</t>
  </si>
  <si>
    <t>EPS</t>
  </si>
  <si>
    <t xml:space="preserve">cash and marketable securities </t>
  </si>
  <si>
    <t xml:space="preserve">Second scenario </t>
  </si>
  <si>
    <t xml:space="preserve">First scenario </t>
  </si>
  <si>
    <t>Growth rate for Revenues equals to the average of historical values =</t>
  </si>
  <si>
    <t xml:space="preserve">Constant Accurals equal to the average of historical value= </t>
  </si>
  <si>
    <t xml:space="preserve">same assumption for WACC,Revenues, Accurals, D&amp;A, provision, tax rate, employee benefit, other minors, net working capital </t>
  </si>
  <si>
    <t>growth rate in steady sate for EBITDA equals to the growth Rate of the economy=</t>
  </si>
  <si>
    <t>EBITDA(no Accurals)</t>
  </si>
  <si>
    <t xml:space="preserve">initial value of CAPEX given by : </t>
  </si>
  <si>
    <t xml:space="preserve">Outputs 2 </t>
  </si>
  <si>
    <t>steady state2</t>
  </si>
  <si>
    <t>growth rate in steady sate 2 for EBITDA given by the average o historicals and which one that was declared by managment =</t>
  </si>
  <si>
    <t xml:space="preserve">Stable cost of equity (Beta = 0,865) </t>
  </si>
  <si>
    <t>Terminal Value assumptions</t>
  </si>
  <si>
    <t xml:space="preserve">Dividend growth </t>
  </si>
  <si>
    <t xml:space="preserve">Explicit forecasts </t>
  </si>
  <si>
    <t xml:space="preserve">Comment and  assumptions section </t>
  </si>
  <si>
    <t xml:space="preserve">Mean value (past 2 years) </t>
  </si>
  <si>
    <t xml:space="preserve">Mean value (past 3 years) </t>
  </si>
  <si>
    <t xml:space="preserve">Cumulative Capex for 2024 </t>
  </si>
  <si>
    <t xml:space="preserve">References for Capex </t>
  </si>
  <si>
    <t xml:space="preserve">% Bonds (past 5 years) </t>
  </si>
  <si>
    <t xml:space="preserve">% Other financing (past 5 years </t>
  </si>
  <si>
    <t xml:space="preserve">Year </t>
  </si>
  <si>
    <t xml:space="preserve">Reorganized statements with explicit forecasts, according to above forecasts </t>
  </si>
  <si>
    <t xml:space="preserve">Cash BOP </t>
  </si>
  <si>
    <t xml:space="preserve">Cash EOP </t>
  </si>
  <si>
    <t>∆ Other assets</t>
  </si>
  <si>
    <t xml:space="preserve">Output (Case terminal Beta = 1) </t>
  </si>
  <si>
    <t xml:space="preserve">Output#2 (Case terminal Beta = 0,868) </t>
  </si>
  <si>
    <t xml:space="preserve">Reorganized statements with explicit forecasts after modifications </t>
  </si>
  <si>
    <t xml:space="preserve">BOP </t>
  </si>
  <si>
    <t>As Percentage of revenues</t>
  </si>
  <si>
    <t>Financial Items as % of total debt</t>
  </si>
  <si>
    <t xml:space="preserve">FCFE </t>
  </si>
  <si>
    <t xml:space="preserve">Stable cost of equity </t>
  </si>
  <si>
    <t xml:space="preserve">Terminal value assumptions </t>
  </si>
  <si>
    <t xml:space="preserve">Stable equity reinvestment rate </t>
  </si>
  <si>
    <t xml:space="preserve">Discount factor </t>
  </si>
  <si>
    <t xml:space="preserve">Stable growth rate </t>
  </si>
  <si>
    <t xml:space="preserve">Explicit forecasts present value </t>
  </si>
  <si>
    <t xml:space="preserve">Transitional phase present value </t>
  </si>
  <si>
    <t xml:space="preserve">Steady phase present value </t>
  </si>
  <si>
    <t xml:space="preserve">Equity value forecast </t>
  </si>
  <si>
    <t xml:space="preserve">Outstanding shares </t>
  </si>
  <si>
    <t xml:space="preserve">Stable reinvestment rate </t>
  </si>
  <si>
    <t>Net Debt (2019)</t>
  </si>
  <si>
    <t xml:space="preserve">DCF EQUITY SIDE (FCFE) </t>
  </si>
  <si>
    <t xml:space="preserve">FREE CASH FLOW DISCOUNTING MODELS  </t>
  </si>
  <si>
    <t xml:space="preserve">DIVIDEND DISCOUNT MODEL </t>
  </si>
  <si>
    <t xml:space="preserve">Assumptions table </t>
  </si>
  <si>
    <t xml:space="preserve">WACC (book values) </t>
  </si>
  <si>
    <t xml:space="preserve">Cost of equity (levered beta) </t>
  </si>
  <si>
    <t xml:space="preserve">Stable growth rate of economy </t>
  </si>
  <si>
    <t xml:space="preserve">Stable cost of equity (Beta = 1) </t>
  </si>
  <si>
    <t xml:space="preserve">Stable Wacc (Beta = 1) </t>
  </si>
  <si>
    <t>A2A FCFE</t>
  </si>
  <si>
    <t xml:space="preserve">% change </t>
  </si>
  <si>
    <t xml:space="preserve">NaN </t>
  </si>
  <si>
    <t xml:space="preserve">Transition Phase Assumptions (3 Years) </t>
  </si>
  <si>
    <t xml:space="preserve">Linear drop in FCFE growth rate (from 17% to 1%) </t>
  </si>
  <si>
    <t xml:space="preserve">Linear increase in cost of equity (from 7,08% to 8,11%) </t>
  </si>
  <si>
    <t xml:space="preserve">Transitional phase (3Y) </t>
  </si>
  <si>
    <t xml:space="preserve">Equity valuation output </t>
  </si>
  <si>
    <t xml:space="preserve">DCF ASSET SIDE (FCFF) </t>
  </si>
  <si>
    <t>A2A FCFF</t>
  </si>
  <si>
    <t xml:space="preserve">Linear drop in FCFF growth rate (from 19% to 1%) </t>
  </si>
  <si>
    <t>Stable cost of capital</t>
  </si>
  <si>
    <t xml:space="preserve">Linear increase in cost of capital (from 4,34% to 5,28%) </t>
  </si>
  <si>
    <t xml:space="preserve">Asset valuation output </t>
  </si>
  <si>
    <t xml:space="preserve">Enterprise value forecast </t>
  </si>
  <si>
    <t xml:space="preserve">Expected equity value </t>
  </si>
  <si>
    <t>Growing CAPEX with the same growth rate of revenues=</t>
  </si>
  <si>
    <t xml:space="preserve">Comment section </t>
  </si>
  <si>
    <t xml:space="preserve">NWC   </t>
  </si>
  <si>
    <t xml:space="preserve">Sensitivity analysis: empirical way to encapsulate COVID-19 effects. </t>
  </si>
  <si>
    <t>ROIC + D/E * (ROIC - i(1-t))</t>
  </si>
  <si>
    <t xml:space="preserve">Net debt to net invested capital </t>
  </si>
  <si>
    <t xml:space="preserve">Wacc (book values) </t>
  </si>
  <si>
    <t xml:space="preserve">Stable phase </t>
  </si>
  <si>
    <t xml:space="preserve">Dividend model </t>
  </si>
  <si>
    <t xml:space="preserve">Enterprise value </t>
  </si>
  <si>
    <t xml:space="preserve">Covid effect </t>
  </si>
  <si>
    <t xml:space="preserve">Case 1 (Without Covid19) </t>
  </si>
  <si>
    <t xml:space="preserve">Case 2 (Covid19 for first 2 years) </t>
  </si>
  <si>
    <t xml:space="preserve">Case 3 (Covid19 perpetual) </t>
  </si>
  <si>
    <t xml:space="preserve">FCFE valuation </t>
  </si>
  <si>
    <t xml:space="preserve">FCFF valuation </t>
  </si>
  <si>
    <t>-</t>
  </si>
  <si>
    <t>Normality</t>
  </si>
  <si>
    <t xml:space="preserve">Cost of capital </t>
  </si>
  <si>
    <t xml:space="preserve">Sensitivity table: cost of equity. </t>
  </si>
  <si>
    <r>
      <rPr>
        <sz val="36"/>
        <color rgb="FF002060"/>
        <rFont val="Biome"/>
        <family val="2"/>
      </rPr>
      <t>Corporate valuation project</t>
    </r>
    <r>
      <rPr>
        <sz val="11"/>
        <color theme="1"/>
        <rFont val="Biome"/>
        <family val="2"/>
      </rPr>
      <t xml:space="preserve"> </t>
    </r>
  </si>
  <si>
    <r>
      <rPr>
        <sz val="11"/>
        <color rgb="FF002060"/>
        <rFont val="Biome"/>
        <family val="2"/>
      </rPr>
      <t>Simone Luca Lucchesi and Gianmarco Cavalier</t>
    </r>
    <r>
      <rPr>
        <sz val="11"/>
        <color theme="1"/>
        <rFont val="Biome"/>
        <family val="2"/>
      </rPr>
      <t>e</t>
    </r>
  </si>
  <si>
    <t>Index</t>
  </si>
  <si>
    <t>1 - Financial statements</t>
  </si>
  <si>
    <t>2 - Reorganised Statements</t>
  </si>
  <si>
    <t>3 - Trailing 12-months</t>
  </si>
  <si>
    <t>4 - Ratios</t>
  </si>
  <si>
    <t>5 - WACC</t>
  </si>
  <si>
    <t>6 - Forecasts Gianmarco</t>
  </si>
  <si>
    <t xml:space="preserve">7 - Forecasts Simone </t>
  </si>
  <si>
    <t xml:space="preserve">8 - DCF Valuation Simone </t>
  </si>
  <si>
    <t xml:space="preserve">Further </t>
  </si>
  <si>
    <t xml:space="preserve">Resources </t>
  </si>
  <si>
    <t xml:space="preserve">1) Word Report "A2A" </t>
  </si>
  <si>
    <t xml:space="preserve">2) Python notebooks for WACC computation in "Notebooks" folder </t>
  </si>
  <si>
    <t>3) Powerpoint presentation "A2A presentation"</t>
  </si>
  <si>
    <t>At the end of each sheet you can find Word file references for pages.</t>
  </si>
  <si>
    <t>COMPUTATIONAL REFERENCES *</t>
  </si>
  <si>
    <t xml:space="preserve">Notice: this file is complementary to the Word file "A2A", we suggest you to read them together for an exhaustive explaination. </t>
  </si>
  <si>
    <t xml:space="preserve">Equity and Debt </t>
  </si>
  <si>
    <t>WACC (stable, B = 0,65)</t>
  </si>
  <si>
    <t xml:space="preserve">WACC (stable, B = 1) </t>
  </si>
  <si>
    <t xml:space="preserve">Simone  Luca Lucchesi's explicit forecasts section: outputs for valuation. </t>
  </si>
  <si>
    <t>Computational references as support</t>
  </si>
  <si>
    <t xml:space="preserve">Comments and modifications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</si>
</sst>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yyyy"/>
    <numFmt numFmtId="166" formatCode="0.000%"/>
    <numFmt numFmtId="167" formatCode="0.000"/>
    <numFmt numFmtId="168" formatCode="0_);\(0\)"/>
    <numFmt numFmtId="169" formatCode="_(* #,##0_);_(* \(#,##0\);_(* &quot;-&quot;??_);_(@_)"/>
    <numFmt numFmtId="170" formatCode="0.000000%"/>
    <numFmt numFmtId="171" formatCode="0.00000%"/>
    <numFmt numFmtId="172" formatCode="_-* #,##0.00_-;\-* #,##0.00_-;_-* &quot;-&quot;??_-;_-@_-"/>
    <numFmt numFmtId="173" formatCode="0.0%"/>
    <numFmt numFmtId="174" formatCode="0.0000"/>
    <numFmt numFmtId="175" formatCode="_(* #,##0_);_(* \(#,##0\);_(* &quot;-&quot;?_);_(@_)"/>
  </numFmts>
  <fonts count="71">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
      <b/>
      <sz val="11"/>
      <color rgb="FF000000"/>
      <name val="Biome"/>
      <family val="2"/>
    </font>
    <font>
      <sz val="26"/>
      <color theme="1"/>
      <name val="Biome"/>
      <family val="2"/>
    </font>
    <font>
      <sz val="11"/>
      <color theme="0" tint="-0.34998626667073579"/>
      <name val="Biome"/>
      <family val="2"/>
    </font>
    <font>
      <sz val="11"/>
      <color theme="2" tint="-0.499984740745262"/>
      <name val="Calibri"/>
      <family val="2"/>
      <scheme val="minor"/>
    </font>
    <font>
      <sz val="11"/>
      <color theme="2" tint="-0.499984740745262"/>
      <name val="Biome"/>
      <family val="2"/>
    </font>
    <font>
      <sz val="11"/>
      <color theme="2" tint="-0.249977111117893"/>
      <name val="Biome"/>
      <family val="2"/>
    </font>
    <font>
      <sz val="11"/>
      <color theme="4" tint="0.59999389629810485"/>
      <name val="Biome"/>
      <family val="2"/>
    </font>
    <font>
      <sz val="11"/>
      <color theme="4" tint="0.79998168889431442"/>
      <name val="Biome"/>
      <family val="2"/>
    </font>
    <font>
      <sz val="8"/>
      <name val="Calibri"/>
      <family val="2"/>
      <scheme val="minor"/>
    </font>
    <font>
      <sz val="11"/>
      <name val="Calibri"/>
      <family val="2"/>
      <scheme val="minor"/>
    </font>
    <font>
      <sz val="11"/>
      <color theme="1"/>
      <name val="Arial Black"/>
      <family val="2"/>
    </font>
    <font>
      <sz val="36"/>
      <color rgb="FF002060"/>
      <name val="Biome"/>
      <family val="2"/>
    </font>
    <font>
      <sz val="11"/>
      <color rgb="FF002060"/>
      <name val="Biome"/>
      <family val="2"/>
    </font>
    <font>
      <sz val="11"/>
      <color theme="0" tint="-0.14999847407452621"/>
      <name val="Calibri"/>
      <family val="2"/>
      <scheme val="minor"/>
    </font>
    <font>
      <sz val="24"/>
      <color rgb="FF002060"/>
      <name val="Biome"/>
      <family val="2"/>
    </font>
    <font>
      <b/>
      <i/>
      <sz val="20"/>
      <color theme="0" tint="-0.14999847407452621"/>
      <name val="Biome"/>
      <family val="2"/>
    </font>
    <font>
      <b/>
      <i/>
      <sz val="11"/>
      <color theme="0" tint="-0.14999847407452621"/>
      <name val="Biome"/>
      <family val="2"/>
    </font>
    <font>
      <b/>
      <sz val="18"/>
      <color theme="8" tint="-0.499984740745262"/>
      <name val="Biome"/>
      <family val="2"/>
    </font>
    <font>
      <sz val="11"/>
      <color theme="8" tint="-0.249977111117893"/>
      <name val="Calibri"/>
      <family val="2"/>
      <scheme val="minor"/>
    </font>
    <font>
      <sz val="16"/>
      <color theme="0"/>
      <name val="Biome"/>
      <family val="2"/>
    </font>
  </fonts>
  <fills count="2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8" tint="-0.499984740745262"/>
        <bgColor indexed="64"/>
      </patternFill>
    </fill>
  </fills>
  <borders count="77">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
      <left/>
      <right style="thick">
        <color auto="1"/>
      </right>
      <top/>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33" fillId="0" borderId="0"/>
  </cellStyleXfs>
  <cellXfs count="968">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6" fontId="6" fillId="2" borderId="3" xfId="1" applyNumberFormat="1" applyFont="1" applyFill="1" applyBorder="1"/>
    <xf numFmtId="0" fontId="6" fillId="0" borderId="4" xfId="0" applyFont="1" applyBorder="1"/>
    <xf numFmtId="166" fontId="10" fillId="4" borderId="3" xfId="1" applyNumberFormat="1" applyFont="1" applyFill="1" applyBorder="1"/>
    <xf numFmtId="3" fontId="10" fillId="4" borderId="4" xfId="0" applyNumberFormat="1" applyFont="1" applyFill="1" applyBorder="1"/>
    <xf numFmtId="166" fontId="14" fillId="2" borderId="3" xfId="1" applyNumberFormat="1" applyFont="1" applyFill="1" applyBorder="1"/>
    <xf numFmtId="0" fontId="14" fillId="2" borderId="4" xfId="0" applyFont="1" applyFill="1" applyBorder="1"/>
    <xf numFmtId="0" fontId="10" fillId="4" borderId="4" xfId="0" applyFont="1" applyFill="1" applyBorder="1"/>
    <xf numFmtId="166" fontId="11" fillId="6" borderId="3" xfId="1" applyNumberFormat="1" applyFont="1" applyFill="1" applyBorder="1"/>
    <xf numFmtId="0" fontId="11" fillId="6" borderId="4" xfId="0" applyFont="1" applyFill="1" applyBorder="1"/>
    <xf numFmtId="166" fontId="11" fillId="7" borderId="3" xfId="1" applyNumberFormat="1" applyFont="1" applyFill="1" applyBorder="1"/>
    <xf numFmtId="0" fontId="11" fillId="7" borderId="4" xfId="0" applyFont="1" applyFill="1" applyBorder="1"/>
    <xf numFmtId="166"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6"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6" fontId="0" fillId="2" borderId="10" xfId="1" applyNumberFormat="1" applyFont="1" applyFill="1" applyBorder="1"/>
    <xf numFmtId="0" fontId="0" fillId="0" borderId="10" xfId="0" applyBorder="1"/>
    <xf numFmtId="0" fontId="0" fillId="0" borderId="11" xfId="0" applyBorder="1"/>
    <xf numFmtId="166"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7" fontId="0" fillId="0" borderId="10" xfId="0" applyNumberFormat="1" applyBorder="1"/>
    <xf numFmtId="166" fontId="0" fillId="0" borderId="10" xfId="1" applyNumberFormat="1" applyFont="1" applyBorder="1"/>
    <xf numFmtId="0" fontId="0" fillId="0" borderId="21" xfId="0" applyBorder="1"/>
    <xf numFmtId="0" fontId="0" fillId="0" borderId="22" xfId="0" applyBorder="1"/>
    <xf numFmtId="166"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6" fontId="6" fillId="2" borderId="0" xfId="1" applyNumberFormat="1" applyFont="1" applyFill="1" applyBorder="1"/>
    <xf numFmtId="0" fontId="22" fillId="3" borderId="0" xfId="0" applyFont="1" applyFill="1" applyBorder="1"/>
    <xf numFmtId="165" fontId="27" fillId="3" borderId="0" xfId="0" applyNumberFormat="1" applyFont="1" applyFill="1" applyBorder="1" applyAlignment="1">
      <alignment horizontal="right" vertical="center" indent="1"/>
    </xf>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168" fontId="11" fillId="2" borderId="0" xfId="0" applyNumberFormat="1" applyFont="1" applyFill="1" applyBorder="1"/>
    <xf numFmtId="168" fontId="6" fillId="2" borderId="0" xfId="0" applyNumberFormat="1" applyFont="1" applyFill="1" applyBorder="1"/>
    <xf numFmtId="168" fontId="14" fillId="2" borderId="0" xfId="0" applyNumberFormat="1" applyFont="1" applyFill="1" applyBorder="1"/>
    <xf numFmtId="168" fontId="6" fillId="2" borderId="3" xfId="0" applyNumberFormat="1" applyFont="1" applyFill="1" applyBorder="1"/>
    <xf numFmtId="168" fontId="14" fillId="2" borderId="3" xfId="0" applyNumberFormat="1" applyFont="1" applyFill="1" applyBorder="1"/>
    <xf numFmtId="168" fontId="11" fillId="2" borderId="3" xfId="0" applyNumberFormat="1" applyFont="1" applyFill="1" applyBorder="1"/>
    <xf numFmtId="168" fontId="11" fillId="5" borderId="3" xfId="0" applyNumberFormat="1" applyFont="1" applyFill="1" applyBorder="1"/>
    <xf numFmtId="168" fontId="6" fillId="2" borderId="3" xfId="1" applyNumberFormat="1" applyFont="1" applyFill="1" applyBorder="1"/>
    <xf numFmtId="168" fontId="11" fillId="7" borderId="3" xfId="0" applyNumberFormat="1" applyFont="1" applyFill="1" applyBorder="1"/>
    <xf numFmtId="0" fontId="23" fillId="2" borderId="0" xfId="0" applyFont="1" applyFill="1" applyBorder="1" applyAlignment="1"/>
    <xf numFmtId="168" fontId="11" fillId="2" borderId="2" xfId="0" applyNumberFormat="1" applyFont="1" applyFill="1" applyBorder="1"/>
    <xf numFmtId="168" fontId="6" fillId="2" borderId="2" xfId="0" applyNumberFormat="1" applyFont="1" applyFill="1" applyBorder="1"/>
    <xf numFmtId="168" fontId="14" fillId="2" borderId="2" xfId="0" applyNumberFormat="1" applyFont="1" applyFill="1" applyBorder="1"/>
    <xf numFmtId="168" fontId="6" fillId="2" borderId="0" xfId="0" applyNumberFormat="1" applyFont="1" applyFill="1" applyBorder="1" applyAlignment="1">
      <alignment wrapText="1"/>
    </xf>
    <xf numFmtId="168" fontId="6" fillId="2" borderId="0" xfId="1" applyNumberFormat="1" applyFont="1" applyFill="1" applyBorder="1"/>
    <xf numFmtId="168" fontId="11" fillId="7" borderId="2" xfId="0" applyNumberFormat="1" applyFont="1" applyFill="1" applyBorder="1"/>
    <xf numFmtId="168" fontId="11" fillId="5" borderId="2" xfId="0" applyNumberFormat="1" applyFont="1" applyFill="1" applyBorder="1"/>
    <xf numFmtId="168" fontId="6" fillId="5" borderId="2" xfId="0" applyNumberFormat="1" applyFont="1" applyFill="1" applyBorder="1"/>
    <xf numFmtId="168" fontId="6" fillId="5" borderId="3" xfId="0" applyNumberFormat="1" applyFont="1" applyFill="1" applyBorder="1"/>
    <xf numFmtId="168" fontId="11" fillId="6" borderId="2" xfId="0" applyNumberFormat="1" applyFont="1" applyFill="1" applyBorder="1"/>
    <xf numFmtId="168" fontId="11" fillId="6" borderId="3" xfId="0" applyNumberFormat="1" applyFont="1" applyFill="1" applyBorder="1"/>
    <xf numFmtId="168" fontId="14" fillId="6" borderId="2" xfId="0" applyNumberFormat="1" applyFont="1" applyFill="1" applyBorder="1"/>
    <xf numFmtId="168" fontId="14" fillId="6" borderId="3" xfId="0" applyNumberFormat="1" applyFont="1" applyFill="1" applyBorder="1"/>
    <xf numFmtId="0" fontId="29" fillId="2" borderId="0" xfId="0" applyFont="1" applyFill="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8"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164" fontId="6" fillId="2" borderId="2" xfId="2" applyFont="1" applyFill="1" applyBorder="1"/>
    <xf numFmtId="164" fontId="6" fillId="2" borderId="3" xfId="2" applyFont="1" applyFill="1" applyBorder="1"/>
    <xf numFmtId="169" fontId="11" fillId="2" borderId="2" xfId="2" applyNumberFormat="1" applyFont="1" applyFill="1" applyBorder="1"/>
    <xf numFmtId="169" fontId="11" fillId="2" borderId="3" xfId="2" applyNumberFormat="1" applyFont="1" applyFill="1" applyBorder="1"/>
    <xf numFmtId="169" fontId="6" fillId="2" borderId="2" xfId="2" applyNumberFormat="1" applyFont="1" applyFill="1" applyBorder="1"/>
    <xf numFmtId="169" fontId="6" fillId="2" borderId="3" xfId="2" applyNumberFormat="1" applyFont="1" applyFill="1" applyBorder="1"/>
    <xf numFmtId="169" fontId="6" fillId="5" borderId="2" xfId="2" applyNumberFormat="1" applyFont="1" applyFill="1" applyBorder="1"/>
    <xf numFmtId="169" fontId="6" fillId="5" borderId="3" xfId="2" applyNumberFormat="1" applyFont="1" applyFill="1" applyBorder="1"/>
    <xf numFmtId="169" fontId="6" fillId="7" borderId="2" xfId="2" applyNumberFormat="1" applyFont="1" applyFill="1" applyBorder="1"/>
    <xf numFmtId="169" fontId="6" fillId="7" borderId="3" xfId="2" applyNumberFormat="1" applyFont="1" applyFill="1" applyBorder="1"/>
    <xf numFmtId="169" fontId="6" fillId="2" borderId="2" xfId="0" applyNumberFormat="1" applyFont="1" applyFill="1" applyBorder="1"/>
    <xf numFmtId="169" fontId="6" fillId="2" borderId="3" xfId="0" applyNumberFormat="1" applyFont="1" applyFill="1" applyBorder="1"/>
    <xf numFmtId="10" fontId="6" fillId="2" borderId="2" xfId="2" applyNumberFormat="1" applyFont="1" applyFill="1" applyBorder="1"/>
    <xf numFmtId="164" fontId="14" fillId="2" borderId="2" xfId="2" applyFont="1" applyFill="1" applyBorder="1"/>
    <xf numFmtId="164" fontId="14" fillId="2" borderId="3" xfId="2" applyFont="1" applyFill="1" applyBorder="1"/>
    <xf numFmtId="169" fontId="14" fillId="2" borderId="3" xfId="2" applyNumberFormat="1" applyFont="1" applyFill="1" applyBorder="1"/>
    <xf numFmtId="169" fontId="11" fillId="6" borderId="3" xfId="2" applyNumberFormat="1" applyFont="1" applyFill="1" applyBorder="1"/>
    <xf numFmtId="169" fontId="11" fillId="5"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10" fillId="4" borderId="2" xfId="2" applyNumberFormat="1" applyFont="1" applyFill="1" applyBorder="1"/>
    <xf numFmtId="168" fontId="10" fillId="4" borderId="3" xfId="2" applyNumberFormat="1" applyFont="1" applyFill="1" applyBorder="1"/>
    <xf numFmtId="168" fontId="14" fillId="2" borderId="2" xfId="2" applyNumberFormat="1" applyFont="1" applyFill="1" applyBorder="1"/>
    <xf numFmtId="168" fontId="14" fillId="2" borderId="3" xfId="2" applyNumberFormat="1" applyFont="1" applyFill="1" applyBorder="1"/>
    <xf numFmtId="168" fontId="29" fillId="2" borderId="2" xfId="2" applyNumberFormat="1" applyFont="1" applyFill="1" applyBorder="1"/>
    <xf numFmtId="168" fontId="29" fillId="2" borderId="3" xfId="2" applyNumberFormat="1" applyFont="1" applyFill="1" applyBorder="1"/>
    <xf numFmtId="168" fontId="0" fillId="2" borderId="2" xfId="2" applyNumberFormat="1" applyFont="1" applyFill="1" applyBorder="1"/>
    <xf numFmtId="168" fontId="0" fillId="2" borderId="3" xfId="2" applyNumberFormat="1" applyFont="1" applyFill="1" applyBorder="1"/>
    <xf numFmtId="168" fontId="0" fillId="0" borderId="2" xfId="2" applyNumberFormat="1" applyFont="1" applyBorder="1"/>
    <xf numFmtId="168" fontId="0" fillId="0" borderId="3" xfId="2" applyNumberFormat="1" applyFont="1" applyBorder="1"/>
    <xf numFmtId="168" fontId="11" fillId="2" borderId="2" xfId="2" applyNumberFormat="1" applyFont="1" applyFill="1" applyBorder="1"/>
    <xf numFmtId="168" fontId="11" fillId="2" borderId="3" xfId="2" applyNumberFormat="1" applyFont="1" applyFill="1" applyBorder="1"/>
    <xf numFmtId="168" fontId="11" fillId="6" borderId="2" xfId="2" applyNumberFormat="1" applyFont="1" applyFill="1" applyBorder="1"/>
    <xf numFmtId="168" fontId="11" fillId="6" borderId="3" xfId="2" applyNumberFormat="1" applyFont="1" applyFill="1" applyBorder="1"/>
    <xf numFmtId="168" fontId="6" fillId="0" borderId="2" xfId="2" applyNumberFormat="1" applyFont="1" applyBorder="1"/>
    <xf numFmtId="168" fontId="11" fillId="7" borderId="2" xfId="2" applyNumberFormat="1" applyFont="1" applyFill="1" applyBorder="1"/>
    <xf numFmtId="168" fontId="11" fillId="7" borderId="3" xfId="2" applyNumberFormat="1" applyFont="1" applyFill="1" applyBorder="1"/>
    <xf numFmtId="168" fontId="16" fillId="2" borderId="2" xfId="2" applyNumberFormat="1" applyFont="1" applyFill="1" applyBorder="1"/>
    <xf numFmtId="168" fontId="11" fillId="5" borderId="2" xfId="2" applyNumberFormat="1" applyFont="1" applyFill="1" applyBorder="1"/>
    <xf numFmtId="168" fontId="11" fillId="5" borderId="3" xfId="2" applyNumberFormat="1" applyFont="1" applyFill="1" applyBorder="1"/>
    <xf numFmtId="169" fontId="6" fillId="2" borderId="0" xfId="2" applyNumberFormat="1" applyFont="1" applyFill="1" applyBorder="1"/>
    <xf numFmtId="169" fontId="7" fillId="15" borderId="0" xfId="2" applyNumberFormat="1" applyFont="1" applyFill="1" applyBorder="1"/>
    <xf numFmtId="169" fontId="7" fillId="15" borderId="3" xfId="2" applyNumberFormat="1" applyFont="1" applyFill="1" applyBorder="1"/>
    <xf numFmtId="169" fontId="10" fillId="8" borderId="0" xfId="2" applyNumberFormat="1" applyFont="1" applyFill="1" applyBorder="1"/>
    <xf numFmtId="169" fontId="10" fillId="8" borderId="3" xfId="2" applyNumberFormat="1" applyFont="1" applyFill="1" applyBorder="1"/>
    <xf numFmtId="169" fontId="14" fillId="2" borderId="0" xfId="2" applyNumberFormat="1" applyFont="1" applyFill="1" applyBorder="1"/>
    <xf numFmtId="169" fontId="10" fillId="2" borderId="0" xfId="2" applyNumberFormat="1" applyFont="1" applyFill="1" applyBorder="1"/>
    <xf numFmtId="169" fontId="10" fillId="2" borderId="3" xfId="2" applyNumberFormat="1" applyFont="1" applyFill="1" applyBorder="1"/>
    <xf numFmtId="169" fontId="11" fillId="6" borderId="0" xfId="2" applyNumberFormat="1" applyFont="1" applyFill="1" applyBorder="1"/>
    <xf numFmtId="169" fontId="14" fillId="15" borderId="0" xfId="2" applyNumberFormat="1" applyFont="1" applyFill="1" applyBorder="1"/>
    <xf numFmtId="169" fontId="14" fillId="15" borderId="3" xfId="2" applyNumberFormat="1" applyFont="1" applyFill="1" applyBorder="1"/>
    <xf numFmtId="169" fontId="11" fillId="5" borderId="0" xfId="2" applyNumberFormat="1" applyFont="1" applyFill="1" applyBorder="1"/>
    <xf numFmtId="169" fontId="6" fillId="15" borderId="0" xfId="2" applyNumberFormat="1" applyFont="1" applyFill="1" applyBorder="1"/>
    <xf numFmtId="169" fontId="6" fillId="15" borderId="3" xfId="2" applyNumberFormat="1" applyFont="1" applyFill="1" applyBorder="1"/>
    <xf numFmtId="169" fontId="14" fillId="8" borderId="0" xfId="2" applyNumberFormat="1" applyFont="1" applyFill="1" applyBorder="1"/>
    <xf numFmtId="169" fontId="14" fillId="8" borderId="3" xfId="2" applyNumberFormat="1" applyFont="1" applyFill="1" applyBorder="1"/>
    <xf numFmtId="169" fontId="25" fillId="8" borderId="0" xfId="2" applyNumberFormat="1" applyFont="1" applyFill="1" applyBorder="1"/>
    <xf numFmtId="169" fontId="25" fillId="8" borderId="3" xfId="2" applyNumberFormat="1" applyFont="1" applyFill="1" applyBorder="1"/>
    <xf numFmtId="169" fontId="11" fillId="2" borderId="0" xfId="2" applyNumberFormat="1" applyFont="1" applyFill="1" applyBorder="1"/>
    <xf numFmtId="169" fontId="6" fillId="5" borderId="0" xfId="2" applyNumberFormat="1" applyFont="1" applyFill="1" applyBorder="1"/>
    <xf numFmtId="169" fontId="30" fillId="8" borderId="0" xfId="2" applyNumberFormat="1" applyFont="1" applyFill="1" applyBorder="1"/>
    <xf numFmtId="169" fontId="30" fillId="8" borderId="3" xfId="2" applyNumberFormat="1" applyFont="1" applyFill="1" applyBorder="1"/>
    <xf numFmtId="168" fontId="6" fillId="2" borderId="2" xfId="1" applyNumberFormat="1" applyFont="1" applyFill="1" applyBorder="1"/>
    <xf numFmtId="168"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164" fontId="6" fillId="2" borderId="2" xfId="2" applyNumberFormat="1" applyFont="1" applyFill="1" applyBorder="1"/>
    <xf numFmtId="164"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9" fontId="11" fillId="2" borderId="37" xfId="2" applyNumberFormat="1" applyFont="1" applyFill="1" applyBorder="1"/>
    <xf numFmtId="169" fontId="6" fillId="2" borderId="37" xfId="2" applyNumberFormat="1" applyFont="1" applyFill="1" applyBorder="1"/>
    <xf numFmtId="164" fontId="6" fillId="2" borderId="37" xfId="2" applyNumberFormat="1" applyFont="1" applyFill="1" applyBorder="1"/>
    <xf numFmtId="169" fontId="6" fillId="5" borderId="37" xfId="2" applyNumberFormat="1" applyFont="1" applyFill="1" applyBorder="1"/>
    <xf numFmtId="169" fontId="6" fillId="2" borderId="30" xfId="2" applyNumberFormat="1" applyFont="1" applyFill="1" applyBorder="1"/>
    <xf numFmtId="169" fontId="6" fillId="7" borderId="30" xfId="2" applyNumberFormat="1" applyFont="1" applyFill="1" applyBorder="1"/>
    <xf numFmtId="10" fontId="6" fillId="2" borderId="30" xfId="2" applyNumberFormat="1" applyFont="1" applyFill="1" applyBorder="1"/>
    <xf numFmtId="169" fontId="6" fillId="7" borderId="37" xfId="2" applyNumberFormat="1" applyFont="1" applyFill="1" applyBorder="1"/>
    <xf numFmtId="169" fontId="6" fillId="2" borderId="37" xfId="0" applyNumberFormat="1" applyFont="1" applyFill="1" applyBorder="1"/>
    <xf numFmtId="169" fontId="6" fillId="2" borderId="30" xfId="0" applyNumberFormat="1" applyFont="1" applyFill="1" applyBorder="1"/>
    <xf numFmtId="0" fontId="0" fillId="2" borderId="31" xfId="0" applyFill="1" applyBorder="1"/>
    <xf numFmtId="0" fontId="6" fillId="2" borderId="22" xfId="0" applyFont="1" applyFill="1" applyBorder="1"/>
    <xf numFmtId="169" fontId="6" fillId="2" borderId="38" xfId="0" applyNumberFormat="1" applyFont="1" applyFill="1" applyBorder="1"/>
    <xf numFmtId="169"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8" fontId="6" fillId="2" borderId="29" xfId="0" applyNumberFormat="1" applyFont="1" applyFill="1" applyBorder="1"/>
    <xf numFmtId="168" fontId="6" fillId="2" borderId="37" xfId="0" applyNumberFormat="1" applyFont="1" applyFill="1" applyBorder="1"/>
    <xf numFmtId="168" fontId="11" fillId="5" borderId="29" xfId="0" applyNumberFormat="1" applyFont="1" applyFill="1" applyBorder="1"/>
    <xf numFmtId="168" fontId="11" fillId="5" borderId="0" xfId="0" applyNumberFormat="1" applyFont="1" applyFill="1" applyBorder="1"/>
    <xf numFmtId="168" fontId="11" fillId="5" borderId="37" xfId="0" applyNumberFormat="1" applyFont="1" applyFill="1" applyBorder="1"/>
    <xf numFmtId="168" fontId="11" fillId="6" borderId="29" xfId="0" applyNumberFormat="1" applyFont="1" applyFill="1" applyBorder="1"/>
    <xf numFmtId="168" fontId="11" fillId="6" borderId="0" xfId="0" applyNumberFormat="1" applyFont="1" applyFill="1" applyBorder="1"/>
    <xf numFmtId="168" fontId="11" fillId="6" borderId="37" xfId="0" applyNumberFormat="1" applyFont="1" applyFill="1" applyBorder="1"/>
    <xf numFmtId="168" fontId="11" fillId="2" borderId="29" xfId="0" applyNumberFormat="1" applyFont="1" applyFill="1" applyBorder="1"/>
    <xf numFmtId="168" fontId="11" fillId="2" borderId="37" xfId="0" applyNumberFormat="1" applyFont="1" applyFill="1" applyBorder="1"/>
    <xf numFmtId="168" fontId="14" fillId="2" borderId="29" xfId="0" applyNumberFormat="1" applyFont="1" applyFill="1" applyBorder="1"/>
    <xf numFmtId="168" fontId="6" fillId="2" borderId="29" xfId="0" applyNumberFormat="1" applyFont="1" applyFill="1" applyBorder="1" applyAlignment="1">
      <alignment wrapText="1"/>
    </xf>
    <xf numFmtId="168" fontId="6" fillId="2" borderId="30" xfId="0" applyNumberFormat="1" applyFont="1" applyFill="1" applyBorder="1"/>
    <xf numFmtId="168" fontId="11" fillId="5" borderId="30" xfId="0" applyNumberFormat="1" applyFont="1" applyFill="1" applyBorder="1"/>
    <xf numFmtId="168" fontId="11" fillId="7" borderId="29" xfId="0" applyNumberFormat="1" applyFont="1" applyFill="1" applyBorder="1"/>
    <xf numFmtId="168" fontId="11" fillId="7" borderId="0" xfId="0" applyNumberFormat="1" applyFont="1" applyFill="1" applyBorder="1"/>
    <xf numFmtId="168" fontId="11" fillId="7" borderId="30" xfId="0" applyNumberFormat="1" applyFont="1" applyFill="1" applyBorder="1"/>
    <xf numFmtId="168" fontId="6" fillId="5" borderId="29" xfId="0" applyNumberFormat="1" applyFont="1" applyFill="1" applyBorder="1"/>
    <xf numFmtId="168" fontId="6" fillId="5" borderId="0" xfId="0" applyNumberFormat="1" applyFont="1" applyFill="1" applyBorder="1"/>
    <xf numFmtId="168" fontId="14" fillId="6" borderId="29" xfId="0" applyNumberFormat="1" applyFont="1" applyFill="1" applyBorder="1"/>
    <xf numFmtId="168" fontId="14" fillId="6" borderId="0" xfId="0" applyNumberFormat="1" applyFont="1" applyFill="1" applyBorder="1"/>
    <xf numFmtId="168" fontId="7" fillId="6" borderId="37" xfId="0" applyNumberFormat="1" applyFont="1" applyFill="1" applyBorder="1"/>
    <xf numFmtId="168" fontId="14" fillId="2" borderId="37" xfId="0" applyNumberFormat="1" applyFont="1" applyFill="1" applyBorder="1"/>
    <xf numFmtId="168" fontId="11" fillId="7" borderId="31" xfId="0" applyNumberFormat="1" applyFont="1" applyFill="1" applyBorder="1"/>
    <xf numFmtId="168" fontId="11" fillId="7" borderId="22" xfId="0" applyNumberFormat="1" applyFont="1" applyFill="1" applyBorder="1"/>
    <xf numFmtId="168" fontId="11" fillId="7" borderId="38" xfId="0" applyNumberFormat="1" applyFont="1" applyFill="1" applyBorder="1"/>
    <xf numFmtId="168"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8"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0" fontId="0" fillId="2" borderId="5" xfId="0" applyFill="1" applyBorder="1"/>
    <xf numFmtId="0" fontId="0" fillId="2" borderId="6" xfId="0" applyFill="1" applyBorder="1"/>
    <xf numFmtId="166" fontId="0" fillId="2" borderId="0" xfId="1" applyNumberFormat="1" applyFont="1" applyFill="1" applyBorder="1"/>
    <xf numFmtId="168" fontId="0" fillId="0" borderId="2" xfId="0" applyNumberFormat="1" applyBorder="1"/>
    <xf numFmtId="168" fontId="0" fillId="0" borderId="3" xfId="0" applyNumberFormat="1" applyBorder="1"/>
    <xf numFmtId="168" fontId="11" fillId="6" borderId="30" xfId="0" applyNumberFormat="1" applyFont="1" applyFill="1" applyBorder="1"/>
    <xf numFmtId="168" fontId="14" fillId="2" borderId="29" xfId="0" applyNumberFormat="1" applyFont="1" applyFill="1" applyBorder="1" applyAlignment="1">
      <alignment wrapText="1"/>
    </xf>
    <xf numFmtId="168" fontId="14" fillId="2" borderId="0" xfId="0" applyNumberFormat="1" applyFont="1" applyFill="1" applyBorder="1" applyAlignment="1">
      <alignment wrapText="1"/>
    </xf>
    <xf numFmtId="168" fontId="14" fillId="6" borderId="37" xfId="0" applyNumberFormat="1" applyFont="1" applyFill="1" applyBorder="1"/>
    <xf numFmtId="0" fontId="28" fillId="2" borderId="31" xfId="0" applyFont="1" applyFill="1" applyBorder="1"/>
    <xf numFmtId="0" fontId="28" fillId="2" borderId="22" xfId="0" applyFont="1" applyFill="1" applyBorder="1"/>
    <xf numFmtId="168" fontId="28" fillId="2" borderId="22" xfId="0" applyNumberFormat="1" applyFont="1" applyFill="1" applyBorder="1"/>
    <xf numFmtId="168"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8" fontId="6" fillId="2" borderId="37" xfId="1" applyNumberFormat="1" applyFont="1" applyFill="1" applyBorder="1"/>
    <xf numFmtId="0" fontId="6" fillId="2" borderId="29" xfId="0" applyFont="1" applyFill="1" applyBorder="1" applyAlignment="1">
      <alignment wrapText="1"/>
    </xf>
    <xf numFmtId="168" fontId="0" fillId="0" borderId="37" xfId="0" applyNumberFormat="1" applyBorder="1"/>
    <xf numFmtId="0" fontId="0" fillId="7" borderId="22" xfId="0" applyFill="1" applyBorder="1"/>
    <xf numFmtId="168" fontId="11" fillId="7" borderId="53" xfId="0" applyNumberFormat="1" applyFont="1" applyFill="1" applyBorder="1"/>
    <xf numFmtId="164" fontId="6" fillId="2" borderId="37" xfId="2" applyFont="1" applyFill="1" applyBorder="1"/>
    <xf numFmtId="164" fontId="6" fillId="7" borderId="2" xfId="2" applyNumberFormat="1" applyFont="1" applyFill="1" applyBorder="1"/>
    <xf numFmtId="10" fontId="6" fillId="2" borderId="2" xfId="1" applyNumberFormat="1" applyFont="1" applyFill="1" applyBorder="1"/>
    <xf numFmtId="169" fontId="6" fillId="5" borderId="30" xfId="2" applyNumberFormat="1" applyFont="1" applyFill="1" applyBorder="1"/>
    <xf numFmtId="164" fontId="6" fillId="2" borderId="30" xfId="2" applyNumberFormat="1" applyFont="1" applyFill="1" applyBorder="1"/>
    <xf numFmtId="164" fontId="6" fillId="7" borderId="30" xfId="2" applyNumberFormat="1" applyFont="1" applyFill="1" applyBorder="1"/>
    <xf numFmtId="10" fontId="6" fillId="2" borderId="30" xfId="1" applyNumberFormat="1" applyFont="1" applyFill="1" applyBorder="1"/>
    <xf numFmtId="0" fontId="0" fillId="2" borderId="48" xfId="0" applyFill="1" applyBorder="1"/>
    <xf numFmtId="10" fontId="0" fillId="2" borderId="0" xfId="1" applyNumberFormat="1" applyFont="1" applyFill="1" applyBorder="1"/>
    <xf numFmtId="10" fontId="0" fillId="2" borderId="0" xfId="1" applyNumberFormat="1" applyFont="1" applyFill="1"/>
    <xf numFmtId="168" fontId="11" fillId="7" borderId="37" xfId="0" applyNumberFormat="1" applyFont="1" applyFill="1" applyBorder="1"/>
    <xf numFmtId="168"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0" fontId="0" fillId="2" borderId="22" xfId="0" applyFill="1" applyBorder="1"/>
    <xf numFmtId="0" fontId="0" fillId="2" borderId="56" xfId="0" applyFill="1" applyBorder="1"/>
    <xf numFmtId="0" fontId="6" fillId="8" borderId="0" xfId="0" applyFont="1" applyFill="1"/>
    <xf numFmtId="0" fontId="6" fillId="3" borderId="0" xfId="0" applyFont="1" applyFill="1"/>
    <xf numFmtId="0" fontId="16" fillId="2" borderId="0" xfId="0" applyFont="1" applyFill="1"/>
    <xf numFmtId="0" fontId="36" fillId="2" borderId="0" xfId="0" applyFont="1" applyFill="1"/>
    <xf numFmtId="10" fontId="6" fillId="2" borderId="3" xfId="1" applyNumberFormat="1" applyFont="1" applyFill="1" applyBorder="1"/>
    <xf numFmtId="172" fontId="6" fillId="2" borderId="0" xfId="0" applyNumberFormat="1" applyFont="1" applyFill="1"/>
    <xf numFmtId="166" fontId="0" fillId="2" borderId="3" xfId="0" applyNumberFormat="1" applyFill="1" applyBorder="1"/>
    <xf numFmtId="10" fontId="6" fillId="2" borderId="0" xfId="1" applyNumberFormat="1" applyFont="1" applyFill="1"/>
    <xf numFmtId="166" fontId="6" fillId="2" borderId="3" xfId="0" applyNumberFormat="1" applyFont="1" applyFill="1" applyBorder="1"/>
    <xf numFmtId="167" fontId="6" fillId="2" borderId="3" xfId="0" applyNumberFormat="1" applyFont="1" applyFill="1" applyBorder="1"/>
    <xf numFmtId="167" fontId="0" fillId="2" borderId="3" xfId="0" applyNumberFormat="1" applyFill="1" applyBorder="1"/>
    <xf numFmtId="0" fontId="11" fillId="2" borderId="0" xfId="0" applyFont="1" applyFill="1"/>
    <xf numFmtId="166"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7" fillId="2" borderId="0" xfId="0" applyFont="1" applyFill="1"/>
    <xf numFmtId="0" fontId="3" fillId="2" borderId="0" xfId="0" applyFont="1" applyFill="1" applyBorder="1"/>
    <xf numFmtId="0" fontId="38" fillId="8" borderId="0" xfId="0" applyFont="1" applyFill="1"/>
    <xf numFmtId="0" fontId="39" fillId="8" borderId="0" xfId="0" applyFont="1" applyFill="1"/>
    <xf numFmtId="10" fontId="6" fillId="2" borderId="0" xfId="0" applyNumberFormat="1" applyFont="1" applyFill="1"/>
    <xf numFmtId="166"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1" fillId="2" borderId="0" xfId="0" applyFont="1" applyFill="1"/>
    <xf numFmtId="10" fontId="41" fillId="2" borderId="0" xfId="1" applyNumberFormat="1" applyFont="1" applyFill="1"/>
    <xf numFmtId="0" fontId="41" fillId="2" borderId="0" xfId="0" applyFont="1" applyFill="1" applyAlignment="1">
      <alignment horizontal="left"/>
    </xf>
    <xf numFmtId="164" fontId="41" fillId="2" borderId="0" xfId="2" applyFont="1" applyFill="1"/>
    <xf numFmtId="10" fontId="41" fillId="2" borderId="0" xfId="1" applyNumberFormat="1" applyFont="1" applyFill="1" applyBorder="1"/>
    <xf numFmtId="0" fontId="6" fillId="7" borderId="0" xfId="0" applyFont="1" applyFill="1"/>
    <xf numFmtId="169" fontId="6" fillId="2" borderId="0" xfId="2" applyNumberFormat="1" applyFont="1" applyFill="1"/>
    <xf numFmtId="169" fontId="6" fillId="7" borderId="0" xfId="2" applyNumberFormat="1" applyFont="1" applyFill="1"/>
    <xf numFmtId="169" fontId="6" fillId="7" borderId="0" xfId="2" applyNumberFormat="1" applyFont="1" applyFill="1" applyBorder="1"/>
    <xf numFmtId="164" fontId="6" fillId="2" borderId="0" xfId="0" applyNumberFormat="1" applyFont="1" applyFill="1"/>
    <xf numFmtId="0" fontId="42"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164" fontId="6" fillId="6" borderId="0" xfId="0" applyNumberFormat="1" applyFont="1" applyFill="1"/>
    <xf numFmtId="164" fontId="6" fillId="7" borderId="0" xfId="0" applyNumberFormat="1" applyFont="1" applyFill="1"/>
    <xf numFmtId="0" fontId="2" fillId="2" borderId="0" xfId="0" applyFont="1" applyFill="1"/>
    <xf numFmtId="10" fontId="0" fillId="2" borderId="30" xfId="1" applyNumberFormat="1" applyFont="1" applyFill="1" applyBorder="1"/>
    <xf numFmtId="174" fontId="0" fillId="2" borderId="48" xfId="0" applyNumberFormat="1" applyFill="1" applyBorder="1"/>
    <xf numFmtId="10" fontId="0" fillId="2" borderId="48" xfId="1" applyNumberFormat="1" applyFont="1" applyFill="1" applyBorder="1"/>
    <xf numFmtId="10"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3"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0" fontId="31" fillId="5" borderId="26" xfId="0" applyFont="1" applyFill="1" applyBorder="1"/>
    <xf numFmtId="0" fontId="31" fillId="23" borderId="60" xfId="0" applyFont="1" applyFill="1" applyBorder="1"/>
    <xf numFmtId="0" fontId="0" fillId="2" borderId="61" xfId="0" applyFill="1" applyBorder="1"/>
    <xf numFmtId="168" fontId="43" fillId="2" borderId="61" xfId="0" applyNumberFormat="1" applyFont="1"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4"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4" fillId="2" borderId="61" xfId="0" applyFont="1" applyFill="1" applyBorder="1"/>
    <xf numFmtId="0" fontId="44" fillId="2" borderId="62"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0" fontId="31" fillId="20" borderId="58" xfId="0" applyFont="1" applyFill="1" applyBorder="1"/>
    <xf numFmtId="10" fontId="0" fillId="9" borderId="30" xfId="1" applyNumberFormat="1" applyFont="1" applyFill="1" applyBorder="1"/>
    <xf numFmtId="9" fontId="0" fillId="2" borderId="34"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4" fontId="0" fillId="2" borderId="0" xfId="1" applyNumberFormat="1" applyFont="1" applyFill="1"/>
    <xf numFmtId="174" fontId="0" fillId="2" borderId="48" xfId="1" applyNumberFormat="1" applyFont="1" applyFill="1" applyBorder="1"/>
    <xf numFmtId="2" fontId="0" fillId="2" borderId="50" xfId="0" applyNumberFormat="1" applyFill="1" applyBorder="1"/>
    <xf numFmtId="0" fontId="0" fillId="0" borderId="48" xfId="0"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2" fontId="2" fillId="2" borderId="7" xfId="0" applyNumberFormat="1" applyFont="1" applyFill="1" applyBorder="1"/>
    <xf numFmtId="2" fontId="2" fillId="2" borderId="54" xfId="0" applyNumberFormat="1" applyFont="1" applyFill="1" applyBorder="1"/>
    <xf numFmtId="167" fontId="0" fillId="2" borderId="35" xfId="0" applyNumberFormat="1" applyFill="1" applyBorder="1"/>
    <xf numFmtId="167" fontId="0" fillId="2" borderId="0" xfId="0" applyNumberFormat="1" applyFill="1" applyBorder="1"/>
    <xf numFmtId="166" fontId="0" fillId="2" borderId="0" xfId="0" applyNumberFormat="1" applyFill="1" applyBorder="1"/>
    <xf numFmtId="0" fontId="22" fillId="20" borderId="39" xfId="0" applyFont="1" applyFill="1" applyBorder="1"/>
    <xf numFmtId="0" fontId="6" fillId="20" borderId="39" xfId="0" applyFont="1" applyFill="1" applyBorder="1"/>
    <xf numFmtId="0" fontId="22" fillId="20" borderId="26" xfId="0" applyFont="1" applyFill="1" applyBorder="1"/>
    <xf numFmtId="0" fontId="11" fillId="2" borderId="40" xfId="0" applyFont="1" applyFill="1" applyBorder="1"/>
    <xf numFmtId="0" fontId="22" fillId="21"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2" borderId="19" xfId="0" applyFont="1" applyFill="1" applyBorder="1"/>
    <xf numFmtId="0" fontId="6" fillId="19" borderId="28" xfId="0" applyFont="1" applyFill="1" applyBorder="1"/>
    <xf numFmtId="0" fontId="11" fillId="19" borderId="51" xfId="0" applyFont="1" applyFill="1" applyBorder="1"/>
    <xf numFmtId="0" fontId="6" fillId="2" borderId="10" xfId="0" applyFont="1" applyFill="1" applyBorder="1"/>
    <xf numFmtId="0" fontId="22" fillId="22" borderId="21" xfId="0" applyFont="1" applyFill="1" applyBorder="1"/>
    <xf numFmtId="0" fontId="6" fillId="19" borderId="31" xfId="0" applyFont="1" applyFill="1" applyBorder="1"/>
    <xf numFmtId="0" fontId="11" fillId="19" borderId="52" xfId="0" applyFont="1" applyFill="1" applyBorder="1"/>
    <xf numFmtId="0" fontId="11" fillId="19"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1" borderId="5" xfId="0" applyFont="1" applyFill="1" applyBorder="1"/>
    <xf numFmtId="0" fontId="22" fillId="21" borderId="1" xfId="0" applyFont="1" applyFill="1" applyBorder="1"/>
    <xf numFmtId="0" fontId="22" fillId="21"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0" fontId="22" fillId="13" borderId="5" xfId="0" applyFont="1" applyFill="1" applyBorder="1"/>
    <xf numFmtId="171" fontId="22" fillId="13" borderId="39" xfId="1" applyNumberFormat="1" applyFont="1" applyFill="1" applyBorder="1"/>
    <xf numFmtId="171" fontId="6" fillId="2" borderId="0" xfId="1" applyNumberFormat="1" applyFont="1" applyFill="1"/>
    <xf numFmtId="0" fontId="22" fillId="20" borderId="5" xfId="0" applyFont="1" applyFill="1" applyBorder="1"/>
    <xf numFmtId="0" fontId="22" fillId="20"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0" borderId="26" xfId="0" applyNumberFormat="1" applyFont="1" applyFill="1" applyBorder="1"/>
    <xf numFmtId="0" fontId="6" fillId="2" borderId="21" xfId="0" applyFont="1" applyFill="1" applyBorder="1"/>
    <xf numFmtId="0" fontId="6" fillId="2" borderId="32" xfId="0" applyFont="1" applyFill="1" applyBorder="1"/>
    <xf numFmtId="0" fontId="47" fillId="3" borderId="19" xfId="0" applyFont="1" applyFill="1" applyBorder="1"/>
    <xf numFmtId="0" fontId="6" fillId="3" borderId="1"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170" fontId="11" fillId="2" borderId="29" xfId="0" applyNumberFormat="1" applyFont="1" applyFill="1" applyBorder="1"/>
    <xf numFmtId="2" fontId="6" fillId="2" borderId="45" xfId="0" applyNumberFormat="1" applyFont="1" applyFill="1" applyBorder="1"/>
    <xf numFmtId="2" fontId="6" fillId="2" borderId="45" xfId="2" applyNumberFormat="1" applyFont="1" applyFill="1" applyBorder="1"/>
    <xf numFmtId="0" fontId="22" fillId="17" borderId="40" xfId="0" applyFont="1" applyFill="1" applyBorder="1"/>
    <xf numFmtId="166" fontId="48"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6" fontId="48" fillId="13" borderId="17" xfId="1" applyNumberFormat="1" applyFont="1" applyFill="1" applyBorder="1"/>
    <xf numFmtId="10" fontId="48"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0" fillId="8" borderId="0" xfId="0" applyFont="1" applyFill="1" applyBorder="1" applyAlignment="1"/>
    <xf numFmtId="14" fontId="22" fillId="3" borderId="57" xfId="0" applyNumberFormat="1" applyFont="1" applyFill="1" applyBorder="1"/>
    <xf numFmtId="169" fontId="6" fillId="2" borderId="57" xfId="2" applyNumberFormat="1" applyFont="1" applyFill="1" applyBorder="1"/>
    <xf numFmtId="10" fontId="41" fillId="2" borderId="57" xfId="1" applyNumberFormat="1" applyFont="1" applyFill="1" applyBorder="1"/>
    <xf numFmtId="169" fontId="6" fillId="7" borderId="57" xfId="2" applyNumberFormat="1" applyFont="1" applyFill="1" applyBorder="1"/>
    <xf numFmtId="0" fontId="49"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6" fillId="2" borderId="48" xfId="0" applyFont="1" applyFill="1" applyBorder="1"/>
    <xf numFmtId="0" fontId="11" fillId="2" borderId="48" xfId="0" applyFont="1" applyFill="1" applyBorder="1"/>
    <xf numFmtId="0" fontId="0" fillId="2" borderId="14" xfId="0" applyFill="1" applyBorder="1"/>
    <xf numFmtId="0" fontId="36" fillId="2" borderId="14" xfId="0" applyFont="1" applyFill="1" applyBorder="1" applyAlignment="1">
      <alignment wrapText="1"/>
    </xf>
    <xf numFmtId="0" fontId="6" fillId="2" borderId="14" xfId="0" applyFont="1" applyFill="1" applyBorder="1"/>
    <xf numFmtId="0" fontId="36" fillId="2" borderId="14" xfId="0" applyFont="1" applyFill="1" applyBorder="1"/>
    <xf numFmtId="0" fontId="6" fillId="2" borderId="34" xfId="0" applyFont="1" applyFill="1" applyBorder="1"/>
    <xf numFmtId="166" fontId="6" fillId="2" borderId="65" xfId="1" applyNumberFormat="1" applyFont="1" applyFill="1" applyBorder="1"/>
    <xf numFmtId="0" fontId="36" fillId="2" borderId="34" xfId="0" applyFont="1" applyFill="1" applyBorder="1"/>
    <xf numFmtId="167" fontId="6" fillId="2" borderId="65"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0" fontId="0" fillId="2" borderId="0" xfId="0" applyNumberFormat="1" applyFill="1" applyBorder="1"/>
    <xf numFmtId="2" fontId="0" fillId="2" borderId="0" xfId="1" applyNumberFormat="1" applyFont="1" applyFill="1" applyBorder="1"/>
    <xf numFmtId="2" fontId="0" fillId="2" borderId="0" xfId="0" applyNumberFormat="1" applyFill="1" applyBorder="1"/>
    <xf numFmtId="174" fontId="0" fillId="2" borderId="0" xfId="1" applyNumberFormat="1" applyFont="1" applyFill="1" applyBorder="1"/>
    <xf numFmtId="167" fontId="0" fillId="2" borderId="0" xfId="1" applyNumberFormat="1" applyFont="1" applyFill="1" applyBorder="1"/>
    <xf numFmtId="168" fontId="0" fillId="0" borderId="30" xfId="0" applyNumberFormat="1" applyFont="1" applyBorder="1"/>
    <xf numFmtId="0" fontId="0" fillId="2" borderId="30" xfId="0" applyFont="1" applyFill="1" applyBorder="1"/>
    <xf numFmtId="168" fontId="11" fillId="2" borderId="30" xfId="0" applyNumberFormat="1" applyFont="1" applyFill="1" applyBorder="1"/>
    <xf numFmtId="168" fontId="6" fillId="0" borderId="30" xfId="0" applyNumberFormat="1" applyFont="1" applyBorder="1"/>
    <xf numFmtId="168" fontId="6" fillId="18" borderId="30" xfId="0" applyNumberFormat="1" applyFont="1" applyFill="1" applyBorder="1"/>
    <xf numFmtId="168" fontId="6" fillId="5" borderId="30" xfId="0" applyNumberFormat="1" applyFont="1" applyFill="1" applyBorder="1"/>
    <xf numFmtId="168" fontId="11" fillId="7" borderId="32" xfId="0" applyNumberFormat="1" applyFont="1" applyFill="1" applyBorder="1"/>
    <xf numFmtId="169" fontId="0" fillId="2" borderId="2" xfId="2" applyNumberFormat="1" applyFont="1" applyFill="1" applyBorder="1"/>
    <xf numFmtId="168" fontId="6" fillId="18" borderId="3" xfId="0" applyNumberFormat="1" applyFont="1" applyFill="1" applyBorder="1"/>
    <xf numFmtId="169" fontId="0" fillId="2" borderId="3" xfId="2" applyNumberFormat="1" applyFont="1" applyFill="1" applyBorder="1"/>
    <xf numFmtId="168" fontId="6" fillId="18" borderId="2" xfId="0" applyNumberFormat="1" applyFont="1" applyFill="1" applyBorder="1"/>
    <xf numFmtId="10" fontId="6" fillId="2" borderId="3" xfId="2" applyNumberFormat="1" applyFont="1" applyFill="1" applyBorder="1"/>
    <xf numFmtId="169" fontId="6" fillId="2" borderId="53" xfId="0" applyNumberFormat="1" applyFont="1" applyFill="1" applyBorder="1"/>
    <xf numFmtId="10" fontId="6" fillId="2" borderId="37" xfId="2" applyNumberFormat="1" applyFont="1" applyFill="1" applyBorder="1"/>
    <xf numFmtId="169" fontId="6" fillId="2" borderId="46" xfId="0" applyNumberFormat="1" applyFont="1" applyFill="1" applyBorder="1"/>
    <xf numFmtId="0" fontId="4" fillId="8" borderId="27" xfId="0" applyFont="1" applyFill="1" applyBorder="1"/>
    <xf numFmtId="0" fontId="5" fillId="8" borderId="0" xfId="0" applyFont="1" applyFill="1" applyBorder="1"/>
    <xf numFmtId="165" fontId="35" fillId="3" borderId="0" xfId="0" applyNumberFormat="1" applyFont="1" applyFill="1" applyBorder="1" applyAlignment="1">
      <alignment horizontal="center" vertical="center"/>
    </xf>
    <xf numFmtId="166" fontId="6" fillId="2" borderId="30" xfId="1" applyNumberFormat="1" applyFont="1" applyFill="1" applyBorder="1"/>
    <xf numFmtId="166" fontId="6" fillId="2" borderId="30" xfId="0" applyNumberFormat="1" applyFont="1" applyFill="1" applyBorder="1"/>
    <xf numFmtId="167" fontId="6" fillId="2" borderId="30" xfId="0" applyNumberFormat="1" applyFont="1" applyFill="1" applyBorder="1"/>
    <xf numFmtId="1" fontId="6" fillId="2" borderId="30" xfId="0" applyNumberFormat="1" applyFont="1" applyFill="1" applyBorder="1"/>
    <xf numFmtId="166" fontId="50" fillId="2" borderId="30" xfId="1" applyNumberFormat="1" applyFont="1" applyFill="1" applyBorder="1"/>
    <xf numFmtId="0" fontId="0" fillId="2" borderId="52" xfId="0" applyFill="1" applyBorder="1"/>
    <xf numFmtId="10" fontId="6" fillId="2" borderId="0" xfId="1" applyNumberFormat="1" applyFont="1" applyFill="1" applyBorder="1"/>
    <xf numFmtId="166" fontId="6" fillId="2" borderId="0" xfId="0" applyNumberFormat="1" applyFont="1" applyFill="1" applyBorder="1"/>
    <xf numFmtId="166" fontId="6" fillId="2" borderId="35" xfId="1" applyNumberFormat="1" applyFont="1" applyFill="1" applyBorder="1"/>
    <xf numFmtId="167" fontId="6" fillId="2" borderId="0" xfId="0" applyNumberFormat="1" applyFont="1" applyFill="1" applyBorder="1"/>
    <xf numFmtId="167" fontId="6" fillId="2" borderId="35" xfId="0" applyNumberFormat="1" applyFont="1" applyFill="1" applyBorder="1"/>
    <xf numFmtId="1" fontId="6" fillId="2" borderId="0" xfId="0" applyNumberFormat="1" applyFont="1" applyFill="1" applyBorder="1"/>
    <xf numFmtId="166" fontId="50" fillId="2" borderId="0" xfId="1" applyNumberFormat="1" applyFont="1" applyFill="1" applyBorder="1"/>
    <xf numFmtId="166" fontId="0" fillId="2" borderId="30" xfId="0" applyNumberFormat="1" applyFill="1" applyBorder="1"/>
    <xf numFmtId="166" fontId="6" fillId="2" borderId="45" xfId="1" applyNumberFormat="1" applyFont="1" applyFill="1" applyBorder="1"/>
    <xf numFmtId="167" fontId="0" fillId="2" borderId="30" xfId="0" applyNumberFormat="1" applyFill="1" applyBorder="1"/>
    <xf numFmtId="167" fontId="6" fillId="2" borderId="45" xfId="0" applyNumberFormat="1" applyFont="1" applyFill="1" applyBorder="1"/>
    <xf numFmtId="1" fontId="6" fillId="2" borderId="3" xfId="0" applyNumberFormat="1" applyFont="1" applyFill="1" applyBorder="1"/>
    <xf numFmtId="166" fontId="50"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2" xfId="0" applyFont="1" applyFill="1" applyBorder="1"/>
    <xf numFmtId="0" fontId="0" fillId="2" borderId="62" xfId="0" applyFill="1" applyBorder="1"/>
    <xf numFmtId="0" fontId="2" fillId="2" borderId="64" xfId="0" applyFont="1" applyFill="1" applyBorder="1"/>
    <xf numFmtId="0" fontId="0" fillId="2" borderId="66"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6" xfId="0" applyFill="1" applyBorder="1"/>
    <xf numFmtId="0" fontId="2" fillId="2" borderId="66" xfId="0" applyFont="1" applyFill="1" applyBorder="1"/>
    <xf numFmtId="0" fontId="2" fillId="2" borderId="22" xfId="0" applyFont="1" applyFill="1" applyBorder="1"/>
    <xf numFmtId="0" fontId="2" fillId="2" borderId="56" xfId="0" applyFont="1" applyFill="1" applyBorder="1"/>
    <xf numFmtId="0" fontId="0" fillId="13" borderId="60" xfId="0" applyFill="1" applyBorder="1"/>
    <xf numFmtId="167" fontId="0" fillId="2" borderId="34" xfId="0" applyNumberFormat="1" applyFill="1" applyBorder="1"/>
    <xf numFmtId="0" fontId="6" fillId="2" borderId="0" xfId="0" applyFont="1" applyFill="1" applyAlignment="1">
      <alignment horizontal="left"/>
    </xf>
    <xf numFmtId="2" fontId="0" fillId="2" borderId="0" xfId="1" applyNumberFormat="1" applyFont="1" applyFill="1"/>
    <xf numFmtId="14" fontId="22" fillId="2" borderId="0" xfId="0" applyNumberFormat="1" applyFont="1" applyFill="1" applyBorder="1" applyAlignment="1">
      <alignment horizontal="center" vertical="center"/>
    </xf>
    <xf numFmtId="164" fontId="6" fillId="2" borderId="0" xfId="2" applyFont="1" applyFill="1"/>
    <xf numFmtId="169" fontId="6" fillId="2" borderId="0" xfId="0" applyNumberFormat="1" applyFont="1" applyFill="1"/>
    <xf numFmtId="0" fontId="52" fillId="2" borderId="0" xfId="0" applyFont="1" applyFill="1"/>
    <xf numFmtId="0" fontId="53" fillId="2" borderId="0" xfId="0" applyFont="1" applyFill="1"/>
    <xf numFmtId="173" fontId="6" fillId="2" borderId="0" xfId="0" applyNumberFormat="1" applyFont="1" applyFill="1"/>
    <xf numFmtId="0" fontId="54" fillId="0" borderId="0" xfId="0" applyFont="1"/>
    <xf numFmtId="0" fontId="55" fillId="2" borderId="0" xfId="0" applyFont="1" applyFill="1"/>
    <xf numFmtId="10" fontId="55" fillId="2" borderId="0" xfId="1" applyNumberFormat="1" applyFont="1" applyFill="1"/>
    <xf numFmtId="1" fontId="6" fillId="2" borderId="57" xfId="0" applyNumberFormat="1" applyFont="1" applyFill="1" applyBorder="1"/>
    <xf numFmtId="164" fontId="6" fillId="2" borderId="0" xfId="0" applyNumberFormat="1" applyFont="1" applyFill="1" applyBorder="1"/>
    <xf numFmtId="169" fontId="6" fillId="2" borderId="57" xfId="2" applyNumberFormat="1" applyFont="1" applyFill="1" applyBorder="1" applyAlignment="1">
      <alignment horizontal="right"/>
    </xf>
    <xf numFmtId="169" fontId="6" fillId="2" borderId="0" xfId="2" applyNumberFormat="1" applyFont="1" applyFill="1" applyBorder="1" applyAlignment="1">
      <alignment horizontal="right"/>
    </xf>
    <xf numFmtId="0" fontId="6" fillId="5" borderId="0" xfId="0" applyFont="1" applyFill="1"/>
    <xf numFmtId="1" fontId="6" fillId="5" borderId="0" xfId="0" applyNumberFormat="1" applyFont="1" applyFill="1"/>
    <xf numFmtId="1" fontId="6" fillId="5" borderId="57" xfId="0" applyNumberFormat="1" applyFont="1" applyFill="1" applyBorder="1"/>
    <xf numFmtId="1" fontId="6" fillId="5" borderId="0" xfId="0" applyNumberFormat="1" applyFont="1" applyFill="1" applyBorder="1"/>
    <xf numFmtId="9" fontId="56" fillId="2" borderId="57" xfId="1" applyFont="1" applyFill="1" applyBorder="1"/>
    <xf numFmtId="9" fontId="56" fillId="2" borderId="0" xfId="1" applyFont="1" applyFill="1" applyBorder="1"/>
    <xf numFmtId="164" fontId="6" fillId="2" borderId="0" xfId="2" applyNumberFormat="1" applyFont="1" applyFill="1" applyBorder="1"/>
    <xf numFmtId="9" fontId="6" fillId="2" borderId="0" xfId="0" applyNumberFormat="1" applyFont="1" applyFill="1"/>
    <xf numFmtId="0" fontId="56" fillId="2" borderId="0" xfId="0" applyFont="1" applyFill="1"/>
    <xf numFmtId="9" fontId="56" fillId="2" borderId="0" xfId="1" applyFont="1" applyFill="1"/>
    <xf numFmtId="0" fontId="56" fillId="2" borderId="0" xfId="0" applyFont="1" applyFill="1" applyBorder="1"/>
    <xf numFmtId="0" fontId="0" fillId="2" borderId="57" xfId="0" applyFill="1" applyBorder="1"/>
    <xf numFmtId="169" fontId="6" fillId="2" borderId="57" xfId="0" applyNumberFormat="1" applyFont="1" applyFill="1" applyBorder="1"/>
    <xf numFmtId="169" fontId="6" fillId="2" borderId="0" xfId="0" applyNumberFormat="1" applyFont="1" applyFill="1" applyBorder="1"/>
    <xf numFmtId="9" fontId="6" fillId="2" borderId="0" xfId="1" applyFont="1" applyFill="1" applyBorder="1"/>
    <xf numFmtId="9" fontId="6" fillId="2" borderId="0" xfId="0" applyNumberFormat="1" applyFont="1" applyFill="1" applyAlignment="1">
      <alignment horizontal="left"/>
    </xf>
    <xf numFmtId="169" fontId="6" fillId="6" borderId="0" xfId="2" applyNumberFormat="1" applyFont="1" applyFill="1" applyBorder="1"/>
    <xf numFmtId="169" fontId="6" fillId="6" borderId="57" xfId="2" applyNumberFormat="1" applyFont="1" applyFill="1" applyBorder="1"/>
    <xf numFmtId="0" fontId="0" fillId="6" borderId="0" xfId="0" applyFill="1"/>
    <xf numFmtId="1" fontId="6" fillId="6" borderId="0" xfId="0" applyNumberFormat="1" applyFont="1" applyFill="1"/>
    <xf numFmtId="169" fontId="6" fillId="6" borderId="57" xfId="0" applyNumberFormat="1" applyFont="1" applyFill="1" applyBorder="1"/>
    <xf numFmtId="169" fontId="6" fillId="6" borderId="0" xfId="0" applyNumberFormat="1" applyFont="1" applyFill="1" applyBorder="1"/>
    <xf numFmtId="10" fontId="0" fillId="0" borderId="0" xfId="0" applyNumberFormat="1"/>
    <xf numFmtId="169" fontId="22" fillId="2" borderId="0" xfId="2" applyNumberFormat="1" applyFont="1" applyFill="1" applyBorder="1"/>
    <xf numFmtId="9" fontId="22" fillId="2" borderId="0" xfId="1" applyFont="1" applyFill="1" applyBorder="1"/>
    <xf numFmtId="9" fontId="22" fillId="2" borderId="0" xfId="1" applyFont="1" applyFill="1" applyBorder="1" applyAlignment="1">
      <alignment horizontal="right"/>
    </xf>
    <xf numFmtId="164" fontId="22" fillId="2" borderId="0" xfId="2" applyFont="1" applyFill="1" applyBorder="1"/>
    <xf numFmtId="9" fontId="22" fillId="2" borderId="0" xfId="1" applyFont="1" applyFill="1"/>
    <xf numFmtId="0" fontId="22" fillId="16" borderId="1" xfId="0" applyFont="1" applyFill="1" applyBorder="1"/>
    <xf numFmtId="10" fontId="6" fillId="2" borderId="35" xfId="0" applyNumberFormat="1" applyFont="1" applyFill="1" applyBorder="1"/>
    <xf numFmtId="10" fontId="6" fillId="2" borderId="0" xfId="0" applyNumberFormat="1" applyFont="1" applyFill="1" applyBorder="1"/>
    <xf numFmtId="2" fontId="6" fillId="2" borderId="35" xfId="2" applyNumberFormat="1" applyFont="1" applyFill="1" applyBorder="1"/>
    <xf numFmtId="166" fontId="48" fillId="17" borderId="47" xfId="1" applyNumberFormat="1" applyFont="1" applyFill="1" applyBorder="1"/>
    <xf numFmtId="166" fontId="48" fillId="13" borderId="68" xfId="1" applyNumberFormat="1" applyFont="1" applyFill="1" applyBorder="1"/>
    <xf numFmtId="0" fontId="6" fillId="2" borderId="28" xfId="0" applyFont="1" applyFill="1" applyBorder="1"/>
    <xf numFmtId="10" fontId="0" fillId="0" borderId="31" xfId="0" applyNumberFormat="1" applyBorder="1"/>
    <xf numFmtId="10" fontId="6" fillId="2" borderId="31" xfId="0" applyNumberFormat="1" applyFont="1" applyFill="1" applyBorder="1"/>
    <xf numFmtId="10" fontId="48" fillId="2" borderId="0" xfId="1" applyNumberFormat="1" applyFont="1" applyFill="1" applyBorder="1"/>
    <xf numFmtId="169" fontId="6" fillId="6" borderId="0" xfId="2" applyNumberFormat="1" applyFont="1" applyFill="1"/>
    <xf numFmtId="14" fontId="22" fillId="3" borderId="0" xfId="2" applyNumberFormat="1" applyFont="1" applyFill="1"/>
    <xf numFmtId="14" fontId="22" fillId="3" borderId="57" xfId="2" applyNumberFormat="1" applyFont="1" applyFill="1" applyBorder="1"/>
    <xf numFmtId="14" fontId="22" fillId="3" borderId="0" xfId="2" applyNumberFormat="1" applyFont="1" applyFill="1" applyBorder="1"/>
    <xf numFmtId="168" fontId="8" fillId="2" borderId="0" xfId="0" applyNumberFormat="1" applyFont="1" applyFill="1" applyBorder="1"/>
    <xf numFmtId="164" fontId="31" fillId="2" borderId="0" xfId="2" applyFont="1" applyFill="1"/>
    <xf numFmtId="169" fontId="22" fillId="2" borderId="0" xfId="2" applyNumberFormat="1" applyFont="1" applyFill="1"/>
    <xf numFmtId="169" fontId="22" fillId="2" borderId="0" xfId="0" applyNumberFormat="1" applyFont="1" applyFill="1"/>
    <xf numFmtId="10" fontId="15" fillId="9" borderId="0" xfId="0" applyNumberFormat="1" applyFont="1" applyFill="1"/>
    <xf numFmtId="175" fontId="0" fillId="2" borderId="57" xfId="0" applyNumberFormat="1" applyFill="1" applyBorder="1"/>
    <xf numFmtId="175" fontId="0" fillId="2" borderId="0" xfId="0" applyNumberFormat="1" applyFill="1" applyBorder="1"/>
    <xf numFmtId="0" fontId="23" fillId="25" borderId="0" xfId="0" applyFont="1" applyFill="1"/>
    <xf numFmtId="169" fontId="6" fillId="6" borderId="0" xfId="0" applyNumberFormat="1" applyFont="1" applyFill="1"/>
    <xf numFmtId="169" fontId="58" fillId="6" borderId="0" xfId="0" applyNumberFormat="1" applyFont="1" applyFill="1"/>
    <xf numFmtId="164" fontId="6" fillId="6" borderId="0" xfId="2" applyFont="1" applyFill="1"/>
    <xf numFmtId="164" fontId="6" fillId="6" borderId="57" xfId="2" applyFont="1" applyFill="1" applyBorder="1"/>
    <xf numFmtId="164" fontId="6" fillId="6" borderId="0" xfId="2" applyFont="1" applyFill="1" applyBorder="1"/>
    <xf numFmtId="169" fontId="58" fillId="6" borderId="0" xfId="2" applyNumberFormat="1" applyFont="1" applyFill="1" applyBorder="1"/>
    <xf numFmtId="0" fontId="22" fillId="3" borderId="0" xfId="0" applyFont="1" applyFill="1" applyAlignment="1">
      <alignment horizontal="right"/>
    </xf>
    <xf numFmtId="169" fontId="22" fillId="2" borderId="0" xfId="2" applyNumberFormat="1" applyFont="1" applyFill="1" applyBorder="1" applyAlignment="1">
      <alignment horizontal="right"/>
    </xf>
    <xf numFmtId="10" fontId="22" fillId="2" borderId="0" xfId="1" applyNumberFormat="1" applyFont="1" applyFill="1" applyBorder="1"/>
    <xf numFmtId="1" fontId="22" fillId="2" borderId="0" xfId="0" applyNumberFormat="1" applyFont="1" applyFill="1" applyBorder="1"/>
    <xf numFmtId="1" fontId="57" fillId="5" borderId="0" xfId="0" applyNumberFormat="1" applyFont="1" applyFill="1" applyBorder="1"/>
    <xf numFmtId="169" fontId="0" fillId="2" borderId="0" xfId="0" applyNumberFormat="1" applyFill="1"/>
    <xf numFmtId="164" fontId="0" fillId="2" borderId="0" xfId="0" applyNumberFormat="1" applyFill="1"/>
    <xf numFmtId="0" fontId="15" fillId="2" borderId="0" xfId="0" applyFont="1" applyFill="1"/>
    <xf numFmtId="10" fontId="15" fillId="2" borderId="0" xfId="0" applyNumberFormat="1" applyFont="1" applyFill="1" applyAlignment="1">
      <alignment horizontal="left"/>
    </xf>
    <xf numFmtId="0" fontId="0" fillId="18" borderId="1" xfId="0" applyFill="1" applyBorder="1"/>
    <xf numFmtId="0" fontId="0" fillId="18" borderId="59" xfId="0" applyFill="1" applyBorder="1"/>
    <xf numFmtId="0" fontId="0" fillId="18" borderId="27" xfId="0" applyFill="1" applyBorder="1"/>
    <xf numFmtId="0" fontId="0" fillId="18" borderId="22" xfId="0" applyFill="1" applyBorder="1"/>
    <xf numFmtId="0" fontId="0" fillId="18" borderId="56" xfId="0" applyFill="1" applyBorder="1"/>
    <xf numFmtId="0" fontId="0" fillId="18" borderId="32" xfId="0" applyFill="1" applyBorder="1"/>
    <xf numFmtId="0" fontId="0" fillId="18" borderId="60" xfId="0" applyFill="1" applyBorder="1"/>
    <xf numFmtId="0" fontId="0" fillId="18" borderId="66" xfId="0" applyFill="1" applyBorder="1"/>
    <xf numFmtId="10" fontId="0" fillId="2" borderId="7" xfId="1" applyNumberFormat="1" applyFont="1" applyFill="1" applyBorder="1"/>
    <xf numFmtId="10" fontId="0" fillId="2" borderId="54" xfId="1" applyNumberFormat="1" applyFont="1" applyFill="1" applyBorder="1"/>
    <xf numFmtId="9" fontId="0" fillId="2" borderId="30" xfId="1" applyFont="1" applyFill="1" applyBorder="1"/>
    <xf numFmtId="10" fontId="0" fillId="2" borderId="59" xfId="1" applyNumberFormat="1" applyFont="1" applyFill="1" applyBorder="1"/>
    <xf numFmtId="10" fontId="0" fillId="2" borderId="56" xfId="1" applyNumberFormat="1" applyFont="1" applyFill="1" applyBorder="1"/>
    <xf numFmtId="0" fontId="0" fillId="6" borderId="5" xfId="0" applyFill="1" applyBorder="1"/>
    <xf numFmtId="0" fontId="0" fillId="6" borderId="6" xfId="0" applyFill="1" applyBorder="1"/>
    <xf numFmtId="0" fontId="0" fillId="6" borderId="39" xfId="0" applyFill="1" applyBorder="1"/>
    <xf numFmtId="0" fontId="0" fillId="13" borderId="5" xfId="0" applyFill="1" applyBorder="1"/>
    <xf numFmtId="0" fontId="0" fillId="13" borderId="6" xfId="0" applyFill="1" applyBorder="1"/>
    <xf numFmtId="0" fontId="0" fillId="13" borderId="39" xfId="0" applyFill="1" applyBorder="1"/>
    <xf numFmtId="174" fontId="0" fillId="2" borderId="0" xfId="0" applyNumberFormat="1" applyFill="1" applyBorder="1"/>
    <xf numFmtId="0" fontId="0" fillId="2" borderId="55" xfId="0" applyFill="1" applyBorder="1"/>
    <xf numFmtId="0" fontId="60" fillId="18" borderId="1" xfId="0" applyFont="1" applyFill="1" applyBorder="1"/>
    <xf numFmtId="0" fontId="2" fillId="13" borderId="6" xfId="0" applyFont="1" applyFill="1" applyBorder="1"/>
    <xf numFmtId="0" fontId="0" fillId="13" borderId="69" xfId="0" applyFill="1" applyBorder="1"/>
    <xf numFmtId="10" fontId="0" fillId="2" borderId="60" xfId="1" applyNumberFormat="1" applyFont="1" applyFill="1" applyBorder="1"/>
    <xf numFmtId="10" fontId="0" fillId="2" borderId="61" xfId="0" applyNumberFormat="1" applyFill="1" applyBorder="1"/>
    <xf numFmtId="10" fontId="0" fillId="2" borderId="61" xfId="1" applyNumberFormat="1" applyFont="1" applyFill="1" applyBorder="1"/>
    <xf numFmtId="0" fontId="0" fillId="6" borderId="1" xfId="0" applyFill="1" applyBorder="1"/>
    <xf numFmtId="0" fontId="0" fillId="6" borderId="27" xfId="0" applyFill="1" applyBorder="1"/>
    <xf numFmtId="10" fontId="0" fillId="2" borderId="66" xfId="1" applyNumberFormat="1" applyFont="1" applyFill="1" applyBorder="1"/>
    <xf numFmtId="10" fontId="0" fillId="2" borderId="56" xfId="0" applyNumberFormat="1" applyFill="1" applyBorder="1"/>
    <xf numFmtId="9" fontId="0" fillId="2" borderId="0" xfId="0" applyNumberFormat="1" applyFill="1" applyBorder="1"/>
    <xf numFmtId="0" fontId="0" fillId="2" borderId="60" xfId="0" applyFill="1" applyBorder="1"/>
    <xf numFmtId="0" fontId="0" fillId="2" borderId="42" xfId="0" applyFill="1" applyBorder="1"/>
    <xf numFmtId="1" fontId="0" fillId="2" borderId="0" xfId="1" applyNumberFormat="1" applyFont="1" applyFill="1" applyBorder="1"/>
    <xf numFmtId="10" fontId="0" fillId="9" borderId="0" xfId="1" applyNumberFormat="1" applyFont="1" applyFill="1" applyBorder="1"/>
    <xf numFmtId="0" fontId="0" fillId="9" borderId="61" xfId="0" applyFill="1" applyBorder="1"/>
    <xf numFmtId="0" fontId="0" fillId="2" borderId="51" xfId="0" applyFill="1" applyBorder="1"/>
    <xf numFmtId="0" fontId="0" fillId="9" borderId="14" xfId="0" applyFill="1" applyBorder="1"/>
    <xf numFmtId="2" fontId="0" fillId="2" borderId="70" xfId="0" applyNumberFormat="1" applyFill="1" applyBorder="1"/>
    <xf numFmtId="2" fontId="0" fillId="2" borderId="71" xfId="0" applyNumberFormat="1" applyFill="1" applyBorder="1"/>
    <xf numFmtId="9" fontId="45" fillId="2" borderId="0" xfId="0" quotePrefix="1" applyNumberFormat="1" applyFont="1" applyFill="1" applyBorder="1" applyAlignment="1">
      <alignment horizontal="center" vertical="center" wrapText="1"/>
    </xf>
    <xf numFmtId="9" fontId="46" fillId="2" borderId="0" xfId="0" applyNumberFormat="1" applyFont="1" applyFill="1" applyBorder="1" applyAlignment="1">
      <alignment horizontal="center"/>
    </xf>
    <xf numFmtId="9" fontId="45" fillId="2" borderId="0" xfId="0" quotePrefix="1" applyNumberFormat="1" applyFont="1" applyFill="1" applyBorder="1" applyAlignment="1">
      <alignment horizontal="center" vertical="top" wrapText="1"/>
    </xf>
    <xf numFmtId="0" fontId="31" fillId="23" borderId="28" xfId="0" applyFont="1" applyFill="1" applyBorder="1"/>
    <xf numFmtId="0" fontId="2" fillId="2" borderId="55" xfId="0" applyFont="1" applyFill="1" applyBorder="1"/>
    <xf numFmtId="1" fontId="2" fillId="2" borderId="22" xfId="0" applyNumberFormat="1" applyFont="1" applyFill="1" applyBorder="1"/>
    <xf numFmtId="1" fontId="0" fillId="2" borderId="22" xfId="0" applyNumberFormat="1" applyFill="1" applyBorder="1"/>
    <xf numFmtId="1" fontId="0" fillId="2" borderId="56" xfId="0" applyNumberFormat="1" applyFill="1" applyBorder="1"/>
    <xf numFmtId="174" fontId="0" fillId="2" borderId="0" xfId="0" applyNumberFormat="1" applyFill="1"/>
    <xf numFmtId="10" fontId="0" fillId="13" borderId="1" xfId="1" applyNumberFormat="1" applyFont="1" applyFill="1" applyBorder="1"/>
    <xf numFmtId="10" fontId="0" fillId="13" borderId="27" xfId="1" applyNumberFormat="1" applyFont="1" applyFill="1" applyBorder="1"/>
    <xf numFmtId="10" fontId="0" fillId="13" borderId="59" xfId="1" applyNumberFormat="1" applyFont="1" applyFill="1" applyBorder="1"/>
    <xf numFmtId="1" fontId="0" fillId="13" borderId="22" xfId="0" applyNumberFormat="1" applyFill="1" applyBorder="1"/>
    <xf numFmtId="1" fontId="0" fillId="13" borderId="56" xfId="0" applyNumberFormat="1" applyFill="1" applyBorder="1"/>
    <xf numFmtId="1" fontId="0" fillId="2" borderId="54" xfId="0" applyNumberFormat="1" applyFill="1" applyBorder="1"/>
    <xf numFmtId="1" fontId="0" fillId="2" borderId="27" xfId="0" applyNumberFormat="1" applyFill="1" applyBorder="1"/>
    <xf numFmtId="1" fontId="0" fillId="2" borderId="32" xfId="0" applyNumberFormat="1" applyFill="1" applyBorder="1"/>
    <xf numFmtId="1" fontId="0" fillId="2" borderId="7" xfId="0" applyNumberFormat="1" applyFill="1" applyBorder="1"/>
    <xf numFmtId="1" fontId="2" fillId="2" borderId="30" xfId="0" applyNumberFormat="1" applyFont="1" applyFill="1" applyBorder="1"/>
    <xf numFmtId="1" fontId="0" fillId="2" borderId="30" xfId="0" applyNumberFormat="1" applyFill="1" applyBorder="1"/>
    <xf numFmtId="1" fontId="2" fillId="2" borderId="45" xfId="0" applyNumberFormat="1" applyFont="1" applyFill="1" applyBorder="1"/>
    <xf numFmtId="1" fontId="0" fillId="2" borderId="45" xfId="0" applyNumberFormat="1" applyFill="1" applyBorder="1"/>
    <xf numFmtId="1" fontId="2" fillId="2" borderId="63" xfId="0" applyNumberFormat="1" applyFont="1" applyFill="1" applyBorder="1"/>
    <xf numFmtId="1" fontId="2" fillId="2" borderId="32" xfId="0" applyNumberFormat="1" applyFont="1" applyFill="1" applyBorder="1"/>
    <xf numFmtId="1" fontId="0" fillId="13" borderId="32" xfId="0" applyNumberFormat="1" applyFill="1" applyBorder="1"/>
    <xf numFmtId="0" fontId="60" fillId="2" borderId="61" xfId="0" applyFont="1" applyFill="1" applyBorder="1"/>
    <xf numFmtId="1" fontId="0" fillId="2" borderId="63" xfId="0" applyNumberFormat="1" applyFill="1" applyBorder="1"/>
    <xf numFmtId="0" fontId="0" fillId="2" borderId="72" xfId="0" applyFill="1" applyBorder="1"/>
    <xf numFmtId="2" fontId="2" fillId="24" borderId="58" xfId="0" applyNumberFormat="1" applyFont="1" applyFill="1" applyBorder="1"/>
    <xf numFmtId="167" fontId="0" fillId="2" borderId="48" xfId="0" applyNumberFormat="1" applyFill="1" applyBorder="1"/>
    <xf numFmtId="173" fontId="0" fillId="2" borderId="30" xfId="1" applyNumberFormat="1" applyFont="1" applyFill="1" applyBorder="1"/>
    <xf numFmtId="1" fontId="0" fillId="2" borderId="1" xfId="0" applyNumberFormat="1" applyFill="1" applyBorder="1"/>
    <xf numFmtId="1" fontId="0" fillId="2" borderId="0" xfId="0" applyNumberFormat="1" applyFont="1" applyFill="1" applyBorder="1"/>
    <xf numFmtId="1" fontId="0" fillId="2" borderId="48" xfId="0" applyNumberFormat="1" applyFont="1" applyFill="1" applyBorder="1"/>
    <xf numFmtId="0" fontId="0" fillId="2" borderId="73" xfId="0" applyFill="1" applyBorder="1"/>
    <xf numFmtId="1" fontId="0" fillId="2" borderId="70" xfId="0" applyNumberFormat="1" applyFill="1" applyBorder="1"/>
    <xf numFmtId="1" fontId="0" fillId="2" borderId="71" xfId="0" applyNumberFormat="1" applyFill="1" applyBorder="1"/>
    <xf numFmtId="9" fontId="0" fillId="2" borderId="0" xfId="1" applyFont="1" applyFill="1" applyBorder="1"/>
    <xf numFmtId="1" fontId="0" fillId="2" borderId="30" xfId="0" applyNumberFormat="1" applyFont="1" applyFill="1" applyBorder="1"/>
    <xf numFmtId="0" fontId="0" fillId="13" borderId="28" xfId="0" applyFill="1" applyBorder="1"/>
    <xf numFmtId="0" fontId="0" fillId="13" borderId="31" xfId="0" applyFill="1" applyBorder="1"/>
    <xf numFmtId="0" fontId="0" fillId="6" borderId="75" xfId="0" applyFill="1" applyBorder="1"/>
    <xf numFmtId="0" fontId="0" fillId="6" borderId="36" xfId="0" applyFill="1" applyBorder="1"/>
    <xf numFmtId="0" fontId="0" fillId="6" borderId="16" xfId="0" applyFill="1" applyBorder="1"/>
    <xf numFmtId="0" fontId="0" fillId="18" borderId="74" xfId="0" applyFill="1" applyBorder="1"/>
    <xf numFmtId="0" fontId="0" fillId="18" borderId="7" xfId="0" applyFill="1" applyBorder="1"/>
    <xf numFmtId="0" fontId="0" fillId="18" borderId="54" xfId="0" applyFill="1" applyBorder="1"/>
    <xf numFmtId="0" fontId="0" fillId="18" borderId="50" xfId="0" applyFill="1" applyBorder="1"/>
    <xf numFmtId="0" fontId="0" fillId="18" borderId="35" xfId="0" applyFill="1" applyBorder="1"/>
    <xf numFmtId="0" fontId="0" fillId="18" borderId="34" xfId="0" applyFill="1" applyBorder="1"/>
    <xf numFmtId="0" fontId="0" fillId="18" borderId="55" xfId="0" applyFill="1" applyBorder="1"/>
    <xf numFmtId="0" fontId="0" fillId="18" borderId="25" xfId="0" applyFill="1" applyBorder="1"/>
    <xf numFmtId="0" fontId="0" fillId="18" borderId="74" xfId="0" applyFont="1" applyFill="1" applyBorder="1"/>
    <xf numFmtId="9" fontId="0" fillId="2" borderId="35" xfId="1" applyFont="1" applyFill="1" applyBorder="1"/>
    <xf numFmtId="9" fontId="0" fillId="2" borderId="35" xfId="1" applyNumberFormat="1" applyFont="1" applyFill="1" applyBorder="1"/>
    <xf numFmtId="0" fontId="0" fillId="2" borderId="34" xfId="0" applyFill="1" applyBorder="1" applyAlignment="1">
      <alignment horizontal="right"/>
    </xf>
    <xf numFmtId="0" fontId="0" fillId="2" borderId="35" xfId="0" applyFill="1" applyBorder="1" applyAlignment="1">
      <alignment horizontal="right" vertical="center"/>
    </xf>
    <xf numFmtId="9" fontId="0" fillId="2" borderId="34" xfId="1" applyFont="1" applyFill="1" applyBorder="1"/>
    <xf numFmtId="0" fontId="2" fillId="2" borderId="74" xfId="0" applyFont="1" applyFill="1" applyBorder="1"/>
    <xf numFmtId="0" fontId="2" fillId="2" borderId="49" xfId="0" applyFont="1" applyFill="1" applyBorder="1"/>
    <xf numFmtId="0" fontId="0" fillId="6" borderId="28" xfId="0" applyFill="1" applyBorder="1"/>
    <xf numFmtId="2" fontId="0" fillId="2" borderId="22" xfId="0" applyNumberFormat="1" applyFill="1" applyBorder="1"/>
    <xf numFmtId="0" fontId="0" fillId="7" borderId="28" xfId="0" applyFill="1" applyBorder="1"/>
    <xf numFmtId="0" fontId="0" fillId="7" borderId="1" xfId="0" applyFill="1" applyBorder="1"/>
    <xf numFmtId="0" fontId="0" fillId="7" borderId="59" xfId="0" applyFill="1" applyBorder="1"/>
    <xf numFmtId="0" fontId="0" fillId="7" borderId="27" xfId="0" applyFill="1" applyBorder="1"/>
    <xf numFmtId="0" fontId="0" fillId="7" borderId="31" xfId="0" applyFill="1" applyBorder="1"/>
    <xf numFmtId="0" fontId="0" fillId="7" borderId="56" xfId="0" applyFill="1" applyBorder="1"/>
    <xf numFmtId="0" fontId="0" fillId="7" borderId="32" xfId="0" applyFill="1" applyBorder="1"/>
    <xf numFmtId="9" fontId="0" fillId="2" borderId="34" xfId="1" applyNumberFormat="1" applyFont="1" applyFill="1" applyBorder="1"/>
    <xf numFmtId="10" fontId="17" fillId="2" borderId="0" xfId="1" applyNumberFormat="1" applyFont="1" applyFill="1"/>
    <xf numFmtId="10" fontId="17" fillId="2" borderId="57" xfId="1" applyNumberFormat="1" applyFont="1" applyFill="1" applyBorder="1"/>
    <xf numFmtId="10" fontId="17" fillId="2" borderId="0" xfId="1" applyNumberFormat="1" applyFont="1" applyFill="1" applyBorder="1"/>
    <xf numFmtId="9" fontId="17" fillId="2" borderId="0" xfId="1" applyFont="1" applyFill="1" applyBorder="1"/>
    <xf numFmtId="173" fontId="17" fillId="2" borderId="0" xfId="1" applyNumberFormat="1" applyFont="1" applyFill="1"/>
    <xf numFmtId="173" fontId="17" fillId="2" borderId="57" xfId="1" applyNumberFormat="1" applyFont="1" applyFill="1" applyBorder="1"/>
    <xf numFmtId="173" fontId="17" fillId="2" borderId="0" xfId="1" applyNumberFormat="1" applyFont="1" applyFill="1" applyBorder="1"/>
    <xf numFmtId="9" fontId="17" fillId="2" borderId="0" xfId="1" applyFont="1" applyFill="1"/>
    <xf numFmtId="9" fontId="17" fillId="2" borderId="57" xfId="1" applyFont="1" applyFill="1" applyBorder="1"/>
    <xf numFmtId="164" fontId="17" fillId="2" borderId="0" xfId="2" applyFont="1" applyFill="1"/>
    <xf numFmtId="164" fontId="6" fillId="2" borderId="0" xfId="2" applyFont="1" applyFill="1" applyAlignment="1">
      <alignment horizontal="left" vertical="center"/>
    </xf>
    <xf numFmtId="9" fontId="17" fillId="2" borderId="57" xfId="1" applyFont="1" applyFill="1" applyBorder="1" applyAlignment="1">
      <alignment horizontal="right"/>
    </xf>
    <xf numFmtId="9" fontId="17" fillId="2" borderId="0" xfId="1" applyFont="1" applyFill="1" applyBorder="1" applyAlignment="1">
      <alignment horizontal="right"/>
    </xf>
    <xf numFmtId="164" fontId="17" fillId="2" borderId="57" xfId="2" applyFont="1" applyFill="1" applyBorder="1"/>
    <xf numFmtId="164" fontId="17" fillId="2" borderId="0" xfId="2" applyFont="1" applyFill="1" applyBorder="1"/>
    <xf numFmtId="10" fontId="6" fillId="9" borderId="0" xfId="0" applyNumberFormat="1" applyFont="1" applyFill="1"/>
    <xf numFmtId="167" fontId="6" fillId="2" borderId="0" xfId="0" applyNumberFormat="1" applyFont="1" applyFill="1"/>
    <xf numFmtId="0" fontId="22" fillId="0" borderId="0" xfId="0" applyFont="1" applyBorder="1"/>
    <xf numFmtId="0" fontId="6" fillId="2" borderId="62" xfId="0" applyFont="1" applyFill="1" applyBorder="1"/>
    <xf numFmtId="0" fontId="6" fillId="2" borderId="76" xfId="0" applyFont="1" applyFill="1" applyBorder="1"/>
    <xf numFmtId="0" fontId="6" fillId="2" borderId="41" xfId="0" applyFont="1" applyFill="1" applyBorder="1"/>
    <xf numFmtId="0" fontId="6" fillId="2" borderId="11" xfId="0" applyFont="1" applyFill="1" applyBorder="1"/>
    <xf numFmtId="0" fontId="6" fillId="2" borderId="42" xfId="0" applyFont="1" applyFill="1" applyBorder="1"/>
    <xf numFmtId="0" fontId="6" fillId="2" borderId="12" xfId="0" applyFont="1" applyFill="1" applyBorder="1"/>
    <xf numFmtId="0" fontId="6" fillId="2" borderId="13" xfId="0" applyFont="1" applyFill="1" applyBorder="1"/>
    <xf numFmtId="10" fontId="36" fillId="2" borderId="0" xfId="0" applyNumberFormat="1" applyFont="1" applyFill="1" applyBorder="1"/>
    <xf numFmtId="0" fontId="51" fillId="2" borderId="0" xfId="0" applyFont="1" applyFill="1" applyBorder="1"/>
    <xf numFmtId="166" fontId="36" fillId="2" borderId="0" xfId="0" applyNumberFormat="1" applyFont="1" applyFill="1" applyBorder="1"/>
    <xf numFmtId="167" fontId="43" fillId="2" borderId="0" xfId="0" applyNumberFormat="1" applyFont="1" applyFill="1" applyBorder="1"/>
    <xf numFmtId="0" fontId="36" fillId="2" borderId="0" xfId="0" applyFont="1" applyFill="1" applyBorder="1"/>
    <xf numFmtId="0" fontId="0" fillId="2" borderId="49" xfId="0" applyFont="1" applyFill="1" applyBorder="1"/>
    <xf numFmtId="0" fontId="34" fillId="2" borderId="29" xfId="0" applyFont="1" applyFill="1" applyBorder="1"/>
    <xf numFmtId="0" fontId="31" fillId="13" borderId="5" xfId="0" applyFont="1" applyFill="1" applyBorder="1"/>
    <xf numFmtId="0" fontId="31" fillId="13" borderId="6" xfId="0" applyFont="1" applyFill="1" applyBorder="1"/>
    <xf numFmtId="0" fontId="64" fillId="8" borderId="0" xfId="0" applyFont="1" applyFill="1"/>
    <xf numFmtId="0" fontId="65" fillId="8" borderId="0" xfId="0" applyFont="1" applyFill="1"/>
    <xf numFmtId="0" fontId="66" fillId="8" borderId="0" xfId="0" applyFont="1" applyFill="1"/>
    <xf numFmtId="0" fontId="4" fillId="2" borderId="28" xfId="0" applyFont="1" applyFill="1" applyBorder="1"/>
    <xf numFmtId="0" fontId="20" fillId="2" borderId="29" xfId="0" applyFont="1" applyFill="1" applyBorder="1"/>
    <xf numFmtId="10" fontId="6" fillId="0" borderId="29" xfId="1" applyNumberFormat="1" applyFont="1" applyBorder="1"/>
    <xf numFmtId="172" fontId="6" fillId="2" borderId="29" xfId="0" applyNumberFormat="1" applyFont="1" applyFill="1" applyBorder="1"/>
    <xf numFmtId="10" fontId="6" fillId="2" borderId="29" xfId="1" applyNumberFormat="1" applyFont="1" applyFill="1" applyBorder="1"/>
    <xf numFmtId="166" fontId="6" fillId="2" borderId="29" xfId="1" applyNumberFormat="1" applyFont="1" applyFill="1" applyBorder="1"/>
    <xf numFmtId="172" fontId="6" fillId="2" borderId="0" xfId="0" applyNumberFormat="1" applyFont="1" applyFill="1" applyBorder="1"/>
    <xf numFmtId="0" fontId="0" fillId="14" borderId="0" xfId="0" applyFill="1" applyBorder="1"/>
    <xf numFmtId="0" fontId="3" fillId="14" borderId="1" xfId="0" applyFont="1" applyFill="1" applyBorder="1"/>
    <xf numFmtId="0" fontId="0" fillId="3" borderId="0" xfId="0" applyFont="1" applyFill="1" applyBorder="1"/>
    <xf numFmtId="0" fontId="11" fillId="7" borderId="22" xfId="0" applyFont="1" applyFill="1" applyBorder="1"/>
    <xf numFmtId="0" fontId="0" fillId="26" borderId="28" xfId="0" applyFill="1" applyBorder="1"/>
    <xf numFmtId="0" fontId="0" fillId="26" borderId="1" xfId="0" applyFill="1" applyBorder="1"/>
    <xf numFmtId="0" fontId="0" fillId="26" borderId="27" xfId="0" applyFill="1" applyBorder="1"/>
    <xf numFmtId="0" fontId="0" fillId="26" borderId="31" xfId="0" applyFill="1" applyBorder="1"/>
    <xf numFmtId="0" fontId="0" fillId="26" borderId="22" xfId="0" applyFill="1" applyBorder="1"/>
    <xf numFmtId="0" fontId="0" fillId="26" borderId="32" xfId="0" applyFill="1" applyBorder="1"/>
    <xf numFmtId="0" fontId="68" fillId="26" borderId="1" xfId="0" applyFont="1" applyFill="1" applyBorder="1"/>
    <xf numFmtId="0" fontId="69" fillId="27" borderId="31" xfId="0" applyFont="1" applyFill="1" applyBorder="1"/>
    <xf numFmtId="0" fontId="69" fillId="27" borderId="22" xfId="0" applyFont="1" applyFill="1" applyBorder="1"/>
    <xf numFmtId="0" fontId="69" fillId="27" borderId="32" xfId="0" applyFont="1" applyFill="1" applyBorder="1"/>
    <xf numFmtId="0" fontId="0" fillId="27" borderId="31" xfId="0" applyFill="1" applyBorder="1"/>
    <xf numFmtId="0" fontId="0" fillId="27" borderId="22" xfId="0" applyFill="1" applyBorder="1"/>
    <xf numFmtId="0" fontId="0" fillId="27" borderId="32" xfId="0" applyFill="1" applyBorder="1"/>
    <xf numFmtId="0" fontId="68" fillId="26" borderId="28" xfId="0" applyFont="1" applyFill="1" applyBorder="1"/>
    <xf numFmtId="0" fontId="0" fillId="26" borderId="0" xfId="0" applyFill="1"/>
    <xf numFmtId="0" fontId="6" fillId="26" borderId="5" xfId="0" applyFont="1" applyFill="1" applyBorder="1"/>
    <xf numFmtId="0" fontId="0" fillId="26" borderId="6" xfId="0" applyFill="1" applyBorder="1"/>
    <xf numFmtId="1" fontId="0" fillId="26" borderId="39" xfId="0" applyNumberFormat="1" applyFill="1" applyBorder="1"/>
    <xf numFmtId="1" fontId="0" fillId="26" borderId="39" xfId="2" applyNumberFormat="1" applyFont="1" applyFill="1" applyBorder="1"/>
    <xf numFmtId="0" fontId="0" fillId="26" borderId="39" xfId="0" applyFill="1" applyBorder="1"/>
    <xf numFmtId="0" fontId="61" fillId="26" borderId="1" xfId="0" applyFont="1" applyFill="1" applyBorder="1"/>
    <xf numFmtId="0" fontId="61" fillId="26" borderId="27" xfId="0" applyFont="1" applyFill="1" applyBorder="1"/>
    <xf numFmtId="0" fontId="61" fillId="26" borderId="31" xfId="0" applyFont="1" applyFill="1" applyBorder="1"/>
    <xf numFmtId="0" fontId="61" fillId="26" borderId="22" xfId="0" applyFont="1" applyFill="1" applyBorder="1"/>
    <xf numFmtId="0" fontId="61" fillId="26" borderId="32" xfId="0" applyFont="1" applyFill="1" applyBorder="1"/>
    <xf numFmtId="0" fontId="61" fillId="26" borderId="1" xfId="0" applyFont="1" applyFill="1" applyBorder="1" applyAlignment="1">
      <alignment horizontal="center"/>
    </xf>
    <xf numFmtId="0" fontId="0" fillId="27" borderId="5" xfId="0" applyFill="1" applyBorder="1"/>
    <xf numFmtId="0" fontId="0" fillId="27" borderId="6" xfId="0" applyFill="1" applyBorder="1"/>
    <xf numFmtId="0" fontId="0" fillId="27" borderId="39" xfId="0" applyFill="1" applyBorder="1"/>
    <xf numFmtId="0" fontId="2" fillId="27" borderId="0" xfId="0" applyFont="1" applyFill="1"/>
    <xf numFmtId="0" fontId="6" fillId="20" borderId="69" xfId="0" applyFont="1" applyFill="1" applyBorder="1"/>
    <xf numFmtId="0" fontId="22" fillId="21" borderId="26" xfId="0" applyFont="1" applyFill="1" applyBorder="1"/>
    <xf numFmtId="0" fontId="6" fillId="6" borderId="26" xfId="0" applyFont="1" applyFill="1" applyBorder="1"/>
    <xf numFmtId="0" fontId="6" fillId="20" borderId="27" xfId="0" applyFont="1" applyFill="1" applyBorder="1"/>
    <xf numFmtId="0" fontId="6" fillId="20" borderId="28" xfId="0" applyFont="1" applyFill="1" applyBorder="1"/>
    <xf numFmtId="0" fontId="11" fillId="6" borderId="69" xfId="0" applyFont="1" applyFill="1" applyBorder="1"/>
    <xf numFmtId="0" fontId="11" fillId="6" borderId="39" xfId="0" applyFont="1" applyFill="1" applyBorder="1"/>
    <xf numFmtId="0" fontId="64" fillId="8" borderId="1" xfId="0" applyFont="1" applyFill="1" applyBorder="1"/>
    <xf numFmtId="0" fontId="64" fillId="8" borderId="27" xfId="0" applyFont="1" applyFill="1" applyBorder="1"/>
    <xf numFmtId="0" fontId="6" fillId="8" borderId="29" xfId="0" applyFont="1" applyFill="1" applyBorder="1"/>
    <xf numFmtId="0" fontId="64" fillId="8" borderId="0" xfId="0" applyFont="1" applyFill="1" applyBorder="1"/>
    <xf numFmtId="0" fontId="64" fillId="8" borderId="30" xfId="0" applyFont="1" applyFill="1" applyBorder="1"/>
    <xf numFmtId="0" fontId="6" fillId="3" borderId="31" xfId="0" applyFont="1" applyFill="1" applyBorder="1"/>
    <xf numFmtId="0" fontId="0" fillId="3" borderId="22" xfId="0" applyFill="1" applyBorder="1"/>
    <xf numFmtId="0" fontId="0" fillId="3" borderId="32" xfId="0" applyFill="1" applyBorder="1"/>
    <xf numFmtId="0" fontId="67" fillId="2" borderId="0" xfId="0" applyFont="1" applyFill="1" applyBorder="1" applyAlignment="1"/>
    <xf numFmtId="0" fontId="70" fillId="13" borderId="1" xfId="0" applyFont="1" applyFill="1" applyBorder="1"/>
    <xf numFmtId="0" fontId="68" fillId="26" borderId="28" xfId="0" applyFont="1" applyFill="1" applyBorder="1" applyAlignment="1">
      <alignment horizontal="left"/>
    </xf>
    <xf numFmtId="0" fontId="67" fillId="8" borderId="0" xfId="0" applyFont="1" applyFill="1" applyAlignment="1">
      <alignment horizontal="center"/>
    </xf>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67" fillId="8" borderId="1" xfId="0" applyFont="1" applyFill="1" applyBorder="1" applyAlignment="1">
      <alignment horizontal="center"/>
    </xf>
    <xf numFmtId="0" fontId="67" fillId="8" borderId="0" xfId="0" applyFont="1" applyFill="1" applyBorder="1" applyAlignment="1">
      <alignment horizontal="center"/>
    </xf>
    <xf numFmtId="0" fontId="67" fillId="8" borderId="27" xfId="0" applyFont="1" applyFill="1" applyBorder="1" applyAlignment="1">
      <alignment horizontal="center"/>
    </xf>
    <xf numFmtId="0" fontId="67" fillId="8" borderId="30" xfId="0" applyFont="1" applyFill="1" applyBorder="1" applyAlignment="1">
      <alignment horizontal="center"/>
    </xf>
    <xf numFmtId="0" fontId="20" fillId="8" borderId="30" xfId="0" applyFont="1" applyFill="1" applyBorder="1" applyAlignment="1">
      <alignment horizontal="center"/>
    </xf>
    <xf numFmtId="0" fontId="3" fillId="14" borderId="28" xfId="0" applyFont="1" applyFill="1" applyBorder="1" applyAlignment="1">
      <alignment horizontal="center"/>
    </xf>
    <xf numFmtId="169" fontId="23" fillId="25" borderId="0" xfId="2" applyNumberFormat="1" applyFont="1" applyFill="1" applyAlignment="1">
      <alignment horizontal="center"/>
    </xf>
    <xf numFmtId="169" fontId="23" fillId="25" borderId="67" xfId="2" applyNumberFormat="1" applyFont="1" applyFill="1" applyBorder="1" applyAlignment="1">
      <alignment horizontal="center"/>
    </xf>
    <xf numFmtId="169" fontId="23" fillId="25" borderId="57" xfId="2" applyNumberFormat="1" applyFont="1" applyFill="1" applyBorder="1" applyAlignment="1">
      <alignment horizontal="center"/>
    </xf>
    <xf numFmtId="169" fontId="23" fillId="25" borderId="0" xfId="2" applyNumberFormat="1" applyFont="1" applyFill="1" applyBorder="1" applyAlignment="1">
      <alignment horizontal="center"/>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67" xfId="0" applyFont="1" applyFill="1" applyBorder="1" applyAlignment="1">
      <alignment horizontal="center"/>
    </xf>
    <xf numFmtId="0" fontId="40" fillId="8" borderId="57" xfId="0" applyFont="1" applyFill="1" applyBorder="1" applyAlignment="1">
      <alignment horizontal="center"/>
    </xf>
    <xf numFmtId="0" fontId="40" fillId="8" borderId="0" xfId="0" applyFont="1" applyFill="1" applyBorder="1" applyAlignment="1">
      <alignment horizontal="center"/>
    </xf>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91440</xdr:rowOff>
    </xdr:from>
    <xdr:to>
      <xdr:col>8</xdr:col>
      <xdr:colOff>518160</xdr:colOff>
      <xdr:row>11</xdr:row>
      <xdr:rowOff>166642</xdr:rowOff>
    </xdr:to>
    <xdr:pic>
      <xdr:nvPicPr>
        <xdr:cNvPr id="3" name="Immagine 2">
          <a:extLst>
            <a:ext uri="{FF2B5EF4-FFF2-40B4-BE49-F238E27FC236}">
              <a16:creationId xmlns:a16="http://schemas.microsoft.com/office/drawing/2014/main" id="{1FCF994E-5716-4AEC-8068-2EA96C03915A}"/>
            </a:ext>
          </a:extLst>
        </xdr:cNvPr>
        <xdr:cNvPicPr>
          <a:picLocks noChangeAspect="1"/>
        </xdr:cNvPicPr>
      </xdr:nvPicPr>
      <xdr:blipFill>
        <a:blip xmlns:r="http://schemas.openxmlformats.org/officeDocument/2006/relationships" r:embed="rId1"/>
        <a:stretch>
          <a:fillRect/>
        </a:stretch>
      </xdr:blipFill>
      <xdr:spPr>
        <a:xfrm>
          <a:off x="114300" y="91440"/>
          <a:ext cx="5280660" cy="208688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11</xdr:col>
      <xdr:colOff>0</xdr:colOff>
      <xdr:row>169</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11</xdr:col>
      <xdr:colOff>844062</xdr:colOff>
      <xdr:row>7</xdr:row>
      <xdr:rowOff>98912</xdr:rowOff>
    </xdr:from>
    <xdr:to>
      <xdr:col>17</xdr:col>
      <xdr:colOff>11723</xdr:colOff>
      <xdr:row>26</xdr:row>
      <xdr:rowOff>105508</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1523785" y="1587743"/>
          <a:ext cx="4853353" cy="35704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Financial items</a:t>
          </a:r>
        </a:p>
        <a:p>
          <a:r>
            <a:rPr lang="it-IT" sz="1400" b="1"/>
            <a:t>A) EBITDA</a:t>
          </a:r>
        </a:p>
        <a:p>
          <a:endParaRPr lang="it-IT" sz="1400"/>
        </a:p>
        <a:p>
          <a:r>
            <a:rPr lang="it-IT" sz="1400"/>
            <a:t>A2A declared</a:t>
          </a:r>
          <a:r>
            <a:rPr lang="it-IT" sz="1400" baseline="0"/>
            <a:t> its EBITDA target for 2024 of 1626, this represents the starting point. </a:t>
          </a:r>
        </a:p>
        <a:p>
          <a:endParaRPr lang="it-IT" sz="1400" baseline="0"/>
        </a:p>
        <a:p>
          <a:r>
            <a:rPr lang="it-IT" sz="1400" baseline="0"/>
            <a:t>- I used a constant growth rate in order to reach it. </a:t>
          </a:r>
        </a:p>
        <a:p>
          <a:endParaRPr lang="it-IT" sz="1400" baseline="0"/>
        </a:p>
        <a:p>
          <a:r>
            <a:rPr lang="it-IT" sz="1400" baseline="0"/>
            <a:t>- In order to get respective sales forecast I used the average Ebitda margin  from past 5 years as target for 2024, to reach according to a constant (negative) growth rate.  This allows me to highlight higher sales for early future years. </a:t>
          </a:r>
        </a:p>
        <a:p>
          <a:endParaRPr lang="it-IT" sz="1400" baseline="0"/>
        </a:p>
        <a:p>
          <a:r>
            <a:rPr lang="it-IT" sz="1400" baseline="0"/>
            <a:t>- For what about operational costs I used averages of percentages over sales as represented in the right side table. </a:t>
          </a:r>
        </a:p>
        <a:p>
          <a:endParaRPr lang="it-IT" sz="1100"/>
        </a:p>
      </xdr:txBody>
    </xdr:sp>
    <xdr:clientData/>
  </xdr:twoCellAnchor>
  <xdr:twoCellAnchor>
    <xdr:from>
      <xdr:col>11</xdr:col>
      <xdr:colOff>844063</xdr:colOff>
      <xdr:row>27</xdr:row>
      <xdr:rowOff>9524</xdr:rowOff>
    </xdr:from>
    <xdr:to>
      <xdr:col>17</xdr:col>
      <xdr:colOff>23447</xdr:colOff>
      <xdr:row>54</xdr:row>
      <xdr:rowOff>35167</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1523786" y="5249739"/>
          <a:ext cx="4865076" cy="50900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B) CAPEX</a:t>
          </a:r>
        </a:p>
        <a:p>
          <a:r>
            <a:rPr lang="it-IT" sz="1400"/>
            <a:t>A2A declared</a:t>
          </a:r>
          <a:r>
            <a:rPr lang="it-IT" sz="1400" baseline="0"/>
            <a:t> a cumulative capex target for 2024 of 4476. </a:t>
          </a:r>
        </a:p>
        <a:p>
          <a:endParaRPr lang="it-IT" sz="1400" baseline="0"/>
        </a:p>
        <a:p>
          <a:r>
            <a:rPr lang="it-IT" sz="1400" baseline="0"/>
            <a:t>I simply considered cumulative capex, divided by cumulative sales (in order to better distribute capital expenditures) and assigned it according to each year sales. </a:t>
          </a:r>
          <a:br>
            <a:rPr lang="it-IT" sz="1400" baseline="0"/>
          </a:br>
          <a:r>
            <a:rPr lang="it-IT" sz="1400" baseline="0"/>
            <a:t>Computations in right-side table. </a:t>
          </a:r>
        </a:p>
        <a:p>
          <a:endParaRPr lang="it-IT" sz="1400" baseline="0"/>
        </a:p>
        <a:p>
          <a:r>
            <a:rPr lang="it-IT" sz="1400"/>
            <a:t>Then</a:t>
          </a:r>
          <a:r>
            <a:rPr lang="it-IT" sz="1400" baseline="0"/>
            <a:t>, I used the mean of past two year percentages of tangibles and intangibles over total fixed assets as references to split this value. </a:t>
          </a:r>
        </a:p>
        <a:p>
          <a:endParaRPr lang="it-IT" sz="1400" baseline="0"/>
        </a:p>
        <a:p>
          <a:r>
            <a:rPr lang="it-IT" sz="1400"/>
            <a:t>For</a:t>
          </a:r>
          <a:r>
            <a:rPr lang="it-IT" sz="1400" baseline="0"/>
            <a:t> what about D&amp;A I used averages of past two years of percentages of D&amp;A over EOP tangibles (or intangibles). </a:t>
          </a:r>
        </a:p>
        <a:p>
          <a:r>
            <a:rPr lang="it-IT" sz="1400" i="1" baseline="0"/>
            <a:t>Notice</a:t>
          </a:r>
          <a:r>
            <a:rPr lang="it-IT" sz="1400" baseline="0"/>
            <a:t> that in D&amp;A for tangibles I also have included write downs. </a:t>
          </a:r>
        </a:p>
        <a:p>
          <a:endParaRPr lang="it-IT" sz="1400"/>
        </a:p>
        <a:p>
          <a:r>
            <a:rPr lang="it-IT" sz="1400"/>
            <a:t>Accruals were computed as a constant value given by mean value of past</a:t>
          </a:r>
          <a:r>
            <a:rPr lang="it-IT" sz="1400" baseline="0"/>
            <a:t> 5 results. </a:t>
          </a:r>
        </a:p>
        <a:p>
          <a:endParaRPr lang="it-IT" sz="1400" baseline="0"/>
        </a:p>
        <a:p>
          <a:r>
            <a:rPr lang="it-IT" sz="1400" baseline="0"/>
            <a:t>Finally I defined the evolution of tangibles and intangibles adding capex and subtracting D&amp;A  getting forecasts for fixed assets. </a:t>
          </a:r>
        </a:p>
        <a:p>
          <a:endParaRPr lang="it-IT" sz="1100"/>
        </a:p>
      </xdr:txBody>
    </xdr:sp>
    <xdr:clientData/>
  </xdr:twoCellAnchor>
  <xdr:twoCellAnchor>
    <xdr:from>
      <xdr:col>11</xdr:col>
      <xdr:colOff>848459</xdr:colOff>
      <xdr:row>77</xdr:row>
      <xdr:rowOff>104774</xdr:rowOff>
    </xdr:from>
    <xdr:to>
      <xdr:col>17</xdr:col>
      <xdr:colOff>11723</xdr:colOff>
      <xdr:row>85</xdr:row>
      <xdr:rowOff>11722</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1528182" y="14723451"/>
          <a:ext cx="4848956" cy="14075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D) Other items</a:t>
          </a:r>
        </a:p>
        <a:p>
          <a:r>
            <a:rPr lang="it-IT" sz="1400"/>
            <a:t>For what about other items</a:t>
          </a:r>
          <a:r>
            <a:rPr lang="it-IT" sz="1400" baseline="0"/>
            <a:t> in Restated Balance Sheet I have decided to maintian them constant over time due to unpredictability of them. </a:t>
          </a:r>
        </a:p>
        <a:p>
          <a:r>
            <a:rPr lang="it-IT" sz="1400" baseline="0"/>
            <a:t>This of course according to the logic that Employee benefits should tend to zero in the long term . </a:t>
          </a:r>
        </a:p>
        <a:p>
          <a:endParaRPr lang="it-IT" sz="1100" baseline="0"/>
        </a:p>
      </xdr:txBody>
    </xdr:sp>
    <xdr:clientData/>
  </xdr:twoCellAnchor>
  <xdr:twoCellAnchor>
    <xdr:from>
      <xdr:col>11</xdr:col>
      <xdr:colOff>844063</xdr:colOff>
      <xdr:row>71</xdr:row>
      <xdr:rowOff>117962</xdr:rowOff>
    </xdr:from>
    <xdr:to>
      <xdr:col>17</xdr:col>
      <xdr:colOff>70339</xdr:colOff>
      <xdr:row>77</xdr:row>
      <xdr:rowOff>11723</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1523786" y="13611224"/>
          <a:ext cx="4911968" cy="1019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Alternative</a:t>
          </a:r>
          <a:r>
            <a:rPr lang="it-IT" sz="1400" b="1" baseline="0"/>
            <a:t> for NWC</a:t>
          </a:r>
          <a:br>
            <a:rPr lang="it-IT" sz="1400" baseline="0"/>
          </a:br>
          <a:r>
            <a:rPr lang="it-IT" sz="1400"/>
            <a:t>For</a:t>
          </a:r>
          <a:r>
            <a:rPr lang="it-IT" sz="1400" baseline="0"/>
            <a:t> Net Working Capital I took past NWC/sales and incremented each year to reach as  value for 2024 the mean of past three years (4.59%). </a:t>
          </a:r>
          <a:r>
            <a:rPr lang="it-IT" sz="1400" u="sng" baseline="0"/>
            <a:t>I preferred this simpler way. </a:t>
          </a:r>
        </a:p>
        <a:p>
          <a:endParaRPr lang="it-IT" sz="1100" baseline="0"/>
        </a:p>
        <a:p>
          <a:endParaRPr lang="it-IT" sz="1100"/>
        </a:p>
      </xdr:txBody>
    </xdr:sp>
    <xdr:clientData/>
  </xdr:twoCellAnchor>
  <xdr:twoCellAnchor>
    <xdr:from>
      <xdr:col>11</xdr:col>
      <xdr:colOff>834536</xdr:colOff>
      <xdr:row>93</xdr:row>
      <xdr:rowOff>127489</xdr:rowOff>
    </xdr:from>
    <xdr:to>
      <xdr:col>17</xdr:col>
      <xdr:colOff>23447</xdr:colOff>
      <xdr:row>105</xdr:row>
      <xdr:rowOff>0</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1514259" y="17747274"/>
          <a:ext cx="4874603" cy="21233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A2A declared to reduce NFP</a:t>
          </a:r>
          <a:r>
            <a:rPr lang="it-IT" sz="1400" baseline="0"/>
            <a:t> over EBITDA from approximately 2,6 in 2019 to 2,3 </a:t>
          </a:r>
        </a:p>
        <a:p>
          <a:r>
            <a:rPr lang="it-IT" sz="1400" baseline="0"/>
            <a:t>I assumed to have this decrease linear (-2,25% per year).</a:t>
          </a:r>
        </a:p>
        <a:p>
          <a:endParaRPr lang="it-IT" sz="1400" baseline="0"/>
        </a:p>
        <a:p>
          <a:r>
            <a:rPr lang="it-IT" sz="1400" baseline="0"/>
            <a:t>In order to get Total Debt from Net Debt I used an inverse formula starting from the average NFP/Total Debt from past 5 Years (85,21%).  </a:t>
          </a:r>
        </a:p>
        <a:p>
          <a:r>
            <a:rPr lang="it-IT" sz="1400" baseline="0"/>
            <a:t>Then going backward I can distinguish between S/T and M/L Term financing</a:t>
          </a:r>
          <a:endParaRPr lang="it-IT" sz="1400"/>
        </a:p>
      </xdr:txBody>
    </xdr:sp>
    <xdr:clientData/>
  </xdr:twoCellAnchor>
  <xdr:twoCellAnchor>
    <xdr:from>
      <xdr:col>11</xdr:col>
      <xdr:colOff>848458</xdr:colOff>
      <xdr:row>85</xdr:row>
      <xdr:rowOff>64478</xdr:rowOff>
    </xdr:from>
    <xdr:to>
      <xdr:col>17</xdr:col>
      <xdr:colOff>23448</xdr:colOff>
      <xdr:row>93</xdr:row>
      <xdr:rowOff>46893</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1528181" y="16183709"/>
          <a:ext cx="4860682" cy="1482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E) Debt</a:t>
          </a:r>
          <a:r>
            <a:rPr lang="it-IT" sz="1400" b="1" baseline="0"/>
            <a:t> </a:t>
          </a:r>
          <a:endParaRPr lang="it-IT" sz="1400" b="1"/>
        </a:p>
        <a:p>
          <a:r>
            <a:rPr lang="it-IT" sz="1400"/>
            <a:t>I</a:t>
          </a:r>
          <a:r>
            <a:rPr lang="it-IT" sz="1400" baseline="0"/>
            <a:t> took information from A2A about future debt repayments, in this way I could distinguish between future short term financial debt and bank loans, bonds (M/L). </a:t>
          </a:r>
        </a:p>
        <a:p>
          <a:r>
            <a:rPr lang="it-IT" sz="1400" baseline="0"/>
            <a:t>Then I further divided the latter, using past percentages, in  bonds and other financing.</a:t>
          </a:r>
          <a:endParaRPr lang="it-IT" sz="1400"/>
        </a:p>
      </xdr:txBody>
    </xdr:sp>
    <xdr:clientData/>
  </xdr:twoCellAnchor>
  <xdr:twoCellAnchor>
    <xdr:from>
      <xdr:col>11</xdr:col>
      <xdr:colOff>832340</xdr:colOff>
      <xdr:row>105</xdr:row>
      <xdr:rowOff>57885</xdr:rowOff>
    </xdr:from>
    <xdr:to>
      <xdr:col>17</xdr:col>
      <xdr:colOff>11724</xdr:colOff>
      <xdr:row>109</xdr:row>
      <xdr:rowOff>95984</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1512063" y="19928500"/>
          <a:ext cx="4865076" cy="788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Due to the fact</a:t>
          </a:r>
          <a:r>
            <a:rPr lang="it-IT" sz="1400" baseline="0"/>
            <a:t> I assumed the total debt to be a certain multiple of NFP I can easily compute future debt issues given debt repayment schedule. </a:t>
          </a:r>
          <a:endParaRPr lang="it-IT" sz="1400"/>
        </a:p>
      </xdr:txBody>
    </xdr:sp>
    <xdr:clientData/>
  </xdr:twoCellAnchor>
  <xdr:twoCellAnchor>
    <xdr:from>
      <xdr:col>11</xdr:col>
      <xdr:colOff>161925</xdr:colOff>
      <xdr:row>98</xdr:row>
      <xdr:rowOff>38101</xdr:rowOff>
    </xdr:from>
    <xdr:to>
      <xdr:col>11</xdr:col>
      <xdr:colOff>171450</xdr:colOff>
      <xdr:row>103</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238125</xdr:colOff>
      <xdr:row>114</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11</xdr:col>
      <xdr:colOff>820616</xdr:colOff>
      <xdr:row>109</xdr:row>
      <xdr:rowOff>155332</xdr:rowOff>
    </xdr:from>
    <xdr:to>
      <xdr:col>17</xdr:col>
      <xdr:colOff>11723</xdr:colOff>
      <xdr:row>134</xdr:row>
      <xdr:rowOff>1</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1500339" y="20776224"/>
          <a:ext cx="4876799" cy="453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F) Interests assumptions</a:t>
          </a:r>
          <a:r>
            <a:rPr lang="it-IT" sz="1400" b="1" baseline="0"/>
            <a:t> (long path)</a:t>
          </a:r>
          <a:endParaRPr lang="it-IT" sz="1400" b="1"/>
        </a:p>
        <a:p>
          <a:r>
            <a:rPr lang="it-IT" sz="1400"/>
            <a:t>For</a:t>
          </a:r>
          <a:r>
            <a:rPr lang="it-IT" sz="1400" baseline="0"/>
            <a:t> bond interests I used the following assumption: all new issues will pay on average cost of debt, therefore the average interest will tend to decrease as reported in right-side table. </a:t>
          </a:r>
        </a:p>
        <a:p>
          <a:r>
            <a:rPr lang="it-IT" sz="1400" baseline="0"/>
            <a:t>For bank interests I simply used the average interests/other financing over past 2</a:t>
          </a:r>
        </a:p>
        <a:p>
          <a:r>
            <a:rPr lang="it-IT" sz="1400" baseline="0"/>
            <a:t> years ( 0,51%) .</a:t>
          </a:r>
        </a:p>
        <a:p>
          <a:r>
            <a:rPr lang="it-IT" sz="1400" baseline="0"/>
            <a:t>Then, (strict assumption) in order to get a forecast for total financial expenses I used the average Interest % of total financial expenses of past two years. (78,60%)</a:t>
          </a:r>
        </a:p>
        <a:p>
          <a:endParaRPr lang="it-IT" sz="1400" baseline="0"/>
        </a:p>
        <a:p>
          <a:r>
            <a:rPr lang="it-IT" sz="1400" baseline="0"/>
            <a:t>Due to unpredictability of financial balance and financial items I will consider this result as a proxy for their forecasts (no interest income and other non-recurring results assumption). </a:t>
          </a:r>
        </a:p>
        <a:p>
          <a:endParaRPr lang="it-IT" sz="1400" baseline="0"/>
        </a:p>
        <a:p>
          <a:r>
            <a:rPr lang="it-IT" sz="1400" b="1" baseline="0"/>
            <a:t>F) Interests assumptions (short path)</a:t>
          </a:r>
        </a:p>
        <a:p>
          <a:r>
            <a:rPr lang="en-GB" sz="1400">
              <a:solidFill>
                <a:schemeClr val="dk1"/>
              </a:solidFill>
              <a:effectLst/>
              <a:latin typeface="+mn-lt"/>
              <a:ea typeface="+mn-ea"/>
              <a:cs typeface="+mn-cs"/>
            </a:rPr>
            <a:t>Even if A2A declared to reduce cost of debt over time, analytical way I followed gave me high conservative result. In this way relevant increases in debt were followed by interests lowering. </a:t>
          </a:r>
          <a:br>
            <a:rPr lang="en-GB" sz="1400">
              <a:solidFill>
                <a:schemeClr val="dk1"/>
              </a:solidFill>
              <a:effectLst/>
              <a:latin typeface="+mn-lt"/>
              <a:ea typeface="+mn-ea"/>
              <a:cs typeface="+mn-cs"/>
            </a:rPr>
          </a:br>
          <a:r>
            <a:rPr lang="en-GB" sz="1400">
              <a:solidFill>
                <a:schemeClr val="dk1"/>
              </a:solidFill>
              <a:effectLst/>
              <a:latin typeface="+mn-lt"/>
              <a:ea typeface="+mn-ea"/>
              <a:cs typeface="+mn-cs"/>
            </a:rPr>
            <a:t>Therefore I decided to obtain a simpler forecast shown below.</a:t>
          </a:r>
          <a:endParaRPr lang="it-IT" sz="1100"/>
        </a:p>
      </xdr:txBody>
    </xdr:sp>
    <xdr:clientData/>
  </xdr:twoCellAnchor>
  <xdr:twoCellAnchor>
    <xdr:from>
      <xdr:col>11</xdr:col>
      <xdr:colOff>820616</xdr:colOff>
      <xdr:row>54</xdr:row>
      <xdr:rowOff>140674</xdr:rowOff>
    </xdr:from>
    <xdr:to>
      <xdr:col>16</xdr:col>
      <xdr:colOff>1594339</xdr:colOff>
      <xdr:row>70</xdr:row>
      <xdr:rowOff>11722</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1500339" y="10445259"/>
          <a:ext cx="4841631" cy="2872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C) OWC</a:t>
          </a:r>
          <a:br>
            <a:rPr lang="it-IT" sz="1400"/>
          </a:br>
          <a:r>
            <a:rPr lang="it-IT" sz="1400"/>
            <a:t>For what about DSO, DPO and DIO I used respectively sales, operational</a:t>
          </a:r>
          <a:r>
            <a:rPr lang="it-IT" sz="1400" baseline="0"/>
            <a:t> costs and raw materials expenses. </a:t>
          </a:r>
        </a:p>
        <a:p>
          <a:endParaRPr lang="it-IT" sz="1400" baseline="0"/>
        </a:p>
        <a:p>
          <a:r>
            <a:rPr lang="it-IT" sz="1400" baseline="0"/>
            <a:t>For what about Days for other A&amp;L I used sales, notice that their values were always negative having a positive impact in Cash Conversion Cycle even for the future. </a:t>
          </a:r>
        </a:p>
        <a:p>
          <a:r>
            <a:rPr lang="it-IT" sz="1400"/>
            <a:t>Forecasts</a:t>
          </a:r>
          <a:r>
            <a:rPr lang="it-IT" sz="1400" baseline="0"/>
            <a:t> were made according to average of past two years results.</a:t>
          </a:r>
        </a:p>
        <a:p>
          <a:r>
            <a:rPr lang="it-IT" sz="1400" baseline="0"/>
            <a:t> </a:t>
          </a:r>
        </a:p>
        <a:p>
          <a:r>
            <a:rPr lang="it-IT" sz="1400" baseline="0"/>
            <a:t>In order to not allow for the high peak there could be in first year forecasts for 2020 I used same days as in 2019. </a:t>
          </a:r>
          <a:endParaRPr lang="it-IT" sz="1400"/>
        </a:p>
      </xdr:txBody>
    </xdr:sp>
    <xdr:clientData/>
  </xdr:twoCellAnchor>
  <xdr:twoCellAnchor>
    <xdr:from>
      <xdr:col>14</xdr:col>
      <xdr:colOff>487973</xdr:colOff>
      <xdr:row>1</xdr:row>
      <xdr:rowOff>23446</xdr:rowOff>
    </xdr:from>
    <xdr:to>
      <xdr:col>15</xdr:col>
      <xdr:colOff>192698</xdr:colOff>
      <xdr:row>3</xdr:row>
      <xdr:rowOff>134815</xdr:rowOff>
    </xdr:to>
    <xdr:sp macro="" textlink="">
      <xdr:nvSpPr>
        <xdr:cNvPr id="22" name="Freccia in giù 21">
          <a:extLst>
            <a:ext uri="{FF2B5EF4-FFF2-40B4-BE49-F238E27FC236}">
              <a16:creationId xmlns:a16="http://schemas.microsoft.com/office/drawing/2014/main" id="{1605F3CA-D8A8-40AC-9423-32F334803134}"/>
            </a:ext>
          </a:extLst>
        </xdr:cNvPr>
        <xdr:cNvSpPr/>
      </xdr:nvSpPr>
      <xdr:spPr>
        <a:xfrm>
          <a:off x="13500588" y="339969"/>
          <a:ext cx="572233"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2381250</xdr:colOff>
      <xdr:row>1</xdr:row>
      <xdr:rowOff>95250</xdr:rowOff>
    </xdr:from>
    <xdr:to>
      <xdr:col>19</xdr:col>
      <xdr:colOff>476250</xdr:colOff>
      <xdr:row>3</xdr:row>
      <xdr:rowOff>114300</xdr:rowOff>
    </xdr:to>
    <xdr:sp macro="" textlink="">
      <xdr:nvSpPr>
        <xdr:cNvPr id="26" name="Freccia in giù 25">
          <a:extLst>
            <a:ext uri="{FF2B5EF4-FFF2-40B4-BE49-F238E27FC236}">
              <a16:creationId xmlns:a16="http://schemas.microsoft.com/office/drawing/2014/main" id="{9041F44E-A7B5-4757-ACFA-498F39C75238}"/>
            </a:ext>
          </a:extLst>
        </xdr:cNvPr>
        <xdr:cNvSpPr/>
      </xdr:nvSpPr>
      <xdr:spPr>
        <a:xfrm>
          <a:off x="19240500" y="361950"/>
          <a:ext cx="514350" cy="438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12</xdr:col>
      <xdr:colOff>228600</xdr:colOff>
      <xdr:row>149</xdr:row>
      <xdr:rowOff>38100</xdr:rowOff>
    </xdr:from>
    <xdr:to>
      <xdr:col>13</xdr:col>
      <xdr:colOff>304800</xdr:colOff>
      <xdr:row>150</xdr:row>
      <xdr:rowOff>85725</xdr:rowOff>
    </xdr:to>
    <xdr:sp macro="" textlink="">
      <xdr:nvSpPr>
        <xdr:cNvPr id="2" name="Freccia a destra 1">
          <a:extLst>
            <a:ext uri="{FF2B5EF4-FFF2-40B4-BE49-F238E27FC236}">
              <a16:creationId xmlns:a16="http://schemas.microsoft.com/office/drawing/2014/main" id="{3F37BAC8-853E-4DAD-8345-810AD5765847}"/>
            </a:ext>
          </a:extLst>
        </xdr:cNvPr>
        <xdr:cNvSpPr/>
      </xdr:nvSpPr>
      <xdr:spPr>
        <a:xfrm>
          <a:off x="11706225" y="274224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695325</xdr:colOff>
      <xdr:row>149</xdr:row>
      <xdr:rowOff>76200</xdr:rowOff>
    </xdr:from>
    <xdr:to>
      <xdr:col>18</xdr:col>
      <xdr:colOff>1638300</xdr:colOff>
      <xdr:row>150</xdr:row>
      <xdr:rowOff>123825</xdr:rowOff>
    </xdr:to>
    <xdr:sp macro="" textlink="">
      <xdr:nvSpPr>
        <xdr:cNvPr id="28" name="Freccia a destra 27">
          <a:extLst>
            <a:ext uri="{FF2B5EF4-FFF2-40B4-BE49-F238E27FC236}">
              <a16:creationId xmlns:a16="http://schemas.microsoft.com/office/drawing/2014/main" id="{660D45C2-EEC6-43A1-AD29-FFA54CCA6AB4}"/>
            </a:ext>
          </a:extLst>
        </xdr:cNvPr>
        <xdr:cNvSpPr/>
      </xdr:nvSpPr>
      <xdr:spPr>
        <a:xfrm>
          <a:off x="17497425" y="274605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14</xdr:col>
      <xdr:colOff>28575</xdr:colOff>
      <xdr:row>154</xdr:row>
      <xdr:rowOff>85725</xdr:rowOff>
    </xdr:from>
    <xdr:to>
      <xdr:col>17</xdr:col>
      <xdr:colOff>857250</xdr:colOff>
      <xdr:row>178</xdr:row>
      <xdr:rowOff>175846</xdr:rowOff>
    </xdr:to>
    <xdr:sp macro="" textlink="">
      <xdr:nvSpPr>
        <xdr:cNvPr id="3" name="CasellaDiTesto 2">
          <a:extLst>
            <a:ext uri="{FF2B5EF4-FFF2-40B4-BE49-F238E27FC236}">
              <a16:creationId xmlns:a16="http://schemas.microsoft.com/office/drawing/2014/main" id="{FF6B36CF-9BD3-41EF-BC4A-772F7CB9316C}"/>
            </a:ext>
          </a:extLst>
        </xdr:cNvPr>
        <xdr:cNvSpPr txBox="1"/>
      </xdr:nvSpPr>
      <xdr:spPr>
        <a:xfrm>
          <a:off x="13041190" y="29135510"/>
          <a:ext cx="3818060" cy="45917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In strategic plan 2019-2023</a:t>
          </a:r>
          <a:r>
            <a:rPr lang="it-IT" sz="1400" baseline="0"/>
            <a:t> A2A declared a NI of 462 million for 2023 against 518 from my result. </a:t>
          </a:r>
        </a:p>
        <a:p>
          <a:r>
            <a:rPr lang="it-IT" sz="1400" baseline="0"/>
            <a:t>Of course this result was a forecast made in 2018, anyway it highlights that it could be reasonable to try to adjust it. </a:t>
          </a:r>
        </a:p>
        <a:p>
          <a:endParaRPr lang="it-IT" sz="1400" baseline="0"/>
        </a:p>
        <a:p>
          <a:r>
            <a:rPr lang="it-IT" sz="1400" baseline="0"/>
            <a:t>The sources in order to reduce final results are respectively D&amp;A and financial items. </a:t>
          </a:r>
        </a:p>
        <a:p>
          <a:endParaRPr lang="it-IT" sz="1400" baseline="0"/>
        </a:p>
        <a:p>
          <a:endParaRPr lang="it-IT" sz="1400" baseline="0"/>
        </a:p>
        <a:p>
          <a:r>
            <a:rPr lang="it-IT" sz="1400" baseline="0"/>
            <a:t>- Especially I worked on tangible D&amp;A allowing for lower impact in percentage terms in early years, increasing them linearly to the average of 9,97%. </a:t>
          </a:r>
        </a:p>
        <a:p>
          <a:endParaRPr lang="it-IT" sz="1400" baseline="0"/>
        </a:p>
        <a:p>
          <a:endParaRPr lang="it-IT" sz="1400" baseline="0"/>
        </a:p>
        <a:p>
          <a:r>
            <a:rPr lang="it-IT" sz="1400"/>
            <a:t>- I changed considerations about</a:t>
          </a:r>
          <a:r>
            <a:rPr lang="it-IT" sz="1400" baseline="0"/>
            <a:t> financial items simply using past year financial items / total debt; in this way as debt increase financial items too. Anyway, this result is not much consistent with cost of debt decrease as highlighted. </a:t>
          </a:r>
          <a:endParaRPr lang="it-IT" sz="1400"/>
        </a:p>
      </xdr:txBody>
    </xdr:sp>
    <xdr:clientData/>
  </xdr:twoCellAnchor>
  <xdr:twoCellAnchor>
    <xdr:from>
      <xdr:col>14</xdr:col>
      <xdr:colOff>35901</xdr:colOff>
      <xdr:row>188</xdr:row>
      <xdr:rowOff>105508</xdr:rowOff>
    </xdr:from>
    <xdr:to>
      <xdr:col>18</xdr:col>
      <xdr:colOff>140676</xdr:colOff>
      <xdr:row>196</xdr:row>
      <xdr:rowOff>93786</xdr:rowOff>
    </xdr:to>
    <xdr:sp macro="" textlink="">
      <xdr:nvSpPr>
        <xdr:cNvPr id="5" name="CasellaDiTesto 4">
          <a:extLst>
            <a:ext uri="{FF2B5EF4-FFF2-40B4-BE49-F238E27FC236}">
              <a16:creationId xmlns:a16="http://schemas.microsoft.com/office/drawing/2014/main" id="{6273C4C8-B701-48A1-8CFD-921244C0A045}"/>
            </a:ext>
          </a:extLst>
        </xdr:cNvPr>
        <xdr:cNvSpPr txBox="1"/>
      </xdr:nvSpPr>
      <xdr:spPr>
        <a:xfrm>
          <a:off x="13048516" y="35532646"/>
          <a:ext cx="3961668" cy="1488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Notice: </a:t>
          </a:r>
          <a:r>
            <a:rPr lang="it-IT" sz="1400"/>
            <a:t>as we</a:t>
          </a:r>
          <a:r>
            <a:rPr lang="it-IT" sz="1400" baseline="0"/>
            <a:t> can see here I used directly forecasts for NWC which are presented in upside section. </a:t>
          </a:r>
        </a:p>
        <a:p>
          <a:endParaRPr lang="it-IT" sz="1400" baseline="0"/>
        </a:p>
        <a:p>
          <a:r>
            <a:rPr lang="it-IT" sz="1400" baseline="0"/>
            <a:t>Of course, in order to avoid "white spaces" specific forecasts can be used. Anyway, I prefer to use the former result, more helpful for my purposes. </a:t>
          </a:r>
          <a:endParaRPr lang="it-IT" sz="1400"/>
        </a:p>
      </xdr:txBody>
    </xdr:sp>
    <xdr:clientData/>
  </xdr:twoCellAnchor>
  <xdr:twoCellAnchor>
    <xdr:from>
      <xdr:col>14</xdr:col>
      <xdr:colOff>21981</xdr:colOff>
      <xdr:row>197</xdr:row>
      <xdr:rowOff>126021</xdr:rowOff>
    </xdr:from>
    <xdr:to>
      <xdr:col>18</xdr:col>
      <xdr:colOff>126756</xdr:colOff>
      <xdr:row>214</xdr:row>
      <xdr:rowOff>175846</xdr:rowOff>
    </xdr:to>
    <xdr:sp macro="" textlink="">
      <xdr:nvSpPr>
        <xdr:cNvPr id="6" name="CasellaDiTesto 5">
          <a:extLst>
            <a:ext uri="{FF2B5EF4-FFF2-40B4-BE49-F238E27FC236}">
              <a16:creationId xmlns:a16="http://schemas.microsoft.com/office/drawing/2014/main" id="{990F1BEC-0CDA-4100-A440-DE8D62347DEB}"/>
            </a:ext>
          </a:extLst>
        </xdr:cNvPr>
        <xdr:cNvSpPr txBox="1"/>
      </xdr:nvSpPr>
      <xdr:spPr>
        <a:xfrm>
          <a:off x="13034596" y="37241283"/>
          <a:ext cx="3961668" cy="3238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In</a:t>
          </a:r>
          <a:r>
            <a:rPr lang="it-IT" sz="1400" baseline="0"/>
            <a:t> these results I fixed total debt obtained from upside analysis (i.e. from the provided NFP/EBITDA of 2.3). </a:t>
          </a:r>
        </a:p>
        <a:p>
          <a:br>
            <a:rPr lang="it-IT" sz="1400" baseline="0"/>
          </a:br>
          <a:r>
            <a:rPr lang="it-IT" sz="1400" baseline="0"/>
            <a:t>Anyway, then I used cash positions obtained from reorganized cash flow which yields to slightly different results. </a:t>
          </a:r>
        </a:p>
        <a:p>
          <a:r>
            <a:rPr lang="it-IT" sz="1400" baseline="0"/>
            <a:t>A NFP/EBITDA of 2.21 against starting 2.3. </a:t>
          </a:r>
        </a:p>
        <a:p>
          <a:endParaRPr lang="it-IT" sz="1400" baseline="0"/>
        </a:p>
        <a:p>
          <a:r>
            <a:rPr lang="it-IT" sz="1400" baseline="0"/>
            <a:t>One direct way is represented by reducing  cash generated during the years. </a:t>
          </a:r>
        </a:p>
        <a:p>
          <a:endParaRPr lang="it-IT" sz="1400" baseline="0"/>
        </a:p>
        <a:p>
          <a:r>
            <a:rPr lang="it-IT" sz="1400" baseline="0"/>
            <a:t>My intervenction on D&amp;A and Financial items corrected this ratio to 2.28. </a:t>
          </a:r>
        </a:p>
        <a:p>
          <a:endParaRPr lang="it-IT" sz="1100" baseline="0"/>
        </a:p>
        <a:p>
          <a:endParaRPr lang="it-IT" sz="1100"/>
        </a:p>
      </xdr:txBody>
    </xdr:sp>
    <xdr:clientData/>
  </xdr:twoCellAnchor>
  <xdr:twoCellAnchor>
    <xdr:from>
      <xdr:col>0</xdr:col>
      <xdr:colOff>238125</xdr:colOff>
      <xdr:row>257</xdr:row>
      <xdr:rowOff>9525</xdr:rowOff>
    </xdr:from>
    <xdr:to>
      <xdr:col>7</xdr:col>
      <xdr:colOff>490764</xdr:colOff>
      <xdr:row>261</xdr:row>
      <xdr:rowOff>70716</xdr:rowOff>
    </xdr:to>
    <xdr:sp macro="" textlink="">
      <xdr:nvSpPr>
        <xdr:cNvPr id="25" name="CasellaDiTesto 24">
          <a:extLst>
            <a:ext uri="{FF2B5EF4-FFF2-40B4-BE49-F238E27FC236}">
              <a16:creationId xmlns:a16="http://schemas.microsoft.com/office/drawing/2014/main" id="{A5F490C1-AB63-48A5-A2DE-D5D922FFFCDF}"/>
            </a:ext>
          </a:extLst>
        </xdr:cNvPr>
        <xdr:cNvSpPr txBox="1"/>
      </xdr:nvSpPr>
      <xdr:spPr>
        <a:xfrm>
          <a:off x="238125" y="47091600"/>
          <a:ext cx="7520214" cy="785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27-35.</a:t>
          </a:r>
          <a:endParaRPr lang="it-IT" sz="1400" b="0"/>
        </a:p>
        <a:p>
          <a:endParaRPr lang="it-IT" sz="1100" b="0"/>
        </a:p>
      </xdr:txBody>
    </xdr:sp>
    <xdr:clientData/>
  </xdr:twoCellAnchor>
  <xdr:twoCellAnchor>
    <xdr:from>
      <xdr:col>12</xdr:col>
      <xdr:colOff>0</xdr:colOff>
      <xdr:row>3</xdr:row>
      <xdr:rowOff>140677</xdr:rowOff>
    </xdr:from>
    <xdr:to>
      <xdr:col>17</xdr:col>
      <xdr:colOff>23447</xdr:colOff>
      <xdr:row>7</xdr:row>
      <xdr:rowOff>23446</xdr:rowOff>
    </xdr:to>
    <xdr:sp macro="" textlink="">
      <xdr:nvSpPr>
        <xdr:cNvPr id="7" name="CasellaDiTesto 6">
          <a:extLst>
            <a:ext uri="{FF2B5EF4-FFF2-40B4-BE49-F238E27FC236}">
              <a16:creationId xmlns:a16="http://schemas.microsoft.com/office/drawing/2014/main" id="{80417233-540D-48E1-86D2-F490E075F0F5}"/>
            </a:ext>
          </a:extLst>
        </xdr:cNvPr>
        <xdr:cNvSpPr txBox="1"/>
      </xdr:nvSpPr>
      <xdr:spPr>
        <a:xfrm>
          <a:off x="11535508" y="879231"/>
          <a:ext cx="4853354" cy="6330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dk1"/>
              </a:solidFill>
              <a:effectLst/>
              <a:latin typeface="+mn-lt"/>
              <a:ea typeface="+mn-ea"/>
              <a:cs typeface="+mn-cs"/>
            </a:rPr>
            <a:t>I have decided to explicitly forecast next 5 years of company operativity, according to strategic plan 2020-2024. </a:t>
          </a:r>
          <a:endParaRPr lang="it-IT" sz="1400"/>
        </a:p>
      </xdr:txBody>
    </xdr:sp>
    <xdr:clientData/>
  </xdr:twoCellAnchor>
  <xdr:twoCellAnchor>
    <xdr:from>
      <xdr:col>11</xdr:col>
      <xdr:colOff>832339</xdr:colOff>
      <xdr:row>134</xdr:row>
      <xdr:rowOff>82063</xdr:rowOff>
    </xdr:from>
    <xdr:to>
      <xdr:col>17</xdr:col>
      <xdr:colOff>0</xdr:colOff>
      <xdr:row>138</xdr:row>
      <xdr:rowOff>35169</xdr:rowOff>
    </xdr:to>
    <xdr:sp macro="" textlink="">
      <xdr:nvSpPr>
        <xdr:cNvPr id="8" name="CasellaDiTesto 7">
          <a:extLst>
            <a:ext uri="{FF2B5EF4-FFF2-40B4-BE49-F238E27FC236}">
              <a16:creationId xmlns:a16="http://schemas.microsoft.com/office/drawing/2014/main" id="{E8A6DFBB-50F2-4BCD-A8B3-D23FC9E2577A}"/>
            </a:ext>
          </a:extLst>
        </xdr:cNvPr>
        <xdr:cNvSpPr txBox="1"/>
      </xdr:nvSpPr>
      <xdr:spPr>
        <a:xfrm>
          <a:off x="11512062" y="25392186"/>
          <a:ext cx="4853353" cy="7033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1">
              <a:solidFill>
                <a:schemeClr val="dk1"/>
              </a:solidFill>
              <a:effectLst/>
              <a:latin typeface="+mn-lt"/>
              <a:ea typeface="+mn-ea"/>
              <a:cs typeface="+mn-cs"/>
            </a:rPr>
            <a:t>G) Income taxes </a:t>
          </a:r>
          <a:br>
            <a:rPr lang="en-GB" sz="1400" i="1">
              <a:solidFill>
                <a:schemeClr val="dk1"/>
              </a:solidFill>
              <a:effectLst/>
              <a:latin typeface="+mn-lt"/>
              <a:ea typeface="+mn-ea"/>
              <a:cs typeface="+mn-cs"/>
            </a:rPr>
          </a:br>
          <a:r>
            <a:rPr lang="en-GB" sz="1400" i="1">
              <a:solidFill>
                <a:schemeClr val="dk1"/>
              </a:solidFill>
              <a:effectLst/>
              <a:latin typeface="+mn-lt"/>
              <a:ea typeface="+mn-ea"/>
              <a:cs typeface="+mn-cs"/>
            </a:rPr>
            <a:t> </a:t>
          </a:r>
          <a:r>
            <a:rPr lang="en-GB" sz="1400">
              <a:solidFill>
                <a:schemeClr val="dk1"/>
              </a:solidFill>
              <a:effectLst/>
              <a:latin typeface="+mn-lt"/>
              <a:ea typeface="+mn-ea"/>
              <a:cs typeface="+mn-cs"/>
            </a:rPr>
            <a:t>Ires as 24% on taxable income. Irap as 3,9 % on EBIT.</a:t>
          </a:r>
          <a:endParaRPr lang="it-IT" sz="1400"/>
        </a:p>
      </xdr:txBody>
    </xdr:sp>
    <xdr:clientData/>
  </xdr:twoCellAnchor>
  <xdr:twoCellAnchor>
    <xdr:from>
      <xdr:col>12</xdr:col>
      <xdr:colOff>11723</xdr:colOff>
      <xdr:row>138</xdr:row>
      <xdr:rowOff>164122</xdr:rowOff>
    </xdr:from>
    <xdr:to>
      <xdr:col>17</xdr:col>
      <xdr:colOff>11723</xdr:colOff>
      <xdr:row>145</xdr:row>
      <xdr:rowOff>105506</xdr:rowOff>
    </xdr:to>
    <xdr:sp macro="" textlink="">
      <xdr:nvSpPr>
        <xdr:cNvPr id="9" name="CasellaDiTesto 8">
          <a:extLst>
            <a:ext uri="{FF2B5EF4-FFF2-40B4-BE49-F238E27FC236}">
              <a16:creationId xmlns:a16="http://schemas.microsoft.com/office/drawing/2014/main" id="{2063FEEC-EBAB-4282-8052-53DA4B391F3C}"/>
            </a:ext>
          </a:extLst>
        </xdr:cNvPr>
        <xdr:cNvSpPr txBox="1"/>
      </xdr:nvSpPr>
      <xdr:spPr>
        <a:xfrm>
          <a:off x="11547231" y="26224522"/>
          <a:ext cx="4829907" cy="12543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H) Equity</a:t>
          </a:r>
        </a:p>
        <a:p>
          <a:pPr marL="0" marR="0" lvl="0" indent="0" defTabSz="914400" rtl="0" eaLnBrk="1" fontAlgn="auto" latinLnBrk="0" hangingPunct="1">
            <a:lnSpc>
              <a:spcPct val="100000"/>
            </a:lnSpc>
            <a:spcBef>
              <a:spcPts val="0"/>
            </a:spcBef>
            <a:spcAft>
              <a:spcPts val="0"/>
            </a:spcAft>
            <a:buClrTx/>
            <a:buSzTx/>
            <a:buFontTx/>
            <a:buNone/>
            <a:tabLst/>
            <a:defRPr/>
          </a:pPr>
          <a:r>
            <a:rPr lang="en-GB" sz="1400">
              <a:solidFill>
                <a:schemeClr val="dk1"/>
              </a:solidFill>
              <a:effectLst/>
              <a:latin typeface="+mn-lt"/>
              <a:ea typeface="+mn-ea"/>
              <a:cs typeface="+mn-cs"/>
            </a:rPr>
            <a:t>Given net result of the group (from below) I computed dividend according to same assumptions seen in dividend model</a:t>
          </a:r>
          <a:r>
            <a:rPr lang="en-GB" sz="1400" baseline="0">
              <a:solidFill>
                <a:schemeClr val="dk1"/>
              </a:solidFill>
              <a:effectLst/>
              <a:latin typeface="+mn-lt"/>
              <a:ea typeface="+mn-ea"/>
              <a:cs typeface="+mn-cs"/>
            </a:rPr>
            <a:t> and so the evolution of equity, increased by not distributed resources. </a:t>
          </a:r>
          <a:endParaRPr lang="it-IT" sz="1400">
            <a:effectLst/>
          </a:endParaRPr>
        </a:p>
        <a:p>
          <a:endParaRPr lang="it-IT" sz="14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600364</xdr:colOff>
      <xdr:row>22</xdr:row>
      <xdr:rowOff>115456</xdr:rowOff>
    </xdr:from>
    <xdr:to>
      <xdr:col>5</xdr:col>
      <xdr:colOff>34637</xdr:colOff>
      <xdr:row>29</xdr:row>
      <xdr:rowOff>34638</xdr:rowOff>
    </xdr:to>
    <xdr:sp macro="" textlink="">
      <xdr:nvSpPr>
        <xdr:cNvPr id="3" name="CasellaDiTesto 2">
          <a:extLst>
            <a:ext uri="{FF2B5EF4-FFF2-40B4-BE49-F238E27FC236}">
              <a16:creationId xmlns:a16="http://schemas.microsoft.com/office/drawing/2014/main" id="{56AA375F-E107-4454-B867-52941588A667}"/>
            </a:ext>
          </a:extLst>
        </xdr:cNvPr>
        <xdr:cNvSpPr txBox="1"/>
      </xdr:nvSpPr>
      <xdr:spPr>
        <a:xfrm>
          <a:off x="600364" y="4364183"/>
          <a:ext cx="3244273" cy="127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A2A</a:t>
          </a:r>
          <a:r>
            <a:rPr lang="it-IT" sz="1400" baseline="0"/>
            <a:t> declared to augment DPS at least for 5% each year until 2024. </a:t>
          </a:r>
        </a:p>
      </xdr:txBody>
    </xdr:sp>
    <xdr:clientData/>
  </xdr:twoCellAnchor>
  <xdr:twoCellAnchor>
    <xdr:from>
      <xdr:col>13</xdr:col>
      <xdr:colOff>289560</xdr:colOff>
      <xdr:row>67</xdr:row>
      <xdr:rowOff>114300</xdr:rowOff>
    </xdr:from>
    <xdr:to>
      <xdr:col>16</xdr:col>
      <xdr:colOff>365760</xdr:colOff>
      <xdr:row>72</xdr:row>
      <xdr:rowOff>80819</xdr:rowOff>
    </xdr:to>
    <xdr:sp macro="" textlink="">
      <xdr:nvSpPr>
        <xdr:cNvPr id="5" name="CasellaDiTesto 4">
          <a:extLst>
            <a:ext uri="{FF2B5EF4-FFF2-40B4-BE49-F238E27FC236}">
              <a16:creationId xmlns:a16="http://schemas.microsoft.com/office/drawing/2014/main" id="{157B9008-8677-47F5-8005-6C0662DD36A0}"/>
            </a:ext>
          </a:extLst>
        </xdr:cNvPr>
        <xdr:cNvSpPr txBox="1"/>
      </xdr:nvSpPr>
      <xdr:spPr>
        <a:xfrm>
          <a:off x="10322560" y="13045209"/>
          <a:ext cx="2177473" cy="8901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Notice</a:t>
          </a:r>
          <a:r>
            <a:rPr lang="it-IT" sz="1400"/>
            <a:t>: I called</a:t>
          </a:r>
          <a:r>
            <a:rPr lang="it-IT" sz="1400" baseline="0"/>
            <a:t> NaN growth rates involving negative numbers. </a:t>
          </a:r>
        </a:p>
        <a:p>
          <a:endParaRPr lang="it-IT" sz="1100"/>
        </a:p>
      </xdr:txBody>
    </xdr:sp>
    <xdr:clientData/>
  </xdr:twoCellAnchor>
  <xdr:twoCellAnchor>
    <xdr:from>
      <xdr:col>5</xdr:col>
      <xdr:colOff>388620</xdr:colOff>
      <xdr:row>146</xdr:row>
      <xdr:rowOff>152400</xdr:rowOff>
    </xdr:from>
    <xdr:to>
      <xdr:col>6</xdr:col>
      <xdr:colOff>0</xdr:colOff>
      <xdr:row>148</xdr:row>
      <xdr:rowOff>0</xdr:rowOff>
    </xdr:to>
    <xdr:sp macro="" textlink="">
      <xdr:nvSpPr>
        <xdr:cNvPr id="4" name="Freccia a destra 3">
          <a:extLst>
            <a:ext uri="{FF2B5EF4-FFF2-40B4-BE49-F238E27FC236}">
              <a16:creationId xmlns:a16="http://schemas.microsoft.com/office/drawing/2014/main" id="{45AC1347-F178-4177-83BB-455383FDB80C}"/>
            </a:ext>
          </a:extLst>
        </xdr:cNvPr>
        <xdr:cNvSpPr/>
      </xdr:nvSpPr>
      <xdr:spPr>
        <a:xfrm>
          <a:off x="4183380" y="2713482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5</xdr:col>
      <xdr:colOff>388620</xdr:colOff>
      <xdr:row>150</xdr:row>
      <xdr:rowOff>91440</xdr:rowOff>
    </xdr:from>
    <xdr:to>
      <xdr:col>6</xdr:col>
      <xdr:colOff>0</xdr:colOff>
      <xdr:row>151</xdr:row>
      <xdr:rowOff>121920</xdr:rowOff>
    </xdr:to>
    <xdr:sp macro="" textlink="">
      <xdr:nvSpPr>
        <xdr:cNvPr id="7" name="Freccia a destra 6">
          <a:extLst>
            <a:ext uri="{FF2B5EF4-FFF2-40B4-BE49-F238E27FC236}">
              <a16:creationId xmlns:a16="http://schemas.microsoft.com/office/drawing/2014/main" id="{B94A98AB-FFE8-4943-95B7-A19C5900886B}"/>
            </a:ext>
          </a:extLst>
        </xdr:cNvPr>
        <xdr:cNvSpPr/>
      </xdr:nvSpPr>
      <xdr:spPr>
        <a:xfrm>
          <a:off x="4183380" y="2780538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5</xdr:col>
      <xdr:colOff>381000</xdr:colOff>
      <xdr:row>154</xdr:row>
      <xdr:rowOff>160020</xdr:rowOff>
    </xdr:from>
    <xdr:to>
      <xdr:col>5</xdr:col>
      <xdr:colOff>601980</xdr:colOff>
      <xdr:row>156</xdr:row>
      <xdr:rowOff>7620</xdr:rowOff>
    </xdr:to>
    <xdr:sp macro="" textlink="">
      <xdr:nvSpPr>
        <xdr:cNvPr id="9" name="Freccia a destra 8">
          <a:extLst>
            <a:ext uri="{FF2B5EF4-FFF2-40B4-BE49-F238E27FC236}">
              <a16:creationId xmlns:a16="http://schemas.microsoft.com/office/drawing/2014/main" id="{BEB75CAE-292A-49D8-9251-BE799AF19BE0}"/>
            </a:ext>
          </a:extLst>
        </xdr:cNvPr>
        <xdr:cNvSpPr/>
      </xdr:nvSpPr>
      <xdr:spPr>
        <a:xfrm>
          <a:off x="4175760" y="28605480"/>
          <a:ext cx="220980" cy="213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0</xdr:col>
      <xdr:colOff>562957</xdr:colOff>
      <xdr:row>171</xdr:row>
      <xdr:rowOff>26094</xdr:rowOff>
    </xdr:from>
    <xdr:to>
      <xdr:col>11</xdr:col>
      <xdr:colOff>409831</xdr:colOff>
      <xdr:row>175</xdr:row>
      <xdr:rowOff>79665</xdr:rowOff>
    </xdr:to>
    <xdr:sp macro="" textlink="">
      <xdr:nvSpPr>
        <xdr:cNvPr id="11" name="CasellaDiTesto 10">
          <a:extLst>
            <a:ext uri="{FF2B5EF4-FFF2-40B4-BE49-F238E27FC236}">
              <a16:creationId xmlns:a16="http://schemas.microsoft.com/office/drawing/2014/main" id="{93AAD63E-AA26-4F5E-BB5E-F2C8C764AC8F}"/>
            </a:ext>
          </a:extLst>
        </xdr:cNvPr>
        <xdr:cNvSpPr txBox="1"/>
      </xdr:nvSpPr>
      <xdr:spPr>
        <a:xfrm>
          <a:off x="562957" y="32572730"/>
          <a:ext cx="8586783" cy="792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27-35.</a:t>
          </a:r>
          <a:endParaRPr lang="it-IT" sz="1400" b="0"/>
        </a:p>
        <a:p>
          <a:endParaRPr lang="it-IT" sz="1100" b="0"/>
        </a:p>
      </xdr:txBody>
    </xdr:sp>
    <xdr:clientData/>
  </xdr:twoCellAnchor>
  <xdr:twoCellAnchor>
    <xdr:from>
      <xdr:col>22</xdr:col>
      <xdr:colOff>23091</xdr:colOff>
      <xdr:row>5</xdr:row>
      <xdr:rowOff>57726</xdr:rowOff>
    </xdr:from>
    <xdr:to>
      <xdr:col>32</xdr:col>
      <xdr:colOff>588819</xdr:colOff>
      <xdr:row>41</xdr:row>
      <xdr:rowOff>46180</xdr:rowOff>
    </xdr:to>
    <xdr:sp macro="" textlink="">
      <xdr:nvSpPr>
        <xdr:cNvPr id="8" name="CasellaDiTesto 7">
          <a:extLst>
            <a:ext uri="{FF2B5EF4-FFF2-40B4-BE49-F238E27FC236}">
              <a16:creationId xmlns:a16="http://schemas.microsoft.com/office/drawing/2014/main" id="{C2C0FA82-A024-4BAF-97AF-3E43A9719E15}"/>
            </a:ext>
          </a:extLst>
        </xdr:cNvPr>
        <xdr:cNvSpPr txBox="1"/>
      </xdr:nvSpPr>
      <xdr:spPr>
        <a:xfrm>
          <a:off x="14639636" y="1154544"/>
          <a:ext cx="6684819" cy="6754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it-IT" sz="1400" b="1">
              <a:solidFill>
                <a:schemeClr val="dk1"/>
              </a:solidFill>
              <a:effectLst/>
              <a:latin typeface="+mn-lt"/>
              <a:ea typeface="+mn-ea"/>
              <a:cs typeface="+mn-cs"/>
            </a:rPr>
            <a:t>Assumptions </a:t>
          </a:r>
        </a:p>
        <a:p>
          <a:pPr rtl="0" eaLnBrk="1" latinLnBrk="0" hangingPunct="1"/>
          <a:endParaRPr lang="it-IT" sz="1400" b="1">
            <a:solidFill>
              <a:schemeClr val="dk1"/>
            </a:solidFill>
            <a:effectLst/>
            <a:latin typeface="+mn-lt"/>
            <a:ea typeface="+mn-ea"/>
            <a:cs typeface="+mn-cs"/>
          </a:endParaRPr>
        </a:p>
        <a:p>
          <a:pPr rtl="0" eaLnBrk="1" latinLnBrk="0" hangingPunct="1"/>
          <a:r>
            <a:rPr lang="it-IT" sz="1400" b="1">
              <a:solidFill>
                <a:schemeClr val="dk1"/>
              </a:solidFill>
              <a:effectLst/>
              <a:latin typeface="+mn-lt"/>
              <a:ea typeface="+mn-ea"/>
              <a:cs typeface="+mn-cs"/>
            </a:rPr>
            <a:t>Discount model</a:t>
          </a:r>
          <a:r>
            <a:rPr lang="it-IT" sz="1400">
              <a:solidFill>
                <a:schemeClr val="dk1"/>
              </a:solidFill>
              <a:effectLst/>
              <a:latin typeface="+mn-lt"/>
              <a:ea typeface="+mn-ea"/>
              <a:cs typeface="+mn-cs"/>
            </a:rPr>
            <a:t>: Three Stage dividend discount model </a:t>
          </a:r>
          <a:endParaRPr lang="it-IT" sz="1400">
            <a:effectLst/>
          </a:endParaRPr>
        </a:p>
        <a:p>
          <a:pPr rtl="0" eaLnBrk="1" latinLnBrk="0" hangingPunct="1"/>
          <a:endParaRPr lang="it-IT" sz="1400" b="1">
            <a:solidFill>
              <a:schemeClr val="dk1"/>
            </a:solidFill>
            <a:effectLst/>
            <a:latin typeface="+mn-lt"/>
            <a:ea typeface="+mn-ea"/>
            <a:cs typeface="+mn-cs"/>
          </a:endParaRPr>
        </a:p>
        <a:p>
          <a:pPr rtl="0" eaLnBrk="1" latinLnBrk="0" hangingPunct="1"/>
          <a:r>
            <a:rPr lang="it-IT" sz="1400" b="1">
              <a:solidFill>
                <a:schemeClr val="dk1"/>
              </a:solidFill>
              <a:effectLst/>
              <a:latin typeface="+mn-lt"/>
              <a:ea typeface="+mn-ea"/>
              <a:cs typeface="+mn-cs"/>
            </a:rPr>
            <a:t>Time ranges</a:t>
          </a:r>
          <a:r>
            <a:rPr lang="it-IT" sz="1400">
              <a:solidFill>
                <a:schemeClr val="dk1"/>
              </a:solidFill>
              <a:effectLst/>
              <a:latin typeface="+mn-lt"/>
              <a:ea typeface="+mn-ea"/>
              <a:cs typeface="+mn-cs"/>
            </a:rPr>
            <a:t>: </a:t>
          </a:r>
          <a:endParaRPr lang="it-IT" sz="1400">
            <a:effectLst/>
          </a:endParaRPr>
        </a:p>
        <a:p>
          <a:pPr rtl="0" eaLnBrk="1" latinLnBrk="0" hangingPunct="1"/>
          <a:r>
            <a:rPr lang="it-IT" sz="1400">
              <a:solidFill>
                <a:schemeClr val="dk1"/>
              </a:solidFill>
              <a:effectLst/>
              <a:latin typeface="+mn-lt"/>
              <a:ea typeface="+mn-ea"/>
              <a:cs typeface="+mn-cs"/>
            </a:rPr>
            <a:t>-High growth: from 2020 to 2024 according to A2A disclosed dividend policy. </a:t>
          </a:r>
          <a:endParaRPr lang="it-IT" sz="1400">
            <a:effectLst/>
          </a:endParaRPr>
        </a:p>
        <a:p>
          <a:pPr rtl="0" eaLnBrk="1" latinLnBrk="0" hangingPunct="1"/>
          <a:r>
            <a:rPr lang="it-IT" sz="1400">
              <a:solidFill>
                <a:schemeClr val="dk1"/>
              </a:solidFill>
              <a:effectLst/>
              <a:latin typeface="+mn-lt"/>
              <a:ea typeface="+mn-ea"/>
              <a:cs typeface="+mn-cs"/>
            </a:rPr>
            <a:t>-Decreasing growth: 3 years, from 2025 to 2027 (included). </a:t>
          </a:r>
          <a:r>
            <a:rPr lang="it-IT" sz="1400" i="1">
              <a:solidFill>
                <a:schemeClr val="dk1"/>
              </a:solidFill>
              <a:effectLst/>
              <a:latin typeface="+mn-lt"/>
              <a:ea typeface="+mn-ea"/>
              <a:cs typeface="+mn-cs"/>
            </a:rPr>
            <a:t>This is quite strict assumption.</a:t>
          </a:r>
          <a:r>
            <a:rPr lang="it-IT" sz="1400">
              <a:solidFill>
                <a:schemeClr val="dk1"/>
              </a:solidFill>
              <a:effectLst/>
              <a:latin typeface="+mn-lt"/>
              <a:ea typeface="+mn-ea"/>
              <a:cs typeface="+mn-cs"/>
            </a:rPr>
            <a:t> </a:t>
          </a:r>
          <a:endParaRPr lang="it-IT" sz="1400">
            <a:effectLst/>
          </a:endParaRPr>
        </a:p>
        <a:p>
          <a:pPr rtl="0" eaLnBrk="1" latinLnBrk="0" hangingPunct="1"/>
          <a:r>
            <a:rPr lang="it-IT" sz="1400">
              <a:solidFill>
                <a:schemeClr val="dk1"/>
              </a:solidFill>
              <a:effectLst/>
              <a:latin typeface="+mn-lt"/>
              <a:ea typeface="+mn-ea"/>
              <a:cs typeface="+mn-cs"/>
            </a:rPr>
            <a:t>-Stable growth: after middle stage. </a:t>
          </a:r>
          <a:endParaRPr lang="it-IT" sz="1400">
            <a:effectLst/>
          </a:endParaRPr>
        </a:p>
        <a:p>
          <a:pPr rtl="0" eaLnBrk="1" latinLnBrk="0" hangingPunct="1"/>
          <a:endParaRPr lang="it-IT" sz="1400" b="1">
            <a:solidFill>
              <a:schemeClr val="dk1"/>
            </a:solidFill>
            <a:effectLst/>
            <a:latin typeface="+mn-lt"/>
            <a:ea typeface="+mn-ea"/>
            <a:cs typeface="+mn-cs"/>
          </a:endParaRPr>
        </a:p>
        <a:p>
          <a:pPr rtl="0" eaLnBrk="1" latinLnBrk="0" hangingPunct="1"/>
          <a:r>
            <a:rPr lang="it-IT" sz="1400" b="1">
              <a:solidFill>
                <a:schemeClr val="dk1"/>
              </a:solidFill>
              <a:effectLst/>
              <a:latin typeface="+mn-lt"/>
              <a:ea typeface="+mn-ea"/>
              <a:cs typeface="+mn-cs"/>
            </a:rPr>
            <a:t>Dividend growth rates</a:t>
          </a:r>
          <a:r>
            <a:rPr lang="it-IT" sz="1400">
              <a:solidFill>
                <a:schemeClr val="dk1"/>
              </a:solidFill>
              <a:effectLst/>
              <a:latin typeface="+mn-lt"/>
              <a:ea typeface="+mn-ea"/>
              <a:cs typeface="+mn-cs"/>
            </a:rPr>
            <a:t>: </a:t>
          </a:r>
          <a:endParaRPr lang="it-IT" sz="1400">
            <a:effectLst/>
          </a:endParaRPr>
        </a:p>
        <a:p>
          <a:pPr rtl="0" eaLnBrk="1" latinLnBrk="0" hangingPunct="1"/>
          <a:r>
            <a:rPr lang="it-IT" sz="1400">
              <a:solidFill>
                <a:schemeClr val="dk1"/>
              </a:solidFill>
              <a:effectLst/>
              <a:latin typeface="+mn-lt"/>
              <a:ea typeface="+mn-ea"/>
              <a:cs typeface="+mn-cs"/>
            </a:rPr>
            <a:t>-High growth: I followed A2A policy (1° year DPS = 0,08, after min. growth of 5%) being conservative. </a:t>
          </a:r>
          <a:endParaRPr lang="it-IT" sz="1400">
            <a:effectLst/>
          </a:endParaRPr>
        </a:p>
        <a:p>
          <a:pPr rtl="0" eaLnBrk="1" latinLnBrk="0" hangingPunct="1"/>
          <a:r>
            <a:rPr lang="it-IT" sz="1400">
              <a:solidFill>
                <a:schemeClr val="dk1"/>
              </a:solidFill>
              <a:effectLst/>
              <a:latin typeface="+mn-lt"/>
              <a:ea typeface="+mn-ea"/>
              <a:cs typeface="+mn-cs"/>
            </a:rPr>
            <a:t>-Stable growth: I used a proxy for growth rate of economy (1%). </a:t>
          </a:r>
          <a:endParaRPr lang="it-IT" sz="1400">
            <a:effectLst/>
          </a:endParaRPr>
        </a:p>
        <a:p>
          <a:pPr rtl="0" eaLnBrk="1" latinLnBrk="0" hangingPunct="1"/>
          <a:r>
            <a:rPr lang="it-IT" sz="1400">
              <a:solidFill>
                <a:schemeClr val="dk1"/>
              </a:solidFill>
              <a:effectLst/>
              <a:latin typeface="+mn-lt"/>
              <a:ea typeface="+mn-ea"/>
              <a:cs typeface="+mn-cs"/>
            </a:rPr>
            <a:t>-Decreasing growth: I decreased linearly the growth rate from 5 % to steady growth rate. </a:t>
          </a:r>
          <a:endParaRPr lang="it-IT" sz="1400">
            <a:effectLst/>
          </a:endParaRPr>
        </a:p>
        <a:p>
          <a:pPr rtl="0" eaLnBrk="1" latinLnBrk="0" hangingPunct="1"/>
          <a:endParaRPr lang="it-IT" sz="1400" b="1">
            <a:solidFill>
              <a:schemeClr val="dk1"/>
            </a:solidFill>
            <a:effectLst/>
            <a:latin typeface="+mn-lt"/>
            <a:ea typeface="+mn-ea"/>
            <a:cs typeface="+mn-cs"/>
          </a:endParaRPr>
        </a:p>
        <a:p>
          <a:pPr rtl="0" eaLnBrk="1" latinLnBrk="0" hangingPunct="1"/>
          <a:r>
            <a:rPr lang="it-IT" sz="1400" b="1">
              <a:solidFill>
                <a:schemeClr val="dk1"/>
              </a:solidFill>
              <a:effectLst/>
              <a:latin typeface="+mn-lt"/>
              <a:ea typeface="+mn-ea"/>
              <a:cs typeface="+mn-cs"/>
            </a:rPr>
            <a:t>Cost of equity assumptions</a:t>
          </a:r>
          <a:endParaRPr lang="it-IT" sz="1400">
            <a:effectLst/>
          </a:endParaRPr>
        </a:p>
        <a:p>
          <a:pPr rtl="0" eaLnBrk="1" latinLnBrk="0" hangingPunct="1"/>
          <a:r>
            <a:rPr lang="it-IT" sz="1400">
              <a:solidFill>
                <a:schemeClr val="dk1"/>
              </a:solidFill>
              <a:effectLst/>
              <a:latin typeface="+mn-lt"/>
              <a:ea typeface="+mn-ea"/>
              <a:cs typeface="+mn-cs"/>
            </a:rPr>
            <a:t> -High growth: I used cost of equity computed following computational analysis previously described. </a:t>
          </a:r>
          <a:endParaRPr lang="it-IT" sz="1400">
            <a:effectLst/>
          </a:endParaRPr>
        </a:p>
        <a:p>
          <a:pPr rtl="0" eaLnBrk="1" latinLnBrk="0" hangingPunct="1"/>
          <a:r>
            <a:rPr lang="it-IT" sz="1400">
              <a:solidFill>
                <a:schemeClr val="dk1"/>
              </a:solidFill>
              <a:effectLst/>
              <a:latin typeface="+mn-lt"/>
              <a:ea typeface="+mn-ea"/>
              <a:cs typeface="+mn-cs"/>
            </a:rPr>
            <a:t>-Stable growth: I considered Beta to be equal to market Beta, yielding to a cost of equity of 8,11%. </a:t>
          </a:r>
          <a:br>
            <a:rPr lang="it-IT" sz="1400">
              <a:solidFill>
                <a:schemeClr val="dk1"/>
              </a:solidFill>
              <a:effectLst/>
              <a:latin typeface="+mn-lt"/>
              <a:ea typeface="+mn-ea"/>
              <a:cs typeface="+mn-cs"/>
            </a:rPr>
          </a:br>
          <a:r>
            <a:rPr lang="it-IT" sz="1400">
              <a:solidFill>
                <a:schemeClr val="dk1"/>
              </a:solidFill>
              <a:effectLst/>
              <a:latin typeface="+mn-lt"/>
              <a:ea typeface="+mn-ea"/>
              <a:cs typeface="+mn-cs"/>
            </a:rPr>
            <a:t>-Decreasing growth: I increased linearly cost of equity to 8,11%.</a:t>
          </a:r>
          <a:br>
            <a:rPr lang="it-IT" sz="1400">
              <a:solidFill>
                <a:schemeClr val="dk1"/>
              </a:solidFill>
              <a:effectLst/>
              <a:latin typeface="+mn-lt"/>
              <a:ea typeface="+mn-ea"/>
              <a:cs typeface="+mn-cs"/>
            </a:rPr>
          </a:br>
          <a:endParaRPr lang="it-IT" sz="1400">
            <a:effectLst/>
          </a:endParaRPr>
        </a:p>
        <a:p>
          <a:pPr rtl="0" eaLnBrk="1" latinLnBrk="0" hangingPunct="1"/>
          <a:r>
            <a:rPr lang="it-IT" sz="1400" b="1">
              <a:solidFill>
                <a:schemeClr val="dk1"/>
              </a:solidFill>
              <a:effectLst/>
              <a:latin typeface="+mn-lt"/>
              <a:ea typeface="+mn-ea"/>
              <a:cs typeface="+mn-cs"/>
            </a:rPr>
            <a:t>Stable payout ratio </a:t>
          </a:r>
          <a:endParaRPr lang="it-IT" sz="1400">
            <a:effectLst/>
          </a:endParaRPr>
        </a:p>
        <a:p>
          <a:pPr rtl="0" eaLnBrk="1" latinLnBrk="0" hangingPunct="1"/>
          <a:r>
            <a:rPr lang="it-IT" sz="1400">
              <a:solidFill>
                <a:schemeClr val="dk1"/>
              </a:solidFill>
              <a:effectLst/>
              <a:latin typeface="+mn-lt"/>
              <a:ea typeface="+mn-ea"/>
              <a:cs typeface="+mn-cs"/>
            </a:rPr>
            <a:t>Given stable growth rate and supposing the stable return on equity to be equal to the cost, I got a stable payout of 88% higher than current one. </a:t>
          </a:r>
          <a:endParaRPr lang="it-IT" sz="1400">
            <a:effectLst/>
          </a:endParaRPr>
        </a:p>
        <a:p>
          <a:endParaRPr lang="it-IT" sz="1100"/>
        </a:p>
        <a:p>
          <a:pPr marL="0" marR="0" lvl="0" indent="0" defTabSz="914400" eaLnBrk="1" fontAlgn="auto" latinLnBrk="0" hangingPunct="1">
            <a:lnSpc>
              <a:spcPct val="100000"/>
            </a:lnSpc>
            <a:spcBef>
              <a:spcPts val="0"/>
            </a:spcBef>
            <a:spcAft>
              <a:spcPts val="0"/>
            </a:spcAft>
            <a:buClrTx/>
            <a:buSzTx/>
            <a:buFontTx/>
            <a:buNone/>
            <a:tabLst/>
            <a:defRPr/>
          </a:pPr>
          <a:r>
            <a:rPr lang="it-IT" sz="1400" baseline="0">
              <a:solidFill>
                <a:schemeClr val="dk1"/>
              </a:solidFill>
              <a:effectLst/>
              <a:latin typeface="+mn-lt"/>
              <a:ea typeface="+mn-ea"/>
              <a:cs typeface="+mn-cs"/>
            </a:rPr>
            <a:t>In table </a:t>
          </a:r>
          <a:r>
            <a:rPr lang="it-IT" sz="1400" i="1" baseline="0">
              <a:solidFill>
                <a:schemeClr val="dk1"/>
              </a:solidFill>
              <a:effectLst/>
              <a:latin typeface="+mn-lt"/>
              <a:ea typeface="+mn-ea"/>
              <a:cs typeface="+mn-cs"/>
            </a:rPr>
            <a:t>"Output #2" </a:t>
          </a:r>
          <a:r>
            <a:rPr lang="it-IT" sz="1400" baseline="0">
              <a:solidFill>
                <a:schemeClr val="dk1"/>
              </a:solidFill>
              <a:effectLst/>
              <a:latin typeface="+mn-lt"/>
              <a:ea typeface="+mn-ea"/>
              <a:cs typeface="+mn-cs"/>
            </a:rPr>
            <a:t>I performed a sensitivity using different terminal beta: i.e. maintaining  same beta and so same cost of equity over time.</a:t>
          </a:r>
        </a:p>
        <a:p>
          <a:pPr marL="0" marR="0" lvl="0" indent="0" defTabSz="914400" eaLnBrk="1" fontAlgn="auto" latinLnBrk="0" hangingPunct="1">
            <a:lnSpc>
              <a:spcPct val="100000"/>
            </a:lnSpc>
            <a:spcBef>
              <a:spcPts val="0"/>
            </a:spcBef>
            <a:spcAft>
              <a:spcPts val="0"/>
            </a:spcAft>
            <a:buClrTx/>
            <a:buSzTx/>
            <a:buFontTx/>
            <a:buNone/>
            <a:tabLst/>
            <a:defRPr/>
          </a:pPr>
          <a:endParaRPr lang="it-IT"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400" baseline="0">
              <a:solidFill>
                <a:schemeClr val="dk1"/>
              </a:solidFill>
              <a:effectLst/>
              <a:latin typeface="+mn-lt"/>
              <a:ea typeface="+mn-ea"/>
              <a:cs typeface="+mn-cs"/>
            </a:rPr>
            <a:t>Further sensitibity analysis on file Word "A2A".</a:t>
          </a:r>
          <a:endParaRPr lang="it-IT" sz="1400">
            <a:effectLst/>
          </a:endParaRPr>
        </a:p>
        <a:p>
          <a:endParaRPr lang="it-IT" sz="1100"/>
        </a:p>
      </xdr:txBody>
    </xdr:sp>
    <xdr:clientData/>
  </xdr:twoCellAnchor>
  <xdr:twoCellAnchor>
    <xdr:from>
      <xdr:col>22</xdr:col>
      <xdr:colOff>11546</xdr:colOff>
      <xdr:row>50</xdr:row>
      <xdr:rowOff>138546</xdr:rowOff>
    </xdr:from>
    <xdr:to>
      <xdr:col>29</xdr:col>
      <xdr:colOff>473363</xdr:colOff>
      <xdr:row>58</xdr:row>
      <xdr:rowOff>115455</xdr:rowOff>
    </xdr:to>
    <xdr:sp macro="" textlink="">
      <xdr:nvSpPr>
        <xdr:cNvPr id="10" name="CasellaDiTesto 9">
          <a:extLst>
            <a:ext uri="{FF2B5EF4-FFF2-40B4-BE49-F238E27FC236}">
              <a16:creationId xmlns:a16="http://schemas.microsoft.com/office/drawing/2014/main" id="{D4F8C011-EF48-4F10-B647-9E754ACFB332}"/>
            </a:ext>
          </a:extLst>
        </xdr:cNvPr>
        <xdr:cNvSpPr txBox="1"/>
      </xdr:nvSpPr>
      <xdr:spPr>
        <a:xfrm>
          <a:off x="14628091" y="9813637"/>
          <a:ext cx="4745181" cy="1466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GB" sz="1400">
              <a:solidFill>
                <a:schemeClr val="dk1"/>
              </a:solidFill>
              <a:effectLst/>
              <a:latin typeface="+mn-lt"/>
              <a:ea typeface="+mn-ea"/>
              <a:cs typeface="+mn-cs"/>
            </a:rPr>
            <a:t>As seen in dividend model I used same cost of equity and Wacc and same stable growth rate of economy. </a:t>
          </a:r>
          <a:endParaRPr lang="it-IT" sz="1400">
            <a:effectLst/>
          </a:endParaRPr>
        </a:p>
        <a:p>
          <a:pPr rtl="0" eaLnBrk="1" latinLnBrk="0" hangingPunct="1"/>
          <a:r>
            <a:rPr lang="en-GB" sz="1400">
              <a:solidFill>
                <a:schemeClr val="dk1"/>
              </a:solidFill>
              <a:effectLst/>
              <a:latin typeface="+mn-lt"/>
              <a:ea typeface="+mn-ea"/>
              <a:cs typeface="+mn-cs"/>
            </a:rPr>
            <a:t>Furthermore, to be consistent I used same growth model: a three-stage model</a:t>
          </a:r>
          <a:endParaRPr lang="it-IT" sz="1400">
            <a:effectLst/>
          </a:endParaRPr>
        </a:p>
        <a:p>
          <a:endParaRPr lang="it-IT" sz="1100"/>
        </a:p>
      </xdr:txBody>
    </xdr:sp>
    <xdr:clientData/>
  </xdr:twoCellAnchor>
  <xdr:twoCellAnchor>
    <xdr:from>
      <xdr:col>22</xdr:col>
      <xdr:colOff>23092</xdr:colOff>
      <xdr:row>70</xdr:row>
      <xdr:rowOff>80817</xdr:rowOff>
    </xdr:from>
    <xdr:to>
      <xdr:col>29</xdr:col>
      <xdr:colOff>450275</xdr:colOff>
      <xdr:row>82</xdr:row>
      <xdr:rowOff>46181</xdr:rowOff>
    </xdr:to>
    <xdr:sp macro="" textlink="">
      <xdr:nvSpPr>
        <xdr:cNvPr id="12" name="CasellaDiTesto 11">
          <a:extLst>
            <a:ext uri="{FF2B5EF4-FFF2-40B4-BE49-F238E27FC236}">
              <a16:creationId xmlns:a16="http://schemas.microsoft.com/office/drawing/2014/main" id="{276CE8F0-A2A9-4C17-9430-B851E3853818}"/>
            </a:ext>
          </a:extLst>
        </xdr:cNvPr>
        <xdr:cNvSpPr txBox="1"/>
      </xdr:nvSpPr>
      <xdr:spPr>
        <a:xfrm>
          <a:off x="15690274" y="13565908"/>
          <a:ext cx="4710546" cy="2182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I used</a:t>
          </a:r>
          <a:r>
            <a:rPr lang="it-IT" sz="1400" baseline="0"/>
            <a:t> same assumptions as in dividend discount model for stable growth rate and cost of equity.</a:t>
          </a:r>
        </a:p>
        <a:p>
          <a:endParaRPr lang="it-IT" sz="1400" baseline="0"/>
        </a:p>
        <a:p>
          <a:r>
            <a:rPr lang="it-IT" sz="1400" baseline="0"/>
            <a:t>According to forecasts I used a linear decrease evolution to align growth rate in FCFE to stable growth rate in stable phase (from 17% to 1%). </a:t>
          </a:r>
        </a:p>
        <a:p>
          <a:endParaRPr lang="it-IT" sz="1400" baseline="0"/>
        </a:p>
        <a:p>
          <a:r>
            <a:rPr lang="it-IT" sz="1400" baseline="0"/>
            <a:t>The same for what about Cost of equity. </a:t>
          </a:r>
        </a:p>
        <a:p>
          <a:endParaRPr lang="it-IT" sz="1400" baseline="0"/>
        </a:p>
        <a:p>
          <a:endParaRPr lang="it-IT" sz="1100"/>
        </a:p>
      </xdr:txBody>
    </xdr:sp>
    <xdr:clientData/>
  </xdr:twoCellAnchor>
  <xdr:twoCellAnchor>
    <xdr:from>
      <xdr:col>22</xdr:col>
      <xdr:colOff>23091</xdr:colOff>
      <xdr:row>90</xdr:row>
      <xdr:rowOff>57727</xdr:rowOff>
    </xdr:from>
    <xdr:to>
      <xdr:col>29</xdr:col>
      <xdr:colOff>588819</xdr:colOff>
      <xdr:row>97</xdr:row>
      <xdr:rowOff>173182</xdr:rowOff>
    </xdr:to>
    <xdr:sp macro="" textlink="">
      <xdr:nvSpPr>
        <xdr:cNvPr id="13" name="CasellaDiTesto 12">
          <a:extLst>
            <a:ext uri="{FF2B5EF4-FFF2-40B4-BE49-F238E27FC236}">
              <a16:creationId xmlns:a16="http://schemas.microsoft.com/office/drawing/2014/main" id="{1D00C434-A647-4575-8697-A63951257E80}"/>
            </a:ext>
          </a:extLst>
        </xdr:cNvPr>
        <xdr:cNvSpPr txBox="1"/>
      </xdr:nvSpPr>
      <xdr:spPr>
        <a:xfrm>
          <a:off x="15690273" y="17283545"/>
          <a:ext cx="4849091" cy="14085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The result obtained</a:t>
          </a:r>
          <a:r>
            <a:rPr lang="it-IT" sz="1400" baseline="0"/>
            <a:t> discounting future cash flows give me directly the expected equity value. </a:t>
          </a:r>
        </a:p>
        <a:p>
          <a:endParaRPr lang="it-IT" sz="1400" baseline="0"/>
        </a:p>
        <a:p>
          <a:r>
            <a:rPr lang="it-IT" sz="1400" baseline="0"/>
            <a:t>Dividing by number of outstanding shares I obtain an expected price per share of 2.05. </a:t>
          </a:r>
          <a:endParaRPr lang="it-IT" sz="1400"/>
        </a:p>
      </xdr:txBody>
    </xdr:sp>
    <xdr:clientData/>
  </xdr:twoCellAnchor>
  <xdr:twoCellAnchor>
    <xdr:from>
      <xdr:col>22</xdr:col>
      <xdr:colOff>11546</xdr:colOff>
      <xdr:row>107</xdr:row>
      <xdr:rowOff>150091</xdr:rowOff>
    </xdr:from>
    <xdr:to>
      <xdr:col>29</xdr:col>
      <xdr:colOff>438729</xdr:colOff>
      <xdr:row>119</xdr:row>
      <xdr:rowOff>115454</xdr:rowOff>
    </xdr:to>
    <xdr:sp macro="" textlink="">
      <xdr:nvSpPr>
        <xdr:cNvPr id="14" name="CasellaDiTesto 13">
          <a:extLst>
            <a:ext uri="{FF2B5EF4-FFF2-40B4-BE49-F238E27FC236}">
              <a16:creationId xmlns:a16="http://schemas.microsoft.com/office/drawing/2014/main" id="{633B4531-86AB-4492-B8C2-2593BD97DB2A}"/>
            </a:ext>
          </a:extLst>
        </xdr:cNvPr>
        <xdr:cNvSpPr txBox="1"/>
      </xdr:nvSpPr>
      <xdr:spPr>
        <a:xfrm>
          <a:off x="15678728" y="20631727"/>
          <a:ext cx="4710546" cy="2182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I used</a:t>
          </a:r>
          <a:r>
            <a:rPr lang="it-IT" sz="1400" baseline="0"/>
            <a:t> same assumptions as in dividend discount model for stable growth rate and cost of capital (WACC).</a:t>
          </a:r>
        </a:p>
        <a:p>
          <a:endParaRPr lang="it-IT" sz="1400" baseline="0"/>
        </a:p>
        <a:p>
          <a:r>
            <a:rPr lang="it-IT" sz="1400" baseline="0"/>
            <a:t>According to forecasts I used a linear decrease evolution to align growth rate in FCFF to stable growth rate in stable phase (from 19% to 1%). </a:t>
          </a:r>
        </a:p>
        <a:p>
          <a:endParaRPr lang="it-IT" sz="1400" baseline="0"/>
        </a:p>
        <a:p>
          <a:r>
            <a:rPr lang="it-IT" sz="1400" baseline="0"/>
            <a:t>The same for what about Cost of capital. </a:t>
          </a:r>
        </a:p>
        <a:p>
          <a:endParaRPr lang="it-IT" sz="1400" baseline="0"/>
        </a:p>
        <a:p>
          <a:endParaRPr lang="it-IT" sz="1100"/>
        </a:p>
      </xdr:txBody>
    </xdr:sp>
    <xdr:clientData/>
  </xdr:twoCellAnchor>
  <xdr:twoCellAnchor>
    <xdr:from>
      <xdr:col>22</xdr:col>
      <xdr:colOff>11546</xdr:colOff>
      <xdr:row>127</xdr:row>
      <xdr:rowOff>46180</xdr:rowOff>
    </xdr:from>
    <xdr:to>
      <xdr:col>29</xdr:col>
      <xdr:colOff>577274</xdr:colOff>
      <xdr:row>138</xdr:row>
      <xdr:rowOff>92362</xdr:rowOff>
    </xdr:to>
    <xdr:sp macro="" textlink="">
      <xdr:nvSpPr>
        <xdr:cNvPr id="16" name="CasellaDiTesto 15">
          <a:extLst>
            <a:ext uri="{FF2B5EF4-FFF2-40B4-BE49-F238E27FC236}">
              <a16:creationId xmlns:a16="http://schemas.microsoft.com/office/drawing/2014/main" id="{7353F108-A402-4AB0-B5CD-564A731CF681}"/>
            </a:ext>
          </a:extLst>
        </xdr:cNvPr>
        <xdr:cNvSpPr txBox="1"/>
      </xdr:nvSpPr>
      <xdr:spPr>
        <a:xfrm>
          <a:off x="15678728" y="24245453"/>
          <a:ext cx="4849091" cy="2101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The result obtained</a:t>
          </a:r>
          <a:r>
            <a:rPr lang="it-IT" sz="1400" baseline="0"/>
            <a:t> discounting future cash flows give me the expected enterpirse value.</a:t>
          </a:r>
        </a:p>
        <a:p>
          <a:endParaRPr lang="it-IT" sz="1400" baseline="0"/>
        </a:p>
        <a:p>
          <a:r>
            <a:rPr lang="it-IT" sz="1400" baseline="0"/>
            <a:t>I need an addtional step in order to get the expectation for equity value: subtracting net debt at 2019. </a:t>
          </a:r>
        </a:p>
        <a:p>
          <a:endParaRPr lang="it-IT" sz="1400" baseline="0"/>
        </a:p>
        <a:p>
          <a:r>
            <a:rPr lang="it-IT" sz="1400" baseline="0"/>
            <a:t>Dividing by number of outstanding shares I obtain an expected price per share of 2.03. </a:t>
          </a:r>
          <a:endParaRPr lang="it-IT" sz="1400"/>
        </a:p>
      </xdr:txBody>
    </xdr:sp>
    <xdr:clientData/>
  </xdr:twoCellAnchor>
  <xdr:twoCellAnchor>
    <xdr:from>
      <xdr:col>22</xdr:col>
      <xdr:colOff>0</xdr:colOff>
      <xdr:row>143</xdr:row>
      <xdr:rowOff>0</xdr:rowOff>
    </xdr:from>
    <xdr:to>
      <xdr:col>28</xdr:col>
      <xdr:colOff>569653</xdr:colOff>
      <xdr:row>167</xdr:row>
      <xdr:rowOff>138546</xdr:rowOff>
    </xdr:to>
    <xdr:sp macro="" textlink="">
      <xdr:nvSpPr>
        <xdr:cNvPr id="18" name="CasellaDiTesto 17">
          <a:extLst>
            <a:ext uri="{FF2B5EF4-FFF2-40B4-BE49-F238E27FC236}">
              <a16:creationId xmlns:a16="http://schemas.microsoft.com/office/drawing/2014/main" id="{54F73547-F3F4-4E14-B0A8-1FB94C70C088}"/>
            </a:ext>
          </a:extLst>
        </xdr:cNvPr>
        <xdr:cNvSpPr txBox="1"/>
      </xdr:nvSpPr>
      <xdr:spPr>
        <a:xfrm>
          <a:off x="15667182" y="27328091"/>
          <a:ext cx="4241107" cy="46181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Case 1</a:t>
          </a:r>
          <a:r>
            <a:rPr lang="it-IT" sz="1400" b="1" baseline="0"/>
            <a:t> </a:t>
          </a:r>
        </a:p>
        <a:p>
          <a:r>
            <a:rPr lang="it-IT" sz="1400" baseline="0"/>
            <a:t>I did not consider Covid19 effect, this is an optimistic view, anyway this result is clearly biased. </a:t>
          </a:r>
        </a:p>
        <a:p>
          <a:endParaRPr lang="it-IT" sz="1400" baseline="0"/>
        </a:p>
        <a:p>
          <a:r>
            <a:rPr lang="it-IT" sz="1400" b="1" baseline="0"/>
            <a:t>Case 2 </a:t>
          </a:r>
        </a:p>
        <a:p>
          <a:r>
            <a:rPr lang="it-IT" sz="1400" baseline="0"/>
            <a:t>I considered Covid19 effect allowing for an increase in cost of equity (or capital) for first two years, then I used analytically computed cost of equity. </a:t>
          </a:r>
        </a:p>
        <a:p>
          <a:endParaRPr lang="it-IT" sz="1400" baseline="0"/>
        </a:p>
        <a:p>
          <a:r>
            <a:rPr lang="it-IT" sz="1400" b="1" baseline="0"/>
            <a:t>Case 3 </a:t>
          </a:r>
        </a:p>
        <a:p>
          <a:r>
            <a:rPr lang="it-IT" sz="1400" baseline="0"/>
            <a:t>This represents the worst case: I used higher cost of equity  (or capital) according to Damodaran dataset even for stable growth. </a:t>
          </a:r>
        </a:p>
        <a:p>
          <a:endParaRPr lang="it-IT" sz="1400"/>
        </a:p>
        <a:p>
          <a:r>
            <a:rPr lang="it-IT" sz="1400" b="1"/>
            <a:t>Notice</a:t>
          </a:r>
          <a:r>
            <a:rPr lang="it-IT" sz="1400"/>
            <a:t>, a more complete</a:t>
          </a:r>
          <a:r>
            <a:rPr lang="it-IT" sz="1400" baseline="0"/>
            <a:t> consideration would include Covid effects even in other valuation output: </a:t>
          </a:r>
        </a:p>
        <a:p>
          <a:r>
            <a:rPr lang="it-IT" sz="1400" baseline="0"/>
            <a:t>stable growth rate and Free cash flows. </a:t>
          </a: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twoCellAnchor>
    <xdr:from>
      <xdr:col>2</xdr:col>
      <xdr:colOff>127001</xdr:colOff>
      <xdr:row>271</xdr:row>
      <xdr:rowOff>72570</xdr:rowOff>
    </xdr:from>
    <xdr:to>
      <xdr:col>7</xdr:col>
      <xdr:colOff>444500</xdr:colOff>
      <xdr:row>277</xdr:row>
      <xdr:rowOff>90715</xdr:rowOff>
    </xdr:to>
    <xdr:sp macro="" textlink="">
      <xdr:nvSpPr>
        <xdr:cNvPr id="3" name="CasellaDiTesto 2">
          <a:extLst>
            <a:ext uri="{FF2B5EF4-FFF2-40B4-BE49-F238E27FC236}">
              <a16:creationId xmlns:a16="http://schemas.microsoft.com/office/drawing/2014/main" id="{D386E82E-831B-4092-80FD-26F15E120E39}"/>
            </a:ext>
          </a:extLst>
        </xdr:cNvPr>
        <xdr:cNvSpPr txBox="1"/>
      </xdr:nvSpPr>
      <xdr:spPr>
        <a:xfrm>
          <a:off x="263072" y="50555070"/>
          <a:ext cx="7520214" cy="1106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A2A</a:t>
          </a:r>
          <a:r>
            <a:rPr lang="it-IT" sz="1400" b="0" baseline="0"/>
            <a:t> consolidated financial statements from 2015 to 2020.</a:t>
          </a:r>
        </a:p>
        <a:p>
          <a:r>
            <a:rPr lang="it-IT" sz="1400">
              <a:hlinkClick xmlns:r="http://schemas.openxmlformats.org/officeDocument/2006/relationships" r:id=""/>
            </a:rPr>
            <a:t>https://www.a2a.eu/it/investitori/bilanci-relazioni</a:t>
          </a:r>
          <a:endParaRPr lang="it-IT"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47625</xdr:colOff>
      <xdr:row>25</xdr:row>
      <xdr:rowOff>137583</xdr:rowOff>
    </xdr:from>
    <xdr:to>
      <xdr:col>8</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6</xdr:col>
      <xdr:colOff>47625</xdr:colOff>
      <xdr:row>134</xdr:row>
      <xdr:rowOff>158750</xdr:rowOff>
    </xdr:from>
    <xdr:to>
      <xdr:col>8</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6</xdr:col>
      <xdr:colOff>111125</xdr:colOff>
      <xdr:row>119</xdr:row>
      <xdr:rowOff>190499</xdr:rowOff>
    </xdr:from>
    <xdr:to>
      <xdr:col>8</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twoCellAnchor>
    <xdr:from>
      <xdr:col>0</xdr:col>
      <xdr:colOff>216243</xdr:colOff>
      <xdr:row>162</xdr:row>
      <xdr:rowOff>164757</xdr:rowOff>
    </xdr:from>
    <xdr:to>
      <xdr:col>5</xdr:col>
      <xdr:colOff>579835</xdr:colOff>
      <xdr:row>171</xdr:row>
      <xdr:rowOff>20595</xdr:rowOff>
    </xdr:to>
    <xdr:sp macro="" textlink="">
      <xdr:nvSpPr>
        <xdr:cNvPr id="7" name="CasellaDiTesto 6">
          <a:extLst>
            <a:ext uri="{FF2B5EF4-FFF2-40B4-BE49-F238E27FC236}">
              <a16:creationId xmlns:a16="http://schemas.microsoft.com/office/drawing/2014/main" id="{31C127A4-043C-4D9E-890D-232B3A2ED510}"/>
            </a:ext>
          </a:extLst>
        </xdr:cNvPr>
        <xdr:cNvSpPr txBox="1"/>
      </xdr:nvSpPr>
      <xdr:spPr>
        <a:xfrm>
          <a:off x="216243" y="22118595"/>
          <a:ext cx="7520214"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A2A</a:t>
          </a:r>
          <a:r>
            <a:rPr lang="it-IT" sz="1400" b="0" baseline="0"/>
            <a:t> consolidated financial statements from 2015 to 2020.</a:t>
          </a:r>
        </a:p>
        <a:p>
          <a:r>
            <a:rPr lang="it-IT" sz="1400">
              <a:hlinkClick xmlns:r="http://schemas.openxmlformats.org/officeDocument/2006/relationships" r:id=""/>
            </a:rPr>
            <a:t>https://www.a2a.eu/it/investitori/bilanci-relazioni</a:t>
          </a:r>
          <a:endParaRPr lang="it-IT" sz="1400"/>
        </a:p>
        <a:p>
          <a:endParaRPr lang="it-IT" sz="1400"/>
        </a:p>
        <a:p>
          <a:r>
            <a:rPr lang="it-IT" sz="1400"/>
            <a:t>Complete</a:t>
          </a:r>
          <a:r>
            <a:rPr lang="it-IT" sz="1400" baseline="0"/>
            <a:t> workaround in word file "A2A" pagg.  7-11. </a:t>
          </a:r>
          <a:endParaRPr lang="it-IT" sz="1400"/>
        </a:p>
        <a:p>
          <a:endParaRPr lang="it-IT" sz="1100" b="0"/>
        </a:p>
        <a:p>
          <a:endParaRPr lang="it-IT" sz="1100" b="0"/>
        </a:p>
      </xdr:txBody>
    </xdr:sp>
    <xdr:clientData/>
  </xdr:twoCellAnchor>
  <xdr:twoCellAnchor>
    <xdr:from>
      <xdr:col>9</xdr:col>
      <xdr:colOff>0</xdr:colOff>
      <xdr:row>6</xdr:row>
      <xdr:rowOff>20595</xdr:rowOff>
    </xdr:from>
    <xdr:to>
      <xdr:col>17</xdr:col>
      <xdr:colOff>72081</xdr:colOff>
      <xdr:row>30</xdr:row>
      <xdr:rowOff>175054</xdr:rowOff>
    </xdr:to>
    <xdr:sp macro="" textlink="">
      <xdr:nvSpPr>
        <xdr:cNvPr id="3" name="CasellaDiTesto 2">
          <a:extLst>
            <a:ext uri="{FF2B5EF4-FFF2-40B4-BE49-F238E27FC236}">
              <a16:creationId xmlns:a16="http://schemas.microsoft.com/office/drawing/2014/main" id="{499F102E-B81C-480F-8EC6-17B964C4CF31}"/>
            </a:ext>
          </a:extLst>
        </xdr:cNvPr>
        <xdr:cNvSpPr txBox="1"/>
      </xdr:nvSpPr>
      <xdr:spPr>
        <a:xfrm>
          <a:off x="11687432" y="1328352"/>
          <a:ext cx="8001000" cy="29656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a:solidFill>
                <a:schemeClr val="dk1"/>
              </a:solidFill>
              <a:effectLst/>
              <a:latin typeface="+mn-lt"/>
              <a:ea typeface="+mn-ea"/>
              <a:cs typeface="+mn-cs"/>
            </a:rPr>
            <a:t>- Financials: composed of shareholdings and non-current financial assets.</a:t>
          </a:r>
          <a:endParaRPr lang="it-IT" sz="1400">
            <a:effectLst/>
          </a:endParaRPr>
        </a:p>
        <a:p>
          <a:pPr rtl="0" eaLnBrk="1" latinLnBrk="0" hangingPunct="1"/>
          <a:r>
            <a:rPr lang="en-US" sz="1400">
              <a:solidFill>
                <a:schemeClr val="dk1"/>
              </a:solidFill>
              <a:effectLst/>
              <a:latin typeface="+mn-lt"/>
              <a:ea typeface="+mn-ea"/>
              <a:cs typeface="+mn-cs"/>
            </a:rPr>
            <a:t>-</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Operating working capital: includes inventories, trade receivables, and payables. </a:t>
          </a:r>
          <a:endParaRPr lang="it-IT" sz="1400">
            <a:effectLst/>
          </a:endParaRPr>
        </a:p>
        <a:p>
          <a:pPr rtl="0" eaLnBrk="1" latinLnBrk="0" hangingPunct="1"/>
          <a:r>
            <a:rPr lang="en-US" sz="1400">
              <a:solidFill>
                <a:schemeClr val="dk1"/>
              </a:solidFill>
              <a:effectLst/>
              <a:latin typeface="+mn-lt"/>
              <a:ea typeface="+mn-ea"/>
              <a:cs typeface="+mn-cs"/>
            </a:rPr>
            <a:t>- Other assets and liabilities were all included in the</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residual part</a:t>
          </a:r>
          <a:r>
            <a:rPr lang="en-US" sz="1400" baseline="0">
              <a:solidFill>
                <a:schemeClr val="dk1"/>
              </a:solidFill>
              <a:effectLst/>
              <a:latin typeface="+mn-lt"/>
              <a:ea typeface="+mn-ea"/>
              <a:cs typeface="+mn-cs"/>
            </a:rPr>
            <a:t> </a:t>
          </a:r>
          <a:r>
            <a:rPr lang="en-US" sz="1400">
              <a:solidFill>
                <a:schemeClr val="dk1"/>
              </a:solidFill>
              <a:effectLst/>
              <a:latin typeface="+mn-lt"/>
              <a:ea typeface="+mn-ea"/>
              <a:cs typeface="+mn-cs"/>
            </a:rPr>
            <a:t>to get net working capital. </a:t>
          </a:r>
          <a:endParaRPr lang="it-IT" sz="1400">
            <a:effectLst/>
          </a:endParaRPr>
        </a:p>
        <a:p>
          <a:pPr rtl="0" eaLnBrk="1" latinLnBrk="0" hangingPunct="1"/>
          <a:r>
            <a:rPr lang="en-US" sz="1400">
              <a:solidFill>
                <a:schemeClr val="dk1"/>
              </a:solidFill>
              <a:effectLst/>
              <a:latin typeface="+mn-lt"/>
              <a:ea typeface="+mn-ea"/>
              <a:cs typeface="+mn-cs"/>
            </a:rPr>
            <a:t>- Residual items: net deferred taxes, provisions for risks, and employees’   benefits. </a:t>
          </a:r>
          <a:endParaRPr lang="it-IT" sz="1400">
            <a:effectLst/>
          </a:endParaRPr>
        </a:p>
        <a:p>
          <a:pPr rtl="0" eaLnBrk="1" latinLnBrk="0" hangingPunct="1"/>
          <a:endParaRPr lang="en-US" sz="1400">
            <a:solidFill>
              <a:schemeClr val="dk1"/>
            </a:solidFill>
            <a:effectLst/>
            <a:latin typeface="+mn-lt"/>
            <a:ea typeface="+mn-ea"/>
            <a:cs typeface="+mn-cs"/>
          </a:endParaRPr>
        </a:p>
        <a:p>
          <a:pPr rtl="0" eaLnBrk="1" latinLnBrk="0" hangingPunct="1"/>
          <a:r>
            <a:rPr lang="en-US" sz="1400">
              <a:solidFill>
                <a:schemeClr val="dk1"/>
              </a:solidFill>
              <a:effectLst/>
              <a:latin typeface="+mn-lt"/>
              <a:ea typeface="+mn-ea"/>
              <a:cs typeface="+mn-cs"/>
            </a:rPr>
            <a:t>Summing all we got what we called Net Invested Capital (denominator for ROIC). </a:t>
          </a:r>
          <a:endParaRPr lang="it-IT" sz="1400">
            <a:effectLst/>
          </a:endParaRPr>
        </a:p>
        <a:p>
          <a:pPr rtl="0" eaLnBrk="1" latinLnBrk="0" hangingPunct="1"/>
          <a:endParaRPr lang="en-US" sz="1400">
            <a:solidFill>
              <a:schemeClr val="dk1"/>
            </a:solidFill>
            <a:effectLst/>
            <a:latin typeface="+mn-lt"/>
            <a:ea typeface="+mn-ea"/>
            <a:cs typeface="+mn-cs"/>
          </a:endParaRPr>
        </a:p>
        <a:p>
          <a:pPr rtl="0" eaLnBrk="1" latinLnBrk="0" hangingPunct="1"/>
          <a:r>
            <a:rPr lang="en-US" sz="1400">
              <a:solidFill>
                <a:schemeClr val="dk1"/>
              </a:solidFill>
              <a:effectLst/>
              <a:latin typeface="+mn-lt"/>
              <a:ea typeface="+mn-ea"/>
              <a:cs typeface="+mn-cs"/>
            </a:rPr>
            <a:t>- Equity was maintained equal to reported whereas Debt included only financial liabilities (L/T and S/T). </a:t>
          </a:r>
          <a:endParaRPr lang="it-IT" sz="1400">
            <a:effectLst/>
          </a:endParaRPr>
        </a:p>
        <a:p>
          <a:pPr rtl="0" eaLnBrk="1" latinLnBrk="0" hangingPunct="1"/>
          <a:endParaRPr lang="en-US" sz="1400">
            <a:solidFill>
              <a:schemeClr val="dk1"/>
            </a:solidFill>
            <a:effectLst/>
            <a:latin typeface="+mn-lt"/>
            <a:ea typeface="+mn-ea"/>
            <a:cs typeface="+mn-cs"/>
          </a:endParaRPr>
        </a:p>
        <a:p>
          <a:pPr rtl="0" eaLnBrk="1" latinLnBrk="0" hangingPunct="1"/>
          <a:r>
            <a:rPr lang="en-US" sz="1400">
              <a:solidFill>
                <a:schemeClr val="dk1"/>
              </a:solidFill>
              <a:effectLst/>
              <a:latin typeface="+mn-lt"/>
              <a:ea typeface="+mn-ea"/>
              <a:cs typeface="+mn-cs"/>
            </a:rPr>
            <a:t>Netting out cash and equivalents we obtained Net Debt (NFP). </a:t>
          </a:r>
          <a:endParaRPr lang="it-IT" sz="1400">
            <a:effectLst/>
          </a:endParaRPr>
        </a:p>
        <a:p>
          <a:pPr rtl="0" eaLnBrk="1" latinLnBrk="0" hangingPunct="1"/>
          <a:endParaRPr lang="en-US" sz="1400">
            <a:solidFill>
              <a:schemeClr val="dk1"/>
            </a:solidFill>
            <a:effectLst/>
            <a:latin typeface="+mn-lt"/>
            <a:ea typeface="+mn-ea"/>
            <a:cs typeface="+mn-cs"/>
          </a:endParaRPr>
        </a:p>
        <a:p>
          <a:pPr rtl="0" eaLnBrk="1" latinLnBrk="0" hangingPunct="1"/>
          <a:r>
            <a:rPr lang="en-US" sz="1400">
              <a:solidFill>
                <a:schemeClr val="dk1"/>
              </a:solidFill>
              <a:effectLst/>
              <a:latin typeface="+mn-lt"/>
              <a:ea typeface="+mn-ea"/>
              <a:cs typeface="+mn-cs"/>
            </a:rPr>
            <a:t>Finally, the sum of equity and Net Debt, called Total capital employed must reconcile with NIC.</a:t>
          </a:r>
          <a:endParaRPr lang="it-IT" sz="1400">
            <a:effectLst/>
          </a:endParaRPr>
        </a:p>
        <a:p>
          <a:endParaRPr lang="it-IT" sz="1100"/>
        </a:p>
      </xdr:txBody>
    </xdr:sp>
    <xdr:clientData/>
  </xdr:twoCellAnchor>
  <xdr:twoCellAnchor>
    <xdr:from>
      <xdr:col>9</xdr:col>
      <xdr:colOff>0</xdr:colOff>
      <xdr:row>50</xdr:row>
      <xdr:rowOff>164758</xdr:rowOff>
    </xdr:from>
    <xdr:to>
      <xdr:col>17</xdr:col>
      <xdr:colOff>72081</xdr:colOff>
      <xdr:row>71</xdr:row>
      <xdr:rowOff>0</xdr:rowOff>
    </xdr:to>
    <xdr:sp macro="" textlink="">
      <xdr:nvSpPr>
        <xdr:cNvPr id="10" name="CasellaDiTesto 9">
          <a:extLst>
            <a:ext uri="{FF2B5EF4-FFF2-40B4-BE49-F238E27FC236}">
              <a16:creationId xmlns:a16="http://schemas.microsoft.com/office/drawing/2014/main" id="{25CDFD1A-19B2-4E68-9291-0395685AFC5B}"/>
            </a:ext>
          </a:extLst>
        </xdr:cNvPr>
        <xdr:cNvSpPr txBox="1"/>
      </xdr:nvSpPr>
      <xdr:spPr>
        <a:xfrm>
          <a:off x="11687432" y="8217244"/>
          <a:ext cx="8001000" cy="18741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endParaRPr lang="it-IT">
            <a:effectLst/>
          </a:endParaRPr>
        </a:p>
        <a:p>
          <a:pPr rtl="0" eaLnBrk="1" latinLnBrk="0" hangingPunct="1"/>
          <a:r>
            <a:rPr lang="en-GB" sz="1400" i="1">
              <a:solidFill>
                <a:schemeClr val="dk1"/>
              </a:solidFill>
              <a:effectLst/>
              <a:latin typeface="+mn-lt"/>
              <a:ea typeface="+mn-ea"/>
              <a:cs typeface="+mn-cs"/>
            </a:rPr>
            <a:t>- Revenues</a:t>
          </a:r>
          <a:r>
            <a:rPr lang="en-GB" sz="1400">
              <a:solidFill>
                <a:schemeClr val="dk1"/>
              </a:solidFill>
              <a:effectLst/>
              <a:latin typeface="+mn-lt"/>
              <a:ea typeface="+mn-ea"/>
              <a:cs typeface="+mn-cs"/>
            </a:rPr>
            <a:t> include both operating revenues (sales) and other operating revenues. </a:t>
          </a:r>
          <a:endParaRPr lang="it-IT" sz="1400">
            <a:effectLst/>
          </a:endParaRPr>
        </a:p>
        <a:p>
          <a:pPr rtl="0" eaLnBrk="1" latinLnBrk="0" hangingPunct="1"/>
          <a:r>
            <a:rPr lang="en-GB" sz="1400" i="1">
              <a:solidFill>
                <a:schemeClr val="dk1"/>
              </a:solidFill>
              <a:effectLst/>
              <a:latin typeface="+mn-lt"/>
              <a:ea typeface="+mn-ea"/>
              <a:cs typeface="+mn-cs"/>
            </a:rPr>
            <a:t>- Operating costs</a:t>
          </a:r>
          <a:r>
            <a:rPr lang="en-GB" sz="1400">
              <a:solidFill>
                <a:schemeClr val="dk1"/>
              </a:solidFill>
              <a:effectLst/>
              <a:latin typeface="+mn-lt"/>
              <a:ea typeface="+mn-ea"/>
              <a:cs typeface="+mn-cs"/>
            </a:rPr>
            <a:t> include materials, services, and other operating expenses. </a:t>
          </a:r>
          <a:endParaRPr lang="it-IT" sz="1400">
            <a:effectLst/>
          </a:endParaRPr>
        </a:p>
        <a:p>
          <a:pPr rtl="0" eaLnBrk="1" latinLnBrk="0" hangingPunct="1"/>
          <a:r>
            <a:rPr lang="en-GB" sz="1400" i="1">
              <a:solidFill>
                <a:schemeClr val="dk1"/>
              </a:solidFill>
              <a:effectLst/>
              <a:latin typeface="+mn-lt"/>
              <a:ea typeface="+mn-ea"/>
              <a:cs typeface="+mn-cs"/>
            </a:rPr>
            <a:t>- Financial items</a:t>
          </a:r>
          <a:r>
            <a:rPr lang="en-GB" sz="1400">
              <a:solidFill>
                <a:schemeClr val="dk1"/>
              </a:solidFill>
              <a:effectLst/>
              <a:latin typeface="+mn-lt"/>
              <a:ea typeface="+mn-ea"/>
              <a:cs typeface="+mn-cs"/>
            </a:rPr>
            <a:t> represent the net value obtained summing results from non-recurring transactions and financial balance. </a:t>
          </a:r>
          <a:endParaRPr lang="it-IT" sz="1400">
            <a:effectLst/>
          </a:endParaRPr>
        </a:p>
        <a:p>
          <a:pPr rtl="0" eaLnBrk="1" latinLnBrk="0" hangingPunct="1"/>
          <a:endParaRPr lang="en-GB" sz="1400" i="1">
            <a:solidFill>
              <a:schemeClr val="dk1"/>
            </a:solidFill>
            <a:effectLst/>
            <a:latin typeface="+mn-lt"/>
            <a:ea typeface="+mn-ea"/>
            <a:cs typeface="+mn-cs"/>
          </a:endParaRPr>
        </a:p>
        <a:p>
          <a:pPr rtl="0" eaLnBrk="1" latinLnBrk="0" hangingPunct="1"/>
          <a:r>
            <a:rPr lang="en-GB" sz="1400" i="1">
              <a:solidFill>
                <a:schemeClr val="dk1"/>
              </a:solidFill>
              <a:effectLst/>
              <a:latin typeface="+mn-lt"/>
              <a:ea typeface="+mn-ea"/>
              <a:cs typeface="+mn-cs"/>
            </a:rPr>
            <a:t>- Residual items</a:t>
          </a:r>
          <a:r>
            <a:rPr lang="en-GB" sz="1400">
              <a:solidFill>
                <a:schemeClr val="dk1"/>
              </a:solidFill>
              <a:effectLst/>
              <a:latin typeface="+mn-lt"/>
              <a:ea typeface="+mn-ea"/>
              <a:cs typeface="+mn-cs"/>
            </a:rPr>
            <a:t> are the same presented in the consolidated income statement. In our analysis, we used as NPL (Net Income) group result of the year. </a:t>
          </a:r>
          <a:endParaRPr lang="it-IT" sz="1400">
            <a:effectLst/>
          </a:endParaRPr>
        </a:p>
        <a:p>
          <a:endParaRPr lang="it-IT" sz="1100"/>
        </a:p>
      </xdr:txBody>
    </xdr:sp>
    <xdr:clientData/>
  </xdr:twoCellAnchor>
  <xdr:twoCellAnchor>
    <xdr:from>
      <xdr:col>9</xdr:col>
      <xdr:colOff>10299</xdr:colOff>
      <xdr:row>117</xdr:row>
      <xdr:rowOff>30890</xdr:rowOff>
    </xdr:from>
    <xdr:to>
      <xdr:col>14</xdr:col>
      <xdr:colOff>113271</xdr:colOff>
      <xdr:row>155</xdr:row>
      <xdr:rowOff>185350</xdr:rowOff>
    </xdr:to>
    <xdr:sp macro="" textlink="">
      <xdr:nvSpPr>
        <xdr:cNvPr id="4" name="CasellaDiTesto 3">
          <a:extLst>
            <a:ext uri="{FF2B5EF4-FFF2-40B4-BE49-F238E27FC236}">
              <a16:creationId xmlns:a16="http://schemas.microsoft.com/office/drawing/2014/main" id="{C5DC7284-BF04-46C6-A531-482F2788113E}"/>
            </a:ext>
          </a:extLst>
        </xdr:cNvPr>
        <xdr:cNvSpPr txBox="1"/>
      </xdr:nvSpPr>
      <xdr:spPr>
        <a:xfrm>
          <a:off x="11697731" y="13613025"/>
          <a:ext cx="6209270" cy="72081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GB" sz="1400">
              <a:solidFill>
                <a:schemeClr val="dk1"/>
              </a:solidFill>
              <a:effectLst/>
              <a:latin typeface="+mn-lt"/>
              <a:ea typeface="+mn-ea"/>
              <a:cs typeface="+mn-cs"/>
            </a:rPr>
            <a:t>- We started from EBIT</a:t>
          </a:r>
          <a:r>
            <a:rPr lang="en-GB" sz="1400" baseline="0">
              <a:solidFill>
                <a:schemeClr val="dk1"/>
              </a:solidFill>
              <a:effectLst/>
              <a:latin typeface="+mn-lt"/>
              <a:ea typeface="+mn-ea"/>
              <a:cs typeface="+mn-cs"/>
            </a:rPr>
            <a:t> subtracting</a:t>
          </a:r>
          <a:r>
            <a:rPr lang="en-GB" sz="1400">
              <a:solidFill>
                <a:schemeClr val="dk1"/>
              </a:solidFill>
              <a:effectLst/>
              <a:latin typeface="+mn-lt"/>
              <a:ea typeface="+mn-ea"/>
              <a:cs typeface="+mn-cs"/>
            </a:rPr>
            <a:t> reported taxes and an additional item called </a:t>
          </a:r>
          <a:r>
            <a:rPr lang="en-GB" sz="1400" i="1">
              <a:solidFill>
                <a:schemeClr val="dk1"/>
              </a:solidFill>
              <a:effectLst/>
              <a:latin typeface="+mn-lt"/>
              <a:ea typeface="+mn-ea"/>
              <a:cs typeface="+mn-cs"/>
            </a:rPr>
            <a:t>Shield on financial items</a:t>
          </a:r>
          <a:r>
            <a:rPr lang="en-GB" sz="1400">
              <a:solidFill>
                <a:schemeClr val="dk1"/>
              </a:solidFill>
              <a:effectLst/>
              <a:latin typeface="+mn-lt"/>
              <a:ea typeface="+mn-ea"/>
              <a:cs typeface="+mn-cs"/>
            </a:rPr>
            <a:t> representing the additional taxes paid on a full equity firm.</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The sum yields to what we called </a:t>
          </a:r>
          <a:r>
            <a:rPr lang="en-GB" sz="1400" i="1">
              <a:solidFill>
                <a:schemeClr val="dk1"/>
              </a:solidFill>
              <a:effectLst/>
              <a:latin typeface="+mn-lt"/>
              <a:ea typeface="+mn-ea"/>
              <a:cs typeface="+mn-cs"/>
            </a:rPr>
            <a:t>Nopat</a:t>
          </a:r>
          <a:r>
            <a:rPr lang="en-GB" sz="1400">
              <a:solidFill>
                <a:schemeClr val="dk1"/>
              </a:solidFill>
              <a:effectLst/>
              <a:latin typeface="+mn-lt"/>
              <a:ea typeface="+mn-ea"/>
              <a:cs typeface="+mn-cs"/>
            </a:rPr>
            <a:t>. </a:t>
          </a:r>
          <a:endParaRPr lang="it-IT" sz="1400">
            <a:effectLst/>
          </a:endParaRPr>
        </a:p>
        <a:p>
          <a:pPr rtl="0" eaLnBrk="1" latinLnBrk="0" hangingPunct="1"/>
          <a:endParaRPr lang="en-GB" sz="1400">
            <a:solidFill>
              <a:schemeClr val="dk1"/>
            </a:solidFill>
            <a:effectLst/>
            <a:latin typeface="+mn-lt"/>
            <a:ea typeface="+mn-ea"/>
            <a:cs typeface="+mn-cs"/>
          </a:endParaRPr>
        </a:p>
        <a:p>
          <a:pPr rtl="0" eaLnBrk="1" latinLnBrk="0" hangingPunct="1"/>
          <a:r>
            <a:rPr lang="en-GB" sz="1400">
              <a:solidFill>
                <a:schemeClr val="dk1"/>
              </a:solidFill>
              <a:effectLst/>
              <a:latin typeface="+mn-lt"/>
              <a:ea typeface="+mn-ea"/>
              <a:cs typeface="+mn-cs"/>
            </a:rPr>
            <a:t>Then, we highlighted changes during the years of </a:t>
          </a:r>
          <a:r>
            <a:rPr lang="en-GB" sz="1400" i="1">
              <a:solidFill>
                <a:schemeClr val="dk1"/>
              </a:solidFill>
              <a:effectLst/>
              <a:latin typeface="+mn-lt"/>
              <a:ea typeface="+mn-ea"/>
              <a:cs typeface="+mn-cs"/>
            </a:rPr>
            <a:t>NWC</a:t>
          </a:r>
          <a:r>
            <a:rPr lang="en-GB" sz="1400">
              <a:solidFill>
                <a:schemeClr val="dk1"/>
              </a:solidFill>
              <a:effectLst/>
              <a:latin typeface="+mn-lt"/>
              <a:ea typeface="+mn-ea"/>
              <a:cs typeface="+mn-cs"/>
            </a:rPr>
            <a:t> (and </a:t>
          </a:r>
          <a:r>
            <a:rPr lang="en-GB" sz="1400" i="1">
              <a:solidFill>
                <a:schemeClr val="dk1"/>
              </a:solidFill>
              <a:effectLst/>
              <a:latin typeface="+mn-lt"/>
              <a:ea typeface="+mn-ea"/>
              <a:cs typeface="+mn-cs"/>
            </a:rPr>
            <a:t>WC</a:t>
          </a:r>
          <a:r>
            <a:rPr lang="en-GB" sz="1400">
              <a:solidFill>
                <a:schemeClr val="dk1"/>
              </a:solidFill>
              <a:effectLst/>
              <a:latin typeface="+mn-lt"/>
              <a:ea typeface="+mn-ea"/>
              <a:cs typeface="+mn-cs"/>
            </a:rPr>
            <a:t>).</a:t>
          </a:r>
        </a:p>
        <a:p>
          <a:pPr rtl="0" eaLnBrk="1" latinLnBrk="0" hangingPunct="1"/>
          <a:endParaRPr lang="it-IT" sz="1400">
            <a:effectLst/>
          </a:endParaRPr>
        </a:p>
        <a:p>
          <a:pPr rtl="0" eaLnBrk="1" latinLnBrk="0" hangingPunct="1"/>
          <a:r>
            <a:rPr lang="en-GB" sz="1400" i="1">
              <a:solidFill>
                <a:schemeClr val="dk1"/>
              </a:solidFill>
              <a:effectLst/>
              <a:latin typeface="+mn-lt"/>
              <a:ea typeface="+mn-ea"/>
              <a:cs typeface="+mn-cs"/>
            </a:rPr>
            <a:t>- Net Capex</a:t>
          </a:r>
          <a:r>
            <a:rPr lang="en-GB" sz="1400">
              <a:solidFill>
                <a:schemeClr val="dk1"/>
              </a:solidFill>
              <a:effectLst/>
              <a:latin typeface="+mn-lt"/>
              <a:ea typeface="+mn-ea"/>
              <a:cs typeface="+mn-cs"/>
            </a:rPr>
            <a:t> was obtained considering changes in tangibles and intangibles in years and adding current D&amp;A. Their contributes are always negative: there were increases every year which reduced cash flow. </a:t>
          </a:r>
          <a:endParaRPr lang="it-IT" sz="1400">
            <a:effectLst/>
          </a:endParaRPr>
        </a:p>
        <a:p>
          <a:pPr rtl="0" eaLnBrk="1" latinLnBrk="0" hangingPunct="1"/>
          <a:r>
            <a:rPr lang="en-GB" sz="1400">
              <a:solidFill>
                <a:schemeClr val="dk1"/>
              </a:solidFill>
              <a:effectLst/>
              <a:latin typeface="+mn-lt"/>
              <a:ea typeface="+mn-ea"/>
              <a:cs typeface="+mn-cs"/>
            </a:rPr>
            <a:t>Then, D&amp;A was subtracted, a non-cash cost that would have been counted two times otherwise. </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-What we called ∆ [..] represents changes in other residual items: with positive impact to cash if decreased and vice versa. </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 For </a:t>
          </a:r>
          <a:r>
            <a:rPr lang="en-GB" sz="1400" i="1">
              <a:solidFill>
                <a:schemeClr val="dk1"/>
              </a:solidFill>
              <a:effectLst/>
              <a:latin typeface="+mn-lt"/>
              <a:ea typeface="+mn-ea"/>
              <a:cs typeface="+mn-cs"/>
            </a:rPr>
            <a:t>other minors,</a:t>
          </a:r>
          <a:r>
            <a:rPr lang="en-GB" sz="1400">
              <a:solidFill>
                <a:schemeClr val="dk1"/>
              </a:solidFill>
              <a:effectLst/>
              <a:latin typeface="+mn-lt"/>
              <a:ea typeface="+mn-ea"/>
              <a:cs typeface="+mn-cs"/>
            </a:rPr>
            <a:t> we have considered two items in P&amp;L: minorities and net result from discontinued operations. </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Summing </a:t>
          </a:r>
          <a:r>
            <a:rPr lang="en-GB" sz="1400" i="1">
              <a:solidFill>
                <a:schemeClr val="dk1"/>
              </a:solidFill>
              <a:effectLst/>
              <a:latin typeface="+mn-lt"/>
              <a:ea typeface="+mn-ea"/>
              <a:cs typeface="+mn-cs"/>
            </a:rPr>
            <a:t>Nopat</a:t>
          </a:r>
          <a:r>
            <a:rPr lang="en-GB" sz="1400">
              <a:solidFill>
                <a:schemeClr val="dk1"/>
              </a:solidFill>
              <a:effectLst/>
              <a:latin typeface="+mn-lt"/>
              <a:ea typeface="+mn-ea"/>
              <a:cs typeface="+mn-cs"/>
            </a:rPr>
            <a:t> with </a:t>
          </a:r>
          <a:r>
            <a:rPr lang="en-GB" sz="1400" i="1">
              <a:solidFill>
                <a:schemeClr val="dk1"/>
              </a:solidFill>
              <a:effectLst/>
              <a:latin typeface="+mn-lt"/>
              <a:ea typeface="+mn-ea"/>
              <a:cs typeface="+mn-cs"/>
            </a:rPr>
            <a:t>∆ NWC</a:t>
          </a:r>
          <a:r>
            <a:rPr lang="en-GB" sz="1400">
              <a:solidFill>
                <a:schemeClr val="dk1"/>
              </a:solidFill>
              <a:effectLst/>
              <a:latin typeface="+mn-lt"/>
              <a:ea typeface="+mn-ea"/>
              <a:cs typeface="+mn-cs"/>
            </a:rPr>
            <a:t> and other items we got FCFF. </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 Then, we subtracted financial items enlarged also by changes in financial fixed asset for each year; we considered changes in total debt (positive sign if issues were higher than repayments) and re-added the previous shield on financial items in order to get FCFE. </a:t>
          </a:r>
        </a:p>
        <a:p>
          <a:pPr rtl="0" eaLnBrk="1" latinLnBrk="0" hangingPunct="1"/>
          <a:endParaRPr lang="it-IT" sz="1400">
            <a:effectLst/>
          </a:endParaRPr>
        </a:p>
        <a:p>
          <a:pPr rtl="0" eaLnBrk="1" latinLnBrk="0" hangingPunct="1"/>
          <a:r>
            <a:rPr lang="en-GB" sz="1400">
              <a:solidFill>
                <a:schemeClr val="dk1"/>
              </a:solidFill>
              <a:effectLst/>
              <a:latin typeface="+mn-lt"/>
              <a:ea typeface="+mn-ea"/>
              <a:cs typeface="+mn-cs"/>
            </a:rPr>
            <a:t>Finally, we subtracted </a:t>
          </a:r>
          <a:r>
            <a:rPr lang="en-GB" sz="1400" i="1">
              <a:solidFill>
                <a:schemeClr val="dk1"/>
              </a:solidFill>
              <a:effectLst/>
              <a:latin typeface="+mn-lt"/>
              <a:ea typeface="+mn-ea"/>
              <a:cs typeface="+mn-cs"/>
            </a:rPr>
            <a:t>equity movements</a:t>
          </a:r>
          <a:r>
            <a:rPr lang="en-GB" sz="1400">
              <a:solidFill>
                <a:schemeClr val="dk1"/>
              </a:solidFill>
              <a:effectLst/>
              <a:latin typeface="+mn-lt"/>
              <a:ea typeface="+mn-ea"/>
              <a:cs typeface="+mn-cs"/>
            </a:rPr>
            <a:t> obtained by subtracting NI from changes in equity for each year. </a:t>
          </a:r>
          <a:br>
            <a:rPr lang="en-GB" sz="1400">
              <a:solidFill>
                <a:schemeClr val="dk1"/>
              </a:solidFill>
              <a:effectLst/>
              <a:latin typeface="+mn-lt"/>
              <a:ea typeface="+mn-ea"/>
              <a:cs typeface="+mn-cs"/>
            </a:rPr>
          </a:br>
          <a:r>
            <a:rPr lang="en-GB" sz="1400">
              <a:solidFill>
                <a:schemeClr val="dk1"/>
              </a:solidFill>
              <a:effectLst/>
              <a:latin typeface="+mn-lt"/>
              <a:ea typeface="+mn-ea"/>
              <a:cs typeface="+mn-cs"/>
            </a:rPr>
            <a:t>This operation yields to what we called Net Cash Flow (NCF) which must be equal to changes in cash balances during the year.</a:t>
          </a:r>
          <a:endParaRPr lang="it-IT" sz="1400">
            <a:effectLst/>
          </a:endParaRPr>
        </a:p>
        <a:p>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twoCellAnchor>
    <xdr:from>
      <xdr:col>0</xdr:col>
      <xdr:colOff>214648</xdr:colOff>
      <xdr:row>124</xdr:row>
      <xdr:rowOff>107323</xdr:rowOff>
    </xdr:from>
    <xdr:to>
      <xdr:col>4</xdr:col>
      <xdr:colOff>114862</xdr:colOff>
      <xdr:row>132</xdr:row>
      <xdr:rowOff>160985</xdr:rowOff>
    </xdr:to>
    <xdr:sp macro="" textlink="">
      <xdr:nvSpPr>
        <xdr:cNvPr id="3" name="CasellaDiTesto 2">
          <a:extLst>
            <a:ext uri="{FF2B5EF4-FFF2-40B4-BE49-F238E27FC236}">
              <a16:creationId xmlns:a16="http://schemas.microsoft.com/office/drawing/2014/main" id="{B072533B-3BD1-4893-B7EF-E9B9E4C4C7BC}"/>
            </a:ext>
          </a:extLst>
        </xdr:cNvPr>
        <xdr:cNvSpPr txBox="1"/>
      </xdr:nvSpPr>
      <xdr:spPr>
        <a:xfrm>
          <a:off x="214648" y="23203436"/>
          <a:ext cx="7520214"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A2A</a:t>
          </a:r>
          <a:r>
            <a:rPr lang="it-IT" sz="1400" b="0" baseline="0"/>
            <a:t> consolidated financial statements from 2015 to 2020.</a:t>
          </a:r>
        </a:p>
        <a:p>
          <a:r>
            <a:rPr lang="it-IT" sz="1400">
              <a:hlinkClick xmlns:r="http://schemas.openxmlformats.org/officeDocument/2006/relationships" r:id=""/>
            </a:rPr>
            <a:t>https://www.a2a.eu/it/investitori/bilanci-relazioni</a:t>
          </a:r>
          <a:endParaRPr lang="it-IT" sz="1400"/>
        </a:p>
        <a:p>
          <a:endParaRPr lang="it-IT" sz="1400"/>
        </a:p>
        <a:p>
          <a:r>
            <a:rPr lang="it-IT" sz="1400"/>
            <a:t>Complete</a:t>
          </a:r>
          <a:r>
            <a:rPr lang="it-IT" sz="1400" baseline="0"/>
            <a:t> workaround in word file "A2A" pagg.  11-12. </a:t>
          </a:r>
          <a:endParaRPr lang="it-IT" sz="1400"/>
        </a:p>
        <a:p>
          <a:endParaRPr lang="it-IT" sz="1100" b="0"/>
        </a:p>
        <a:p>
          <a:endParaRPr lang="it-IT" sz="1100" b="0"/>
        </a:p>
      </xdr:txBody>
    </xdr:sp>
    <xdr:clientData/>
  </xdr:twoCellAnchor>
  <xdr:twoCellAnchor>
    <xdr:from>
      <xdr:col>9</xdr:col>
      <xdr:colOff>21465</xdr:colOff>
      <xdr:row>4</xdr:row>
      <xdr:rowOff>96591</xdr:rowOff>
    </xdr:from>
    <xdr:to>
      <xdr:col>19</xdr:col>
      <xdr:colOff>568817</xdr:colOff>
      <xdr:row>24</xdr:row>
      <xdr:rowOff>128789</xdr:rowOff>
    </xdr:to>
    <mc:AlternateContent xmlns:mc="http://schemas.openxmlformats.org/markup-compatibility/2006" xmlns:a14="http://schemas.microsoft.com/office/drawing/2010/main">
      <mc:Choice Requires="a14">
        <xdr:sp macro="" textlink="">
          <xdr:nvSpPr>
            <xdr:cNvPr id="4" name="CasellaDiTesto 3">
              <a:extLst>
                <a:ext uri="{FF2B5EF4-FFF2-40B4-BE49-F238E27FC236}">
                  <a16:creationId xmlns:a16="http://schemas.microsoft.com/office/drawing/2014/main" id="{7264A62E-CB38-4C38-B629-037125E5C522}"/>
                </a:ext>
              </a:extLst>
            </xdr:cNvPr>
            <xdr:cNvSpPr txBox="1"/>
          </xdr:nvSpPr>
          <xdr:spPr>
            <a:xfrm>
              <a:off x="12814479" y="987380"/>
              <a:ext cx="6664817" cy="36704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dk1"/>
                  </a:solidFill>
                  <a:effectLst/>
                  <a:latin typeface="+mn-lt"/>
                  <a:ea typeface="+mn-ea"/>
                  <a:cs typeface="+mn-cs"/>
                </a:rPr>
                <a:t>For knowledge purposes, we performed also the reorganization according to trailing 12 months approach. </a:t>
              </a:r>
              <a:endParaRPr lang="it-IT" sz="1400">
                <a:solidFill>
                  <a:schemeClr val="dk1"/>
                </a:solidFill>
                <a:effectLst/>
                <a:latin typeface="+mn-lt"/>
                <a:ea typeface="+mn-ea"/>
                <a:cs typeface="+mn-cs"/>
              </a:endParaRP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-We obtained the most recent values for Balance Sheet Items from Quarterly reports. </a:t>
              </a:r>
              <a:endParaRPr lang="it-IT" sz="1400">
                <a:solidFill>
                  <a:schemeClr val="dk1"/>
                </a:solidFill>
                <a:effectLst/>
                <a:latin typeface="+mn-lt"/>
                <a:ea typeface="+mn-ea"/>
                <a:cs typeface="+mn-cs"/>
              </a:endParaRP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 For what about P&amp;L we computed LTM according to the following formula: each item would be equal to </a:t>
              </a:r>
              <a14:m>
                <m:oMath xmlns:m="http://schemas.openxmlformats.org/officeDocument/2006/math">
                  <m:sSub>
                    <m:sSubPr>
                      <m:ctrlPr>
                        <a:rPr lang="it-IT" sz="1400" i="1">
                          <a:solidFill>
                            <a:schemeClr val="dk1"/>
                          </a:solidFill>
                          <a:effectLst/>
                          <a:latin typeface="Cambria Math" panose="02040503050406030204" pitchFamily="18" charset="0"/>
                          <a:ea typeface="+mn-ea"/>
                          <a:cs typeface="+mn-cs"/>
                        </a:rPr>
                      </m:ctrlPr>
                    </m:sSubPr>
                    <m:e>
                      <m:r>
                        <a:rPr lang="en-GB" sz="1400" i="1">
                          <a:solidFill>
                            <a:schemeClr val="dk1"/>
                          </a:solidFill>
                          <a:effectLst/>
                          <a:latin typeface="Cambria Math" panose="02040503050406030204" pitchFamily="18" charset="0"/>
                          <a:ea typeface="+mn-ea"/>
                          <a:cs typeface="+mn-cs"/>
                        </a:rPr>
                        <m:t>𝐼𝑡𝑒𝑚</m:t>
                      </m:r>
                    </m:e>
                    <m:sub>
                      <m:r>
                        <a:rPr lang="en-GB" sz="1400" i="1">
                          <a:solidFill>
                            <a:schemeClr val="dk1"/>
                          </a:solidFill>
                          <a:effectLst/>
                          <a:latin typeface="Cambria Math" panose="02040503050406030204" pitchFamily="18" charset="0"/>
                          <a:ea typeface="+mn-ea"/>
                          <a:cs typeface="+mn-cs"/>
                        </a:rPr>
                        <m:t>31−12−</m:t>
                      </m:r>
                      <m:r>
                        <a:rPr lang="en-GB" sz="1400" i="1">
                          <a:solidFill>
                            <a:schemeClr val="dk1"/>
                          </a:solidFill>
                          <a:effectLst/>
                          <a:latin typeface="Cambria Math" panose="02040503050406030204" pitchFamily="18" charset="0"/>
                          <a:ea typeface="+mn-ea"/>
                          <a:cs typeface="+mn-cs"/>
                        </a:rPr>
                        <m:t>𝑋</m:t>
                      </m:r>
                    </m:sub>
                  </m:sSub>
                  <m:r>
                    <a:rPr lang="en-GB" sz="1400" i="1">
                      <a:solidFill>
                        <a:schemeClr val="dk1"/>
                      </a:solidFill>
                      <a:effectLst/>
                      <a:latin typeface="Cambria Math" panose="02040503050406030204" pitchFamily="18" charset="0"/>
                      <a:ea typeface="+mn-ea"/>
                      <a:cs typeface="+mn-cs"/>
                    </a:rPr>
                    <m:t>+</m:t>
                  </m:r>
                  <m:d>
                    <m:dPr>
                      <m:ctrlPr>
                        <a:rPr lang="it-IT" sz="1400" i="1">
                          <a:solidFill>
                            <a:schemeClr val="dk1"/>
                          </a:solidFill>
                          <a:effectLst/>
                          <a:latin typeface="Cambria Math" panose="02040503050406030204" pitchFamily="18" charset="0"/>
                          <a:ea typeface="+mn-ea"/>
                          <a:cs typeface="+mn-cs"/>
                        </a:rPr>
                      </m:ctrlPr>
                    </m:dPr>
                    <m:e>
                      <m:sSub>
                        <m:sSubPr>
                          <m:ctrlPr>
                            <a:rPr lang="it-IT" sz="1400" i="1">
                              <a:solidFill>
                                <a:schemeClr val="dk1"/>
                              </a:solidFill>
                              <a:effectLst/>
                              <a:latin typeface="Cambria Math" panose="02040503050406030204" pitchFamily="18" charset="0"/>
                              <a:ea typeface="+mn-ea"/>
                              <a:cs typeface="+mn-cs"/>
                            </a:rPr>
                          </m:ctrlPr>
                        </m:sSubPr>
                        <m:e>
                          <m:r>
                            <a:rPr lang="en-GB" sz="1400" i="1">
                              <a:solidFill>
                                <a:schemeClr val="dk1"/>
                              </a:solidFill>
                              <a:effectLst/>
                              <a:latin typeface="Cambria Math" panose="02040503050406030204" pitchFamily="18" charset="0"/>
                              <a:ea typeface="+mn-ea"/>
                              <a:cs typeface="+mn-cs"/>
                            </a:rPr>
                            <m:t>𝐼𝑡𝑒𝑚</m:t>
                          </m:r>
                        </m:e>
                        <m:sub>
                          <m:r>
                            <a:rPr lang="en-GB" sz="1400" i="1">
                              <a:solidFill>
                                <a:schemeClr val="dk1"/>
                              </a:solidFill>
                              <a:effectLst/>
                              <a:latin typeface="Cambria Math" panose="02040503050406030204" pitchFamily="18" charset="0"/>
                              <a:ea typeface="+mn-ea"/>
                              <a:cs typeface="+mn-cs"/>
                            </a:rPr>
                            <m:t>31−03−</m:t>
                          </m:r>
                          <m:r>
                            <a:rPr lang="en-GB" sz="1400" i="1">
                              <a:solidFill>
                                <a:schemeClr val="dk1"/>
                              </a:solidFill>
                              <a:effectLst/>
                              <a:latin typeface="Cambria Math" panose="02040503050406030204" pitchFamily="18" charset="0"/>
                              <a:ea typeface="+mn-ea"/>
                              <a:cs typeface="+mn-cs"/>
                            </a:rPr>
                            <m:t>𝑋</m:t>
                          </m:r>
                          <m:r>
                            <a:rPr lang="en-GB" sz="1400" i="1">
                              <a:solidFill>
                                <a:schemeClr val="dk1"/>
                              </a:solidFill>
                              <a:effectLst/>
                              <a:latin typeface="Cambria Math" panose="02040503050406030204" pitchFamily="18" charset="0"/>
                              <a:ea typeface="+mn-ea"/>
                              <a:cs typeface="+mn-cs"/>
                            </a:rPr>
                            <m:t>+1</m:t>
                          </m:r>
                        </m:sub>
                      </m:sSub>
                      <m:r>
                        <a:rPr lang="en-GB" sz="1400" i="1">
                          <a:solidFill>
                            <a:schemeClr val="dk1"/>
                          </a:solidFill>
                          <a:effectLst/>
                          <a:latin typeface="Cambria Math" panose="02040503050406030204" pitchFamily="18" charset="0"/>
                          <a:ea typeface="+mn-ea"/>
                          <a:cs typeface="+mn-cs"/>
                        </a:rPr>
                        <m:t>− </m:t>
                      </m:r>
                      <m:sSub>
                        <m:sSubPr>
                          <m:ctrlPr>
                            <a:rPr lang="it-IT" sz="1400" i="1">
                              <a:solidFill>
                                <a:schemeClr val="dk1"/>
                              </a:solidFill>
                              <a:effectLst/>
                              <a:latin typeface="Cambria Math" panose="02040503050406030204" pitchFamily="18" charset="0"/>
                              <a:ea typeface="+mn-ea"/>
                              <a:cs typeface="+mn-cs"/>
                            </a:rPr>
                          </m:ctrlPr>
                        </m:sSubPr>
                        <m:e>
                          <m:r>
                            <a:rPr lang="en-GB" sz="1400" i="1">
                              <a:solidFill>
                                <a:schemeClr val="dk1"/>
                              </a:solidFill>
                              <a:effectLst/>
                              <a:latin typeface="Cambria Math" panose="02040503050406030204" pitchFamily="18" charset="0"/>
                              <a:ea typeface="+mn-ea"/>
                              <a:cs typeface="+mn-cs"/>
                            </a:rPr>
                            <m:t>𝐼𝑡𝑒𝑚</m:t>
                          </m:r>
                        </m:e>
                        <m:sub>
                          <m:r>
                            <a:rPr lang="en-GB" sz="1400" i="1">
                              <a:solidFill>
                                <a:schemeClr val="dk1"/>
                              </a:solidFill>
                              <a:effectLst/>
                              <a:latin typeface="Cambria Math" panose="02040503050406030204" pitchFamily="18" charset="0"/>
                              <a:ea typeface="+mn-ea"/>
                              <a:cs typeface="+mn-cs"/>
                            </a:rPr>
                            <m:t>31−03−</m:t>
                          </m:r>
                          <m:r>
                            <a:rPr lang="en-GB" sz="1400" i="1">
                              <a:solidFill>
                                <a:schemeClr val="dk1"/>
                              </a:solidFill>
                              <a:effectLst/>
                              <a:latin typeface="Cambria Math" panose="02040503050406030204" pitchFamily="18" charset="0"/>
                              <a:ea typeface="+mn-ea"/>
                              <a:cs typeface="+mn-cs"/>
                            </a:rPr>
                            <m:t>𝑋</m:t>
                          </m:r>
                        </m:sub>
                      </m:sSub>
                    </m:e>
                  </m:d>
                </m:oMath>
              </a14:m>
              <a:endParaRPr lang="it-IT" sz="1400">
                <a:solidFill>
                  <a:schemeClr val="dk1"/>
                </a:solidFill>
                <a:effectLst/>
                <a:latin typeface="+mn-lt"/>
                <a:ea typeface="+mn-ea"/>
                <a:cs typeface="+mn-cs"/>
              </a:endParaRPr>
            </a:p>
            <a:p>
              <a:endParaRPr lang="it-IT" sz="1100"/>
            </a:p>
            <a:p>
              <a:r>
                <a:rPr lang="en-GB" sz="1400">
                  <a:solidFill>
                    <a:schemeClr val="dk1"/>
                  </a:solidFill>
                  <a:effectLst/>
                  <a:latin typeface="+mn-lt"/>
                  <a:ea typeface="+mn-ea"/>
                  <a:cs typeface="+mn-cs"/>
                </a:rPr>
                <a:t>- For what about cash flows we rearranged in the same way results from BS and P&amp;L. Of course, restatements were made using the same syntax and way of grouping as in previous sheet.</a:t>
              </a:r>
              <a:r>
                <a:rPr lang="en-GB" sz="1400" baseline="0">
                  <a:solidFill>
                    <a:schemeClr val="dk1"/>
                  </a:solidFill>
                  <a:effectLst/>
                  <a:latin typeface="+mn-lt"/>
                  <a:ea typeface="+mn-ea"/>
                  <a:cs typeface="+mn-cs"/>
                </a:rPr>
                <a:t> </a:t>
              </a:r>
              <a:endParaRPr lang="it-IT" sz="1400"/>
            </a:p>
          </xdr:txBody>
        </xdr:sp>
      </mc:Choice>
      <mc:Fallback xmlns="">
        <xdr:sp macro="" textlink="">
          <xdr:nvSpPr>
            <xdr:cNvPr id="4" name="CasellaDiTesto 3">
              <a:extLst>
                <a:ext uri="{FF2B5EF4-FFF2-40B4-BE49-F238E27FC236}">
                  <a16:creationId xmlns:a16="http://schemas.microsoft.com/office/drawing/2014/main" id="{7264A62E-CB38-4C38-B629-037125E5C522}"/>
                </a:ext>
              </a:extLst>
            </xdr:cNvPr>
            <xdr:cNvSpPr txBox="1"/>
          </xdr:nvSpPr>
          <xdr:spPr>
            <a:xfrm>
              <a:off x="12814479" y="987380"/>
              <a:ext cx="6664817" cy="36704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dk1"/>
                  </a:solidFill>
                  <a:effectLst/>
                  <a:latin typeface="+mn-lt"/>
                  <a:ea typeface="+mn-ea"/>
                  <a:cs typeface="+mn-cs"/>
                </a:rPr>
                <a:t>For knowledge purposes, we performed also the reorganization according to trailing 12 months approach. </a:t>
              </a:r>
              <a:endParaRPr lang="it-IT" sz="1400">
                <a:solidFill>
                  <a:schemeClr val="dk1"/>
                </a:solidFill>
                <a:effectLst/>
                <a:latin typeface="+mn-lt"/>
                <a:ea typeface="+mn-ea"/>
                <a:cs typeface="+mn-cs"/>
              </a:endParaRP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-We obtained the most recent values for Balance Sheet Items from Quarterly reports. </a:t>
              </a:r>
              <a:endParaRPr lang="it-IT" sz="1400">
                <a:solidFill>
                  <a:schemeClr val="dk1"/>
                </a:solidFill>
                <a:effectLst/>
                <a:latin typeface="+mn-lt"/>
                <a:ea typeface="+mn-ea"/>
                <a:cs typeface="+mn-cs"/>
              </a:endParaRPr>
            </a:p>
            <a:p>
              <a:endParaRPr lang="en-GB" sz="1400">
                <a:solidFill>
                  <a:schemeClr val="dk1"/>
                </a:solidFill>
                <a:effectLst/>
                <a:latin typeface="+mn-lt"/>
                <a:ea typeface="+mn-ea"/>
                <a:cs typeface="+mn-cs"/>
              </a:endParaRPr>
            </a:p>
            <a:p>
              <a:r>
                <a:rPr lang="en-GB" sz="1400">
                  <a:solidFill>
                    <a:schemeClr val="dk1"/>
                  </a:solidFill>
                  <a:effectLst/>
                  <a:latin typeface="+mn-lt"/>
                  <a:ea typeface="+mn-ea"/>
                  <a:cs typeface="+mn-cs"/>
                </a:rPr>
                <a:t>- For what about P&amp;L we computed LTM according to the following formula: each item would be equal to </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𝐼𝑡𝑒𝑚</a:t>
              </a:r>
              <a:r>
                <a:rPr lang="it-IT" sz="1400" i="0">
                  <a:solidFill>
                    <a:schemeClr val="dk1"/>
                  </a:solidFill>
                  <a:effectLst/>
                  <a:latin typeface="+mn-lt"/>
                  <a:ea typeface="+mn-ea"/>
                  <a:cs typeface="+mn-cs"/>
                </a:rPr>
                <a:t>〗_(</a:t>
              </a:r>
              <a:r>
                <a:rPr lang="en-GB" sz="1400" i="0">
                  <a:solidFill>
                    <a:schemeClr val="dk1"/>
                  </a:solidFill>
                  <a:effectLst/>
                  <a:latin typeface="+mn-lt"/>
                  <a:ea typeface="+mn-ea"/>
                  <a:cs typeface="+mn-cs"/>
                </a:rPr>
                <a:t>31−12−𝑋</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𝐼𝑡𝑒𝑚</a:t>
              </a:r>
              <a:r>
                <a:rPr lang="it-IT" sz="1400" i="0">
                  <a:solidFill>
                    <a:schemeClr val="dk1"/>
                  </a:solidFill>
                  <a:effectLst/>
                  <a:latin typeface="+mn-lt"/>
                  <a:ea typeface="+mn-ea"/>
                  <a:cs typeface="+mn-cs"/>
                </a:rPr>
                <a:t>〗_(</a:t>
              </a:r>
              <a:r>
                <a:rPr lang="en-GB" sz="1400" i="0">
                  <a:solidFill>
                    <a:schemeClr val="dk1"/>
                  </a:solidFill>
                  <a:effectLst/>
                  <a:latin typeface="+mn-lt"/>
                  <a:ea typeface="+mn-ea"/>
                  <a:cs typeface="+mn-cs"/>
                </a:rPr>
                <a:t>31−03−𝑋+1</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 </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𝐼𝑡𝑒𝑚</a:t>
              </a:r>
              <a:r>
                <a:rPr lang="it-IT" sz="1400" i="0">
                  <a:solidFill>
                    <a:schemeClr val="dk1"/>
                  </a:solidFill>
                  <a:effectLst/>
                  <a:latin typeface="+mn-lt"/>
                  <a:ea typeface="+mn-ea"/>
                  <a:cs typeface="+mn-cs"/>
                </a:rPr>
                <a:t>〗_(</a:t>
              </a:r>
              <a:r>
                <a:rPr lang="en-GB" sz="1400" i="0">
                  <a:solidFill>
                    <a:schemeClr val="dk1"/>
                  </a:solidFill>
                  <a:effectLst/>
                  <a:latin typeface="+mn-lt"/>
                  <a:ea typeface="+mn-ea"/>
                  <a:cs typeface="+mn-cs"/>
                </a:rPr>
                <a:t>31−03−𝑋</a:t>
              </a:r>
              <a:r>
                <a:rPr lang="it-IT" sz="1400" i="0">
                  <a:solidFill>
                    <a:schemeClr val="dk1"/>
                  </a:solidFill>
                  <a:effectLst/>
                  <a:latin typeface="+mn-lt"/>
                  <a:ea typeface="+mn-ea"/>
                  <a:cs typeface="+mn-cs"/>
                </a:rPr>
                <a:t>)</a:t>
              </a:r>
              <a:r>
                <a:rPr lang="en-GB" sz="1400" i="0">
                  <a:solidFill>
                    <a:schemeClr val="dk1"/>
                  </a:solidFill>
                  <a:effectLst/>
                  <a:latin typeface="+mn-lt"/>
                  <a:ea typeface="+mn-ea"/>
                  <a:cs typeface="+mn-cs"/>
                </a:rPr>
                <a:t> )</a:t>
              </a:r>
              <a:endParaRPr lang="it-IT" sz="1400">
                <a:solidFill>
                  <a:schemeClr val="dk1"/>
                </a:solidFill>
                <a:effectLst/>
                <a:latin typeface="+mn-lt"/>
                <a:ea typeface="+mn-ea"/>
                <a:cs typeface="+mn-cs"/>
              </a:endParaRPr>
            </a:p>
            <a:p>
              <a:endParaRPr lang="it-IT" sz="1100"/>
            </a:p>
            <a:p>
              <a:r>
                <a:rPr lang="en-GB" sz="1400">
                  <a:solidFill>
                    <a:schemeClr val="dk1"/>
                  </a:solidFill>
                  <a:effectLst/>
                  <a:latin typeface="+mn-lt"/>
                  <a:ea typeface="+mn-ea"/>
                  <a:cs typeface="+mn-cs"/>
                </a:rPr>
                <a:t>- For what about cash flows we rearranged in the same way results from BS and P&amp;L. Of course, restatements were made using the same syntax and way of grouping as in previous sheet.</a:t>
              </a:r>
              <a:r>
                <a:rPr lang="en-GB" sz="1400" baseline="0">
                  <a:solidFill>
                    <a:schemeClr val="dk1"/>
                  </a:solidFill>
                  <a:effectLst/>
                  <a:latin typeface="+mn-lt"/>
                  <a:ea typeface="+mn-ea"/>
                  <a:cs typeface="+mn-cs"/>
                </a:rPr>
                <a:t> </a:t>
              </a:r>
              <a:endParaRPr lang="it-IT" sz="1400"/>
            </a:p>
          </xdr:txBody>
        </xdr:sp>
      </mc:Fallback>
    </mc:AlternateContent>
    <xdr:clientData/>
  </xdr:twoCellAnchor>
  <xdr:twoCellAnchor>
    <xdr:from>
      <xdr:col>9</xdr:col>
      <xdr:colOff>0</xdr:colOff>
      <xdr:row>30</xdr:row>
      <xdr:rowOff>150254</xdr:rowOff>
    </xdr:from>
    <xdr:to>
      <xdr:col>19</xdr:col>
      <xdr:colOff>579549</xdr:colOff>
      <xdr:row>37</xdr:row>
      <xdr:rowOff>10733</xdr:rowOff>
    </xdr:to>
    <xdr:sp macro="" textlink="">
      <xdr:nvSpPr>
        <xdr:cNvPr id="5" name="CasellaDiTesto 4">
          <a:extLst>
            <a:ext uri="{FF2B5EF4-FFF2-40B4-BE49-F238E27FC236}">
              <a16:creationId xmlns:a16="http://schemas.microsoft.com/office/drawing/2014/main" id="{14427272-3F94-42FF-AF24-D4C72F717E55}"/>
            </a:ext>
          </a:extLst>
        </xdr:cNvPr>
        <xdr:cNvSpPr txBox="1"/>
      </xdr:nvSpPr>
      <xdr:spPr>
        <a:xfrm>
          <a:off x="12793014" y="5774029"/>
          <a:ext cx="6697014" cy="1137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dk1"/>
              </a:solidFill>
              <a:effectLst/>
              <a:latin typeface="+mn-lt"/>
              <a:ea typeface="+mn-ea"/>
              <a:cs typeface="+mn-cs"/>
            </a:rPr>
            <a:t>All presented results allow us to get more updated information. </a:t>
          </a:r>
          <a:endParaRPr lang="it-IT" sz="1400">
            <a:solidFill>
              <a:schemeClr val="dk1"/>
            </a:solidFill>
            <a:effectLst/>
            <a:latin typeface="+mn-lt"/>
            <a:ea typeface="+mn-ea"/>
            <a:cs typeface="+mn-cs"/>
          </a:endParaRPr>
        </a:p>
        <a:p>
          <a:r>
            <a:rPr lang="en-GB" sz="1400">
              <a:solidFill>
                <a:schemeClr val="dk1"/>
              </a:solidFill>
              <a:effectLst/>
              <a:latin typeface="+mn-lt"/>
              <a:ea typeface="+mn-ea"/>
              <a:cs typeface="+mn-cs"/>
            </a:rPr>
            <a:t>Anyway, </a:t>
          </a:r>
          <a:r>
            <a:rPr lang="en-GB" sz="1400" u="sng">
              <a:solidFill>
                <a:schemeClr val="dk1"/>
              </a:solidFill>
              <a:effectLst/>
              <a:latin typeface="+mn-lt"/>
              <a:ea typeface="+mn-ea"/>
              <a:cs typeface="+mn-cs"/>
            </a:rPr>
            <a:t>for consistency reasons</a:t>
          </a:r>
          <a:r>
            <a:rPr lang="en-GB" sz="1400">
              <a:solidFill>
                <a:schemeClr val="dk1"/>
              </a:solidFill>
              <a:effectLst/>
              <a:latin typeface="+mn-lt"/>
              <a:ea typeface="+mn-ea"/>
              <a:cs typeface="+mn-cs"/>
            </a:rPr>
            <a:t>, we did not use in our valuation analysis, because in computational procedures we considered data time series until 31/12/2019. </a:t>
          </a:r>
          <a:endParaRPr lang="it-IT" sz="1400">
            <a:solidFill>
              <a:schemeClr val="dk1"/>
            </a:solidFill>
            <a:effectLst/>
            <a:latin typeface="+mn-lt"/>
            <a:ea typeface="+mn-ea"/>
            <a:cs typeface="+mn-cs"/>
          </a:endParaRP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9</xdr:col>
      <xdr:colOff>5483</xdr:colOff>
      <xdr:row>3</xdr:row>
      <xdr:rowOff>132676</xdr:rowOff>
    </xdr:from>
    <xdr:to>
      <xdr:col>14</xdr:col>
      <xdr:colOff>78797</xdr:colOff>
      <xdr:row>5</xdr:row>
      <xdr:rowOff>208876</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4460392" y="952403"/>
          <a:ext cx="5361132" cy="71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Notice that </a:t>
          </a:r>
          <a:r>
            <a:rPr lang="it-IT" sz="1400">
              <a:solidFill>
                <a:sysClr val="windowText" lastClr="000000"/>
              </a:solidFill>
            </a:rPr>
            <a:t>in 2015 the ratio is very low,</a:t>
          </a:r>
          <a:r>
            <a:rPr lang="it-IT" sz="1400" baseline="0">
              <a:solidFill>
                <a:sysClr val="windowText" lastClr="000000"/>
              </a:solidFill>
            </a:rPr>
            <a:t> it depends on an higher EBIT with respect to </a:t>
          </a:r>
          <a:r>
            <a:rPr lang="it-IT" sz="1400" baseline="0"/>
            <a:t>all other years.</a:t>
          </a:r>
          <a:endParaRPr lang="it-IT" sz="1400"/>
        </a:p>
      </xdr:txBody>
    </xdr:sp>
    <xdr:clientData/>
  </xdr:twoCellAnchor>
  <xdr:twoCellAnchor>
    <xdr:from>
      <xdr:col>9</xdr:col>
      <xdr:colOff>7504</xdr:colOff>
      <xdr:row>5</xdr:row>
      <xdr:rowOff>361950</xdr:rowOff>
    </xdr:from>
    <xdr:to>
      <xdr:col>13</xdr:col>
      <xdr:colOff>582468</xdr:colOff>
      <xdr:row>7</xdr:row>
      <xdr:rowOff>242454</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4462413" y="1631950"/>
          <a:ext cx="5227782" cy="573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solidFill>
                <a:schemeClr val="dk1"/>
              </a:solidFill>
              <a:effectLst/>
              <a:latin typeface="+mn-lt"/>
              <a:ea typeface="+mn-ea"/>
              <a:cs typeface="+mn-cs"/>
            </a:rPr>
            <a:t>Notice that in 2015 the ratio is lowest</a:t>
          </a:r>
          <a:r>
            <a:rPr lang="it-IT" sz="1400" baseline="0">
              <a:solidFill>
                <a:schemeClr val="dk1"/>
              </a:solidFill>
              <a:effectLst/>
              <a:latin typeface="+mn-lt"/>
              <a:ea typeface="+mn-ea"/>
              <a:cs typeface="+mn-cs"/>
            </a:rPr>
            <a:t>.This result is due to a very low NI during this year.</a:t>
          </a:r>
          <a:endParaRPr lang="it-IT" sz="14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977323</xdr:colOff>
      <xdr:row>11</xdr:row>
      <xdr:rowOff>255154</xdr:rowOff>
    </xdr:from>
    <xdr:to>
      <xdr:col>15</xdr:col>
      <xdr:colOff>16164</xdr:colOff>
      <xdr:row>13</xdr:row>
      <xdr:rowOff>404091</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4450868" y="3626427"/>
          <a:ext cx="5919932" cy="8416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aseline="0">
              <a:solidFill>
                <a:schemeClr val="dk1"/>
              </a:solidFill>
              <a:effectLst/>
              <a:latin typeface="+mn-lt"/>
              <a:ea typeface="+mn-ea"/>
              <a:cs typeface="+mn-cs"/>
            </a:rPr>
            <a:t>That is to say: pre tax operating margin and capital turnover ratio . </a:t>
          </a:r>
          <a:endParaRPr lang="it-IT" sz="1400">
            <a:effectLst/>
          </a:endParaRPr>
        </a:p>
        <a:p>
          <a:r>
            <a:rPr lang="it-IT" sz="1400" baseline="0">
              <a:solidFill>
                <a:schemeClr val="dk1"/>
              </a:solidFill>
              <a:effectLst/>
              <a:latin typeface="+mn-lt"/>
              <a:ea typeface="+mn-ea"/>
              <a:cs typeface="+mn-cs"/>
            </a:rPr>
            <a:t>A firm can arrive at a high ROIC by either increasing its profit margin or efficiently using its capital to increase sales. </a:t>
          </a:r>
          <a:endParaRPr lang="it-IT" sz="1400">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979384</xdr:colOff>
      <xdr:row>20</xdr:row>
      <xdr:rowOff>206251</xdr:rowOff>
    </xdr:from>
    <xdr:to>
      <xdr:col>14</xdr:col>
      <xdr:colOff>589314</xdr:colOff>
      <xdr:row>25</xdr:row>
      <xdr:rowOff>0</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4452929" y="6544706"/>
          <a:ext cx="5879112" cy="798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we obtained two different</a:t>
          </a:r>
          <a:r>
            <a:rPr lang="it-IT" sz="1400" baseline="0"/>
            <a:t> results because in the first computation we used all current assets, while in the second one we used only cash, inventories and trade recivables.</a:t>
          </a:r>
        </a:p>
        <a:p>
          <a:endParaRPr lang="it-IT" sz="1100"/>
        </a:p>
      </xdr:txBody>
    </xdr:sp>
    <xdr:clientData/>
  </xdr:twoCellAnchor>
  <xdr:twoCellAnchor>
    <xdr:from>
      <xdr:col>15</xdr:col>
      <xdr:colOff>152015</xdr:colOff>
      <xdr:row>20</xdr:row>
      <xdr:rowOff>211088</xdr:rowOff>
    </xdr:from>
    <xdr:to>
      <xdr:col>21</xdr:col>
      <xdr:colOff>519545</xdr:colOff>
      <xdr:row>28</xdr:row>
      <xdr:rowOff>138545</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20506651" y="6549543"/>
          <a:ext cx="4038985" cy="14860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400" baseline="0">
              <a:solidFill>
                <a:schemeClr val="dk1"/>
              </a:solidFill>
              <a:effectLst/>
              <a:latin typeface="+mn-lt"/>
              <a:ea typeface="+mn-ea"/>
              <a:cs typeface="+mn-cs"/>
            </a:rPr>
            <a:t>If &lt;1 it indicates that the firm has more obligations coming due in next years than assets it can convert in cash. </a:t>
          </a:r>
          <a:endParaRPr lang="it-IT"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400" baseline="0">
              <a:solidFill>
                <a:schemeClr val="dk1"/>
              </a:solidFill>
              <a:effectLst/>
              <a:latin typeface="+mn-lt"/>
              <a:ea typeface="+mn-ea"/>
              <a:cs typeface="+mn-cs"/>
            </a:rPr>
            <a:t>There is a trade off beteen minimizing liquidity risk and tying up more cash in net working capital i</a:t>
          </a:r>
          <a:r>
            <a:rPr lang="it-IT" sz="1400">
              <a:solidFill>
                <a:schemeClr val="dk1"/>
              </a:solidFill>
              <a:effectLst/>
              <a:latin typeface="+mn-lt"/>
              <a:ea typeface="+mn-ea"/>
              <a:cs typeface="+mn-cs"/>
            </a:rPr>
            <a:t>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9</xdr:col>
      <xdr:colOff>12507</xdr:colOff>
      <xdr:row>7</xdr:row>
      <xdr:rowOff>439689</xdr:rowOff>
    </xdr:from>
    <xdr:to>
      <xdr:col>13</xdr:col>
      <xdr:colOff>337704</xdr:colOff>
      <xdr:row>9</xdr:row>
      <xdr:rowOff>69273</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4467416" y="2402416"/>
          <a:ext cx="4978015" cy="333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Every</a:t>
          </a:r>
          <a:r>
            <a:rPr lang="it-IT" sz="1400" baseline="0"/>
            <a:t> ROIC in 2015 is pushed down by an high EBIT.</a:t>
          </a:r>
          <a:endParaRPr lang="it-IT" sz="1400"/>
        </a:p>
      </xdr:txBody>
    </xdr:sp>
    <xdr:clientData/>
  </xdr:twoCellAnchor>
  <xdr:twoCellAnchor>
    <xdr:from>
      <xdr:col>8</xdr:col>
      <xdr:colOff>980401</xdr:colOff>
      <xdr:row>9</xdr:row>
      <xdr:rowOff>414673</xdr:rowOff>
    </xdr:from>
    <xdr:to>
      <xdr:col>15</xdr:col>
      <xdr:colOff>241492</xdr:colOff>
      <xdr:row>11</xdr:row>
      <xdr:rowOff>127000</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4453946" y="3081673"/>
          <a:ext cx="6142182" cy="41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Being</a:t>
          </a:r>
          <a:r>
            <a:rPr lang="it-IT" sz="1400" baseline="0"/>
            <a:t> this ratio an averge between t and t+1, the last value is </a:t>
          </a:r>
          <a:r>
            <a:rPr lang="it-IT" sz="1400"/>
            <a:t>worthless.</a:t>
          </a:r>
        </a:p>
      </xdr:txBody>
    </xdr:sp>
    <xdr:clientData/>
  </xdr:twoCellAnchor>
  <xdr:twoCellAnchor>
    <xdr:from>
      <xdr:col>9</xdr:col>
      <xdr:colOff>16356</xdr:colOff>
      <xdr:row>17</xdr:row>
      <xdr:rowOff>478174</xdr:rowOff>
    </xdr:from>
    <xdr:to>
      <xdr:col>16</xdr:col>
      <xdr:colOff>281903</xdr:colOff>
      <xdr:row>20</xdr:row>
      <xdr:rowOff>57727</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4471265" y="5939174"/>
          <a:ext cx="6777183" cy="4570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we can</a:t>
          </a:r>
          <a:r>
            <a:rPr lang="it-IT" sz="1400" baseline="0"/>
            <a:t> do the same statement as we do above for ROC based upon average.</a:t>
          </a:r>
          <a:endParaRPr lang="it-IT" sz="1400"/>
        </a:p>
      </xdr:txBody>
    </xdr:sp>
    <xdr:clientData/>
  </xdr:twoCellAnchor>
  <xdr:twoCellAnchor>
    <xdr:from>
      <xdr:col>8</xdr:col>
      <xdr:colOff>976456</xdr:colOff>
      <xdr:row>35</xdr:row>
      <xdr:rowOff>110431</xdr:rowOff>
    </xdr:from>
    <xdr:to>
      <xdr:col>12</xdr:col>
      <xdr:colOff>531091</xdr:colOff>
      <xdr:row>43</xdr:row>
      <xdr:rowOff>69273</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4450001" y="9381431"/>
          <a:ext cx="4553817" cy="1436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For DPO were used as cost of sales reference operational expenses, this reduce</a:t>
          </a:r>
          <a:r>
            <a:rPr lang="it-IT" sz="1400" baseline="0"/>
            <a:t> number of days making worse the CCC. </a:t>
          </a:r>
        </a:p>
        <a:p>
          <a:endParaRPr lang="it-IT" sz="1400" baseline="0"/>
        </a:p>
        <a:p>
          <a:r>
            <a:rPr lang="it-IT" sz="1400" baseline="0"/>
            <a:t>For completeness we computed DPO even using only expenses for raw materials. </a:t>
          </a:r>
        </a:p>
        <a:p>
          <a:endParaRPr lang="it-IT" sz="1100"/>
        </a:p>
      </xdr:txBody>
    </xdr:sp>
    <xdr:clientData/>
  </xdr:twoCellAnchor>
  <xdr:twoCellAnchor>
    <xdr:from>
      <xdr:col>1</xdr:col>
      <xdr:colOff>0</xdr:colOff>
      <xdr:row>62</xdr:row>
      <xdr:rowOff>0</xdr:rowOff>
    </xdr:from>
    <xdr:to>
      <xdr:col>3</xdr:col>
      <xdr:colOff>396668</xdr:colOff>
      <xdr:row>65</xdr:row>
      <xdr:rowOff>150091</xdr:rowOff>
    </xdr:to>
    <xdr:sp macro="" textlink="">
      <xdr:nvSpPr>
        <xdr:cNvPr id="17" name="CasellaDiTesto 16">
          <a:extLst>
            <a:ext uri="{FF2B5EF4-FFF2-40B4-BE49-F238E27FC236}">
              <a16:creationId xmlns:a16="http://schemas.microsoft.com/office/drawing/2014/main" id="{6DE758D7-9CC8-4FCD-8AC0-614BF157ABDE}"/>
            </a:ext>
          </a:extLst>
        </xdr:cNvPr>
        <xdr:cNvSpPr txBox="1"/>
      </xdr:nvSpPr>
      <xdr:spPr>
        <a:xfrm>
          <a:off x="230909" y="15055273"/>
          <a:ext cx="7520214" cy="785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21-22.</a:t>
          </a:r>
          <a:endParaRPr lang="it-IT" sz="1400" b="0"/>
        </a:p>
        <a:p>
          <a:endParaRPr lang="it-IT"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587829</xdr:colOff>
      <xdr:row>13</xdr:row>
      <xdr:rowOff>87086</xdr:rowOff>
    </xdr:from>
    <xdr:to>
      <xdr:col>20</xdr:col>
      <xdr:colOff>576943</xdr:colOff>
      <xdr:row>23</xdr:row>
      <xdr:rowOff>54429</xdr:rowOff>
    </xdr:to>
    <xdr:sp macro="" textlink="">
      <xdr:nvSpPr>
        <xdr:cNvPr id="2" name="CasellaDiTesto 1">
          <a:extLst>
            <a:ext uri="{FF2B5EF4-FFF2-40B4-BE49-F238E27FC236}">
              <a16:creationId xmlns:a16="http://schemas.microsoft.com/office/drawing/2014/main" id="{8CF4498F-B622-46E7-A9EA-7AB70F6974F3}"/>
            </a:ext>
          </a:extLst>
        </xdr:cNvPr>
        <xdr:cNvSpPr txBox="1"/>
      </xdr:nvSpPr>
      <xdr:spPr>
        <a:xfrm>
          <a:off x="20454258" y="2710543"/>
          <a:ext cx="4865914" cy="18614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is</a:t>
          </a:r>
          <a:r>
            <a:rPr lang="it-IT" sz="1400" baseline="0"/>
            <a:t> presented A2A debt policy. </a:t>
          </a:r>
        </a:p>
        <a:p>
          <a:endParaRPr lang="it-IT" sz="1400" baseline="0"/>
        </a:p>
        <a:p>
          <a:r>
            <a:rPr lang="it-IT" sz="1400" baseline="0"/>
            <a:t>According to this information we have computed a new average cost of debt, slightly lower than latest company disclosure (i.e. 2.8%). </a:t>
          </a:r>
        </a:p>
        <a:p>
          <a:endParaRPr lang="it-IT" sz="1400" baseline="0"/>
        </a:p>
        <a:p>
          <a:r>
            <a:rPr lang="it-IT" sz="1400" baseline="0"/>
            <a:t>This result will be used as a proxy for WACC computation </a:t>
          </a:r>
          <a:r>
            <a:rPr lang="it-IT" sz="1400" b="1" baseline="0"/>
            <a:t>approach n° 3</a:t>
          </a:r>
          <a:r>
            <a:rPr lang="it-IT" sz="1400" baseline="0"/>
            <a:t>.  </a:t>
          </a:r>
          <a:endParaRPr lang="it-IT" sz="1400"/>
        </a:p>
      </xdr:txBody>
    </xdr:sp>
    <xdr:clientData/>
  </xdr:twoCellAnchor>
  <xdr:twoCellAnchor>
    <xdr:from>
      <xdr:col>10</xdr:col>
      <xdr:colOff>326572</xdr:colOff>
      <xdr:row>0</xdr:row>
      <xdr:rowOff>65315</xdr:rowOff>
    </xdr:from>
    <xdr:to>
      <xdr:col>12</xdr:col>
      <xdr:colOff>304800</xdr:colOff>
      <xdr:row>1</xdr:row>
      <xdr:rowOff>130629</xdr:rowOff>
    </xdr:to>
    <xdr:sp macro="" textlink="">
      <xdr:nvSpPr>
        <xdr:cNvPr id="3" name="Freccia a destra 2">
          <a:extLst>
            <a:ext uri="{FF2B5EF4-FFF2-40B4-BE49-F238E27FC236}">
              <a16:creationId xmlns:a16="http://schemas.microsoft.com/office/drawing/2014/main" id="{D3380E99-42E8-4161-A4D2-BEF9E2D13252}"/>
            </a:ext>
          </a:extLst>
        </xdr:cNvPr>
        <xdr:cNvSpPr/>
      </xdr:nvSpPr>
      <xdr:spPr>
        <a:xfrm>
          <a:off x="18766972" y="65315"/>
          <a:ext cx="1197428" cy="413657"/>
        </a:xfrm>
        <a:prstGeom prst="rightArrow">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13</xdr:col>
      <xdr:colOff>1</xdr:colOff>
      <xdr:row>6</xdr:row>
      <xdr:rowOff>32658</xdr:rowOff>
    </xdr:from>
    <xdr:to>
      <xdr:col>20</xdr:col>
      <xdr:colOff>533401</xdr:colOff>
      <xdr:row>12</xdr:row>
      <xdr:rowOff>87087</xdr:rowOff>
    </xdr:to>
    <xdr:sp macro="" textlink="">
      <xdr:nvSpPr>
        <xdr:cNvPr id="4" name="CasellaDiTesto 3">
          <a:extLst>
            <a:ext uri="{FF2B5EF4-FFF2-40B4-BE49-F238E27FC236}">
              <a16:creationId xmlns:a16="http://schemas.microsoft.com/office/drawing/2014/main" id="{D5F14787-F072-41DA-BA08-E43C1004F317}"/>
            </a:ext>
          </a:extLst>
        </xdr:cNvPr>
        <xdr:cNvSpPr txBox="1"/>
      </xdr:nvSpPr>
      <xdr:spPr>
        <a:xfrm>
          <a:off x="20476030" y="1317172"/>
          <a:ext cx="4800600" cy="1197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are represented</a:t>
          </a:r>
          <a:r>
            <a:rPr lang="it-IT" sz="1400" baseline="0"/>
            <a:t> company capital ratios, respectively at 31/12/2019 and at Q1 end. </a:t>
          </a:r>
        </a:p>
        <a:p>
          <a:endParaRPr lang="it-IT" sz="1400" baseline="0"/>
        </a:p>
        <a:p>
          <a:r>
            <a:rPr lang="it-IT" sz="1400" baseline="0"/>
            <a:t>Furthermore we have highlighted book value and market value ratios.</a:t>
          </a:r>
        </a:p>
        <a:p>
          <a:endParaRPr lang="it-IT" sz="1100" baseline="0"/>
        </a:p>
      </xdr:txBody>
    </xdr:sp>
    <xdr:clientData/>
  </xdr:twoCellAnchor>
  <xdr:twoCellAnchor>
    <xdr:from>
      <xdr:col>12</xdr:col>
      <xdr:colOff>587828</xdr:colOff>
      <xdr:row>25</xdr:row>
      <xdr:rowOff>87086</xdr:rowOff>
    </xdr:from>
    <xdr:to>
      <xdr:col>20</xdr:col>
      <xdr:colOff>555171</xdr:colOff>
      <xdr:row>44</xdr:row>
      <xdr:rowOff>10887</xdr:rowOff>
    </xdr:to>
    <xdr:sp macro="" textlink="">
      <xdr:nvSpPr>
        <xdr:cNvPr id="5" name="CasellaDiTesto 4">
          <a:extLst>
            <a:ext uri="{FF2B5EF4-FFF2-40B4-BE49-F238E27FC236}">
              <a16:creationId xmlns:a16="http://schemas.microsoft.com/office/drawing/2014/main" id="{62DFC83E-11BA-4C0E-8DA5-43024B2E9958}"/>
            </a:ext>
          </a:extLst>
        </xdr:cNvPr>
        <xdr:cNvSpPr txBox="1"/>
      </xdr:nvSpPr>
      <xdr:spPr>
        <a:xfrm>
          <a:off x="20454257" y="4996543"/>
          <a:ext cx="4844143" cy="35160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we</a:t>
          </a:r>
          <a:r>
            <a:rPr lang="it-IT" sz="1400" baseline="0"/>
            <a:t> tried to obtain a proper fundamental beta for our valuations. </a:t>
          </a:r>
        </a:p>
        <a:p>
          <a:endParaRPr lang="it-IT" sz="1400" baseline="0"/>
        </a:p>
        <a:p>
          <a:r>
            <a:rPr lang="it-IT" sz="1400" baseline="0"/>
            <a:t>Workaround summary: </a:t>
          </a:r>
        </a:p>
        <a:p>
          <a:endParaRPr lang="it-IT" sz="1400" baseline="0"/>
        </a:p>
        <a:p>
          <a:r>
            <a:rPr lang="it-IT" sz="1400" baseline="0"/>
            <a:t>1) We looked for Business units in order to categorize company's revenues sources. </a:t>
          </a:r>
        </a:p>
        <a:p>
          <a:r>
            <a:rPr lang="it-IT" sz="1400" baseline="0"/>
            <a:t>2)  Thanks to some strict assumptions (see report file for further details) we splitted revenues for each unit. </a:t>
          </a:r>
        </a:p>
        <a:p>
          <a:endParaRPr lang="it-IT" sz="1400" baseline="0"/>
        </a:p>
        <a:p>
          <a:r>
            <a:rPr lang="it-IT" sz="1400" baseline="0"/>
            <a:t>3) We used Damodaran's dataset to obtain sector unlevered betas. </a:t>
          </a:r>
        </a:p>
        <a:p>
          <a:endParaRPr lang="it-IT" sz="1400" baseline="0"/>
        </a:p>
        <a:p>
          <a:r>
            <a:rPr lang="it-IT" sz="1400" baseline="0"/>
            <a:t>4) We computed a weighted average one and finally relevered using respectively book value/market value ratios. </a:t>
          </a:r>
        </a:p>
        <a:p>
          <a:endParaRPr lang="it-IT" sz="1100" baseline="0"/>
        </a:p>
      </xdr:txBody>
    </xdr:sp>
    <xdr:clientData/>
  </xdr:twoCellAnchor>
  <xdr:twoCellAnchor>
    <xdr:from>
      <xdr:col>12</xdr:col>
      <xdr:colOff>587829</xdr:colOff>
      <xdr:row>45</xdr:row>
      <xdr:rowOff>152400</xdr:rowOff>
    </xdr:from>
    <xdr:to>
      <xdr:col>20</xdr:col>
      <xdr:colOff>522515</xdr:colOff>
      <xdr:row>75</xdr:row>
      <xdr:rowOff>119743</xdr:rowOff>
    </xdr:to>
    <xdr:sp macro="" textlink="">
      <xdr:nvSpPr>
        <xdr:cNvPr id="6" name="CasellaDiTesto 5">
          <a:extLst>
            <a:ext uri="{FF2B5EF4-FFF2-40B4-BE49-F238E27FC236}">
              <a16:creationId xmlns:a16="http://schemas.microsoft.com/office/drawing/2014/main" id="{D318B151-9583-497C-BE30-92C99E21981B}"/>
            </a:ext>
          </a:extLst>
        </xdr:cNvPr>
        <xdr:cNvSpPr txBox="1"/>
      </xdr:nvSpPr>
      <xdr:spPr>
        <a:xfrm>
          <a:off x="20454258" y="8850086"/>
          <a:ext cx="4811486" cy="5595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Using</a:t>
          </a:r>
          <a:r>
            <a:rPr lang="it-IT" sz="1400" baseline="0"/>
            <a:t> results from Python analytical work and above results we performed three different approaches to get WACC. </a:t>
          </a:r>
        </a:p>
        <a:p>
          <a:endParaRPr lang="it-IT" sz="1400" baseline="0"/>
        </a:p>
        <a:p>
          <a:r>
            <a:rPr lang="it-IT" sz="1400" baseline="0"/>
            <a:t>Approach 1: </a:t>
          </a:r>
          <a:br>
            <a:rPr lang="it-IT" sz="1400" baseline="0"/>
          </a:br>
          <a:r>
            <a:rPr lang="it-IT" sz="1400" baseline="0"/>
            <a:t>Damodaran dataset to obtain cost of debt netted of marginal taxes. </a:t>
          </a:r>
        </a:p>
        <a:p>
          <a:r>
            <a:rPr lang="it-IT" sz="1400" baseline="0"/>
            <a:t>Python regression Beta. </a:t>
          </a:r>
        </a:p>
        <a:p>
          <a:endParaRPr lang="it-IT" sz="1400" baseline="0"/>
        </a:p>
        <a:p>
          <a:endParaRPr lang="it-IT" sz="1400" baseline="0"/>
        </a:p>
        <a:p>
          <a:r>
            <a:rPr lang="it-IT" sz="1400" baseline="0"/>
            <a:t>Approach 2: </a:t>
          </a:r>
          <a:br>
            <a:rPr lang="it-IT" sz="1400" baseline="0"/>
          </a:br>
          <a:r>
            <a:rPr lang="it-IT" sz="1400" baseline="0">
              <a:solidFill>
                <a:schemeClr val="dk1"/>
              </a:solidFill>
              <a:effectLst/>
              <a:latin typeface="+mn-lt"/>
              <a:ea typeface="+mn-ea"/>
              <a:cs typeface="+mn-cs"/>
            </a:rPr>
            <a:t>Damodaran dataset to obtain cost of debt netted of marginal taxes.</a:t>
          </a:r>
        </a:p>
        <a:p>
          <a:r>
            <a:rPr lang="it-IT" sz="1400" baseline="0">
              <a:solidFill>
                <a:schemeClr val="dk1"/>
              </a:solidFill>
              <a:effectLst/>
              <a:latin typeface="+mn-lt"/>
              <a:ea typeface="+mn-ea"/>
              <a:cs typeface="+mn-cs"/>
            </a:rPr>
            <a:t>Bottom up beta at market value. </a:t>
          </a:r>
        </a:p>
        <a:p>
          <a:endParaRPr lang="it-IT" sz="1400" baseline="0">
            <a:solidFill>
              <a:schemeClr val="dk1"/>
            </a:solidFill>
            <a:effectLst/>
            <a:latin typeface="+mn-lt"/>
            <a:ea typeface="+mn-ea"/>
            <a:cs typeface="+mn-cs"/>
          </a:endParaRPr>
        </a:p>
        <a:p>
          <a:r>
            <a:rPr lang="it-IT" sz="1400" b="1" baseline="0">
              <a:solidFill>
                <a:schemeClr val="dk1"/>
              </a:solidFill>
              <a:effectLst/>
              <a:latin typeface="+mn-lt"/>
              <a:ea typeface="+mn-ea"/>
              <a:cs typeface="+mn-cs"/>
            </a:rPr>
            <a:t>Approach 3: </a:t>
          </a:r>
          <a:br>
            <a:rPr lang="it-IT" sz="1400" baseline="0">
              <a:solidFill>
                <a:schemeClr val="dk1"/>
              </a:solidFill>
              <a:effectLst/>
              <a:latin typeface="+mn-lt"/>
              <a:ea typeface="+mn-ea"/>
              <a:cs typeface="+mn-cs"/>
            </a:rPr>
          </a:br>
          <a:r>
            <a:rPr lang="it-IT" sz="1400" baseline="0">
              <a:solidFill>
                <a:schemeClr val="dk1"/>
              </a:solidFill>
              <a:effectLst/>
              <a:latin typeface="+mn-lt"/>
              <a:ea typeface="+mn-ea"/>
              <a:cs typeface="+mn-cs"/>
            </a:rPr>
            <a:t>A2A debt policy to get cost of debt. </a:t>
          </a:r>
        </a:p>
        <a:p>
          <a:r>
            <a:rPr lang="it-IT" sz="1400" baseline="0">
              <a:solidFill>
                <a:schemeClr val="dk1"/>
              </a:solidFill>
              <a:effectLst/>
              <a:latin typeface="+mn-lt"/>
              <a:ea typeface="+mn-ea"/>
              <a:cs typeface="+mn-cs"/>
            </a:rPr>
            <a:t>Python regression beta. </a:t>
          </a:r>
        </a:p>
        <a:p>
          <a:endParaRPr lang="it-IT" sz="1400" baseline="0">
            <a:solidFill>
              <a:schemeClr val="dk1"/>
            </a:solidFill>
            <a:effectLst/>
            <a:latin typeface="+mn-lt"/>
            <a:ea typeface="+mn-ea"/>
            <a:cs typeface="+mn-cs"/>
          </a:endParaRPr>
        </a:p>
        <a:p>
          <a:r>
            <a:rPr lang="it-IT" sz="1400" baseline="0">
              <a:solidFill>
                <a:schemeClr val="dk1"/>
              </a:solidFill>
              <a:effectLst/>
              <a:latin typeface="+mn-lt"/>
              <a:ea typeface="+mn-ea"/>
              <a:cs typeface="+mn-cs"/>
            </a:rPr>
            <a:t>We also highlighted, under approach 3, stable phase Cost of equity and WACC (respectively with Beta = 1 and B = 0,65, sector beta). </a:t>
          </a:r>
        </a:p>
        <a:p>
          <a:endParaRPr lang="it-IT" sz="1400" baseline="0">
            <a:solidFill>
              <a:schemeClr val="dk1"/>
            </a:solidFill>
            <a:effectLst/>
            <a:latin typeface="+mn-lt"/>
            <a:ea typeface="+mn-ea"/>
            <a:cs typeface="+mn-cs"/>
          </a:endParaRPr>
        </a:p>
        <a:p>
          <a:r>
            <a:rPr lang="it-IT" sz="1400" baseline="0">
              <a:solidFill>
                <a:schemeClr val="dk1"/>
              </a:solidFill>
              <a:effectLst/>
              <a:latin typeface="+mn-lt"/>
              <a:ea typeface="+mn-ea"/>
              <a:cs typeface="+mn-cs"/>
            </a:rPr>
            <a:t>The latter (approach 3) will be used in our following computations. </a:t>
          </a:r>
        </a:p>
        <a:p>
          <a:endParaRPr lang="it-IT" sz="1100" baseline="0"/>
        </a:p>
      </xdr:txBody>
    </xdr:sp>
    <xdr:clientData/>
  </xdr:twoCellAnchor>
  <xdr:twoCellAnchor>
    <xdr:from>
      <xdr:col>13</xdr:col>
      <xdr:colOff>0</xdr:colOff>
      <xdr:row>3</xdr:row>
      <xdr:rowOff>152400</xdr:rowOff>
    </xdr:from>
    <xdr:to>
      <xdr:col>21</xdr:col>
      <xdr:colOff>10885</xdr:colOff>
      <xdr:row>5</xdr:row>
      <xdr:rowOff>43543</xdr:rowOff>
    </xdr:to>
    <xdr:sp macro="" textlink="">
      <xdr:nvSpPr>
        <xdr:cNvPr id="7" name="CasellaDiTesto 6">
          <a:extLst>
            <a:ext uri="{FF2B5EF4-FFF2-40B4-BE49-F238E27FC236}">
              <a16:creationId xmlns:a16="http://schemas.microsoft.com/office/drawing/2014/main" id="{DD693B49-9259-4E70-846C-F3E0DB01B11A}"/>
            </a:ext>
          </a:extLst>
        </xdr:cNvPr>
        <xdr:cNvSpPr txBox="1"/>
      </xdr:nvSpPr>
      <xdr:spPr>
        <a:xfrm>
          <a:off x="20476029" y="859971"/>
          <a:ext cx="4887685" cy="2830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Most of analytics</a:t>
          </a:r>
          <a:r>
            <a:rPr lang="it-IT" sz="1400" b="1" baseline="0"/>
            <a:t> is explained in Word file, please check it. </a:t>
          </a:r>
          <a:endParaRPr lang="it-IT" sz="1400" b="1"/>
        </a:p>
      </xdr:txBody>
    </xdr:sp>
    <xdr:clientData/>
  </xdr:twoCellAnchor>
  <xdr:twoCellAnchor>
    <xdr:from>
      <xdr:col>1</xdr:col>
      <xdr:colOff>0</xdr:colOff>
      <xdr:row>74</xdr:row>
      <xdr:rowOff>185056</xdr:rowOff>
    </xdr:from>
    <xdr:to>
      <xdr:col>5</xdr:col>
      <xdr:colOff>128814</xdr:colOff>
      <xdr:row>84</xdr:row>
      <xdr:rowOff>87086</xdr:rowOff>
    </xdr:to>
    <xdr:sp macro="" textlink="">
      <xdr:nvSpPr>
        <xdr:cNvPr id="9" name="CasellaDiTesto 8">
          <a:extLst>
            <a:ext uri="{FF2B5EF4-FFF2-40B4-BE49-F238E27FC236}">
              <a16:creationId xmlns:a16="http://schemas.microsoft.com/office/drawing/2014/main" id="{88BC2105-3076-4760-A1EE-6CDC98C08C3A}"/>
            </a:ext>
          </a:extLst>
        </xdr:cNvPr>
        <xdr:cNvSpPr txBox="1"/>
      </xdr:nvSpPr>
      <xdr:spPr>
        <a:xfrm>
          <a:off x="609600" y="14325599"/>
          <a:ext cx="7520214" cy="1752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a:t>- Cost</a:t>
          </a:r>
          <a:r>
            <a:rPr lang="it-IT" sz="1400" baseline="0"/>
            <a:t> of equity computation has been analytically covered in word file "A2A" pagg. 13-20</a:t>
          </a:r>
          <a:endParaRPr lang="it-IT" sz="1400"/>
        </a:p>
        <a:p>
          <a:endParaRPr lang="it-IT" sz="1400" b="0"/>
        </a:p>
        <a:p>
          <a:r>
            <a:rPr lang="it-IT" sz="1400" b="0"/>
            <a:t>- For</a:t>
          </a:r>
          <a:r>
            <a:rPr lang="it-IT" sz="1400" b="0" baseline="0"/>
            <a:t> Python implementation see notebook "Risk fundamental analysis-definitive" in "Notebooks" folder. </a:t>
          </a:r>
          <a:endParaRPr lang="it-IT" sz="1400" b="0"/>
        </a:p>
        <a:p>
          <a:endParaRPr lang="it-IT" sz="1100" b="0"/>
        </a:p>
      </xdr:txBody>
    </xdr:sp>
    <xdr:clientData/>
  </xdr:twoCellAnchor>
  <xdr:twoCellAnchor>
    <xdr:from>
      <xdr:col>0</xdr:col>
      <xdr:colOff>65315</xdr:colOff>
      <xdr:row>26</xdr:row>
      <xdr:rowOff>32657</xdr:rowOff>
    </xdr:from>
    <xdr:to>
      <xdr:col>0</xdr:col>
      <xdr:colOff>500743</xdr:colOff>
      <xdr:row>29</xdr:row>
      <xdr:rowOff>21771</xdr:rowOff>
    </xdr:to>
    <xdr:sp macro="" textlink="">
      <xdr:nvSpPr>
        <xdr:cNvPr id="14" name="Ovale 13">
          <a:extLst>
            <a:ext uri="{FF2B5EF4-FFF2-40B4-BE49-F238E27FC236}">
              <a16:creationId xmlns:a16="http://schemas.microsoft.com/office/drawing/2014/main" id="{D6EE0091-A022-4A66-9E31-6464C79EF27C}"/>
            </a:ext>
          </a:extLst>
        </xdr:cNvPr>
        <xdr:cNvSpPr/>
      </xdr:nvSpPr>
      <xdr:spPr>
        <a:xfrm>
          <a:off x="65315" y="5138057"/>
          <a:ext cx="435428" cy="566057"/>
        </a:xfrm>
        <a:prstGeom prst="ellipse">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2200">
              <a:solidFill>
                <a:schemeClr val="tx1"/>
              </a:solidFill>
            </a:rPr>
            <a:t>3</a:t>
          </a:r>
          <a:endParaRPr lang="it-IT" sz="2000"/>
        </a:p>
      </xdr:txBody>
    </xdr:sp>
    <xdr:clientData/>
  </xdr:twoCellAnchor>
  <xdr:twoCellAnchor>
    <xdr:from>
      <xdr:col>0</xdr:col>
      <xdr:colOff>43543</xdr:colOff>
      <xdr:row>3</xdr:row>
      <xdr:rowOff>130629</xdr:rowOff>
    </xdr:from>
    <xdr:to>
      <xdr:col>0</xdr:col>
      <xdr:colOff>478971</xdr:colOff>
      <xdr:row>6</xdr:row>
      <xdr:rowOff>108857</xdr:rowOff>
    </xdr:to>
    <xdr:sp macro="" textlink="">
      <xdr:nvSpPr>
        <xdr:cNvPr id="15" name="Ovale 14">
          <a:extLst>
            <a:ext uri="{FF2B5EF4-FFF2-40B4-BE49-F238E27FC236}">
              <a16:creationId xmlns:a16="http://schemas.microsoft.com/office/drawing/2014/main" id="{9F15B9D7-2C31-4608-9DAC-DED7383CE149}"/>
            </a:ext>
          </a:extLst>
        </xdr:cNvPr>
        <xdr:cNvSpPr/>
      </xdr:nvSpPr>
      <xdr:spPr>
        <a:xfrm>
          <a:off x="43543" y="838200"/>
          <a:ext cx="435428" cy="566057"/>
        </a:xfrm>
        <a:prstGeom prst="ellipse">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2200">
              <a:solidFill>
                <a:schemeClr val="tx1"/>
              </a:solidFill>
            </a:rPr>
            <a:t>1</a:t>
          </a:r>
        </a:p>
        <a:p>
          <a:pPr algn="ctr"/>
          <a:endParaRPr lang="it-IT" sz="2000"/>
        </a:p>
      </xdr:txBody>
    </xdr:sp>
    <xdr:clientData/>
  </xdr:twoCellAnchor>
  <xdr:twoCellAnchor>
    <xdr:from>
      <xdr:col>0</xdr:col>
      <xdr:colOff>76200</xdr:colOff>
      <xdr:row>13</xdr:row>
      <xdr:rowOff>119743</xdr:rowOff>
    </xdr:from>
    <xdr:to>
      <xdr:col>0</xdr:col>
      <xdr:colOff>511628</xdr:colOff>
      <xdr:row>16</xdr:row>
      <xdr:rowOff>97972</xdr:rowOff>
    </xdr:to>
    <xdr:sp macro="" textlink="">
      <xdr:nvSpPr>
        <xdr:cNvPr id="16" name="Ovale 15">
          <a:extLst>
            <a:ext uri="{FF2B5EF4-FFF2-40B4-BE49-F238E27FC236}">
              <a16:creationId xmlns:a16="http://schemas.microsoft.com/office/drawing/2014/main" id="{2C6FBDA7-C71B-4614-B478-A487BC37A2C1}"/>
            </a:ext>
          </a:extLst>
        </xdr:cNvPr>
        <xdr:cNvSpPr/>
      </xdr:nvSpPr>
      <xdr:spPr>
        <a:xfrm>
          <a:off x="76200" y="2754086"/>
          <a:ext cx="435428" cy="566057"/>
        </a:xfrm>
        <a:prstGeom prst="ellipse">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2200">
              <a:solidFill>
                <a:schemeClr val="tx1"/>
              </a:solidFill>
            </a:rPr>
            <a:t>2</a:t>
          </a:r>
          <a:endParaRPr lang="it-IT" sz="2000"/>
        </a:p>
      </xdr:txBody>
    </xdr:sp>
    <xdr:clientData/>
  </xdr:twoCellAnchor>
  <xdr:twoCellAnchor>
    <xdr:from>
      <xdr:col>0</xdr:col>
      <xdr:colOff>87086</xdr:colOff>
      <xdr:row>44</xdr:row>
      <xdr:rowOff>152400</xdr:rowOff>
    </xdr:from>
    <xdr:to>
      <xdr:col>0</xdr:col>
      <xdr:colOff>522514</xdr:colOff>
      <xdr:row>47</xdr:row>
      <xdr:rowOff>141515</xdr:rowOff>
    </xdr:to>
    <xdr:sp macro="" textlink="">
      <xdr:nvSpPr>
        <xdr:cNvPr id="17" name="Ovale 16">
          <a:extLst>
            <a:ext uri="{FF2B5EF4-FFF2-40B4-BE49-F238E27FC236}">
              <a16:creationId xmlns:a16="http://schemas.microsoft.com/office/drawing/2014/main" id="{4DD46F6F-ADA1-403D-BAB3-A154418AB602}"/>
            </a:ext>
          </a:extLst>
        </xdr:cNvPr>
        <xdr:cNvSpPr/>
      </xdr:nvSpPr>
      <xdr:spPr>
        <a:xfrm>
          <a:off x="87086" y="8665029"/>
          <a:ext cx="435428" cy="566057"/>
        </a:xfrm>
        <a:prstGeom prst="ellipse">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2200">
              <a:solidFill>
                <a:schemeClr val="tx1"/>
              </a:solidFill>
            </a:rPr>
            <a:t>4</a:t>
          </a:r>
          <a:endParaRPr lang="it-IT" sz="2000"/>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5</xdr:col>
      <xdr:colOff>476250</xdr:colOff>
      <xdr:row>4</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13</xdr:col>
      <xdr:colOff>214314</xdr:colOff>
      <xdr:row>68</xdr:row>
      <xdr:rowOff>161924</xdr:rowOff>
    </xdr:from>
    <xdr:ext cx="4793113" cy="1525362"/>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317993" y="13673817"/>
          <a:ext cx="4793113" cy="1525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200"/>
            <a:t>i've used</a:t>
          </a:r>
          <a:r>
            <a:rPr lang="it-IT" sz="1200" baseline="0"/>
            <a:t> this atypical way to compute stable growth rate for several</a:t>
          </a:r>
        </a:p>
        <a:p>
          <a:r>
            <a:rPr lang="it-IT" sz="1200" baseline="0"/>
            <a:t>reasons:</a:t>
          </a:r>
        </a:p>
        <a:p>
          <a:r>
            <a:rPr lang="it-IT" sz="1200" baseline="0"/>
            <a:t>1)the growth of italian economy is really low </a:t>
          </a:r>
        </a:p>
        <a:p>
          <a:r>
            <a:rPr lang="it-IT" sz="1200" baseline="0"/>
            <a:t>2)A2A is a very competitive and innovative company </a:t>
          </a:r>
        </a:p>
        <a:p>
          <a:r>
            <a:rPr lang="it-IT" sz="1200" baseline="0"/>
            <a:t>3)one of principle aim for this company is sustainability, and in these years</a:t>
          </a:r>
        </a:p>
        <a:p>
          <a:r>
            <a:rPr lang="it-IT" sz="1200" baseline="0"/>
            <a:t>sustainability </a:t>
          </a:r>
          <a:r>
            <a:rPr lang="it-IT" sz="1100" b="0" i="0">
              <a:solidFill>
                <a:schemeClr val="tx1"/>
              </a:solidFill>
              <a:effectLst/>
              <a:latin typeface="+mn-lt"/>
              <a:ea typeface="+mn-ea"/>
              <a:cs typeface="+mn-cs"/>
            </a:rPr>
            <a:t>is on everyone's lips, markets,</a:t>
          </a:r>
          <a:r>
            <a:rPr lang="it-IT" sz="1100" b="0" i="0" baseline="0">
              <a:solidFill>
                <a:schemeClr val="tx1"/>
              </a:solidFill>
              <a:effectLst/>
              <a:latin typeface="+mn-lt"/>
              <a:ea typeface="+mn-ea"/>
              <a:cs typeface="+mn-cs"/>
            </a:rPr>
            <a:t> investors (retail and not) and manager</a:t>
          </a:r>
        </a:p>
        <a:p>
          <a:r>
            <a:rPr lang="it-IT" sz="1100" b="0" i="0" baseline="0">
              <a:solidFill>
                <a:schemeClr val="tx1"/>
              </a:solidFill>
              <a:effectLst/>
              <a:latin typeface="+mn-lt"/>
              <a:ea typeface="+mn-ea"/>
              <a:cs typeface="+mn-cs"/>
            </a:rPr>
            <a:t>4)A2A is openenig its horizon to internazionalizzation </a:t>
          </a:r>
        </a:p>
        <a:p>
          <a:r>
            <a:rPr lang="it-IT" sz="1100" b="0" i="0" baseline="0">
              <a:solidFill>
                <a:schemeClr val="tx1"/>
              </a:solidFill>
              <a:effectLst/>
              <a:latin typeface="+mn-lt"/>
              <a:ea typeface="+mn-ea"/>
              <a:cs typeface="+mn-cs"/>
            </a:rPr>
            <a:t>5) A2A declared also an increase in investments </a:t>
          </a:r>
        </a:p>
        <a:p>
          <a:endParaRPr lang="it-IT" sz="1200" baseline="0"/>
        </a:p>
        <a:p>
          <a:endParaRPr lang="it-IT" sz="1200"/>
        </a:p>
      </xdr:txBody>
    </xdr:sp>
    <xdr:clientData/>
  </xdr:oneCellAnchor>
  <xdr:oneCellAnchor>
    <xdr:from>
      <xdr:col>27</xdr:col>
      <xdr:colOff>581025</xdr:colOff>
      <xdr:row>3</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5</xdr:col>
      <xdr:colOff>154782</xdr:colOff>
      <xdr:row>60</xdr:row>
      <xdr:rowOff>100009</xdr:rowOff>
    </xdr:from>
    <xdr:to>
      <xdr:col>12</xdr:col>
      <xdr:colOff>976312</xdr:colOff>
      <xdr:row>79</xdr:row>
      <xdr:rowOff>176893</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3774282" y="12087902"/>
          <a:ext cx="9162709" cy="3696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First scenario:</a:t>
          </a:r>
        </a:p>
        <a:p>
          <a:r>
            <a:rPr lang="it-IT" sz="1100">
              <a:solidFill>
                <a:schemeClr val="dk1"/>
              </a:solidFill>
              <a:effectLst/>
              <a:latin typeface="+mn-lt"/>
              <a:ea typeface="+mn-ea"/>
              <a:cs typeface="+mn-cs"/>
            </a:rPr>
            <a:t>Starting from the top I've decided to forecast Revenues using a constant growth rate given by the average of historical data. After that, to forecast EBITDA I've used a growth rate extracted by a Damodaran dataset, which reflects a growth rate for a utility company in the eurozone. </a:t>
          </a:r>
        </a:p>
        <a:p>
          <a:r>
            <a:rPr lang="it-IT" sz="1100">
              <a:solidFill>
                <a:schemeClr val="dk1"/>
              </a:solidFill>
              <a:effectLst/>
              <a:latin typeface="+mn-lt"/>
              <a:ea typeface="+mn-ea"/>
              <a:cs typeface="+mn-cs"/>
            </a:rPr>
            <a:t>To arrive at EBIT, I've subtracted out Accruals and Depreciation and Amortization (this due to the fact that we have computed FCFF in a different way) than Damodaran's methodology)and assuming a constant tax rate and constant tax shield (average of historicals), I've forecasted NOPAT.</a:t>
          </a:r>
        </a:p>
        <a:p>
          <a:r>
            <a:rPr lang="it-IT" sz="1100">
              <a:solidFill>
                <a:schemeClr val="dk1"/>
              </a:solidFill>
              <a:effectLst/>
              <a:latin typeface="+mn-lt"/>
              <a:ea typeface="+mn-ea"/>
              <a:cs typeface="+mn-cs"/>
            </a:rPr>
            <a:t>To obtain the forecasted values for FCFF I've assumed: CAPEX as a constant percentage of revenues (11%, the last value recorded), D&amp;A as a constant percentage of CAPEX (60%, an average of historicals) and for every item after these,</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values based on an average of historical changes of each one.</a:t>
          </a:r>
        </a:p>
        <a:p>
          <a:r>
            <a:rPr lang="it-IT" sz="1100">
              <a:solidFill>
                <a:schemeClr val="dk1"/>
              </a:solidFill>
              <a:effectLst/>
              <a:latin typeface="+mn-lt"/>
              <a:ea typeface="+mn-ea"/>
              <a:cs typeface="+mn-cs"/>
            </a:rPr>
            <a:t>After all these computations I discounted the FCFFs using a WACC = 4,7% (look the WACC sheet, Third Approach), obtaining all the present values.</a:t>
          </a:r>
        </a:p>
        <a:p>
          <a:r>
            <a:rPr lang="it-IT" sz="1100">
              <a:solidFill>
                <a:schemeClr val="dk1"/>
              </a:solidFill>
              <a:effectLst/>
              <a:latin typeface="+mn-lt"/>
              <a:ea typeface="+mn-ea"/>
              <a:cs typeface="+mn-cs"/>
            </a:rPr>
            <a:t>To compute the terminal value:</a:t>
          </a:r>
        </a:p>
        <a:p>
          <a:r>
            <a:rPr lang="it-IT" sz="1100">
              <a:solidFill>
                <a:schemeClr val="dk1"/>
              </a:solidFill>
              <a:effectLst/>
              <a:latin typeface="+mn-lt"/>
              <a:ea typeface="+mn-ea"/>
              <a:cs typeface="+mn-cs"/>
            </a:rPr>
            <a:t>I changed the growth rate for EBITDA, passing from 7,68% to 4,44% (value obtained doing an average between the first growth rate and the growth rate of Italian economy) and taking constant all other items</a:t>
          </a:r>
        </a:p>
        <a:p>
          <a:r>
            <a:rPr lang="it-IT" sz="1100">
              <a:solidFill>
                <a:schemeClr val="dk1"/>
              </a:solidFill>
              <a:effectLst/>
              <a:latin typeface="+mn-lt"/>
              <a:ea typeface="+mn-ea"/>
              <a:cs typeface="+mn-cs"/>
            </a:rPr>
            <a:t>I've computed a Reinvestment Rate in the steady-state using new growth rate.</a:t>
          </a:r>
        </a:p>
        <a:p>
          <a:r>
            <a:rPr lang="it-IT" sz="1100">
              <a:solidFill>
                <a:schemeClr val="dk1"/>
              </a:solidFill>
              <a:effectLst/>
              <a:latin typeface="+mn-lt"/>
              <a:ea typeface="+mn-ea"/>
              <a:cs typeface="+mn-cs"/>
            </a:rPr>
            <a:t>I passed to a stable WACC with beta = 1 </a:t>
          </a:r>
        </a:p>
        <a:p>
          <a:r>
            <a:rPr lang="it-IT" sz="1100">
              <a:solidFill>
                <a:schemeClr val="dk1"/>
              </a:solidFill>
              <a:effectLst/>
              <a:latin typeface="+mn-lt"/>
              <a:ea typeface="+mn-ea"/>
              <a:cs typeface="+mn-cs"/>
            </a:rPr>
            <a:t>And after that I multiplied the EBIT net of tax for (1 - Reinvestment Rate), (1+ new growth rate), and after I divided this product by the difference between WACC and growth rate.</a:t>
          </a:r>
        </a:p>
        <a:p>
          <a:r>
            <a:rPr lang="it-IT" sz="1100">
              <a:solidFill>
                <a:schemeClr val="dk1"/>
              </a:solidFill>
              <a:effectLst/>
              <a:latin typeface="+mn-lt"/>
              <a:ea typeface="+mn-ea"/>
              <a:cs typeface="+mn-cs"/>
            </a:rPr>
            <a:t>To obtain the total value:</a:t>
          </a:r>
        </a:p>
        <a:p>
          <a:r>
            <a:rPr lang="it-IT" sz="1100">
              <a:solidFill>
                <a:schemeClr val="dk1"/>
              </a:solidFill>
              <a:effectLst/>
              <a:latin typeface="+mn-lt"/>
              <a:ea typeface="+mn-ea"/>
              <a:cs typeface="+mn-cs"/>
            </a:rPr>
            <a:t> first, I discounted the terminal value for a compounded WACC, and after I summed up all the present values obtained before.</a:t>
          </a:r>
        </a:p>
        <a:p>
          <a:r>
            <a:rPr lang="it-IT" sz="1100">
              <a:solidFill>
                <a:schemeClr val="dk1"/>
              </a:solidFill>
              <a:effectLst/>
              <a:latin typeface="+mn-lt"/>
              <a:ea typeface="+mn-ea"/>
              <a:cs typeface="+mn-cs"/>
            </a:rPr>
            <a:t>Finally to get the EPS:</a:t>
          </a:r>
        </a:p>
        <a:p>
          <a:r>
            <a:rPr lang="it-IT" sz="1100">
              <a:solidFill>
                <a:schemeClr val="dk1"/>
              </a:solidFill>
              <a:effectLst/>
              <a:latin typeface="+mn-lt"/>
              <a:ea typeface="+mn-ea"/>
              <a:cs typeface="+mn-cs"/>
            </a:rPr>
            <a:t>I have added to total value cash and marketable securities and the difference between Debt and Non-op asset (in this case I added this difference because it resulted positive) and subtracted out the amount of minority interest, getting the value of Equity in common stock. dividing this value by the number of outstanding shares I obtained the EPS.</a:t>
          </a:r>
        </a:p>
        <a:p>
          <a:endParaRPr lang="it-IT" sz="1100"/>
        </a:p>
      </xdr:txBody>
    </xdr:sp>
    <xdr:clientData/>
  </xdr:twoCellAnchor>
  <xdr:twoCellAnchor>
    <xdr:from>
      <xdr:col>1</xdr:col>
      <xdr:colOff>19050</xdr:colOff>
      <xdr:row>3</xdr:row>
      <xdr:rowOff>104776</xdr:rowOff>
    </xdr:from>
    <xdr:to>
      <xdr:col>16</xdr:col>
      <xdr:colOff>95250</xdr:colOff>
      <xdr:row>4</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1</xdr:col>
      <xdr:colOff>190500</xdr:colOff>
      <xdr:row>14</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83343</xdr:colOff>
      <xdr:row>16</xdr:row>
      <xdr:rowOff>21431</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23812</xdr:colOff>
      <xdr:row>11</xdr:row>
      <xdr:rowOff>126206</xdr:rowOff>
    </xdr:from>
    <xdr:to>
      <xdr:col>1</xdr:col>
      <xdr:colOff>4762</xdr:colOff>
      <xdr:row>11</xdr:row>
      <xdr:rowOff>126206</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23812" y="2340769"/>
          <a:ext cx="135731"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13</xdr:row>
      <xdr:rowOff>123825</xdr:rowOff>
    </xdr:from>
    <xdr:to>
      <xdr:col>1</xdr:col>
      <xdr:colOff>0</xdr:colOff>
      <xdr:row>13</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14</xdr:row>
      <xdr:rowOff>123825</xdr:rowOff>
    </xdr:from>
    <xdr:to>
      <xdr:col>0</xdr:col>
      <xdr:colOff>123825</xdr:colOff>
      <xdr:row>14</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15</xdr:row>
      <xdr:rowOff>111918</xdr:rowOff>
    </xdr:from>
    <xdr:to>
      <xdr:col>1</xdr:col>
      <xdr:colOff>2381</xdr:colOff>
      <xdr:row>15</xdr:row>
      <xdr:rowOff>111919</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52387" y="3088481"/>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104775</xdr:rowOff>
    </xdr:from>
    <xdr:to>
      <xdr:col>1</xdr:col>
      <xdr:colOff>0</xdr:colOff>
      <xdr:row>16</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17</xdr:row>
      <xdr:rowOff>104775</xdr:rowOff>
    </xdr:from>
    <xdr:to>
      <xdr:col>1</xdr:col>
      <xdr:colOff>0</xdr:colOff>
      <xdr:row>17</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9</xdr:row>
      <xdr:rowOff>107157</xdr:rowOff>
    </xdr:from>
    <xdr:to>
      <xdr:col>1</xdr:col>
      <xdr:colOff>0</xdr:colOff>
      <xdr:row>9</xdr:row>
      <xdr:rowOff>107158</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40720"/>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12</xdr:row>
      <xdr:rowOff>123825</xdr:rowOff>
    </xdr:from>
    <xdr:to>
      <xdr:col>0</xdr:col>
      <xdr:colOff>142875</xdr:colOff>
      <xdr:row>12</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20</xdr:row>
      <xdr:rowOff>104775</xdr:rowOff>
    </xdr:from>
    <xdr:to>
      <xdr:col>0</xdr:col>
      <xdr:colOff>133350</xdr:colOff>
      <xdr:row>20</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23</xdr:row>
      <xdr:rowOff>85725</xdr:rowOff>
    </xdr:from>
    <xdr:to>
      <xdr:col>1</xdr:col>
      <xdr:colOff>0</xdr:colOff>
      <xdr:row>23</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21</xdr:row>
      <xdr:rowOff>95250</xdr:rowOff>
    </xdr:from>
    <xdr:to>
      <xdr:col>0</xdr:col>
      <xdr:colOff>142875</xdr:colOff>
      <xdr:row>21</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22</xdr:row>
      <xdr:rowOff>104775</xdr:rowOff>
    </xdr:from>
    <xdr:to>
      <xdr:col>0</xdr:col>
      <xdr:colOff>142875</xdr:colOff>
      <xdr:row>22</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19</xdr:row>
      <xdr:rowOff>114300</xdr:rowOff>
    </xdr:from>
    <xdr:to>
      <xdr:col>1</xdr:col>
      <xdr:colOff>9525</xdr:colOff>
      <xdr:row>19</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18</xdr:row>
      <xdr:rowOff>114300</xdr:rowOff>
    </xdr:from>
    <xdr:to>
      <xdr:col>1</xdr:col>
      <xdr:colOff>0</xdr:colOff>
      <xdr:row>18</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54769</xdr:colOff>
      <xdr:row>24</xdr:row>
      <xdr:rowOff>102394</xdr:rowOff>
    </xdr:from>
    <xdr:to>
      <xdr:col>1</xdr:col>
      <xdr:colOff>7144</xdr:colOff>
      <xdr:row>24</xdr:row>
      <xdr:rowOff>102395</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54769" y="4793457"/>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83343</xdr:colOff>
      <xdr:row>27</xdr:row>
      <xdr:rowOff>156481</xdr:rowOff>
    </xdr:from>
    <xdr:to>
      <xdr:col>19</xdr:col>
      <xdr:colOff>231321</xdr:colOff>
      <xdr:row>56</xdr:row>
      <xdr:rowOff>47625</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5454312" y="5859575"/>
          <a:ext cx="3815103" cy="5415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To forecast all this item I've made some assumption about them:</a:t>
          </a:r>
        </a:p>
        <a:p>
          <a:r>
            <a:rPr lang="it-IT" sz="1100">
              <a:solidFill>
                <a:schemeClr val="dk1"/>
              </a:solidFill>
              <a:effectLst/>
              <a:latin typeface="+mn-lt"/>
              <a:ea typeface="+mn-ea"/>
              <a:cs typeface="+mn-cs"/>
            </a:rPr>
            <a:t>1)Revenues: to forecast them I'm going to multiply the last value available for the average of historical growth rate, ad so on</a:t>
          </a:r>
        </a:p>
        <a:p>
          <a:r>
            <a:rPr lang="it-IT" sz="1100">
              <a:solidFill>
                <a:schemeClr val="dk1"/>
              </a:solidFill>
              <a:effectLst/>
              <a:latin typeface="+mn-lt"/>
              <a:ea typeface="+mn-ea"/>
              <a:cs typeface="+mn-cs"/>
            </a:rPr>
            <a:t>2) EBITDA: I'm going to use a growth rate extracted by Damodaran's dataset of fundamental growth.</a:t>
          </a:r>
        </a:p>
        <a:p>
          <a:r>
            <a:rPr lang="it-IT" sz="1100">
              <a:solidFill>
                <a:schemeClr val="dk1"/>
              </a:solidFill>
              <a:effectLst/>
              <a:latin typeface="+mn-lt"/>
              <a:ea typeface="+mn-ea"/>
              <a:cs typeface="+mn-cs"/>
            </a:rPr>
            <a:t>3)ACCRUALS: constant accruals given by the average of historicals.</a:t>
          </a:r>
        </a:p>
        <a:p>
          <a:r>
            <a:rPr lang="it-IT" sz="1100">
              <a:solidFill>
                <a:schemeClr val="dk1"/>
              </a:solidFill>
              <a:effectLst/>
              <a:latin typeface="+mn-lt"/>
              <a:ea typeface="+mn-ea"/>
              <a:cs typeface="+mn-cs"/>
            </a:rPr>
            <a:t>4)EBIT: given by the difference between EBITDA and D&amp;A and accruals. </a:t>
          </a:r>
        </a:p>
        <a:p>
          <a:r>
            <a:rPr lang="it-IT" sz="1100">
              <a:solidFill>
                <a:schemeClr val="dk1"/>
              </a:solidFill>
              <a:effectLst/>
              <a:latin typeface="+mn-lt"/>
              <a:ea typeface="+mn-ea"/>
              <a:cs typeface="+mn-cs"/>
            </a:rPr>
            <a:t>5) TAX SHIELD: a constant tax shield given by the average of historicals </a:t>
          </a:r>
        </a:p>
        <a:p>
          <a:r>
            <a:rPr lang="it-IT" sz="1100">
              <a:solidFill>
                <a:schemeClr val="dk1"/>
              </a:solidFill>
              <a:effectLst/>
              <a:latin typeface="+mn-lt"/>
              <a:ea typeface="+mn-ea"/>
              <a:cs typeface="+mn-cs"/>
            </a:rPr>
            <a:t>6)CAPEX: assuming it as a % of Revenues, so I've computed an average between percentages in historical data, and use it, constant, to forecast future period </a:t>
          </a:r>
        </a:p>
        <a:p>
          <a:r>
            <a:rPr lang="it-IT" sz="1100">
              <a:solidFill>
                <a:schemeClr val="dk1"/>
              </a:solidFill>
              <a:effectLst/>
              <a:latin typeface="+mn-lt"/>
              <a:ea typeface="+mn-ea"/>
              <a:cs typeface="+mn-cs"/>
            </a:rPr>
            <a:t>7)D&amp;A: assuming it as a percentage of CAPEX, with the same methodology for CAPEX</a:t>
          </a:r>
        </a:p>
        <a:p>
          <a:r>
            <a:rPr lang="it-IT" sz="1100">
              <a:solidFill>
                <a:schemeClr val="dk1"/>
              </a:solidFill>
              <a:effectLst/>
              <a:latin typeface="+mn-lt"/>
              <a:ea typeface="+mn-ea"/>
              <a:cs typeface="+mn-cs"/>
            </a:rPr>
            <a:t>8) Changes in Provision: assuming constant positive changes because they are unpredictable. </a:t>
          </a:r>
        </a:p>
        <a:p>
          <a:r>
            <a:rPr lang="it-IT" sz="1100">
              <a:solidFill>
                <a:schemeClr val="dk1"/>
              </a:solidFill>
              <a:effectLst/>
              <a:latin typeface="+mn-lt"/>
              <a:ea typeface="+mn-ea"/>
              <a:cs typeface="+mn-cs"/>
            </a:rPr>
            <a:t>9)Changes in Employees Benefit: being this asset not too volatile I'm going to use as forecast values the same value given by the average of changes </a:t>
          </a:r>
        </a:p>
        <a:p>
          <a:r>
            <a:rPr lang="it-IT" sz="1100">
              <a:solidFill>
                <a:schemeClr val="dk1"/>
              </a:solidFill>
              <a:effectLst/>
              <a:latin typeface="+mn-lt"/>
              <a:ea typeface="+mn-ea"/>
              <a:cs typeface="+mn-cs"/>
            </a:rPr>
            <a:t>10)Changes in TAX asset: I decide to take the last value of that asset and use it for my forecast</a:t>
          </a:r>
        </a:p>
        <a:p>
          <a:r>
            <a:rPr lang="it-IT" sz="1100">
              <a:solidFill>
                <a:schemeClr val="dk1"/>
              </a:solidFill>
              <a:effectLst/>
              <a:latin typeface="+mn-lt"/>
              <a:ea typeface="+mn-ea"/>
              <a:cs typeface="+mn-cs"/>
            </a:rPr>
            <a:t>11)Other minors: as previous items, I computed an average of changes during years and use it to forecast values for the  future period </a:t>
          </a:r>
        </a:p>
        <a:p>
          <a:r>
            <a:rPr lang="it-IT" sz="1100">
              <a:solidFill>
                <a:schemeClr val="dk1"/>
              </a:solidFill>
              <a:effectLst/>
              <a:latin typeface="+mn-lt"/>
              <a:ea typeface="+mn-ea"/>
              <a:cs typeface="+mn-cs"/>
            </a:rPr>
            <a:t>12)Changes in NWC: I've assumed that they are a % of Revenues, after that, I've made an average, and I used this value for each year in the forecast period</a:t>
          </a:r>
        </a:p>
        <a:p>
          <a:endParaRPr lang="it-IT" sz="1100"/>
        </a:p>
      </xdr:txBody>
    </xdr:sp>
    <xdr:clientData/>
  </xdr:twoCellAnchor>
  <xdr:oneCellAnchor>
    <xdr:from>
      <xdr:col>8</xdr:col>
      <xdr:colOff>906065</xdr:colOff>
      <xdr:row>14</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9</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0</xdr:col>
      <xdr:colOff>35718</xdr:colOff>
      <xdr:row>82</xdr:row>
      <xdr:rowOff>95250</xdr:rowOff>
    </xdr:from>
    <xdr:to>
      <xdr:col>0</xdr:col>
      <xdr:colOff>137772</xdr:colOff>
      <xdr:row>82</xdr:row>
      <xdr:rowOff>95251</xdr:rowOff>
    </xdr:to>
    <xdr:cxnSp macro="">
      <xdr:nvCxnSpPr>
        <xdr:cNvPr id="31" name="Connettore 2 30">
          <a:extLst>
            <a:ext uri="{FF2B5EF4-FFF2-40B4-BE49-F238E27FC236}">
              <a16:creationId xmlns:a16="http://schemas.microsoft.com/office/drawing/2014/main" id="{C7BD0D9F-80A2-45BB-B3C7-B631E1B2CD7C}"/>
            </a:ext>
          </a:extLst>
        </xdr:cNvPr>
        <xdr:cNvCxnSpPr/>
      </xdr:nvCxnSpPr>
      <xdr:spPr>
        <a:xfrm>
          <a:off x="35718" y="15370969"/>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83</xdr:row>
      <xdr:rowOff>107156</xdr:rowOff>
    </xdr:from>
    <xdr:to>
      <xdr:col>0</xdr:col>
      <xdr:colOff>125866</xdr:colOff>
      <xdr:row>83</xdr:row>
      <xdr:rowOff>107157</xdr:rowOff>
    </xdr:to>
    <xdr:cxnSp macro="">
      <xdr:nvCxnSpPr>
        <xdr:cNvPr id="33" name="Connettore 2 32">
          <a:extLst>
            <a:ext uri="{FF2B5EF4-FFF2-40B4-BE49-F238E27FC236}">
              <a16:creationId xmlns:a16="http://schemas.microsoft.com/office/drawing/2014/main" id="{1388A9E4-3268-47AD-951C-13F0F71DD07D}"/>
            </a:ext>
          </a:extLst>
        </xdr:cNvPr>
        <xdr:cNvCxnSpPr/>
      </xdr:nvCxnSpPr>
      <xdr:spPr>
        <a:xfrm>
          <a:off x="23812" y="155733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84</xdr:row>
      <xdr:rowOff>107156</xdr:rowOff>
    </xdr:from>
    <xdr:to>
      <xdr:col>0</xdr:col>
      <xdr:colOff>113960</xdr:colOff>
      <xdr:row>84</xdr:row>
      <xdr:rowOff>107157</xdr:rowOff>
    </xdr:to>
    <xdr:cxnSp macro="">
      <xdr:nvCxnSpPr>
        <xdr:cNvPr id="34" name="Connettore 2 33">
          <a:extLst>
            <a:ext uri="{FF2B5EF4-FFF2-40B4-BE49-F238E27FC236}">
              <a16:creationId xmlns:a16="http://schemas.microsoft.com/office/drawing/2014/main" id="{103F161B-7BB9-4DC8-B91C-7683E7A53A99}"/>
            </a:ext>
          </a:extLst>
        </xdr:cNvPr>
        <xdr:cNvCxnSpPr/>
      </xdr:nvCxnSpPr>
      <xdr:spPr>
        <a:xfrm>
          <a:off x="11906" y="157638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85</xdr:row>
      <xdr:rowOff>95250</xdr:rowOff>
    </xdr:from>
    <xdr:to>
      <xdr:col>0</xdr:col>
      <xdr:colOff>137773</xdr:colOff>
      <xdr:row>85</xdr:row>
      <xdr:rowOff>95251</xdr:rowOff>
    </xdr:to>
    <xdr:cxnSp macro="">
      <xdr:nvCxnSpPr>
        <xdr:cNvPr id="35" name="Connettore 2 34">
          <a:extLst>
            <a:ext uri="{FF2B5EF4-FFF2-40B4-BE49-F238E27FC236}">
              <a16:creationId xmlns:a16="http://schemas.microsoft.com/office/drawing/2014/main" id="{0D815ED7-CEFB-4597-BB26-C069150EC318}"/>
            </a:ext>
          </a:extLst>
        </xdr:cNvPr>
        <xdr:cNvCxnSpPr/>
      </xdr:nvCxnSpPr>
      <xdr:spPr>
        <a:xfrm>
          <a:off x="35719" y="17335500"/>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86</xdr:row>
      <xdr:rowOff>107157</xdr:rowOff>
    </xdr:from>
    <xdr:to>
      <xdr:col>0</xdr:col>
      <xdr:colOff>149679</xdr:colOff>
      <xdr:row>86</xdr:row>
      <xdr:rowOff>107158</xdr:rowOff>
    </xdr:to>
    <xdr:cxnSp macro="">
      <xdr:nvCxnSpPr>
        <xdr:cNvPr id="36" name="Connettore 2 35">
          <a:extLst>
            <a:ext uri="{FF2B5EF4-FFF2-40B4-BE49-F238E27FC236}">
              <a16:creationId xmlns:a16="http://schemas.microsoft.com/office/drawing/2014/main" id="{86659AD8-4160-45AD-9A5C-BF9CFD8B7BBF}"/>
            </a:ext>
          </a:extLst>
        </xdr:cNvPr>
        <xdr:cNvCxnSpPr/>
      </xdr:nvCxnSpPr>
      <xdr:spPr>
        <a:xfrm>
          <a:off x="47625" y="17537907"/>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xdr:colOff>
      <xdr:row>88</xdr:row>
      <xdr:rowOff>125868</xdr:rowOff>
    </xdr:from>
    <xdr:to>
      <xdr:col>0</xdr:col>
      <xdr:colOff>130969</xdr:colOff>
      <xdr:row>88</xdr:row>
      <xdr:rowOff>125869</xdr:rowOff>
    </xdr:to>
    <xdr:cxnSp macro="">
      <xdr:nvCxnSpPr>
        <xdr:cNvPr id="37" name="Connettore 2 36">
          <a:extLst>
            <a:ext uri="{FF2B5EF4-FFF2-40B4-BE49-F238E27FC236}">
              <a16:creationId xmlns:a16="http://schemas.microsoft.com/office/drawing/2014/main" id="{156434C6-58BC-49FD-BFF5-25BD14F8D0EC}"/>
            </a:ext>
          </a:extLst>
        </xdr:cNvPr>
        <xdr:cNvCxnSpPr/>
      </xdr:nvCxnSpPr>
      <xdr:spPr>
        <a:xfrm>
          <a:off x="34017" y="17774332"/>
          <a:ext cx="96952"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702468</xdr:colOff>
      <xdr:row>69</xdr:row>
      <xdr:rowOff>71436</xdr:rowOff>
    </xdr:from>
    <xdr:to>
      <xdr:col>13</xdr:col>
      <xdr:colOff>202406</xdr:colOff>
      <xdr:row>69</xdr:row>
      <xdr:rowOff>71436</xdr:rowOff>
    </xdr:to>
    <xdr:cxnSp macro="">
      <xdr:nvCxnSpPr>
        <xdr:cNvPr id="14" name="Connettore 2 13">
          <a:extLst>
            <a:ext uri="{FF2B5EF4-FFF2-40B4-BE49-F238E27FC236}">
              <a16:creationId xmlns:a16="http://schemas.microsoft.com/office/drawing/2014/main" id="{4C741FB0-FC5E-47D9-9B30-A0DB0AD945F7}"/>
            </a:ext>
          </a:extLst>
        </xdr:cNvPr>
        <xdr:cNvCxnSpPr/>
      </xdr:nvCxnSpPr>
      <xdr:spPr>
        <a:xfrm>
          <a:off x="12668249" y="13858874"/>
          <a:ext cx="6429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10204</xdr:colOff>
      <xdr:row>124</xdr:row>
      <xdr:rowOff>122461</xdr:rowOff>
    </xdr:from>
    <xdr:to>
      <xdr:col>17</xdr:col>
      <xdr:colOff>0</xdr:colOff>
      <xdr:row>143</xdr:row>
      <xdr:rowOff>47624</xdr:rowOff>
    </xdr:to>
    <xdr:sp macro="" textlink="">
      <xdr:nvSpPr>
        <xdr:cNvPr id="7" name="CasellaDiTesto 6">
          <a:extLst>
            <a:ext uri="{FF2B5EF4-FFF2-40B4-BE49-F238E27FC236}">
              <a16:creationId xmlns:a16="http://schemas.microsoft.com/office/drawing/2014/main" id="{322AC23B-D80B-43AF-96B5-BB63E34343BD}"/>
            </a:ext>
          </a:extLst>
        </xdr:cNvPr>
        <xdr:cNvSpPr txBox="1"/>
      </xdr:nvSpPr>
      <xdr:spPr>
        <a:xfrm>
          <a:off x="9689985" y="24708867"/>
          <a:ext cx="7645515" cy="35446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Second Scenario:</a:t>
          </a:r>
        </a:p>
        <a:p>
          <a:r>
            <a:rPr lang="it-IT" sz="1100">
              <a:solidFill>
                <a:schemeClr val="dk1"/>
              </a:solidFill>
              <a:effectLst/>
              <a:latin typeface="+mn-lt"/>
              <a:ea typeface="+mn-ea"/>
              <a:cs typeface="+mn-cs"/>
            </a:rPr>
            <a:t>In this scenario, I decided to use what management declared in the strategic plan for what about Compounded annual growth rate for EBITDA and the amount of CAPEX that the Company'll reach in 2024, but I wanted to make two different output.</a:t>
          </a:r>
        </a:p>
        <a:p>
          <a:r>
            <a:rPr lang="it-IT" sz="1100">
              <a:solidFill>
                <a:schemeClr val="dk1"/>
              </a:solidFill>
              <a:effectLst/>
              <a:latin typeface="+mn-lt"/>
              <a:ea typeface="+mn-ea"/>
              <a:cs typeface="+mn-cs"/>
            </a:rPr>
            <a:t>So I used the same assumption for WACC in the high growth, WACC in steady-state, Depreciation and Amortization, the growth rate in Revenues, Other minors, tax rate, and changes in Provision, Tax asset, Employees benefit, and Net Working Capital. </a:t>
          </a:r>
        </a:p>
        <a:p>
          <a:pPr marL="0" marR="0" lvl="0" indent="0" defTabSz="914400" rtl="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To forecast EBITDA I used a CAGR of 6,4% until 2024 and to compute EBITDA in the steady-state I switched growth rate, passing to the growth rate of the Italian economy (1,2%, this value is an average of the last three years), while in the second steady state I passed to a growth rate </a:t>
          </a:r>
          <a:r>
            <a:rPr lang="en-US" sz="1100">
              <a:solidFill>
                <a:schemeClr val="dk1"/>
              </a:solidFill>
              <a:effectLst/>
              <a:latin typeface="+mn-lt"/>
              <a:ea typeface="+mn-ea"/>
              <a:cs typeface="+mn-cs"/>
            </a:rPr>
            <a:t>given by the average of historicals and that one declared by management.</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For CAPEX I wanted to maintain the relationship between CAPEX  and Revenues. So  I</a:t>
          </a:r>
          <a:r>
            <a:rPr lang="it-IT" sz="1100" baseline="0">
              <a:solidFill>
                <a:schemeClr val="dk1"/>
              </a:solidFill>
              <a:effectLst/>
              <a:latin typeface="+mn-lt"/>
              <a:ea typeface="+mn-ea"/>
              <a:cs typeface="+mn-cs"/>
            </a:rPr>
            <a:t> took</a:t>
          </a:r>
          <a:r>
            <a:rPr lang="it-IT" sz="1100">
              <a:solidFill>
                <a:schemeClr val="dk1"/>
              </a:solidFill>
              <a:effectLst/>
              <a:latin typeface="+mn-lt"/>
              <a:ea typeface="+mn-ea"/>
              <a:cs typeface="+mn-cs"/>
            </a:rPr>
            <a:t> the value declared as aim for 2024 (4476 m EUR) and the growth rate for Revenues. After that using a simple equation (see the</a:t>
          </a:r>
          <a:r>
            <a:rPr lang="it-IT" sz="1100" baseline="0">
              <a:solidFill>
                <a:schemeClr val="dk1"/>
              </a:solidFill>
              <a:effectLst/>
              <a:latin typeface="+mn-lt"/>
              <a:ea typeface="+mn-ea"/>
              <a:cs typeface="+mn-cs"/>
            </a:rPr>
            <a:t> last assumption above) </a:t>
          </a:r>
          <a:r>
            <a:rPr lang="it-IT" sz="1100">
              <a:solidFill>
                <a:schemeClr val="dk1"/>
              </a:solidFill>
              <a:effectLst/>
              <a:latin typeface="+mn-lt"/>
              <a:ea typeface="+mn-ea"/>
              <a:cs typeface="+mn-cs"/>
            </a:rPr>
            <a:t>I got the initial value for CAPEX (31/12/2020) divided the value declared by the compounded growth rates. I've done it to not assume a constant CAPEX in a high growth period. </a:t>
          </a:r>
        </a:p>
        <a:p>
          <a:r>
            <a:rPr lang="it-IT" sz="1100">
              <a:solidFill>
                <a:schemeClr val="dk1"/>
              </a:solidFill>
              <a:effectLst/>
              <a:latin typeface="+mn-lt"/>
              <a:ea typeface="+mn-ea"/>
              <a:cs typeface="+mn-cs"/>
            </a:rPr>
            <a:t>For both</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steady-states, I assumed constant CAPEX, equals to the last forecasted value.</a:t>
          </a:r>
        </a:p>
        <a:p>
          <a:r>
            <a:rPr lang="it-IT" sz="1100">
              <a:solidFill>
                <a:schemeClr val="dk1"/>
              </a:solidFill>
              <a:effectLst/>
              <a:latin typeface="+mn-lt"/>
              <a:ea typeface="+mn-ea"/>
              <a:cs typeface="+mn-cs"/>
            </a:rPr>
            <a:t>In the end, I decide to make two outputs, the first one using the growth rate of the Italian economy, and the second using the same approach as before (averaging</a:t>
          </a:r>
          <a:r>
            <a:rPr lang="it-IT" sz="1100" baseline="0">
              <a:solidFill>
                <a:schemeClr val="dk1"/>
              </a:solidFill>
              <a:effectLst/>
              <a:latin typeface="+mn-lt"/>
              <a:ea typeface="+mn-ea"/>
              <a:cs typeface="+mn-cs"/>
            </a:rPr>
            <a:t> growth rates)</a:t>
          </a:r>
          <a:r>
            <a:rPr lang="it-IT" sz="1100">
              <a:solidFill>
                <a:schemeClr val="dk1"/>
              </a:solidFill>
              <a:effectLst/>
              <a:latin typeface="+mn-lt"/>
              <a:ea typeface="+mn-ea"/>
              <a:cs typeface="+mn-cs"/>
            </a:rPr>
            <a:t>. </a:t>
          </a:r>
        </a:p>
        <a:p>
          <a:r>
            <a:rPr lang="it-IT" sz="1100">
              <a:solidFill>
                <a:schemeClr val="dk1"/>
              </a:solidFill>
              <a:effectLst/>
              <a:latin typeface="+mn-lt"/>
              <a:ea typeface="+mn-ea"/>
              <a:cs typeface="+mn-cs"/>
            </a:rPr>
            <a:t>As we can look, the first output gives a worthless ( in my opinion) result, this due to the fact that a really low growth rate leads, first,  to low Reinvestment Rate, but also has an important effect on the denominator used for terminal value computation.</a:t>
          </a:r>
        </a:p>
        <a:p>
          <a:r>
            <a:rPr lang="it-IT" sz="1100">
              <a:solidFill>
                <a:schemeClr val="dk1"/>
              </a:solidFill>
              <a:effectLst/>
              <a:latin typeface="+mn-lt"/>
              <a:ea typeface="+mn-ea"/>
              <a:cs typeface="+mn-cs"/>
            </a:rPr>
            <a:t>The second output returns a value so near to the value recorded pre COVID-19 crisis. For this output, I've used a different growth rate for the steady-state given by the average between the historical growth rate and which one declared by the management. I've done it for the same reason mentioned above. </a:t>
          </a:r>
        </a:p>
        <a:p>
          <a:endParaRPr lang="it-IT" sz="1100"/>
        </a:p>
      </xdr:txBody>
    </xdr:sp>
    <xdr:clientData/>
  </xdr:twoCellAnchor>
  <xdr:oneCellAnchor>
    <xdr:from>
      <xdr:col>3</xdr:col>
      <xdr:colOff>784450</xdr:colOff>
      <xdr:row>85</xdr:row>
      <xdr:rowOff>158523</xdr:rowOff>
    </xdr:from>
    <xdr:ext cx="1511754" cy="363433"/>
    <mc:AlternateContent xmlns:mc="http://schemas.openxmlformats.org/markup-compatibility/2006" xmlns:a14="http://schemas.microsoft.com/office/drawing/2010/main">
      <mc:Choice Requires="a14">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100" i="1">
                        <a:latin typeface="Cambria Math" panose="02040503050406030204" pitchFamily="18" charset="0"/>
                      </a:rPr>
                      <m:t>𝑥</m:t>
                    </m:r>
                    <m:r>
                      <a:rPr lang="it-IT" sz="1100" i="0">
                        <a:latin typeface="Cambria Math" panose="02040503050406030204" pitchFamily="18" charset="0"/>
                      </a:rPr>
                      <m:t>=</m:t>
                    </m:r>
                    <m:f>
                      <m:fPr>
                        <m:ctrlPr>
                          <a:rPr lang="it-IT" sz="1100" i="1">
                            <a:latin typeface="Cambria Math" panose="02040503050406030204" pitchFamily="18" charset="0"/>
                          </a:rPr>
                        </m:ctrlPr>
                      </m:fPr>
                      <m:num>
                        <m:r>
                          <a:rPr lang="it-IT" sz="1100" i="0">
                            <a:latin typeface="Cambria Math" panose="02040503050406030204" pitchFamily="18" charset="0"/>
                          </a:rPr>
                          <m:t>4476</m:t>
                        </m:r>
                      </m:num>
                      <m:den>
                        <m:nary>
                          <m:naryPr>
                            <m:chr m:val="∑"/>
                            <m:limLoc m:val="undOvr"/>
                            <m:grow m:val="on"/>
                            <m:ctrlPr>
                              <a:rPr lang="it-IT" sz="1100" i="1">
                                <a:latin typeface="Cambria Math" panose="02040503050406030204" pitchFamily="18" charset="0"/>
                              </a:rPr>
                            </m:ctrlPr>
                          </m:naryPr>
                          <m:sub>
                            <m:r>
                              <a:rPr lang="it-IT" sz="1100" i="1">
                                <a:latin typeface="Cambria Math" panose="02040503050406030204" pitchFamily="18" charset="0"/>
                              </a:rPr>
                              <m:t>𝑡</m:t>
                            </m:r>
                            <m:r>
                              <a:rPr lang="it-IT" sz="1100" i="0">
                                <a:latin typeface="Cambria Math" panose="02040503050406030204" pitchFamily="18" charset="0"/>
                              </a:rPr>
                              <m:t>=1</m:t>
                            </m:r>
                          </m:sub>
                          <m:sup>
                            <m:r>
                              <a:rPr lang="it-IT" sz="1100" i="0">
                                <a:latin typeface="Cambria Math" panose="02040503050406030204" pitchFamily="18" charset="0"/>
                              </a:rPr>
                              <m:t>5</m:t>
                            </m:r>
                          </m:sup>
                          <m:e>
                            <m:sSup>
                              <m:sSupPr>
                                <m:ctrlPr>
                                  <a:rPr lang="it-IT" sz="1100" i="1">
                                    <a:latin typeface="Cambria Math" panose="02040503050406030204" pitchFamily="18" charset="0"/>
                                  </a:rPr>
                                </m:ctrlPr>
                              </m:sSupPr>
                              <m:e>
                                <m:d>
                                  <m:dPr>
                                    <m:ctrlPr>
                                      <a:rPr lang="it-IT" sz="1100" i="1">
                                        <a:latin typeface="Cambria Math" panose="02040503050406030204" pitchFamily="18" charset="0"/>
                                      </a:rPr>
                                    </m:ctrlPr>
                                  </m:dPr>
                                  <m:e>
                                    <m:r>
                                      <a:rPr lang="it-IT" sz="1100" i="0">
                                        <a:latin typeface="Cambria Math" panose="02040503050406030204" pitchFamily="18" charset="0"/>
                                      </a:rPr>
                                      <m:t>1+</m:t>
                                    </m:r>
                                    <m:r>
                                      <a:rPr lang="it-IT" sz="1100" i="1">
                                        <a:latin typeface="Cambria Math" panose="02040503050406030204" pitchFamily="18" charset="0"/>
                                      </a:rPr>
                                      <m:t>𝑔</m:t>
                                    </m:r>
                                  </m:e>
                                </m:d>
                              </m:e>
                              <m:sup>
                                <m:r>
                                  <a:rPr lang="it-IT" sz="1100" i="1">
                                    <a:latin typeface="Cambria Math" panose="02040503050406030204" pitchFamily="18" charset="0"/>
                                  </a:rPr>
                                  <m:t>𝑡</m:t>
                                </m:r>
                              </m:sup>
                            </m:sSup>
                          </m:e>
                        </m:nary>
                      </m:den>
                    </m:f>
                  </m:oMath>
                </m:oMathPara>
              </a14:m>
              <a:endParaRPr lang="it-IT" sz="1100"/>
            </a:p>
          </xdr:txBody>
        </xdr:sp>
      </mc:Choice>
      <mc:Fallback xmlns="">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100" i="0">
                  <a:latin typeface="Cambria Math" panose="02040503050406030204" pitchFamily="18" charset="0"/>
                </a:rPr>
                <a:t>𝑥=4476/(∑129_(𝑡=1)^5▒(1+𝑔)^𝑡 )</a:t>
              </a:r>
              <a:endParaRPr lang="it-IT" sz="1100"/>
            </a:p>
          </xdr:txBody>
        </xdr:sp>
      </mc:Fallback>
    </mc:AlternateContent>
    <xdr:clientData/>
  </xdr:oneCellAnchor>
  <xdr:twoCellAnchor>
    <xdr:from>
      <xdr:col>1</xdr:col>
      <xdr:colOff>0</xdr:colOff>
      <xdr:row>148</xdr:row>
      <xdr:rowOff>0</xdr:rowOff>
    </xdr:from>
    <xdr:to>
      <xdr:col>7</xdr:col>
      <xdr:colOff>919949</xdr:colOff>
      <xdr:row>152</xdr:row>
      <xdr:rowOff>67914</xdr:rowOff>
    </xdr:to>
    <xdr:sp macro="" textlink="">
      <xdr:nvSpPr>
        <xdr:cNvPr id="38" name="CasellaDiTesto 37">
          <a:extLst>
            <a:ext uri="{FF2B5EF4-FFF2-40B4-BE49-F238E27FC236}">
              <a16:creationId xmlns:a16="http://schemas.microsoft.com/office/drawing/2014/main" id="{AF51ADE8-D62B-47DE-8F48-0DED1D48FADF}"/>
            </a:ext>
          </a:extLst>
        </xdr:cNvPr>
        <xdr:cNvSpPr txBox="1"/>
      </xdr:nvSpPr>
      <xdr:spPr>
        <a:xfrm>
          <a:off x="156882" y="27600088"/>
          <a:ext cx="7520214" cy="7850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References </a:t>
          </a:r>
        </a:p>
        <a:p>
          <a:endParaRPr lang="it-IT" sz="1400" b="1"/>
        </a:p>
        <a:p>
          <a:r>
            <a:rPr lang="it-IT" sz="1400" b="0"/>
            <a:t>Word</a:t>
          </a:r>
          <a:r>
            <a:rPr lang="it-IT" sz="1400" b="0" baseline="0"/>
            <a:t> file "A2A" pagg. 23-26.</a:t>
          </a:r>
          <a:endParaRPr lang="it-IT" sz="1400" b="0"/>
        </a:p>
        <a:p>
          <a:endParaRPr lang="it-IT" sz="11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sheetData sheetId="2" refreshError="1"/>
      <sheetData sheetId="3" refreshError="1">
        <row r="5">
          <cell r="D5">
            <v>5067</v>
          </cell>
        </row>
        <row r="35">
          <cell r="H35">
            <v>-3651</v>
          </cell>
        </row>
        <row r="114">
          <cell r="D114">
            <v>75</v>
          </cell>
          <cell r="E114">
            <v>232</v>
          </cell>
          <cell r="F114">
            <v>293</v>
          </cell>
          <cell r="G114">
            <v>344</v>
          </cell>
          <cell r="H114">
            <v>389</v>
          </cell>
        </row>
      </sheetData>
      <sheetData sheetId="4" refreshError="1"/>
      <sheetData sheetId="5" refreshError="1"/>
      <sheetData sheetId="6" refreshError="1"/>
      <sheetData sheetId="7" refreshError="1">
        <row r="22">
          <cell r="C22">
            <v>2.1758250683779193E-2</v>
          </cell>
        </row>
      </sheetData>
      <sheetData sheetId="8" refreshError="1"/>
      <sheetData sheetId="9" refreshError="1">
        <row r="18">
          <cell r="G18">
            <v>646.49225759199862</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8AA27-EA19-4A67-91E7-A70109DDC35E}">
  <dimension ref="A1:AB556"/>
  <sheetViews>
    <sheetView workbookViewId="0">
      <selection activeCell="C18" sqref="C18"/>
    </sheetView>
  </sheetViews>
  <sheetFormatPr defaultRowHeight="14.4"/>
  <sheetData>
    <row r="1" spans="1:28">
      <c r="A1" s="1"/>
      <c r="B1" s="1"/>
      <c r="C1" s="1"/>
      <c r="D1" s="1"/>
      <c r="E1" s="1"/>
      <c r="F1" s="1"/>
      <c r="G1" s="1"/>
      <c r="H1" s="1"/>
      <c r="I1" s="1"/>
      <c r="J1" s="1"/>
      <c r="K1" s="1"/>
      <c r="L1" s="1"/>
      <c r="M1" s="1"/>
      <c r="N1" s="1"/>
      <c r="O1" s="1"/>
      <c r="P1" s="1"/>
      <c r="Q1" s="1"/>
      <c r="R1" s="1"/>
      <c r="S1" s="1"/>
      <c r="T1" s="1"/>
      <c r="U1" s="1"/>
      <c r="V1" s="1"/>
      <c r="W1" s="1"/>
      <c r="X1" s="1"/>
      <c r="Y1" s="1"/>
      <c r="Z1" s="1"/>
      <c r="AA1" s="1"/>
      <c r="AB1" s="1"/>
    </row>
    <row r="2" spans="1:28">
      <c r="A2" s="1"/>
      <c r="B2" s="1"/>
      <c r="C2" s="1"/>
      <c r="D2" s="1"/>
      <c r="E2" s="1"/>
      <c r="F2" s="1"/>
      <c r="G2" s="1"/>
      <c r="H2" s="1"/>
      <c r="I2" s="1"/>
      <c r="J2" s="1"/>
      <c r="K2" s="1"/>
      <c r="L2" s="1"/>
      <c r="M2" s="1"/>
      <c r="N2" s="1"/>
      <c r="O2" s="1"/>
      <c r="P2" s="1"/>
      <c r="Q2" s="1"/>
      <c r="R2" s="1"/>
      <c r="S2" s="1"/>
      <c r="T2" s="1"/>
      <c r="U2" s="1"/>
      <c r="V2" s="1"/>
      <c r="W2" s="1"/>
      <c r="X2" s="1"/>
      <c r="Y2" s="1"/>
      <c r="Z2" s="1"/>
      <c r="AA2" s="1"/>
      <c r="AB2" s="1"/>
    </row>
    <row r="3" spans="1:28">
      <c r="A3" s="1"/>
      <c r="B3" s="1"/>
      <c r="C3" s="1"/>
      <c r="D3" s="1"/>
      <c r="E3" s="1"/>
      <c r="F3" s="1"/>
      <c r="G3" s="1"/>
      <c r="H3" s="1"/>
      <c r="I3" s="1"/>
      <c r="J3" s="1"/>
      <c r="K3" s="1"/>
      <c r="L3" s="1"/>
      <c r="M3" s="1"/>
      <c r="N3" s="1"/>
      <c r="O3" s="1"/>
      <c r="P3" s="1"/>
      <c r="Q3" s="1"/>
      <c r="R3" s="1"/>
      <c r="S3" s="1"/>
      <c r="T3" s="1"/>
      <c r="U3" s="1"/>
      <c r="V3" s="1"/>
      <c r="W3" s="1"/>
      <c r="X3" s="1"/>
      <c r="Y3" s="1"/>
      <c r="Z3" s="1"/>
      <c r="AA3" s="1"/>
      <c r="AB3" s="1"/>
    </row>
    <row r="4" spans="1:28">
      <c r="A4" s="1"/>
      <c r="B4" s="1"/>
      <c r="C4" s="1"/>
      <c r="D4" s="1"/>
      <c r="E4" s="1"/>
      <c r="F4" s="1"/>
      <c r="G4" s="1"/>
      <c r="H4" s="1"/>
      <c r="I4" s="1"/>
      <c r="J4" s="1"/>
      <c r="K4" s="1"/>
      <c r="L4" s="1"/>
      <c r="M4" s="1"/>
      <c r="N4" s="1"/>
      <c r="O4" s="1"/>
      <c r="P4" s="1"/>
      <c r="Q4" s="1"/>
      <c r="R4" s="1"/>
      <c r="S4" s="1"/>
      <c r="T4" s="1"/>
      <c r="U4" s="1"/>
      <c r="V4" s="1"/>
      <c r="W4" s="1"/>
      <c r="X4" s="1"/>
      <c r="Y4" s="1"/>
      <c r="Z4" s="1"/>
      <c r="AA4" s="1"/>
      <c r="AB4" s="1"/>
    </row>
    <row r="5" spans="1:28">
      <c r="A5" s="1"/>
      <c r="B5" s="1"/>
      <c r="C5" s="1"/>
      <c r="D5" s="1"/>
      <c r="E5" s="1"/>
      <c r="F5" s="1"/>
      <c r="G5" s="1"/>
      <c r="H5" s="1"/>
      <c r="I5" s="1"/>
      <c r="J5" s="1"/>
      <c r="K5" s="1"/>
      <c r="L5" s="1"/>
      <c r="M5" s="1"/>
      <c r="N5" s="1"/>
      <c r="O5" s="1"/>
      <c r="P5" s="1"/>
      <c r="Q5" s="1"/>
      <c r="R5" s="1"/>
      <c r="S5" s="1"/>
      <c r="T5" s="1"/>
      <c r="U5" s="1"/>
      <c r="V5" s="1"/>
      <c r="W5" s="1"/>
      <c r="X5" s="1"/>
      <c r="Y5" s="1"/>
      <c r="Z5" s="1"/>
      <c r="AA5" s="1"/>
      <c r="AB5" s="1"/>
    </row>
    <row r="6" spans="1:28">
      <c r="A6" s="1"/>
      <c r="B6" s="1"/>
      <c r="C6" s="1"/>
      <c r="D6" s="1"/>
      <c r="E6" s="1"/>
      <c r="F6" s="1"/>
      <c r="G6" s="1"/>
      <c r="H6" s="1"/>
      <c r="I6" s="1"/>
      <c r="J6" s="1"/>
      <c r="K6" s="1"/>
      <c r="L6" s="1"/>
      <c r="M6" s="1"/>
      <c r="N6" s="1"/>
      <c r="O6" s="1"/>
      <c r="P6" s="1"/>
      <c r="Q6" s="1"/>
      <c r="R6" s="1"/>
      <c r="S6" s="1"/>
      <c r="T6" s="1"/>
      <c r="U6" s="1"/>
      <c r="V6" s="1"/>
      <c r="W6" s="1"/>
      <c r="X6" s="1"/>
      <c r="Y6" s="1"/>
      <c r="Z6" s="1"/>
      <c r="AA6" s="1"/>
      <c r="AB6" s="1"/>
    </row>
    <row r="7" spans="1:28">
      <c r="A7" s="1"/>
      <c r="B7" s="1"/>
      <c r="C7" s="1"/>
      <c r="D7" s="1"/>
      <c r="E7" s="1"/>
      <c r="F7" s="1"/>
      <c r="G7" s="1"/>
      <c r="H7" s="1"/>
      <c r="I7" s="1"/>
      <c r="J7" s="1"/>
      <c r="K7" s="1"/>
      <c r="L7" s="1"/>
      <c r="M7" s="1"/>
      <c r="N7" s="1"/>
      <c r="O7" s="1"/>
      <c r="P7" s="1"/>
      <c r="Q7" s="1"/>
      <c r="R7" s="1"/>
      <c r="S7" s="1"/>
      <c r="T7" s="1"/>
      <c r="U7" s="1"/>
      <c r="V7" s="1"/>
      <c r="W7" s="1"/>
      <c r="X7" s="1"/>
      <c r="Y7" s="1"/>
      <c r="Z7" s="1"/>
      <c r="AA7" s="1"/>
      <c r="AB7" s="1"/>
    </row>
    <row r="8" spans="1:28">
      <c r="A8" s="1"/>
      <c r="B8" s="1"/>
      <c r="C8" s="1"/>
      <c r="D8" s="1"/>
      <c r="E8" s="1"/>
      <c r="F8" s="1"/>
      <c r="G8" s="1"/>
      <c r="H8" s="1"/>
      <c r="I8" s="1"/>
      <c r="J8" s="1"/>
      <c r="K8" s="1"/>
      <c r="L8" s="1"/>
      <c r="M8" s="1"/>
      <c r="N8" s="1"/>
      <c r="O8" s="1"/>
      <c r="P8" s="1"/>
      <c r="Q8" s="1"/>
      <c r="R8" s="1"/>
      <c r="S8" s="1"/>
      <c r="T8" s="1"/>
      <c r="U8" s="1"/>
      <c r="V8" s="1"/>
      <c r="W8" s="1"/>
      <c r="X8" s="1"/>
      <c r="Y8" s="1"/>
      <c r="Z8" s="1"/>
      <c r="AA8" s="1"/>
      <c r="AB8" s="1"/>
    </row>
    <row r="9" spans="1:28">
      <c r="A9" s="1"/>
      <c r="B9" s="1"/>
      <c r="C9" s="1"/>
      <c r="D9" s="1"/>
      <c r="E9" s="1"/>
      <c r="F9" s="1"/>
      <c r="G9" s="1"/>
      <c r="H9" s="1"/>
      <c r="I9" s="1"/>
      <c r="J9" s="1"/>
      <c r="K9" s="1"/>
      <c r="L9" s="1"/>
      <c r="M9" s="1"/>
      <c r="N9" s="1"/>
      <c r="O9" s="1"/>
      <c r="P9" s="1"/>
      <c r="Q9" s="1"/>
      <c r="R9" s="1"/>
      <c r="S9" s="1"/>
      <c r="T9" s="1"/>
      <c r="U9" s="1"/>
      <c r="V9" s="1"/>
      <c r="W9" s="1"/>
      <c r="X9" s="1"/>
      <c r="Y9" s="1"/>
      <c r="Z9" s="1"/>
      <c r="AA9" s="1"/>
      <c r="AB9" s="1"/>
    </row>
    <row r="10" spans="1:28">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ht="46.8">
      <c r="A13" s="125" t="s">
        <v>821</v>
      </c>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c r="A14" s="1"/>
      <c r="B14" s="1"/>
      <c r="C14" s="1"/>
      <c r="D14" s="1"/>
      <c r="E14" s="1"/>
      <c r="F14" s="125" t="s">
        <v>822</v>
      </c>
      <c r="G14" s="1"/>
      <c r="H14" s="1"/>
      <c r="I14" s="1"/>
      <c r="J14" s="1"/>
      <c r="K14" s="1"/>
      <c r="L14" s="1"/>
      <c r="M14" s="1"/>
      <c r="N14" s="1"/>
      <c r="O14" s="1"/>
      <c r="P14" s="1"/>
      <c r="Q14" s="1"/>
      <c r="R14" s="1"/>
      <c r="S14" s="1"/>
      <c r="T14" s="1"/>
      <c r="U14" s="1"/>
      <c r="V14" s="1"/>
      <c r="W14" s="1"/>
      <c r="X14" s="1"/>
      <c r="Y14" s="1"/>
      <c r="Z14" s="1"/>
      <c r="AA14" s="1"/>
      <c r="AB14" s="1"/>
    </row>
    <row r="15" spans="1:28">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I143"/>
  <sheetViews>
    <sheetView zoomScale="70" zoomScaleNormal="70" workbookViewId="0">
      <selection activeCell="N1" sqref="N1:U3"/>
    </sheetView>
  </sheetViews>
  <sheetFormatPr defaultRowHeight="14.4"/>
  <cols>
    <col min="2" max="2" width="37" customWidth="1"/>
    <col min="3" max="3" width="23.6640625" customWidth="1"/>
    <col min="4" max="4" width="36.44140625" customWidth="1"/>
    <col min="5" max="5" width="27.21875" customWidth="1"/>
    <col min="6" max="6" width="33" customWidth="1"/>
    <col min="7" max="7" width="29.5546875" customWidth="1"/>
    <col min="8" max="8" width="47.33203125" bestFit="1" customWidth="1"/>
    <col min="9" max="9" width="21.44140625" customWidth="1"/>
    <col min="10" max="10" width="28" customWidth="1"/>
  </cols>
  <sheetData>
    <row r="1" spans="1:35" ht="24.6">
      <c r="A1" s="896"/>
      <c r="B1" s="902" t="s">
        <v>838</v>
      </c>
      <c r="C1" s="897"/>
      <c r="D1" s="897"/>
      <c r="E1" s="897"/>
      <c r="F1" s="897"/>
      <c r="G1" s="897"/>
      <c r="H1" s="897"/>
      <c r="I1" s="897"/>
      <c r="J1" s="898"/>
      <c r="K1" s="360"/>
      <c r="L1" s="1"/>
      <c r="M1" s="1"/>
      <c r="N1" s="909" t="s">
        <v>802</v>
      </c>
      <c r="O1" s="897"/>
      <c r="P1" s="897"/>
      <c r="Q1" s="897"/>
      <c r="R1" s="897"/>
      <c r="S1" s="897"/>
      <c r="T1" s="897"/>
      <c r="U1" s="898"/>
      <c r="V1" s="1"/>
      <c r="W1" s="1"/>
      <c r="X1" s="1"/>
      <c r="Y1" s="1"/>
      <c r="Z1" s="1"/>
      <c r="AA1" s="1"/>
      <c r="AB1" s="1"/>
      <c r="AC1" s="1"/>
      <c r="AD1" s="1"/>
      <c r="AE1" s="1"/>
      <c r="AF1" s="1"/>
      <c r="AG1" s="1"/>
      <c r="AH1" s="1"/>
      <c r="AI1" s="1"/>
    </row>
    <row r="2" spans="1:35" ht="15" thickBot="1">
      <c r="A2" s="899"/>
      <c r="B2" s="900"/>
      <c r="C2" s="900"/>
      <c r="D2" s="900"/>
      <c r="E2" s="900"/>
      <c r="F2" s="900"/>
      <c r="G2" s="900"/>
      <c r="H2" s="900"/>
      <c r="I2" s="900"/>
      <c r="J2" s="901"/>
      <c r="K2" s="360"/>
      <c r="L2" s="1"/>
      <c r="M2" s="1"/>
      <c r="N2" s="899"/>
      <c r="O2" s="900"/>
      <c r="P2" s="900"/>
      <c r="Q2" s="900"/>
      <c r="R2" s="900"/>
      <c r="S2" s="900"/>
      <c r="T2" s="900"/>
      <c r="U2" s="901"/>
      <c r="V2" s="1"/>
      <c r="W2" s="1"/>
      <c r="X2" s="1"/>
      <c r="Y2" s="1"/>
      <c r="Z2" s="1"/>
      <c r="AA2" s="1"/>
      <c r="AB2" s="1"/>
      <c r="AC2" s="1"/>
      <c r="AD2" s="1"/>
      <c r="AE2" s="1"/>
      <c r="AF2" s="1"/>
      <c r="AG2" s="1"/>
      <c r="AH2" s="1"/>
      <c r="AI2" s="1"/>
    </row>
    <row r="3" spans="1:35" ht="15" thickBot="1">
      <c r="A3" s="903"/>
      <c r="B3" s="904"/>
      <c r="C3" s="904"/>
      <c r="D3" s="904"/>
      <c r="E3" s="904"/>
      <c r="F3" s="904"/>
      <c r="G3" s="904"/>
      <c r="H3" s="904"/>
      <c r="I3" s="904"/>
      <c r="J3" s="905"/>
      <c r="K3" s="360"/>
      <c r="L3" s="1"/>
      <c r="M3" s="1"/>
      <c r="N3" s="906"/>
      <c r="O3" s="907"/>
      <c r="P3" s="907"/>
      <c r="Q3" s="907"/>
      <c r="R3" s="907"/>
      <c r="S3" s="907"/>
      <c r="T3" s="907"/>
      <c r="U3" s="908"/>
      <c r="V3" s="1"/>
      <c r="W3" s="1"/>
      <c r="X3" s="1"/>
      <c r="Y3" s="1"/>
      <c r="Z3" s="1"/>
      <c r="AA3" s="1"/>
      <c r="AB3" s="1"/>
      <c r="AC3" s="1"/>
      <c r="AD3" s="1"/>
      <c r="AE3" s="1"/>
      <c r="AF3" s="1"/>
      <c r="AG3" s="1"/>
      <c r="AH3" s="1"/>
      <c r="AI3" s="1"/>
    </row>
    <row r="4" spans="1:35" ht="15" thickBot="1">
      <c r="A4" s="1"/>
      <c r="B4" s="5"/>
      <c r="C4" s="385"/>
      <c r="D4" s="125"/>
      <c r="E4" s="125"/>
      <c r="F4" s="125"/>
      <c r="G4" s="125"/>
      <c r="H4" s="125"/>
      <c r="I4" s="14"/>
      <c r="J4" s="14"/>
      <c r="K4" s="360"/>
      <c r="L4" s="1"/>
      <c r="M4" s="1"/>
      <c r="N4" s="1"/>
      <c r="O4" s="1"/>
      <c r="P4" s="1"/>
      <c r="Q4" s="1"/>
      <c r="R4" s="1"/>
      <c r="S4" s="1"/>
      <c r="T4" s="1"/>
      <c r="U4" s="1"/>
      <c r="V4" s="1"/>
      <c r="W4" s="1"/>
      <c r="X4" s="1"/>
      <c r="Y4" s="1"/>
      <c r="Z4" s="1"/>
      <c r="AA4" s="1"/>
      <c r="AB4" s="1"/>
      <c r="AC4" s="1"/>
      <c r="AD4" s="1"/>
      <c r="AE4" s="1"/>
      <c r="AF4" s="1"/>
      <c r="AG4" s="1"/>
      <c r="AH4" s="1"/>
      <c r="AI4" s="1"/>
    </row>
    <row r="5" spans="1:35" ht="15" thickBot="1">
      <c r="A5" s="1"/>
      <c r="B5" s="865" t="s">
        <v>419</v>
      </c>
      <c r="C5" s="930" t="s">
        <v>840</v>
      </c>
      <c r="D5" s="929"/>
      <c r="E5" s="926" t="s">
        <v>401</v>
      </c>
      <c r="F5" s="499" t="s">
        <v>426</v>
      </c>
      <c r="G5" s="125"/>
      <c r="H5" s="500" t="s">
        <v>468</v>
      </c>
      <c r="I5" s="500" t="s">
        <v>401</v>
      </c>
      <c r="J5" s="500" t="s">
        <v>426</v>
      </c>
      <c r="K5" s="360"/>
      <c r="L5" s="1"/>
      <c r="M5" s="1"/>
      <c r="N5" s="1"/>
      <c r="O5" s="1"/>
      <c r="P5" s="1"/>
      <c r="Q5" s="1"/>
      <c r="R5" s="1"/>
      <c r="S5" s="1"/>
      <c r="T5" s="1"/>
      <c r="U5" s="1"/>
      <c r="V5" s="1"/>
      <c r="W5" s="1"/>
      <c r="X5" s="1"/>
      <c r="Y5" s="1"/>
      <c r="Z5" s="1"/>
      <c r="AA5" s="1"/>
      <c r="AB5" s="1"/>
      <c r="AC5" s="1"/>
      <c r="AD5" s="1"/>
      <c r="AE5" s="1"/>
      <c r="AF5" s="1"/>
      <c r="AG5" s="1"/>
      <c r="AH5" s="1"/>
      <c r="AI5" s="1"/>
    </row>
    <row r="6" spans="1:35" ht="15" thickBot="1">
      <c r="A6" s="1"/>
      <c r="B6" s="125"/>
      <c r="C6" s="927" t="s">
        <v>402</v>
      </c>
      <c r="D6" s="928" t="s">
        <v>403</v>
      </c>
      <c r="E6" s="931">
        <f>'Financial statements'!J112</f>
        <v>3651</v>
      </c>
      <c r="F6" s="932">
        <f>-'Trailing 12-months'!G35</f>
        <v>3746</v>
      </c>
      <c r="G6" s="381"/>
      <c r="H6" s="501" t="s">
        <v>422</v>
      </c>
      <c r="I6" s="585">
        <f>E6/(E6+E8)</f>
        <v>0.50275406224180663</v>
      </c>
      <c r="J6" s="588">
        <f>F6/(F6+F8)</f>
        <v>0.50917493543563952</v>
      </c>
      <c r="K6" s="360"/>
      <c r="L6" s="1"/>
      <c r="M6" s="1"/>
      <c r="N6" s="1"/>
      <c r="O6" s="1"/>
      <c r="P6" s="1"/>
      <c r="Q6" s="1"/>
      <c r="R6" s="1"/>
      <c r="S6" s="1"/>
      <c r="T6" s="1"/>
      <c r="U6" s="1"/>
      <c r="V6" s="1"/>
      <c r="W6" s="1"/>
      <c r="X6" s="1"/>
      <c r="Y6" s="1"/>
      <c r="Z6" s="1"/>
      <c r="AA6" s="1"/>
      <c r="AB6" s="1"/>
      <c r="AC6" s="1"/>
      <c r="AD6" s="1"/>
      <c r="AE6" s="1"/>
      <c r="AF6" s="1"/>
      <c r="AG6" s="1"/>
      <c r="AH6" s="1"/>
      <c r="AI6" s="1"/>
    </row>
    <row r="7" spans="1:35" ht="15" thickBot="1">
      <c r="A7" s="1"/>
      <c r="B7" s="125"/>
      <c r="C7" s="502" t="s">
        <v>404</v>
      </c>
      <c r="D7" s="503" t="s">
        <v>405</v>
      </c>
      <c r="E7" s="504">
        <v>4926</v>
      </c>
      <c r="F7" s="505">
        <f>PRODUCT(1.12,3109.183856)</f>
        <v>3482.2859187200006</v>
      </c>
      <c r="G7" s="381"/>
      <c r="H7" s="506" t="s">
        <v>423</v>
      </c>
      <c r="I7" s="586">
        <f>E8/(E8+E6)</f>
        <v>0.49724593775819331</v>
      </c>
      <c r="J7" s="589">
        <f>1-J6</f>
        <v>0.49082506456436048</v>
      </c>
      <c r="K7" s="360"/>
      <c r="L7" s="1"/>
      <c r="M7" s="1"/>
      <c r="N7" s="1"/>
      <c r="O7" s="1"/>
      <c r="P7" s="1"/>
      <c r="Q7" s="1"/>
      <c r="R7" s="1"/>
      <c r="S7" s="1"/>
      <c r="T7" s="1"/>
      <c r="U7" s="1"/>
      <c r="V7" s="1"/>
      <c r="W7" s="1"/>
      <c r="X7" s="1"/>
      <c r="Y7" s="1"/>
      <c r="Z7" s="1"/>
      <c r="AA7" s="1"/>
      <c r="AB7" s="1"/>
      <c r="AC7" s="1"/>
      <c r="AD7" s="1"/>
      <c r="AE7" s="1"/>
      <c r="AF7" s="1"/>
      <c r="AG7" s="1"/>
      <c r="AH7" s="1"/>
      <c r="AI7" s="1"/>
    </row>
    <row r="8" spans="1:35">
      <c r="A8" s="1"/>
      <c r="B8" s="125"/>
      <c r="C8" s="508" t="s">
        <v>406</v>
      </c>
      <c r="D8" s="509" t="s">
        <v>427</v>
      </c>
      <c r="E8" s="510">
        <f>-'Reorganised Statements'!G39</f>
        <v>3611</v>
      </c>
      <c r="F8" s="510">
        <f>-'Reorganised Statements'!G39</f>
        <v>3611</v>
      </c>
      <c r="G8" s="381"/>
      <c r="H8" s="506"/>
      <c r="I8" s="511"/>
      <c r="J8" s="507"/>
      <c r="K8" s="360"/>
      <c r="L8" s="1"/>
      <c r="M8" s="1"/>
      <c r="N8" s="1"/>
      <c r="O8" s="1"/>
      <c r="P8" s="1"/>
      <c r="Q8" s="1"/>
      <c r="R8" s="1"/>
      <c r="S8" s="1"/>
      <c r="T8" s="1"/>
      <c r="U8" s="1"/>
      <c r="V8" s="1"/>
      <c r="W8" s="1"/>
      <c r="X8" s="1"/>
      <c r="Y8" s="1"/>
      <c r="Z8" s="1"/>
      <c r="AA8" s="1"/>
      <c r="AB8" s="1"/>
      <c r="AC8" s="1"/>
      <c r="AD8" s="1"/>
      <c r="AE8" s="1"/>
      <c r="AF8" s="1"/>
      <c r="AG8" s="1"/>
      <c r="AH8" s="1"/>
      <c r="AI8" s="1"/>
    </row>
    <row r="9" spans="1:35" ht="15" thickBot="1">
      <c r="A9" s="1"/>
      <c r="B9" s="125"/>
      <c r="C9" s="512" t="s">
        <v>407</v>
      </c>
      <c r="D9" s="513" t="s">
        <v>467</v>
      </c>
      <c r="E9" s="514">
        <f>(SUM(E10:E12))</f>
        <v>3754</v>
      </c>
      <c r="F9" s="515">
        <f>(SUM(F10:F12))</f>
        <v>3754</v>
      </c>
      <c r="G9" s="381"/>
      <c r="H9" s="506" t="s">
        <v>424</v>
      </c>
      <c r="I9" s="586">
        <f>E7/(E7+E9)</f>
        <v>0.56751152073732714</v>
      </c>
      <c r="J9" s="589">
        <f>F7/(F7+F9)</f>
        <v>0.48122558420632017</v>
      </c>
      <c r="K9" s="360"/>
      <c r="L9" s="1"/>
      <c r="M9" s="1"/>
      <c r="N9" s="1"/>
      <c r="O9" s="1"/>
      <c r="P9" s="1"/>
      <c r="Q9" s="1"/>
      <c r="R9" s="1"/>
      <c r="S9" s="1"/>
      <c r="T9" s="1"/>
      <c r="U9" s="1"/>
      <c r="V9" s="1"/>
      <c r="W9" s="1"/>
      <c r="X9" s="1"/>
      <c r="Y9" s="1"/>
      <c r="Z9" s="1"/>
      <c r="AA9" s="1"/>
      <c r="AB9" s="1"/>
      <c r="AC9" s="1"/>
      <c r="AD9" s="1"/>
      <c r="AE9" s="1"/>
      <c r="AF9" s="1"/>
      <c r="AG9" s="1"/>
      <c r="AH9" s="1"/>
      <c r="AI9" s="1"/>
    </row>
    <row r="10" spans="1:35" ht="15" thickBot="1">
      <c r="A10" s="1"/>
      <c r="B10" s="125"/>
      <c r="C10" s="125"/>
      <c r="D10" s="516" t="s">
        <v>408</v>
      </c>
      <c r="E10" s="517">
        <v>3635</v>
      </c>
      <c r="F10" s="518">
        <v>3635</v>
      </c>
      <c r="G10" s="381"/>
      <c r="H10" s="519" t="s">
        <v>425</v>
      </c>
      <c r="I10" s="587">
        <f>1-I9</f>
        <v>0.43248847926267286</v>
      </c>
      <c r="J10" s="590">
        <f>1-J9</f>
        <v>0.51877441579367978</v>
      </c>
      <c r="K10" s="360"/>
      <c r="L10" s="1"/>
      <c r="M10" s="1"/>
      <c r="N10" s="1"/>
      <c r="O10" s="1"/>
      <c r="P10" s="1"/>
      <c r="Q10" s="1"/>
      <c r="R10" s="1"/>
      <c r="S10" s="1"/>
      <c r="T10" s="1"/>
      <c r="U10" s="1"/>
      <c r="V10" s="1"/>
      <c r="W10" s="1"/>
      <c r="X10" s="1"/>
      <c r="Y10" s="1"/>
      <c r="Z10" s="1"/>
      <c r="AA10" s="1"/>
      <c r="AB10" s="1"/>
      <c r="AC10" s="1"/>
      <c r="AD10" s="1"/>
      <c r="AE10" s="1"/>
      <c r="AF10" s="1"/>
      <c r="AG10" s="1"/>
      <c r="AH10" s="1"/>
      <c r="AI10" s="1"/>
    </row>
    <row r="11" spans="1:35">
      <c r="A11" s="1"/>
      <c r="B11" s="125"/>
      <c r="C11" s="125"/>
      <c r="D11" s="516" t="s">
        <v>109</v>
      </c>
      <c r="E11" s="517">
        <v>2</v>
      </c>
      <c r="F11" s="518">
        <v>2</v>
      </c>
      <c r="G11" s="125"/>
      <c r="H11" s="125"/>
      <c r="I11" s="125"/>
      <c r="J11" s="125"/>
      <c r="K11" s="360"/>
      <c r="L11" s="1"/>
      <c r="M11" s="1"/>
      <c r="N11" s="1"/>
      <c r="O11" s="1"/>
      <c r="P11" s="1"/>
      <c r="Q11" s="1"/>
      <c r="R11" s="1"/>
      <c r="S11" s="1"/>
      <c r="T11" s="1"/>
      <c r="U11" s="1"/>
      <c r="V11" s="1"/>
      <c r="W11" s="1"/>
      <c r="X11" s="1"/>
      <c r="Y11" s="1"/>
      <c r="Z11" s="1"/>
      <c r="AA11" s="1"/>
      <c r="AB11" s="1"/>
      <c r="AC11" s="1"/>
      <c r="AD11" s="1"/>
      <c r="AE11" s="1"/>
      <c r="AF11" s="1"/>
      <c r="AG11" s="1"/>
      <c r="AH11" s="1"/>
      <c r="AI11" s="1"/>
    </row>
    <row r="12" spans="1:35">
      <c r="A12" s="1"/>
      <c r="B12" s="125"/>
      <c r="C12" s="125"/>
      <c r="D12" s="520" t="s">
        <v>409</v>
      </c>
      <c r="E12" s="521">
        <v>117</v>
      </c>
      <c r="F12" s="522">
        <v>117</v>
      </c>
      <c r="G12" s="125"/>
      <c r="H12" s="125"/>
      <c r="I12" s="125"/>
      <c r="J12" s="125"/>
      <c r="K12" s="360"/>
      <c r="L12" s="1"/>
      <c r="M12" s="1"/>
      <c r="N12" s="1"/>
      <c r="O12" s="1"/>
      <c r="P12" s="1"/>
      <c r="Q12" s="1"/>
      <c r="R12" s="1"/>
      <c r="S12" s="1"/>
      <c r="T12" s="1"/>
      <c r="U12" s="1"/>
      <c r="V12" s="1"/>
      <c r="W12" s="1"/>
      <c r="X12" s="1"/>
      <c r="Y12" s="1"/>
      <c r="Z12" s="1"/>
      <c r="AA12" s="1"/>
      <c r="AB12" s="1"/>
      <c r="AC12" s="1"/>
      <c r="AD12" s="1"/>
      <c r="AE12" s="1"/>
      <c r="AF12" s="1"/>
      <c r="AG12" s="1"/>
      <c r="AH12" s="1"/>
      <c r="AI12" s="1"/>
    </row>
    <row r="13" spans="1:35" ht="15" thickBot="1">
      <c r="A13" s="1"/>
      <c r="B13" s="125"/>
      <c r="C13" s="125"/>
      <c r="D13" s="125"/>
      <c r="E13" s="125"/>
      <c r="F13" s="125"/>
      <c r="G13" s="125"/>
      <c r="H13" s="125"/>
      <c r="I13" s="125"/>
      <c r="J13" s="125"/>
      <c r="K13" s="360"/>
      <c r="L13" s="1"/>
      <c r="M13" s="1"/>
      <c r="N13" s="1"/>
      <c r="O13" s="1"/>
      <c r="P13" s="1"/>
      <c r="Q13" s="1"/>
      <c r="R13" s="1"/>
      <c r="S13" s="1"/>
      <c r="T13" s="1"/>
      <c r="U13" s="1"/>
      <c r="V13" s="1"/>
      <c r="W13" s="1"/>
      <c r="X13" s="1"/>
      <c r="Y13" s="1"/>
      <c r="Z13" s="1"/>
      <c r="AA13" s="1"/>
      <c r="AB13" s="1"/>
      <c r="AC13" s="1"/>
      <c r="AD13" s="1"/>
      <c r="AE13" s="1"/>
      <c r="AF13" s="1"/>
      <c r="AG13" s="1"/>
      <c r="AH13" s="1"/>
      <c r="AI13" s="1"/>
    </row>
    <row r="14" spans="1:35" ht="15" thickBot="1">
      <c r="A14" s="1"/>
      <c r="B14" s="523" t="s">
        <v>420</v>
      </c>
      <c r="C14" s="524"/>
      <c r="D14" s="525"/>
      <c r="E14" s="125"/>
      <c r="F14" s="125"/>
      <c r="G14" s="125"/>
      <c r="H14" s="2"/>
      <c r="I14" s="2"/>
      <c r="J14" s="2"/>
      <c r="K14" s="360"/>
      <c r="L14" s="1"/>
      <c r="M14" s="1"/>
      <c r="N14" s="1"/>
      <c r="O14" s="1"/>
      <c r="P14" s="1"/>
      <c r="Q14" s="1"/>
      <c r="R14" s="1"/>
      <c r="S14" s="1"/>
      <c r="T14" s="1"/>
      <c r="U14" s="1"/>
      <c r="V14" s="1"/>
      <c r="W14" s="1"/>
      <c r="X14" s="1"/>
      <c r="Y14" s="1"/>
      <c r="Z14" s="1"/>
      <c r="AA14" s="1"/>
      <c r="AB14" s="1"/>
      <c r="AC14" s="1"/>
      <c r="AD14" s="1"/>
      <c r="AE14" s="1"/>
      <c r="AF14" s="1"/>
      <c r="AG14" s="1"/>
      <c r="AH14" s="1"/>
      <c r="AI14" s="1"/>
    </row>
    <row r="15" spans="1:35" ht="15" thickBot="1">
      <c r="A15" s="1"/>
      <c r="B15" s="526"/>
      <c r="C15" s="527"/>
      <c r="D15" s="527"/>
      <c r="E15" s="125"/>
      <c r="F15" s="125"/>
      <c r="G15" s="125"/>
      <c r="H15" s="2"/>
      <c r="I15" s="2"/>
      <c r="J15" s="2"/>
      <c r="K15" s="360"/>
      <c r="L15" s="1"/>
      <c r="M15" s="1"/>
      <c r="N15" s="1"/>
      <c r="O15" s="1"/>
      <c r="P15" s="1"/>
      <c r="Q15" s="1"/>
      <c r="R15" s="1"/>
      <c r="S15" s="1"/>
      <c r="T15" s="1"/>
      <c r="U15" s="1"/>
      <c r="V15" s="1"/>
      <c r="W15" s="1"/>
      <c r="X15" s="1"/>
      <c r="Y15" s="1"/>
      <c r="Z15" s="1"/>
      <c r="AA15" s="1"/>
      <c r="AB15" s="1"/>
      <c r="AC15" s="1"/>
      <c r="AD15" s="1"/>
      <c r="AE15" s="1"/>
      <c r="AF15" s="1"/>
      <c r="AG15" s="1"/>
      <c r="AH15" s="1"/>
      <c r="AI15" s="1"/>
    </row>
    <row r="16" spans="1:35" ht="15" thickBot="1">
      <c r="A16" s="1"/>
      <c r="B16" s="125"/>
      <c r="C16" s="528" t="s">
        <v>470</v>
      </c>
      <c r="D16" s="528" t="s">
        <v>410</v>
      </c>
      <c r="E16" s="528" t="s">
        <v>469</v>
      </c>
      <c r="F16" s="528" t="s">
        <v>411</v>
      </c>
      <c r="G16" s="125"/>
      <c r="H16" s="2"/>
      <c r="I16" s="2"/>
      <c r="J16" s="2"/>
      <c r="K16" s="360"/>
      <c r="L16" s="1"/>
      <c r="M16" s="1"/>
      <c r="N16" s="1"/>
      <c r="O16" s="1"/>
      <c r="P16" s="1"/>
      <c r="Q16" s="1"/>
      <c r="R16" s="1"/>
      <c r="S16" s="1"/>
      <c r="T16" s="1"/>
      <c r="U16" s="1"/>
      <c r="V16" s="1"/>
      <c r="W16" s="1"/>
      <c r="X16" s="1"/>
      <c r="Y16" s="1"/>
      <c r="Z16" s="1"/>
      <c r="AA16" s="1"/>
      <c r="AB16" s="1"/>
      <c r="AC16" s="1"/>
      <c r="AD16" s="1"/>
      <c r="AE16" s="1"/>
      <c r="AF16" s="1"/>
      <c r="AG16" s="1"/>
      <c r="AH16" s="1"/>
      <c r="AI16" s="1"/>
    </row>
    <row r="17" spans="1:35">
      <c r="A17" s="1"/>
      <c r="B17" s="125"/>
      <c r="C17" s="866" t="s">
        <v>479</v>
      </c>
      <c r="D17" s="529">
        <v>4.3749999999999997E-2</v>
      </c>
      <c r="E17" s="529">
        <v>2</v>
      </c>
      <c r="F17" s="867">
        <v>351.45699999999999</v>
      </c>
      <c r="G17" s="125"/>
      <c r="H17" s="2"/>
      <c r="I17" s="702"/>
      <c r="J17" s="2"/>
      <c r="K17" s="360"/>
      <c r="L17" s="1"/>
      <c r="M17" s="1"/>
      <c r="N17" s="1"/>
      <c r="O17" s="1"/>
      <c r="P17" s="1"/>
      <c r="Q17" s="1"/>
      <c r="R17" s="1"/>
      <c r="S17" s="1"/>
      <c r="T17" s="1"/>
      <c r="U17" s="1"/>
      <c r="V17" s="1"/>
      <c r="W17" s="1"/>
      <c r="X17" s="1"/>
      <c r="Y17" s="1"/>
      <c r="Z17" s="1"/>
      <c r="AA17" s="1"/>
      <c r="AB17" s="1"/>
      <c r="AC17" s="1"/>
      <c r="AD17" s="1"/>
      <c r="AE17" s="1"/>
      <c r="AF17" s="1"/>
      <c r="AG17" s="1"/>
      <c r="AH17" s="1"/>
      <c r="AI17" s="1"/>
    </row>
    <row r="18" spans="1:35">
      <c r="A18" s="1"/>
      <c r="B18" s="125"/>
      <c r="C18" s="866" t="s">
        <v>412</v>
      </c>
      <c r="D18" s="529">
        <v>3.6880000000000003E-2</v>
      </c>
      <c r="E18" s="529">
        <v>3</v>
      </c>
      <c r="F18" s="867">
        <v>500</v>
      </c>
      <c r="G18" s="125"/>
      <c r="H18" s="2"/>
      <c r="I18" s="702"/>
      <c r="J18" s="2"/>
      <c r="K18" s="360"/>
      <c r="L18" s="1"/>
      <c r="M18" s="1"/>
      <c r="N18" s="1"/>
      <c r="O18" s="1"/>
      <c r="P18" s="1"/>
      <c r="Q18" s="1"/>
      <c r="R18" s="1"/>
      <c r="S18" s="1"/>
      <c r="T18" s="1"/>
      <c r="U18" s="1"/>
      <c r="V18" s="1"/>
      <c r="W18" s="1"/>
      <c r="X18" s="1"/>
      <c r="Y18" s="1"/>
      <c r="Z18" s="1"/>
      <c r="AA18" s="1"/>
      <c r="AB18" s="1"/>
      <c r="AC18" s="1"/>
      <c r="AD18" s="1"/>
      <c r="AE18" s="1"/>
      <c r="AF18" s="1"/>
      <c r="AG18" s="1"/>
      <c r="AH18" s="1"/>
      <c r="AI18" s="1"/>
    </row>
    <row r="19" spans="1:35">
      <c r="A19" s="1"/>
      <c r="B19" s="125"/>
      <c r="C19" s="866" t="s">
        <v>477</v>
      </c>
      <c r="D19" s="529">
        <v>4.0570000000000002E-2</v>
      </c>
      <c r="E19" s="529">
        <v>4</v>
      </c>
      <c r="F19" s="867">
        <v>300</v>
      </c>
      <c r="G19" s="125"/>
      <c r="H19" s="2"/>
      <c r="I19" s="702"/>
      <c r="J19" s="2"/>
      <c r="K19" s="360"/>
      <c r="L19" s="1"/>
      <c r="M19" s="1"/>
      <c r="N19" s="1"/>
      <c r="O19" s="1"/>
      <c r="P19" s="1"/>
      <c r="Q19" s="1"/>
      <c r="R19" s="1"/>
      <c r="S19" s="1"/>
      <c r="T19" s="1"/>
      <c r="U19" s="1"/>
      <c r="V19" s="1"/>
      <c r="W19" s="1"/>
      <c r="X19" s="1"/>
      <c r="Y19" s="1"/>
      <c r="Z19" s="1"/>
      <c r="AA19" s="1"/>
      <c r="AB19" s="1"/>
      <c r="AC19" s="1"/>
      <c r="AD19" s="1"/>
      <c r="AE19" s="1"/>
      <c r="AF19" s="1"/>
      <c r="AG19" s="1"/>
      <c r="AH19" s="1"/>
      <c r="AI19" s="1"/>
    </row>
    <row r="20" spans="1:35">
      <c r="A20" s="1"/>
      <c r="B20" s="125"/>
      <c r="C20" s="866" t="s">
        <v>478</v>
      </c>
      <c r="D20" s="529">
        <v>1.2840000000000001E-2</v>
      </c>
      <c r="E20" s="529">
        <v>5</v>
      </c>
      <c r="F20" s="867">
        <v>300</v>
      </c>
      <c r="G20" s="125"/>
      <c r="H20" s="2"/>
      <c r="I20" s="702"/>
      <c r="J20" s="2"/>
      <c r="K20" s="360"/>
      <c r="L20" s="1"/>
      <c r="M20" s="1"/>
      <c r="N20" s="1"/>
      <c r="O20" s="1"/>
      <c r="P20" s="1"/>
      <c r="Q20" s="1"/>
      <c r="R20" s="1"/>
      <c r="S20" s="1"/>
      <c r="T20" s="1"/>
      <c r="U20" s="1"/>
      <c r="V20" s="1"/>
      <c r="W20" s="1"/>
      <c r="X20" s="1"/>
      <c r="Y20" s="1"/>
      <c r="Z20" s="1"/>
      <c r="AA20" s="1"/>
      <c r="AB20" s="1"/>
      <c r="AC20" s="1"/>
      <c r="AD20" s="1"/>
      <c r="AE20" s="1"/>
      <c r="AF20" s="1"/>
      <c r="AG20" s="1"/>
      <c r="AH20" s="1"/>
      <c r="AI20" s="1"/>
    </row>
    <row r="21" spans="1:35">
      <c r="A21" s="1"/>
      <c r="B21" s="125"/>
      <c r="C21" s="868" t="s">
        <v>413</v>
      </c>
      <c r="D21" s="511">
        <v>1.8360000000000001E-2</v>
      </c>
      <c r="E21" s="511">
        <v>6</v>
      </c>
      <c r="F21" s="869">
        <v>300</v>
      </c>
      <c r="G21" s="125"/>
      <c r="H21" s="2"/>
      <c r="I21" s="702"/>
      <c r="J21" s="2"/>
      <c r="K21" s="360"/>
      <c r="L21" s="1"/>
      <c r="M21" s="1"/>
      <c r="N21" s="1"/>
      <c r="O21" s="1"/>
      <c r="P21" s="1"/>
      <c r="Q21" s="1"/>
      <c r="R21" s="1"/>
      <c r="S21" s="1"/>
      <c r="T21" s="1"/>
      <c r="U21" s="1"/>
      <c r="V21" s="1"/>
      <c r="W21" s="1"/>
      <c r="X21" s="1"/>
      <c r="Y21" s="1"/>
      <c r="Z21" s="1"/>
      <c r="AA21" s="1"/>
      <c r="AB21" s="1"/>
      <c r="AC21" s="1"/>
      <c r="AD21" s="1"/>
      <c r="AE21" s="1"/>
      <c r="AF21" s="1"/>
      <c r="AG21" s="1"/>
      <c r="AH21" s="1"/>
      <c r="AI21" s="1"/>
    </row>
    <row r="22" spans="1:35">
      <c r="A22" s="1"/>
      <c r="B22" s="125"/>
      <c r="C22" s="868" t="s">
        <v>414</v>
      </c>
      <c r="D22" s="511">
        <v>1.7680000000000001E-2</v>
      </c>
      <c r="E22" s="511">
        <v>8</v>
      </c>
      <c r="F22" s="869">
        <v>300</v>
      </c>
      <c r="G22" s="125"/>
      <c r="H22" s="2"/>
      <c r="I22" s="702"/>
      <c r="J22" s="2"/>
      <c r="K22" s="360"/>
      <c r="L22" s="1"/>
      <c r="M22" s="1"/>
      <c r="N22" s="1"/>
      <c r="O22" s="1"/>
      <c r="P22" s="1"/>
      <c r="Q22" s="1"/>
      <c r="R22" s="1"/>
      <c r="S22" s="1"/>
      <c r="T22" s="1"/>
      <c r="U22" s="1"/>
      <c r="V22" s="1"/>
      <c r="W22" s="1"/>
      <c r="X22" s="1"/>
      <c r="Y22" s="1"/>
      <c r="Z22" s="1"/>
      <c r="AA22" s="1"/>
      <c r="AB22" s="1"/>
      <c r="AC22" s="1"/>
      <c r="AD22" s="1"/>
      <c r="AE22" s="1"/>
      <c r="AF22" s="1"/>
      <c r="AG22" s="1"/>
      <c r="AH22" s="1"/>
      <c r="AI22" s="1"/>
    </row>
    <row r="23" spans="1:35" ht="15" thickBot="1">
      <c r="A23" s="1"/>
      <c r="B23" s="125"/>
      <c r="C23" s="870" t="s">
        <v>415</v>
      </c>
      <c r="D23" s="871">
        <v>1.3899999999999999E-2</v>
      </c>
      <c r="E23" s="871">
        <v>10</v>
      </c>
      <c r="F23" s="872">
        <v>400</v>
      </c>
      <c r="G23" s="125"/>
      <c r="H23" s="125"/>
      <c r="I23" s="125"/>
      <c r="J23" s="125"/>
      <c r="K23" s="360"/>
      <c r="L23" s="1"/>
      <c r="M23" s="1"/>
      <c r="N23" s="1"/>
      <c r="O23" s="1"/>
      <c r="P23" s="1"/>
      <c r="Q23" s="1"/>
      <c r="R23" s="1"/>
      <c r="S23" s="1"/>
      <c r="T23" s="1"/>
      <c r="U23" s="1"/>
      <c r="V23" s="1"/>
      <c r="W23" s="1"/>
      <c r="X23" s="1"/>
      <c r="Y23" s="1"/>
      <c r="Z23" s="1"/>
      <c r="AA23" s="1"/>
      <c r="AB23" s="1"/>
      <c r="AC23" s="1"/>
      <c r="AD23" s="1"/>
      <c r="AE23" s="1"/>
      <c r="AF23" s="1"/>
      <c r="AG23" s="1"/>
      <c r="AH23" s="1"/>
      <c r="AI23" s="1"/>
    </row>
    <row r="24" spans="1:35" ht="15" thickBot="1">
      <c r="A24" s="1"/>
      <c r="B24" s="125"/>
      <c r="C24" s="125"/>
      <c r="D24" s="125"/>
      <c r="E24" s="125"/>
      <c r="F24" s="125"/>
      <c r="G24" s="125"/>
      <c r="H24" s="125"/>
      <c r="I24" s="125"/>
      <c r="J24" s="125"/>
      <c r="K24" s="360"/>
      <c r="L24" s="1"/>
      <c r="M24" s="1"/>
      <c r="N24" s="1"/>
      <c r="O24" s="1"/>
      <c r="P24" s="1"/>
      <c r="Q24" s="1"/>
      <c r="R24" s="1"/>
      <c r="S24" s="1"/>
      <c r="T24" s="1"/>
      <c r="U24" s="1"/>
      <c r="V24" s="1"/>
      <c r="W24" s="1"/>
      <c r="X24" s="1"/>
      <c r="Y24" s="1"/>
      <c r="Z24" s="1"/>
      <c r="AA24" s="1"/>
      <c r="AB24" s="1"/>
      <c r="AC24" s="1"/>
      <c r="AD24" s="1"/>
      <c r="AE24" s="1"/>
      <c r="AF24" s="1"/>
      <c r="AG24" s="1"/>
      <c r="AH24" s="1"/>
      <c r="AI24" s="1"/>
    </row>
    <row r="25" spans="1:35" ht="15" thickBot="1">
      <c r="A25" s="1"/>
      <c r="B25" s="125"/>
      <c r="C25" s="530" t="s">
        <v>421</v>
      </c>
      <c r="D25" s="531">
        <f xml:space="preserve"> (PRODUCT(D17:F17)+ PRODUCT(D18:F18) + PRODUCT(D19:F19) + PRODUCT(D20:F20)+ PRODUCT(D21:F21)+PRODUCT(D22:F22)+PRODUCT(D23:F23))/(PRODUCT(E17:F17) + PRODUCT(E18:F18) + PRODUCT(E19:F19) + PRODUCT(E20:F20)+PRODUCT(E21:F21)+PRODUCT(E22:F22)+PRODUCT(E23:F23))</f>
        <v>2.1758250683779193E-2</v>
      </c>
      <c r="E25" s="532"/>
      <c r="F25" s="125"/>
      <c r="G25" s="125"/>
      <c r="H25" s="382"/>
      <c r="I25" s="382"/>
      <c r="J25" s="125"/>
      <c r="K25" s="360"/>
      <c r="L25" s="1"/>
      <c r="M25" s="1"/>
      <c r="N25" s="1"/>
      <c r="O25" s="1"/>
      <c r="P25" s="1"/>
      <c r="Q25" s="1"/>
      <c r="R25" s="1"/>
      <c r="S25" s="1"/>
      <c r="T25" s="1"/>
      <c r="U25" s="1"/>
      <c r="V25" s="1"/>
      <c r="W25" s="1"/>
      <c r="X25" s="1"/>
      <c r="Y25" s="1"/>
      <c r="Z25" s="1"/>
      <c r="AA25" s="1"/>
      <c r="AB25" s="1"/>
      <c r="AC25" s="1"/>
      <c r="AD25" s="1"/>
      <c r="AE25" s="1"/>
      <c r="AF25" s="1"/>
      <c r="AG25" s="1"/>
      <c r="AH25" s="1"/>
      <c r="AI25" s="1"/>
    </row>
    <row r="26" spans="1:35">
      <c r="A26" s="1"/>
      <c r="B26" s="125"/>
      <c r="C26" s="125"/>
      <c r="D26" s="125"/>
      <c r="E26" s="125"/>
      <c r="F26" s="125"/>
      <c r="G26" s="125"/>
      <c r="H26" s="125"/>
      <c r="I26" s="125"/>
      <c r="J26" s="125"/>
      <c r="K26" s="360"/>
      <c r="L26" s="1"/>
      <c r="M26" s="1"/>
      <c r="N26" s="1"/>
      <c r="O26" s="1"/>
      <c r="P26" s="1"/>
      <c r="Q26" s="1"/>
      <c r="R26" s="1"/>
      <c r="S26" s="1"/>
      <c r="T26" s="1"/>
      <c r="U26" s="1"/>
      <c r="V26" s="1"/>
      <c r="W26" s="1"/>
      <c r="X26" s="1"/>
      <c r="Y26" s="1"/>
      <c r="Z26" s="1"/>
      <c r="AA26" s="1"/>
      <c r="AB26" s="1"/>
      <c r="AC26" s="1"/>
      <c r="AD26" s="1"/>
      <c r="AE26" s="1"/>
      <c r="AF26" s="1"/>
      <c r="AG26" s="1"/>
      <c r="AH26" s="1"/>
      <c r="AI26" s="1"/>
    </row>
    <row r="27" spans="1:35" ht="15" thickBot="1">
      <c r="A27" s="1"/>
      <c r="B27" s="2"/>
      <c r="C27" s="125"/>
      <c r="D27" s="125"/>
      <c r="E27" s="125"/>
      <c r="F27" s="125"/>
      <c r="G27" s="125"/>
      <c r="H27" s="125"/>
      <c r="I27" s="125"/>
      <c r="J27" s="125"/>
      <c r="K27" s="360"/>
      <c r="L27" s="1"/>
      <c r="M27" s="1"/>
      <c r="N27" s="1"/>
      <c r="O27" s="1"/>
      <c r="P27" s="1"/>
      <c r="Q27" s="1"/>
      <c r="R27" s="1"/>
      <c r="S27" s="1"/>
      <c r="T27" s="1"/>
      <c r="U27" s="1"/>
      <c r="V27" s="1"/>
      <c r="W27" s="1"/>
      <c r="X27" s="1"/>
      <c r="Y27" s="1"/>
      <c r="Z27" s="1"/>
      <c r="AA27" s="1"/>
      <c r="AB27" s="1"/>
      <c r="AC27" s="1"/>
      <c r="AD27" s="1"/>
      <c r="AE27" s="1"/>
      <c r="AF27" s="1"/>
      <c r="AG27" s="1"/>
      <c r="AH27" s="1"/>
      <c r="AI27" s="1"/>
    </row>
    <row r="28" spans="1:35" ht="15" thickBot="1">
      <c r="A28" s="1"/>
      <c r="B28" s="533" t="s">
        <v>428</v>
      </c>
      <c r="C28" s="534"/>
      <c r="D28" s="500" t="s">
        <v>165</v>
      </c>
      <c r="E28" s="500" t="s">
        <v>429</v>
      </c>
      <c r="F28" s="500" t="s">
        <v>430</v>
      </c>
      <c r="G28" s="498" t="s">
        <v>431</v>
      </c>
      <c r="H28" s="125"/>
      <c r="I28" s="125"/>
      <c r="J28" s="125"/>
      <c r="K28" s="360"/>
      <c r="L28" s="1"/>
      <c r="M28" s="1"/>
      <c r="N28" s="1"/>
      <c r="O28" s="1"/>
      <c r="P28" s="1"/>
      <c r="Q28" s="1"/>
      <c r="R28" s="1"/>
      <c r="S28" s="1"/>
      <c r="T28" s="1"/>
      <c r="U28" s="1"/>
      <c r="V28" s="1"/>
      <c r="W28" s="1"/>
      <c r="X28" s="1"/>
      <c r="Y28" s="1"/>
      <c r="Z28" s="1"/>
      <c r="AA28" s="1"/>
      <c r="AB28" s="1"/>
      <c r="AC28" s="1"/>
      <c r="AD28" s="1"/>
      <c r="AE28" s="1"/>
      <c r="AF28" s="1"/>
      <c r="AG28" s="1"/>
      <c r="AH28" s="1"/>
      <c r="AI28" s="1"/>
    </row>
    <row r="29" spans="1:35">
      <c r="A29" s="1"/>
      <c r="B29" s="171" t="s">
        <v>432</v>
      </c>
      <c r="C29" s="2"/>
      <c r="D29" s="535">
        <v>3836.2650000000003</v>
      </c>
      <c r="E29" s="535">
        <v>0.52576026796023623</v>
      </c>
      <c r="F29" s="535">
        <v>0.41</v>
      </c>
      <c r="G29" s="536">
        <v>0.21556170986369683</v>
      </c>
      <c r="H29" s="125"/>
      <c r="I29" s="125"/>
      <c r="J29" s="125"/>
      <c r="K29" s="360"/>
      <c r="L29" s="1"/>
      <c r="M29" s="1"/>
      <c r="N29" s="1"/>
      <c r="O29" s="1"/>
      <c r="P29" s="1"/>
      <c r="Q29" s="1"/>
      <c r="R29" s="1"/>
      <c r="S29" s="1"/>
      <c r="T29" s="1"/>
      <c r="U29" s="1"/>
      <c r="V29" s="1"/>
      <c r="W29" s="1"/>
      <c r="X29" s="1"/>
      <c r="Y29" s="1"/>
      <c r="Z29" s="1"/>
      <c r="AA29" s="1"/>
      <c r="AB29" s="1"/>
      <c r="AC29" s="1"/>
      <c r="AD29" s="1"/>
      <c r="AE29" s="1"/>
      <c r="AF29" s="1"/>
      <c r="AG29" s="1"/>
      <c r="AH29" s="1"/>
      <c r="AI29" s="1"/>
    </row>
    <row r="30" spans="1:35">
      <c r="A30" s="1"/>
      <c r="B30" s="171" t="s">
        <v>433</v>
      </c>
      <c r="C30" s="2"/>
      <c r="D30" s="535">
        <v>49.814999999999998</v>
      </c>
      <c r="E30" s="535">
        <v>6.8271476940303041E-3</v>
      </c>
      <c r="F30" s="535">
        <v>0.28999999999999998</v>
      </c>
      <c r="G30" s="536">
        <v>1.9798728312687879E-3</v>
      </c>
      <c r="H30" s="125"/>
      <c r="I30" s="125"/>
      <c r="J30" s="125"/>
      <c r="K30" s="360"/>
      <c r="L30" s="1"/>
      <c r="M30" s="1"/>
      <c r="N30" s="1"/>
      <c r="O30" s="1"/>
      <c r="P30" s="1"/>
      <c r="Q30" s="1"/>
      <c r="R30" s="1"/>
      <c r="S30" s="1"/>
      <c r="T30" s="1"/>
      <c r="U30" s="1"/>
      <c r="V30" s="1"/>
      <c r="W30" s="1"/>
      <c r="X30" s="1"/>
      <c r="Y30" s="1"/>
      <c r="Z30" s="1"/>
      <c r="AA30" s="1"/>
      <c r="AB30" s="1"/>
      <c r="AC30" s="1"/>
      <c r="AD30" s="1"/>
      <c r="AE30" s="1"/>
      <c r="AF30" s="1"/>
      <c r="AG30" s="1"/>
      <c r="AH30" s="1"/>
      <c r="AI30" s="1"/>
    </row>
    <row r="31" spans="1:35">
      <c r="A31" s="1"/>
      <c r="B31" s="171" t="s">
        <v>434</v>
      </c>
      <c r="C31" s="2"/>
      <c r="D31" s="535">
        <v>1278.7550000000001</v>
      </c>
      <c r="E31" s="535">
        <v>0.17525342265341209</v>
      </c>
      <c r="F31" s="535">
        <v>0.6</v>
      </c>
      <c r="G31" s="536">
        <v>0.10515205359204725</v>
      </c>
      <c r="H31" s="125"/>
      <c r="I31" s="125"/>
      <c r="J31" s="125"/>
      <c r="K31" s="360"/>
      <c r="L31" s="1"/>
      <c r="M31" s="1"/>
      <c r="N31" s="1"/>
      <c r="O31" s="1"/>
      <c r="P31" s="1"/>
      <c r="Q31" s="1"/>
      <c r="R31" s="1"/>
      <c r="S31" s="1"/>
      <c r="T31" s="1"/>
      <c r="U31" s="1"/>
      <c r="V31" s="1"/>
      <c r="W31" s="1"/>
      <c r="X31" s="1"/>
      <c r="Y31" s="1"/>
      <c r="Z31" s="1"/>
      <c r="AA31" s="1"/>
      <c r="AB31" s="1"/>
      <c r="AC31" s="1"/>
      <c r="AD31" s="1"/>
      <c r="AE31" s="1"/>
      <c r="AF31" s="1"/>
      <c r="AG31" s="1"/>
      <c r="AH31" s="1"/>
      <c r="AI31" s="1"/>
    </row>
    <row r="32" spans="1:35">
      <c r="A32" s="1"/>
      <c r="B32" s="171" t="s">
        <v>435</v>
      </c>
      <c r="C32" s="2"/>
      <c r="D32" s="535">
        <v>903</v>
      </c>
      <c r="E32" s="535">
        <v>0.12375618523957373</v>
      </c>
      <c r="F32" s="535">
        <v>0.8</v>
      </c>
      <c r="G32" s="536">
        <v>9.900494819165899E-2</v>
      </c>
      <c r="H32" s="125"/>
      <c r="I32" s="125"/>
      <c r="J32" s="125"/>
      <c r="K32" s="360"/>
      <c r="L32" s="1"/>
      <c r="M32" s="1"/>
      <c r="N32" s="1"/>
      <c r="O32" s="1"/>
      <c r="P32" s="1"/>
      <c r="Q32" s="1"/>
      <c r="R32" s="1"/>
      <c r="S32" s="1"/>
      <c r="T32" s="1"/>
      <c r="U32" s="1"/>
      <c r="V32" s="1"/>
      <c r="W32" s="1"/>
      <c r="X32" s="1"/>
      <c r="Y32" s="1"/>
      <c r="Z32" s="1"/>
      <c r="AA32" s="1"/>
      <c r="AB32" s="1"/>
      <c r="AC32" s="1"/>
      <c r="AD32" s="1"/>
      <c r="AE32" s="1"/>
      <c r="AF32" s="1"/>
      <c r="AG32" s="1"/>
      <c r="AH32" s="1"/>
      <c r="AI32" s="1"/>
    </row>
    <row r="33" spans="1:35">
      <c r="A33" s="1"/>
      <c r="B33" s="171"/>
      <c r="C33" s="2"/>
      <c r="D33" s="535"/>
      <c r="E33" s="535"/>
      <c r="F33" s="535"/>
      <c r="G33" s="536">
        <v>0</v>
      </c>
      <c r="H33" s="125"/>
      <c r="I33" s="125"/>
      <c r="J33" s="125"/>
      <c r="K33" s="360"/>
      <c r="L33" s="1"/>
      <c r="M33" s="1"/>
      <c r="N33" s="1"/>
      <c r="O33" s="1"/>
      <c r="P33" s="1"/>
      <c r="Q33" s="1"/>
      <c r="R33" s="1"/>
      <c r="S33" s="1"/>
      <c r="T33" s="1"/>
      <c r="U33" s="1"/>
      <c r="V33" s="1"/>
      <c r="W33" s="1"/>
      <c r="X33" s="1"/>
      <c r="Y33" s="1"/>
      <c r="Z33" s="1"/>
      <c r="AA33" s="1"/>
      <c r="AB33" s="1"/>
      <c r="AC33" s="1"/>
      <c r="AD33" s="1"/>
      <c r="AE33" s="1"/>
      <c r="AF33" s="1"/>
      <c r="AG33" s="1"/>
      <c r="AH33" s="1"/>
      <c r="AI33" s="1"/>
    </row>
    <row r="34" spans="1:35">
      <c r="A34" s="1"/>
      <c r="B34" s="171" t="s">
        <v>436</v>
      </c>
      <c r="C34" s="2"/>
      <c r="D34" s="535">
        <v>1228.77</v>
      </c>
      <c r="E34" s="535">
        <v>0.16840297645274752</v>
      </c>
      <c r="F34" s="535">
        <v>0.74</v>
      </c>
      <c r="G34" s="536">
        <v>0.12461820257503316</v>
      </c>
      <c r="H34" s="125"/>
      <c r="I34" s="125"/>
      <c r="J34" s="125"/>
      <c r="K34" s="360"/>
      <c r="L34" s="1"/>
      <c r="M34" s="1"/>
      <c r="N34" s="1"/>
      <c r="O34" s="1"/>
      <c r="P34" s="1"/>
      <c r="Q34" s="1"/>
      <c r="R34" s="1"/>
      <c r="S34" s="1"/>
      <c r="T34" s="1"/>
      <c r="U34" s="1"/>
      <c r="V34" s="1"/>
      <c r="W34" s="1"/>
      <c r="X34" s="1"/>
      <c r="Y34" s="1"/>
      <c r="Z34" s="1"/>
      <c r="AA34" s="1"/>
      <c r="AB34" s="1"/>
      <c r="AC34" s="1"/>
      <c r="AD34" s="1"/>
      <c r="AE34" s="1"/>
      <c r="AF34" s="1"/>
      <c r="AG34" s="1"/>
      <c r="AH34" s="1"/>
      <c r="AI34" s="1"/>
    </row>
    <row r="35" spans="1:35" ht="15" thickBot="1">
      <c r="A35" s="1"/>
      <c r="B35" s="171" t="s">
        <v>437</v>
      </c>
      <c r="C35" s="2"/>
      <c r="D35" s="535"/>
      <c r="E35" s="535">
        <v>0</v>
      </c>
      <c r="F35" s="535">
        <v>0.91</v>
      </c>
      <c r="G35" s="536">
        <v>0</v>
      </c>
      <c r="H35" s="125"/>
      <c r="I35" s="125"/>
      <c r="J35" s="125"/>
      <c r="K35" s="360"/>
      <c r="L35" s="1"/>
      <c r="M35" s="1"/>
      <c r="N35" s="1"/>
      <c r="O35" s="1"/>
      <c r="P35" s="1"/>
      <c r="Q35" s="1"/>
      <c r="R35" s="1"/>
      <c r="S35" s="1"/>
      <c r="T35" s="1"/>
      <c r="U35" s="1"/>
      <c r="V35" s="1"/>
      <c r="W35" s="1"/>
      <c r="X35" s="1"/>
      <c r="Y35" s="1"/>
      <c r="Z35" s="1"/>
      <c r="AA35" s="1"/>
      <c r="AB35" s="1"/>
      <c r="AC35" s="1"/>
      <c r="AD35" s="1"/>
      <c r="AE35" s="1"/>
      <c r="AF35" s="1"/>
      <c r="AG35" s="1"/>
      <c r="AH35" s="1"/>
      <c r="AI35" s="1"/>
    </row>
    <row r="36" spans="1:35" ht="15" thickBot="1">
      <c r="A36" s="1"/>
      <c r="B36" s="537" t="s">
        <v>438</v>
      </c>
      <c r="C36" s="538"/>
      <c r="D36" s="528">
        <v>7296.6050000000014</v>
      </c>
      <c r="E36" s="528">
        <v>0.99999999999999989</v>
      </c>
      <c r="F36" s="528"/>
      <c r="G36" s="539">
        <v>0.54631678705370501</v>
      </c>
      <c r="H36" s="125"/>
      <c r="I36" s="125"/>
      <c r="J36" s="125"/>
      <c r="K36" s="360"/>
      <c r="L36" s="1"/>
      <c r="M36" s="1"/>
      <c r="N36" s="1"/>
      <c r="O36" s="1"/>
      <c r="P36" s="1"/>
      <c r="Q36" s="1"/>
      <c r="R36" s="1"/>
      <c r="S36" s="1"/>
      <c r="T36" s="1"/>
      <c r="U36" s="1"/>
      <c r="V36" s="1"/>
      <c r="W36" s="1"/>
      <c r="X36" s="1"/>
      <c r="Y36" s="1"/>
      <c r="Z36" s="1"/>
      <c r="AA36" s="1"/>
      <c r="AB36" s="1"/>
      <c r="AC36" s="1"/>
      <c r="AD36" s="1"/>
      <c r="AE36" s="1"/>
      <c r="AF36" s="1"/>
      <c r="AG36" s="1"/>
      <c r="AH36" s="1"/>
      <c r="AI36" s="1"/>
    </row>
    <row r="37" spans="1:35" ht="15" thickBot="1">
      <c r="A37" s="1"/>
      <c r="B37" s="125"/>
      <c r="C37" s="125"/>
      <c r="D37" s="125"/>
      <c r="E37" s="125"/>
      <c r="F37" s="125"/>
      <c r="G37" s="125"/>
      <c r="H37" s="125"/>
      <c r="I37" s="125"/>
      <c r="J37" s="125"/>
      <c r="K37" s="360"/>
      <c r="L37" s="1"/>
      <c r="M37" s="1"/>
      <c r="N37" s="1"/>
      <c r="O37" s="1"/>
      <c r="P37" s="1"/>
      <c r="Q37" s="1"/>
      <c r="R37" s="1"/>
      <c r="S37" s="1"/>
      <c r="T37" s="1"/>
      <c r="U37" s="1"/>
      <c r="V37" s="1"/>
      <c r="W37" s="1"/>
      <c r="X37" s="1"/>
      <c r="Y37" s="1"/>
      <c r="Z37" s="1"/>
      <c r="AA37" s="1"/>
      <c r="AB37" s="1"/>
      <c r="AC37" s="1"/>
      <c r="AD37" s="1"/>
      <c r="AE37" s="1"/>
      <c r="AF37" s="1"/>
      <c r="AG37" s="1"/>
      <c r="AH37" s="1"/>
      <c r="AI37" s="1"/>
    </row>
    <row r="38" spans="1:35" ht="15" thickBot="1">
      <c r="A38" s="1"/>
      <c r="B38" s="500" t="s">
        <v>458</v>
      </c>
      <c r="C38" s="540">
        <v>43830</v>
      </c>
      <c r="D38" s="498" t="s">
        <v>459</v>
      </c>
      <c r="E38" s="125"/>
      <c r="F38" s="125"/>
      <c r="G38" s="125"/>
      <c r="H38" s="125"/>
      <c r="I38" s="125"/>
      <c r="J38" s="125"/>
      <c r="K38" s="360"/>
      <c r="L38" s="1"/>
      <c r="M38" s="1"/>
      <c r="N38" s="1"/>
      <c r="O38" s="1"/>
      <c r="P38" s="1"/>
      <c r="Q38" s="1"/>
      <c r="R38" s="1"/>
      <c r="S38" s="1"/>
      <c r="T38" s="1"/>
      <c r="U38" s="1"/>
      <c r="V38" s="1"/>
      <c r="W38" s="1"/>
      <c r="X38" s="1"/>
      <c r="Y38" s="1"/>
      <c r="Z38" s="1"/>
      <c r="AA38" s="1"/>
      <c r="AB38" s="1"/>
      <c r="AC38" s="1"/>
      <c r="AD38" s="1"/>
      <c r="AE38" s="1"/>
      <c r="AF38" s="1"/>
      <c r="AG38" s="1"/>
      <c r="AH38" s="1"/>
      <c r="AI38" s="1"/>
    </row>
    <row r="39" spans="1:35">
      <c r="A39" s="1"/>
      <c r="B39" s="535" t="s">
        <v>460</v>
      </c>
      <c r="C39" s="535">
        <v>0.54631678705370501</v>
      </c>
      <c r="D39" s="536">
        <v>0.54631678705370501</v>
      </c>
      <c r="E39" s="125"/>
      <c r="F39" s="125"/>
      <c r="G39" s="125"/>
      <c r="H39" s="125"/>
      <c r="I39" s="125"/>
      <c r="J39" s="125"/>
      <c r="K39" s="360"/>
      <c r="L39" s="1"/>
      <c r="M39" s="1"/>
      <c r="N39" s="1"/>
      <c r="O39" s="1"/>
      <c r="P39" s="1"/>
      <c r="Q39" s="1"/>
      <c r="R39" s="1"/>
      <c r="S39" s="1"/>
      <c r="T39" s="1"/>
      <c r="U39" s="1"/>
      <c r="V39" s="1"/>
      <c r="W39" s="1"/>
      <c r="X39" s="1"/>
      <c r="Y39" s="1"/>
      <c r="Z39" s="1"/>
      <c r="AA39" s="1"/>
      <c r="AB39" s="1"/>
      <c r="AC39" s="1"/>
      <c r="AD39" s="1"/>
      <c r="AE39" s="1"/>
      <c r="AF39" s="1"/>
      <c r="AG39" s="1"/>
      <c r="AH39" s="1"/>
      <c r="AI39" s="1"/>
    </row>
    <row r="40" spans="1:35">
      <c r="A40" s="1"/>
      <c r="B40" s="535" t="s">
        <v>461</v>
      </c>
      <c r="C40" s="535">
        <f>E8/E6</f>
        <v>0.98904409750753219</v>
      </c>
      <c r="D40" s="536">
        <f>F8/F6</f>
        <v>0.96396155899626268</v>
      </c>
      <c r="E40" s="125"/>
      <c r="F40" s="125"/>
      <c r="G40" s="125"/>
      <c r="H40" s="125"/>
      <c r="I40" s="125"/>
      <c r="J40" s="125"/>
      <c r="K40" s="360"/>
      <c r="L40" s="1"/>
      <c r="M40" s="1"/>
      <c r="N40" s="1"/>
      <c r="O40" s="1"/>
      <c r="P40" s="1"/>
      <c r="Q40" s="1"/>
      <c r="R40" s="1"/>
      <c r="S40" s="1"/>
      <c r="T40" s="1"/>
      <c r="U40" s="1"/>
      <c r="V40" s="1"/>
      <c r="W40" s="1"/>
      <c r="X40" s="1"/>
      <c r="Y40" s="1"/>
      <c r="Z40" s="1"/>
      <c r="AA40" s="1"/>
      <c r="AB40" s="1"/>
      <c r="AC40" s="1"/>
      <c r="AD40" s="1"/>
      <c r="AE40" s="1"/>
      <c r="AF40" s="1"/>
      <c r="AG40" s="1"/>
      <c r="AH40" s="1"/>
      <c r="AI40" s="1"/>
    </row>
    <row r="41" spans="1:35">
      <c r="A41" s="1"/>
      <c r="B41" s="535" t="s">
        <v>462</v>
      </c>
      <c r="C41" s="535">
        <f>E9/E7</f>
        <v>0.76207876573284616</v>
      </c>
      <c r="D41" s="536">
        <f>F9/F7</f>
        <v>1.0780275048120904</v>
      </c>
      <c r="E41" s="125"/>
      <c r="F41" s="125"/>
      <c r="G41" s="125"/>
      <c r="H41" s="125"/>
      <c r="I41" s="125"/>
      <c r="J41" s="125"/>
      <c r="K41" s="360"/>
      <c r="L41" s="1"/>
      <c r="M41" s="1"/>
      <c r="N41" s="1"/>
      <c r="O41" s="1"/>
      <c r="P41" s="1"/>
      <c r="Q41" s="1"/>
      <c r="R41" s="1"/>
      <c r="S41" s="1"/>
      <c r="T41" s="1"/>
      <c r="U41" s="1"/>
      <c r="V41" s="1"/>
      <c r="W41" s="1"/>
      <c r="X41" s="1"/>
      <c r="Y41" s="1"/>
      <c r="Z41" s="1"/>
      <c r="AA41" s="1"/>
      <c r="AB41" s="1"/>
      <c r="AC41" s="1"/>
      <c r="AD41" s="1"/>
      <c r="AE41" s="1"/>
      <c r="AF41" s="1"/>
      <c r="AG41" s="1"/>
      <c r="AH41" s="1"/>
      <c r="AI41" s="1"/>
    </row>
    <row r="42" spans="1:35">
      <c r="A42" s="1"/>
      <c r="B42" s="535" t="s">
        <v>463</v>
      </c>
      <c r="C42" s="535">
        <v>0.27900000000000003</v>
      </c>
      <c r="D42" s="536">
        <v>0.27900000000000003</v>
      </c>
      <c r="E42" s="125"/>
      <c r="F42" s="125"/>
      <c r="G42" s="125"/>
      <c r="H42" s="125"/>
      <c r="I42" s="125"/>
      <c r="J42" s="125"/>
      <c r="K42" s="360"/>
      <c r="L42" s="1"/>
      <c r="M42" s="1"/>
      <c r="N42" s="1"/>
      <c r="O42" s="1"/>
      <c r="P42" s="1"/>
      <c r="Q42" s="1"/>
      <c r="R42" s="1"/>
      <c r="S42" s="1"/>
      <c r="T42" s="1"/>
      <c r="U42" s="1"/>
      <c r="V42" s="1"/>
      <c r="W42" s="1"/>
      <c r="X42" s="1"/>
      <c r="Y42" s="1"/>
      <c r="Z42" s="1"/>
      <c r="AA42" s="1"/>
      <c r="AB42" s="1"/>
      <c r="AC42" s="1"/>
      <c r="AD42" s="1"/>
      <c r="AE42" s="1"/>
      <c r="AF42" s="1"/>
      <c r="AG42" s="1"/>
      <c r="AH42" s="1"/>
      <c r="AI42" s="1"/>
    </row>
    <row r="43" spans="1:35">
      <c r="A43" s="1"/>
      <c r="B43" s="535" t="s">
        <v>464</v>
      </c>
      <c r="C43" s="535">
        <f>PRODUCT(C39,1+PRODUCT(1-C42,C40))</f>
        <v>0.93589572184272718</v>
      </c>
      <c r="D43" s="536">
        <f>PRODUCT(C39,1+PRODUCT(1-C42,D40))</f>
        <v>0.9260158502984247</v>
      </c>
      <c r="E43" s="125"/>
      <c r="F43" s="125"/>
      <c r="G43" s="125"/>
      <c r="H43" s="2"/>
      <c r="I43" s="2"/>
      <c r="J43" s="2"/>
      <c r="K43" s="360"/>
      <c r="L43" s="52"/>
      <c r="M43" s="52"/>
      <c r="N43" s="52"/>
      <c r="O43" s="1"/>
      <c r="P43" s="1"/>
      <c r="Q43" s="1"/>
      <c r="R43" s="1"/>
      <c r="S43" s="1"/>
      <c r="T43" s="1"/>
      <c r="U43" s="1"/>
      <c r="V43" s="1"/>
      <c r="W43" s="1"/>
      <c r="X43" s="1"/>
      <c r="Y43" s="1"/>
      <c r="Z43" s="1"/>
      <c r="AA43" s="1"/>
      <c r="AB43" s="1"/>
      <c r="AC43" s="1"/>
      <c r="AD43" s="1"/>
      <c r="AE43" s="1"/>
      <c r="AF43" s="1"/>
      <c r="AG43" s="1"/>
      <c r="AH43" s="1"/>
      <c r="AI43" s="1"/>
    </row>
    <row r="44" spans="1:35" ht="15" thickBot="1">
      <c r="A44" s="1"/>
      <c r="B44" s="541" t="s">
        <v>465</v>
      </c>
      <c r="C44" s="541">
        <f>PRODUCT(C39,1+PRODUCT(1-C42,C41))</f>
        <v>0.84649534787593761</v>
      </c>
      <c r="D44" s="542">
        <f>PRODUCT(C39,1+PRODUCT(1-C42,D41))</f>
        <v>0.97094578798130338</v>
      </c>
      <c r="E44" s="125"/>
      <c r="F44" s="125"/>
      <c r="G44" s="125"/>
      <c r="H44" s="2"/>
      <c r="I44" s="2"/>
      <c r="J44" s="2"/>
      <c r="K44" s="360"/>
      <c r="L44" s="52"/>
      <c r="M44" s="52"/>
      <c r="N44" s="52"/>
      <c r="O44" s="1"/>
      <c r="P44" s="1"/>
      <c r="Q44" s="1"/>
      <c r="R44" s="1"/>
      <c r="S44" s="1"/>
      <c r="T44" s="1"/>
      <c r="U44" s="1"/>
      <c r="V44" s="1"/>
      <c r="W44" s="1"/>
      <c r="X44" s="1"/>
      <c r="Y44" s="1"/>
      <c r="Z44" s="1"/>
      <c r="AA44" s="1"/>
      <c r="AB44" s="1"/>
      <c r="AC44" s="1"/>
      <c r="AD44" s="1"/>
      <c r="AE44" s="1"/>
      <c r="AF44" s="1"/>
      <c r="AG44" s="1"/>
      <c r="AH44" s="1"/>
      <c r="AI44" s="1"/>
    </row>
    <row r="45" spans="1:35">
      <c r="A45" s="1"/>
      <c r="B45" s="125"/>
      <c r="C45" s="125"/>
      <c r="D45" s="125"/>
      <c r="E45" s="125"/>
      <c r="F45" s="125"/>
      <c r="G45" s="125"/>
      <c r="H45" s="2"/>
      <c r="I45" s="2"/>
      <c r="J45" s="2"/>
      <c r="K45" s="360"/>
      <c r="L45" s="52"/>
      <c r="M45" s="52"/>
      <c r="N45" s="52"/>
      <c r="O45" s="1"/>
      <c r="P45" s="1"/>
      <c r="Q45" s="1"/>
      <c r="R45" s="1"/>
      <c r="S45" s="1"/>
      <c r="T45" s="1"/>
      <c r="U45" s="1"/>
      <c r="V45" s="1"/>
      <c r="W45" s="1"/>
      <c r="X45" s="1"/>
      <c r="Y45" s="1"/>
      <c r="Z45" s="1"/>
      <c r="AA45" s="1"/>
      <c r="AB45" s="1"/>
      <c r="AC45" s="1"/>
      <c r="AD45" s="1"/>
      <c r="AE45" s="1"/>
      <c r="AF45" s="1"/>
      <c r="AG45" s="1"/>
      <c r="AH45" s="1"/>
      <c r="AI45" s="1"/>
    </row>
    <row r="46" spans="1:35" ht="15" thickBot="1">
      <c r="A46" s="1"/>
      <c r="B46" s="125"/>
      <c r="C46" s="125"/>
      <c r="D46" s="125"/>
      <c r="E46" s="125"/>
      <c r="F46" s="125"/>
      <c r="G46" s="125"/>
      <c r="H46" s="2"/>
      <c r="I46" s="2"/>
      <c r="J46" s="2"/>
      <c r="K46" s="360"/>
      <c r="L46" s="52"/>
      <c r="M46" s="52"/>
      <c r="N46" s="52"/>
      <c r="O46" s="1"/>
      <c r="P46" s="1"/>
      <c r="Q46" s="1"/>
      <c r="R46" s="1"/>
      <c r="S46" s="1"/>
      <c r="T46" s="1"/>
      <c r="U46" s="1"/>
      <c r="V46" s="1"/>
      <c r="W46" s="1"/>
      <c r="X46" s="1"/>
      <c r="Y46" s="1"/>
      <c r="Z46" s="1"/>
      <c r="AA46" s="1"/>
      <c r="AB46" s="1"/>
      <c r="AC46" s="1"/>
      <c r="AD46" s="1"/>
      <c r="AE46" s="1"/>
      <c r="AF46" s="1"/>
      <c r="AG46" s="1"/>
      <c r="AH46" s="1"/>
      <c r="AI46" s="1"/>
    </row>
    <row r="47" spans="1:35" ht="15" thickBot="1">
      <c r="A47" s="1"/>
      <c r="B47" s="543" t="s">
        <v>542</v>
      </c>
      <c r="C47" s="544"/>
      <c r="D47" s="544"/>
      <c r="E47" s="544"/>
      <c r="F47" s="544"/>
      <c r="G47" s="544"/>
      <c r="H47" s="171"/>
      <c r="I47" s="385"/>
      <c r="J47" s="385"/>
      <c r="K47" s="360"/>
      <c r="L47" s="52"/>
      <c r="M47" s="52"/>
      <c r="N47" s="52"/>
      <c r="O47" s="1"/>
      <c r="P47" s="1"/>
      <c r="Q47" s="1"/>
      <c r="R47" s="1"/>
      <c r="S47" s="1"/>
      <c r="T47" s="1"/>
      <c r="U47" s="1"/>
      <c r="V47" s="1"/>
      <c r="W47" s="1"/>
      <c r="X47" s="1"/>
      <c r="Y47" s="1"/>
      <c r="Z47" s="1"/>
      <c r="AA47" s="1"/>
      <c r="AB47" s="1"/>
      <c r="AC47" s="1"/>
      <c r="AD47" s="1"/>
      <c r="AE47" s="1"/>
      <c r="AF47" s="1"/>
      <c r="AG47" s="1"/>
      <c r="AH47" s="1"/>
      <c r="AI47" s="1"/>
    </row>
    <row r="48" spans="1:35">
      <c r="A48" s="1"/>
      <c r="B48" s="545" t="s">
        <v>379</v>
      </c>
      <c r="C48" s="546"/>
      <c r="D48" s="545" t="s">
        <v>380</v>
      </c>
      <c r="E48" s="546"/>
      <c r="F48" s="545" t="s">
        <v>381</v>
      </c>
      <c r="G48" s="700"/>
      <c r="H48" s="171"/>
      <c r="I48" s="2"/>
      <c r="J48" s="2"/>
      <c r="K48" s="360"/>
      <c r="L48" s="52"/>
      <c r="M48" s="52"/>
      <c r="N48" s="52"/>
      <c r="O48" s="1"/>
      <c r="P48" s="1"/>
      <c r="Q48" s="1"/>
      <c r="R48" s="1"/>
      <c r="S48" s="1"/>
      <c r="T48" s="1"/>
      <c r="U48" s="1"/>
      <c r="V48" s="1"/>
      <c r="W48" s="1"/>
      <c r="X48" s="1"/>
      <c r="Y48" s="1"/>
      <c r="Z48" s="1"/>
      <c r="AA48" s="1"/>
      <c r="AB48" s="1"/>
      <c r="AC48" s="1"/>
      <c r="AD48" s="1"/>
      <c r="AE48" s="1"/>
      <c r="AF48" s="1"/>
      <c r="AG48" s="1"/>
      <c r="AH48" s="1"/>
      <c r="AI48" s="1"/>
    </row>
    <row r="49" spans="1:35">
      <c r="A49" s="1"/>
      <c r="B49" s="171" t="s">
        <v>382</v>
      </c>
      <c r="C49" s="359">
        <v>3.1552387285036501E-3</v>
      </c>
      <c r="D49" s="171" t="s">
        <v>383</v>
      </c>
      <c r="E49" s="548">
        <f>C49</f>
        <v>3.1552387285036501E-3</v>
      </c>
      <c r="F49" s="171"/>
      <c r="G49" s="2"/>
      <c r="H49" s="171"/>
      <c r="I49" s="2"/>
      <c r="J49" s="2"/>
      <c r="K49" s="360"/>
      <c r="L49" s="52"/>
      <c r="M49" s="52"/>
      <c r="N49" s="52"/>
      <c r="O49" s="1"/>
      <c r="P49" s="1"/>
      <c r="Q49" s="1"/>
      <c r="R49" s="1"/>
      <c r="S49" s="1"/>
      <c r="T49" s="1"/>
      <c r="U49" s="1"/>
      <c r="V49" s="1"/>
      <c r="W49" s="1"/>
      <c r="X49" s="1"/>
      <c r="Y49" s="1"/>
      <c r="Z49" s="1"/>
      <c r="AA49" s="1"/>
      <c r="AB49" s="1"/>
      <c r="AC49" s="1"/>
      <c r="AD49" s="1"/>
      <c r="AE49" s="1"/>
      <c r="AF49" s="1"/>
      <c r="AG49" s="1"/>
      <c r="AH49" s="1"/>
      <c r="AI49" s="1"/>
    </row>
    <row r="50" spans="1:35">
      <c r="A50" s="1"/>
      <c r="B50" s="549" t="s">
        <v>384</v>
      </c>
      <c r="C50" s="550">
        <v>1.4999999999999999E-2</v>
      </c>
      <c r="D50" s="549" t="s">
        <v>385</v>
      </c>
      <c r="E50" s="550">
        <v>1.4999999999999999E-2</v>
      </c>
      <c r="F50" s="551" t="s">
        <v>418</v>
      </c>
      <c r="G50" s="701">
        <f>D25</f>
        <v>2.1758250683779193E-2</v>
      </c>
      <c r="H50" s="171"/>
      <c r="I50" s="2"/>
      <c r="J50" s="702"/>
      <c r="K50" s="360"/>
      <c r="L50" s="52"/>
      <c r="M50" s="52"/>
      <c r="N50" s="52"/>
      <c r="O50" s="1"/>
      <c r="P50" s="1"/>
      <c r="Q50" s="1"/>
      <c r="R50" s="1"/>
      <c r="S50" s="1"/>
      <c r="T50" s="1"/>
      <c r="U50" s="1"/>
      <c r="V50" s="1"/>
      <c r="W50" s="1"/>
      <c r="X50" s="1"/>
      <c r="Y50" s="1"/>
      <c r="Z50" s="1"/>
      <c r="AA50" s="1"/>
      <c r="AB50" s="1"/>
      <c r="AC50" s="1"/>
      <c r="AD50" s="1"/>
      <c r="AE50" s="1"/>
      <c r="AF50" s="1"/>
      <c r="AG50" s="1"/>
      <c r="AH50" s="1"/>
      <c r="AI50" s="1"/>
    </row>
    <row r="51" spans="1:35">
      <c r="A51" s="1"/>
      <c r="B51" s="285" t="s">
        <v>386</v>
      </c>
      <c r="C51" s="548">
        <f>SUM(C49:C50)</f>
        <v>1.815523872850365E-2</v>
      </c>
      <c r="D51" s="552" t="s">
        <v>386</v>
      </c>
      <c r="E51" s="548">
        <f>SUM(E49:E50)</f>
        <v>1.815523872850365E-2</v>
      </c>
      <c r="F51" s="171"/>
      <c r="G51" s="2"/>
      <c r="H51" s="171"/>
      <c r="I51" s="2"/>
      <c r="J51" s="702"/>
      <c r="K51" s="360"/>
      <c r="L51" s="52"/>
      <c r="M51" s="52"/>
      <c r="N51" s="52"/>
      <c r="O51" s="1"/>
      <c r="P51" s="1"/>
      <c r="Q51" s="1"/>
      <c r="R51" s="1"/>
      <c r="S51" s="1"/>
      <c r="T51" s="1"/>
      <c r="U51" s="1"/>
      <c r="V51" s="1"/>
      <c r="W51" s="1"/>
      <c r="X51" s="1"/>
      <c r="Y51" s="1"/>
      <c r="Z51" s="1"/>
      <c r="AA51" s="1"/>
      <c r="AB51" s="1"/>
      <c r="AC51" s="1"/>
      <c r="AD51" s="1"/>
      <c r="AE51" s="1"/>
      <c r="AF51" s="1"/>
      <c r="AG51" s="1"/>
      <c r="AH51" s="1"/>
      <c r="AI51" s="1"/>
    </row>
    <row r="52" spans="1:35">
      <c r="A52" s="1"/>
      <c r="B52" s="549" t="s">
        <v>387</v>
      </c>
      <c r="C52" s="550">
        <v>0.27900000000000003</v>
      </c>
      <c r="D52" s="549" t="s">
        <v>387</v>
      </c>
      <c r="E52" s="550">
        <v>0.27900000000000003</v>
      </c>
      <c r="F52" s="549" t="s">
        <v>387</v>
      </c>
      <c r="G52" s="701">
        <v>0.27900000000000003</v>
      </c>
      <c r="H52" s="171"/>
      <c r="I52" s="2"/>
      <c r="J52" s="702"/>
      <c r="K52" s="360"/>
      <c r="L52" s="52"/>
      <c r="M52" s="52"/>
      <c r="N52" s="52"/>
      <c r="O52" s="1"/>
      <c r="P52" s="1"/>
      <c r="Q52" s="1"/>
      <c r="R52" s="1"/>
      <c r="S52" s="1"/>
      <c r="T52" s="1"/>
      <c r="U52" s="1"/>
      <c r="V52" s="1"/>
      <c r="W52" s="1"/>
      <c r="X52" s="1"/>
      <c r="Y52" s="1"/>
      <c r="Z52" s="1"/>
      <c r="AA52" s="1"/>
      <c r="AB52" s="1"/>
      <c r="AC52" s="1"/>
      <c r="AD52" s="1"/>
      <c r="AE52" s="1"/>
      <c r="AF52" s="1"/>
      <c r="AG52" s="1"/>
      <c r="AH52" s="1"/>
      <c r="AI52" s="1"/>
    </row>
    <row r="53" spans="1:35">
      <c r="A53" s="1"/>
      <c r="B53" s="285" t="s">
        <v>388</v>
      </c>
      <c r="C53" s="359">
        <f>PRODUCT(C51,(1-C52))</f>
        <v>1.3089927123251131E-2</v>
      </c>
      <c r="D53" s="285" t="s">
        <v>388</v>
      </c>
      <c r="E53" s="359">
        <f>PRODUCT(E51,(1-E52))</f>
        <v>1.3089927123251131E-2</v>
      </c>
      <c r="F53" s="285" t="s">
        <v>389</v>
      </c>
      <c r="G53" s="621">
        <f>PRODUCT(G50,(1-G52))</f>
        <v>1.5687698743004796E-2</v>
      </c>
      <c r="H53" s="171"/>
      <c r="I53" s="2"/>
      <c r="J53" s="702"/>
      <c r="K53" s="360"/>
      <c r="L53" s="52"/>
      <c r="M53" s="52"/>
      <c r="N53" s="52"/>
      <c r="O53" s="1"/>
      <c r="P53" s="1"/>
      <c r="Q53" s="1"/>
      <c r="R53" s="1"/>
      <c r="S53" s="1"/>
      <c r="T53" s="1"/>
      <c r="U53" s="1"/>
      <c r="V53" s="1"/>
      <c r="W53" s="1"/>
      <c r="X53" s="1"/>
      <c r="Y53" s="1"/>
      <c r="Z53" s="1"/>
      <c r="AA53" s="1"/>
      <c r="AB53" s="1"/>
      <c r="AC53" s="1"/>
      <c r="AD53" s="1"/>
      <c r="AE53" s="1"/>
      <c r="AF53" s="1"/>
      <c r="AG53" s="1"/>
      <c r="AH53" s="1"/>
      <c r="AI53" s="1"/>
    </row>
    <row r="54" spans="1:35">
      <c r="A54" s="1"/>
      <c r="B54" s="171"/>
      <c r="C54" s="548"/>
      <c r="D54" s="171"/>
      <c r="E54" s="548"/>
      <c r="F54" s="171"/>
      <c r="G54" s="686"/>
      <c r="H54" s="171"/>
      <c r="I54" s="2"/>
      <c r="J54" s="2"/>
      <c r="K54" s="360"/>
      <c r="L54" s="52"/>
      <c r="M54" s="52"/>
      <c r="N54" s="52"/>
      <c r="O54" s="1"/>
      <c r="P54" s="1"/>
      <c r="Q54" s="1"/>
      <c r="R54" s="1"/>
      <c r="S54" s="1"/>
      <c r="T54" s="1"/>
      <c r="U54" s="1"/>
      <c r="V54" s="1"/>
      <c r="W54" s="1"/>
      <c r="X54" s="1"/>
      <c r="Y54" s="1"/>
      <c r="Z54" s="1"/>
      <c r="AA54" s="1"/>
      <c r="AB54" s="1"/>
      <c r="AC54" s="1"/>
      <c r="AD54" s="1"/>
      <c r="AE54" s="1"/>
      <c r="AF54" s="1"/>
      <c r="AG54" s="1"/>
      <c r="AH54" s="1"/>
      <c r="AI54" s="1"/>
    </row>
    <row r="55" spans="1:35">
      <c r="A55" s="1"/>
      <c r="B55" s="285" t="s">
        <v>390</v>
      </c>
      <c r="C55" s="359">
        <f>C49</f>
        <v>3.1552387285036501E-3</v>
      </c>
      <c r="D55" s="171" t="s">
        <v>390</v>
      </c>
      <c r="E55" s="548">
        <f>E49</f>
        <v>3.1552387285036501E-3</v>
      </c>
      <c r="F55" s="171" t="s">
        <v>390</v>
      </c>
      <c r="G55" s="621">
        <f>E55</f>
        <v>3.1552387285036501E-3</v>
      </c>
      <c r="H55" s="171"/>
      <c r="I55" s="2"/>
      <c r="J55" s="702"/>
      <c r="K55" s="360"/>
      <c r="L55" s="52"/>
      <c r="M55" s="52"/>
      <c r="N55" s="52"/>
      <c r="O55" s="1"/>
      <c r="P55" s="1"/>
      <c r="Q55" s="1"/>
      <c r="R55" s="1"/>
      <c r="S55" s="1"/>
      <c r="T55" s="1"/>
      <c r="U55" s="1"/>
      <c r="V55" s="1"/>
      <c r="W55" s="1"/>
      <c r="X55" s="1"/>
      <c r="Y55" s="1"/>
      <c r="Z55" s="1"/>
      <c r="AA55" s="1"/>
      <c r="AB55" s="1"/>
      <c r="AC55" s="1"/>
      <c r="AD55" s="1"/>
      <c r="AE55" s="1"/>
      <c r="AF55" s="1"/>
      <c r="AG55" s="1"/>
      <c r="AH55" s="1"/>
      <c r="AI55" s="1"/>
    </row>
    <row r="56" spans="1:35">
      <c r="A56" s="1"/>
      <c r="B56" s="171" t="s">
        <v>391</v>
      </c>
      <c r="C56" s="548">
        <v>4.53717660848309E-2</v>
      </c>
      <c r="D56" s="171" t="s">
        <v>391</v>
      </c>
      <c r="E56" s="548">
        <f>C56</f>
        <v>4.53717660848309E-2</v>
      </c>
      <c r="F56" s="171" t="s">
        <v>391</v>
      </c>
      <c r="G56" s="702">
        <f>C56</f>
        <v>4.53717660848309E-2</v>
      </c>
      <c r="H56" s="171"/>
      <c r="I56" s="2"/>
      <c r="J56" s="686"/>
      <c r="K56" s="360"/>
      <c r="L56" s="52"/>
      <c r="M56" s="52"/>
      <c r="N56" s="52"/>
      <c r="O56" s="1"/>
      <c r="P56" s="1"/>
      <c r="Q56" s="1"/>
      <c r="R56" s="1"/>
      <c r="S56" s="1"/>
      <c r="T56" s="1"/>
      <c r="U56" s="1"/>
      <c r="V56" s="1"/>
      <c r="W56" s="1"/>
      <c r="X56" s="1"/>
      <c r="Y56" s="1"/>
      <c r="Z56" s="1"/>
      <c r="AA56" s="1"/>
      <c r="AB56" s="1"/>
      <c r="AC56" s="1"/>
      <c r="AD56" s="1"/>
      <c r="AE56" s="1"/>
      <c r="AF56" s="1"/>
      <c r="AG56" s="1"/>
      <c r="AH56" s="1"/>
      <c r="AI56" s="1"/>
    </row>
    <row r="57" spans="1:35">
      <c r="A57" s="1"/>
      <c r="B57" s="171" t="s">
        <v>392</v>
      </c>
      <c r="C57" s="359">
        <v>3.2549780667749703E-2</v>
      </c>
      <c r="D57" s="171" t="s">
        <v>392</v>
      </c>
      <c r="E57" s="548">
        <f>C57</f>
        <v>3.2549780667749703E-2</v>
      </c>
      <c r="F57" s="171" t="s">
        <v>392</v>
      </c>
      <c r="G57" s="621">
        <f>C57</f>
        <v>3.2549780667749703E-2</v>
      </c>
      <c r="H57" s="171"/>
      <c r="I57" s="2"/>
      <c r="J57" s="399"/>
      <c r="K57" s="360"/>
      <c r="L57" s="52"/>
      <c r="M57" s="52"/>
      <c r="N57" s="52"/>
      <c r="O57" s="1"/>
      <c r="P57" s="1"/>
      <c r="Q57" s="1"/>
      <c r="R57" s="1"/>
      <c r="S57" s="1"/>
      <c r="T57" s="1"/>
      <c r="U57" s="1"/>
      <c r="V57" s="1"/>
      <c r="W57" s="1"/>
      <c r="X57" s="1"/>
      <c r="Y57" s="1"/>
      <c r="Z57" s="1"/>
      <c r="AA57" s="1"/>
      <c r="AB57" s="1"/>
      <c r="AC57" s="1"/>
      <c r="AD57" s="1"/>
      <c r="AE57" s="1"/>
      <c r="AF57" s="1"/>
      <c r="AG57" s="1"/>
      <c r="AH57" s="1"/>
      <c r="AI57" s="1"/>
    </row>
    <row r="58" spans="1:35">
      <c r="A58" s="1"/>
      <c r="B58" s="285" t="s">
        <v>393</v>
      </c>
      <c r="C58" s="548">
        <f>C56+C57</f>
        <v>7.7921546752580603E-2</v>
      </c>
      <c r="D58" s="171" t="s">
        <v>393</v>
      </c>
      <c r="E58" s="548">
        <f>E56+E57</f>
        <v>7.7921546752580603E-2</v>
      </c>
      <c r="F58" s="171" t="s">
        <v>393</v>
      </c>
      <c r="G58" s="702">
        <v>7.7899999999999997E-2</v>
      </c>
      <c r="H58" s="171"/>
      <c r="I58" s="2"/>
      <c r="J58" s="702"/>
      <c r="K58" s="360"/>
      <c r="L58" s="52"/>
      <c r="M58" s="52"/>
      <c r="N58" s="52"/>
      <c r="O58" s="1"/>
      <c r="P58" s="1"/>
      <c r="Q58" s="1"/>
      <c r="R58" s="1"/>
      <c r="S58" s="1"/>
      <c r="T58" s="1"/>
      <c r="U58" s="1"/>
      <c r="V58" s="1"/>
      <c r="W58" s="1"/>
      <c r="X58" s="1"/>
      <c r="Y58" s="1"/>
      <c r="Z58" s="1"/>
      <c r="AA58" s="1"/>
      <c r="AB58" s="1"/>
      <c r="AC58" s="1"/>
      <c r="AD58" s="1"/>
      <c r="AE58" s="1"/>
      <c r="AF58" s="1"/>
      <c r="AG58" s="1"/>
      <c r="AH58" s="1"/>
      <c r="AI58" s="1"/>
    </row>
    <row r="59" spans="1:35">
      <c r="A59" s="1"/>
      <c r="B59" s="551" t="s">
        <v>394</v>
      </c>
      <c r="C59" s="554">
        <v>0.86832176000000005</v>
      </c>
      <c r="D59" s="549" t="s">
        <v>395</v>
      </c>
      <c r="E59" s="553">
        <v>0.83109791342430983</v>
      </c>
      <c r="F59" s="549" t="s">
        <v>394</v>
      </c>
      <c r="G59" s="703">
        <f>C59</f>
        <v>0.86832176000000005</v>
      </c>
      <c r="H59" s="171"/>
      <c r="I59" s="2"/>
      <c r="J59" s="2"/>
      <c r="K59" s="360"/>
      <c r="L59" s="52"/>
      <c r="M59" s="52"/>
      <c r="N59" s="52"/>
      <c r="O59" s="1"/>
      <c r="P59" s="1"/>
      <c r="Q59" s="1"/>
      <c r="R59" s="1"/>
      <c r="S59" s="1"/>
      <c r="T59" s="1"/>
      <c r="U59" s="1"/>
      <c r="V59" s="1"/>
      <c r="W59" s="1"/>
      <c r="X59" s="1"/>
      <c r="Y59" s="1"/>
      <c r="Z59" s="1"/>
      <c r="AA59" s="1"/>
      <c r="AB59" s="1"/>
      <c r="AC59" s="1"/>
      <c r="AD59" s="1"/>
      <c r="AE59" s="1"/>
      <c r="AF59" s="1"/>
      <c r="AG59" s="1"/>
      <c r="AH59" s="1"/>
      <c r="AI59" s="1"/>
    </row>
    <row r="60" spans="1:35">
      <c r="A60" s="1"/>
      <c r="B60" s="171" t="s">
        <v>396</v>
      </c>
      <c r="C60" s="548">
        <f>C55+PRODUCT(C59,C58)</f>
        <v>7.081621334662673E-2</v>
      </c>
      <c r="D60" s="171" t="s">
        <v>396</v>
      </c>
      <c r="E60" s="548">
        <f>E55+PRODUCT(E58:E59)</f>
        <v>6.7915673645368199E-2</v>
      </c>
      <c r="F60" s="171" t="s">
        <v>396</v>
      </c>
      <c r="G60" s="702">
        <f>G55+G59*(G58)</f>
        <v>7.0797503832503647E-2</v>
      </c>
      <c r="H60" s="171"/>
      <c r="I60" s="385"/>
      <c r="J60" s="709"/>
      <c r="K60" s="360"/>
      <c r="L60" s="52"/>
      <c r="M60" s="52"/>
      <c r="N60" s="52"/>
      <c r="O60" s="1"/>
      <c r="P60" s="1"/>
      <c r="Q60" s="1"/>
      <c r="R60" s="1"/>
      <c r="S60" s="1"/>
      <c r="T60" s="1"/>
      <c r="U60" s="1"/>
      <c r="V60" s="1"/>
      <c r="W60" s="1"/>
      <c r="X60" s="1"/>
      <c r="Y60" s="1"/>
      <c r="Z60" s="1"/>
      <c r="AA60" s="1"/>
      <c r="AB60" s="1"/>
      <c r="AC60" s="1"/>
      <c r="AD60" s="1"/>
      <c r="AE60" s="1"/>
      <c r="AF60" s="1"/>
      <c r="AG60" s="1"/>
      <c r="AH60" s="1"/>
      <c r="AI60" s="1"/>
    </row>
    <row r="61" spans="1:35" ht="15" thickBot="1">
      <c r="A61" s="1"/>
      <c r="B61" s="171"/>
      <c r="C61" s="536"/>
      <c r="D61" s="171"/>
      <c r="E61" s="548"/>
      <c r="F61" s="171"/>
      <c r="G61" s="2"/>
      <c r="H61" s="171"/>
      <c r="I61" s="385"/>
      <c r="J61" s="709"/>
      <c r="K61" s="360"/>
      <c r="L61" s="52"/>
      <c r="M61" s="52"/>
      <c r="N61" s="52"/>
      <c r="O61" s="1"/>
      <c r="P61" s="1"/>
      <c r="Q61" s="1"/>
      <c r="R61" s="1"/>
      <c r="S61" s="1"/>
      <c r="T61" s="1"/>
      <c r="U61" s="1"/>
      <c r="V61" s="1"/>
      <c r="W61" s="1"/>
      <c r="X61" s="1"/>
      <c r="Y61" s="1"/>
      <c r="Z61" s="1"/>
      <c r="AA61" s="1"/>
      <c r="AB61" s="1"/>
      <c r="AC61" s="1"/>
      <c r="AD61" s="1"/>
      <c r="AE61" s="1"/>
      <c r="AF61" s="1"/>
      <c r="AG61" s="1"/>
      <c r="AH61" s="1"/>
      <c r="AI61" s="1"/>
    </row>
    <row r="62" spans="1:35">
      <c r="A62" s="1"/>
      <c r="B62" s="555" t="s">
        <v>397</v>
      </c>
      <c r="C62" s="556">
        <f>C53*I7 +I6*C60</f>
        <v>4.2112052020186447E-2</v>
      </c>
      <c r="D62" s="555" t="s">
        <v>416</v>
      </c>
      <c r="E62" s="557"/>
      <c r="F62" s="555" t="s">
        <v>417</v>
      </c>
      <c r="G62" s="704">
        <f>G53*I7+G60*I6</f>
        <v>4.3394377121104534E-2</v>
      </c>
      <c r="H62" s="171"/>
      <c r="I62" s="2"/>
      <c r="J62" s="2"/>
      <c r="K62" s="360"/>
      <c r="L62" s="52"/>
      <c r="M62" s="52"/>
      <c r="N62" s="52"/>
      <c r="O62" s="1"/>
      <c r="P62" s="1"/>
      <c r="Q62" s="1"/>
      <c r="R62" s="1"/>
      <c r="S62" s="1"/>
      <c r="T62" s="1"/>
      <c r="U62" s="1"/>
      <c r="V62" s="1"/>
      <c r="W62" s="1"/>
      <c r="X62" s="1"/>
      <c r="Y62" s="1"/>
      <c r="Z62" s="1"/>
      <c r="AA62" s="1"/>
      <c r="AB62" s="1"/>
      <c r="AC62" s="1"/>
      <c r="AD62" s="1"/>
      <c r="AE62" s="1"/>
      <c r="AF62" s="1"/>
      <c r="AG62" s="1"/>
      <c r="AH62" s="1"/>
      <c r="AI62" s="1"/>
    </row>
    <row r="63" spans="1:35" ht="15" thickBot="1">
      <c r="A63" s="1"/>
      <c r="B63" s="558" t="s">
        <v>398</v>
      </c>
      <c r="C63" s="559">
        <f>I10*C53+C60*I9</f>
        <v>4.5850259604397231E-2</v>
      </c>
      <c r="D63" s="558" t="s">
        <v>398</v>
      </c>
      <c r="E63" s="560">
        <f>E53*I10+I9*E60</f>
        <v>4.4204169907577015E-2</v>
      </c>
      <c r="F63" s="558" t="s">
        <v>398</v>
      </c>
      <c r="G63" s="705">
        <f>G53*I10+I9*G60</f>
        <v>4.6963148036883978E-2</v>
      </c>
      <c r="H63" s="171"/>
      <c r="I63" s="2"/>
      <c r="J63" s="702"/>
      <c r="K63" s="360"/>
      <c r="L63" s="52"/>
      <c r="M63" s="52"/>
      <c r="N63" s="52"/>
      <c r="O63" s="1"/>
      <c r="P63" s="1"/>
      <c r="Q63" s="1"/>
      <c r="R63" s="1"/>
      <c r="S63" s="1"/>
      <c r="T63" s="1"/>
      <c r="U63" s="1"/>
      <c r="V63" s="1"/>
      <c r="W63" s="1"/>
      <c r="X63" s="1"/>
      <c r="Y63" s="1"/>
      <c r="Z63" s="1"/>
      <c r="AA63" s="1"/>
      <c r="AB63" s="1"/>
      <c r="AC63" s="1"/>
      <c r="AD63" s="1"/>
      <c r="AE63" s="1"/>
      <c r="AF63" s="1"/>
      <c r="AG63" s="1"/>
      <c r="AH63" s="1"/>
      <c r="AI63" s="1"/>
    </row>
    <row r="64" spans="1:35">
      <c r="A64" s="1"/>
      <c r="B64" s="171"/>
      <c r="C64" s="561" t="s">
        <v>399</v>
      </c>
      <c r="D64" s="562"/>
      <c r="E64" s="563"/>
      <c r="F64" s="125" t="s">
        <v>841</v>
      </c>
      <c r="G64" s="706" t="s">
        <v>842</v>
      </c>
      <c r="H64" s="171"/>
      <c r="I64" s="2"/>
      <c r="J64" s="702"/>
      <c r="K64" s="360"/>
      <c r="L64" s="52"/>
      <c r="M64" s="52"/>
      <c r="N64" s="52"/>
      <c r="O64" s="1"/>
      <c r="P64" s="1"/>
      <c r="Q64" s="1"/>
      <c r="R64" s="1"/>
      <c r="S64" s="1"/>
      <c r="T64" s="1"/>
      <c r="U64" s="1"/>
      <c r="V64" s="1"/>
      <c r="W64" s="1"/>
      <c r="X64" s="1"/>
      <c r="Y64" s="1"/>
      <c r="Z64" s="1"/>
      <c r="AA64" s="1"/>
      <c r="AB64" s="1"/>
      <c r="AC64" s="1"/>
      <c r="AD64" s="1"/>
      <c r="AE64" s="1"/>
      <c r="AF64" s="1"/>
      <c r="AG64" s="1"/>
      <c r="AH64" s="1"/>
      <c r="AI64" s="1"/>
    </row>
    <row r="65" spans="1:35" ht="15" thickBot="1">
      <c r="A65" s="1"/>
      <c r="B65" s="171"/>
      <c r="C65" s="561" t="s">
        <v>466</v>
      </c>
      <c r="D65" s="562"/>
      <c r="E65" s="563"/>
      <c r="F65" s="694">
        <f>G53*I10+I9*F67</f>
        <v>3.7311329154130067E-2</v>
      </c>
      <c r="G65" s="707">
        <f>G53*I10+I9*G67</f>
        <v>5.2784530767033287E-2</v>
      </c>
      <c r="H65" s="171"/>
      <c r="I65" s="2"/>
      <c r="J65" s="2"/>
      <c r="K65" s="360"/>
      <c r="L65" s="52"/>
      <c r="M65" s="52"/>
      <c r="N65" s="52"/>
      <c r="O65" s="1"/>
      <c r="P65" s="1"/>
      <c r="Q65" s="1"/>
      <c r="R65" s="1"/>
      <c r="S65" s="1"/>
      <c r="T65" s="1"/>
      <c r="U65" s="1"/>
      <c r="V65" s="1"/>
      <c r="W65" s="1"/>
      <c r="X65" s="1"/>
      <c r="Y65" s="1"/>
      <c r="Z65" s="1"/>
      <c r="AA65" s="1"/>
      <c r="AB65" s="1"/>
      <c r="AC65" s="1"/>
      <c r="AD65" s="1"/>
      <c r="AE65" s="1"/>
      <c r="AF65" s="1"/>
      <c r="AG65" s="1"/>
      <c r="AH65" s="1"/>
      <c r="AI65" s="1"/>
    </row>
    <row r="66" spans="1:35" ht="15" thickBot="1">
      <c r="A66" s="1"/>
      <c r="B66" s="330"/>
      <c r="C66" s="503" t="s">
        <v>400</v>
      </c>
      <c r="D66" s="564"/>
      <c r="E66" s="565"/>
      <c r="F66" s="547" t="s">
        <v>715</v>
      </c>
      <c r="G66" s="706" t="s">
        <v>725</v>
      </c>
      <c r="H66" s="171"/>
      <c r="I66" s="2"/>
      <c r="J66" s="2"/>
      <c r="K66" s="360"/>
      <c r="L66" s="52"/>
      <c r="M66" s="52"/>
      <c r="N66" s="52"/>
      <c r="O66" s="1"/>
      <c r="P66" s="1"/>
      <c r="Q66" s="1"/>
      <c r="R66" s="1"/>
      <c r="S66" s="1"/>
      <c r="T66" s="1"/>
      <c r="U66" s="1"/>
      <c r="V66" s="1"/>
      <c r="W66" s="1"/>
      <c r="X66" s="1"/>
      <c r="Y66" s="1"/>
      <c r="Z66" s="1"/>
      <c r="AA66" s="1"/>
      <c r="AB66" s="1"/>
      <c r="AC66" s="1"/>
      <c r="AD66" s="1"/>
      <c r="AE66" s="1"/>
      <c r="AF66" s="1"/>
      <c r="AG66" s="1"/>
      <c r="AH66" s="1"/>
      <c r="AI66" s="1"/>
    </row>
    <row r="67" spans="1:35" ht="15" thickBot="1">
      <c r="A67" s="1"/>
      <c r="B67" s="125"/>
      <c r="C67" s="125"/>
      <c r="D67" s="125"/>
      <c r="E67" s="125"/>
      <c r="F67" s="566">
        <f>G55+G58*0.65</f>
        <v>5.379023872850365E-2</v>
      </c>
      <c r="G67" s="708">
        <f>G58+G55</f>
        <v>8.1055238728503648E-2</v>
      </c>
      <c r="H67" s="253"/>
      <c r="I67" s="2"/>
      <c r="J67" s="2"/>
      <c r="K67" s="360"/>
      <c r="L67" s="52"/>
      <c r="M67" s="52"/>
      <c r="N67" s="52"/>
      <c r="O67" s="1"/>
      <c r="P67" s="1"/>
      <c r="Q67" s="1"/>
      <c r="R67" s="1"/>
      <c r="S67" s="1"/>
      <c r="T67" s="1"/>
      <c r="U67" s="1"/>
      <c r="V67" s="1"/>
      <c r="W67" s="1"/>
      <c r="X67" s="1"/>
      <c r="Y67" s="1"/>
      <c r="Z67" s="1"/>
      <c r="AA67" s="1"/>
      <c r="AB67" s="1"/>
      <c r="AC67" s="1"/>
      <c r="AD67" s="1"/>
      <c r="AE67" s="1"/>
      <c r="AF67" s="1"/>
      <c r="AG67" s="1"/>
      <c r="AH67" s="1"/>
      <c r="AI67" s="1"/>
    </row>
    <row r="68" spans="1:35">
      <c r="A68" s="1"/>
      <c r="B68" s="125"/>
      <c r="C68" s="125"/>
      <c r="D68" s="125"/>
      <c r="E68" s="125"/>
      <c r="F68" s="125"/>
      <c r="G68" s="125"/>
      <c r="H68" s="702"/>
      <c r="I68" s="2"/>
      <c r="J68" s="2"/>
      <c r="K68" s="360"/>
      <c r="L68" s="52"/>
      <c r="M68" s="52"/>
      <c r="N68" s="52"/>
      <c r="O68" s="1"/>
      <c r="P68" s="1"/>
      <c r="Q68" s="1"/>
      <c r="R68" s="1"/>
      <c r="S68" s="1"/>
      <c r="T68" s="1"/>
      <c r="U68" s="1"/>
      <c r="V68" s="1"/>
      <c r="W68" s="1"/>
      <c r="X68" s="1"/>
      <c r="Y68" s="1"/>
      <c r="Z68" s="1"/>
      <c r="AA68" s="1"/>
      <c r="AB68" s="1"/>
      <c r="AC68" s="1"/>
      <c r="AD68" s="1"/>
      <c r="AE68" s="1"/>
      <c r="AF68" s="1"/>
      <c r="AG68" s="1"/>
      <c r="AH68" s="1"/>
      <c r="AI68" s="1"/>
    </row>
    <row r="69" spans="1:35">
      <c r="A69" s="1"/>
      <c r="B69" s="125"/>
      <c r="C69" s="125"/>
      <c r="D69" s="125"/>
      <c r="E69" s="125"/>
      <c r="F69" s="125"/>
      <c r="G69" s="125"/>
      <c r="H69" s="2"/>
      <c r="I69" s="2"/>
      <c r="J69" s="2"/>
      <c r="K69" s="360"/>
      <c r="L69" s="52"/>
      <c r="M69" s="52"/>
      <c r="N69" s="52"/>
      <c r="O69" s="1"/>
      <c r="P69" s="1"/>
      <c r="Q69" s="1"/>
      <c r="R69" s="1"/>
      <c r="S69" s="1"/>
      <c r="T69" s="1"/>
      <c r="U69" s="1"/>
      <c r="V69" s="1"/>
      <c r="W69" s="1"/>
      <c r="X69" s="1"/>
      <c r="Y69" s="1"/>
      <c r="Z69" s="1"/>
      <c r="AA69" s="1"/>
      <c r="AB69" s="1"/>
      <c r="AC69" s="1"/>
      <c r="AD69" s="1"/>
      <c r="AE69" s="1"/>
      <c r="AF69" s="1"/>
      <c r="AG69" s="1"/>
      <c r="AH69" s="1"/>
      <c r="AI69" s="1"/>
    </row>
    <row r="70" spans="1:35">
      <c r="A70" s="1"/>
      <c r="B70" s="125"/>
      <c r="C70" s="125"/>
      <c r="D70" s="125"/>
      <c r="E70" s="125"/>
      <c r="F70" s="125"/>
      <c r="G70" s="125"/>
      <c r="H70" s="2"/>
      <c r="I70" s="2"/>
      <c r="J70" s="2"/>
      <c r="K70" s="360"/>
      <c r="L70" s="52"/>
      <c r="M70" s="52"/>
      <c r="N70" s="52"/>
      <c r="O70" s="1"/>
      <c r="P70" s="1"/>
      <c r="Q70" s="1"/>
      <c r="R70" s="1"/>
      <c r="S70" s="1"/>
      <c r="T70" s="1"/>
      <c r="U70" s="1"/>
      <c r="V70" s="1"/>
      <c r="W70" s="1"/>
      <c r="X70" s="1"/>
      <c r="Y70" s="1"/>
      <c r="Z70" s="1"/>
      <c r="AA70" s="1"/>
      <c r="AB70" s="1"/>
      <c r="AC70" s="1"/>
      <c r="AD70" s="1"/>
      <c r="AE70" s="1"/>
      <c r="AF70" s="1"/>
      <c r="AG70" s="1"/>
      <c r="AH70" s="1"/>
      <c r="AI70" s="1"/>
    </row>
    <row r="71" spans="1:35">
      <c r="A71" s="1"/>
      <c r="B71" s="1"/>
      <c r="C71" s="1"/>
      <c r="D71" s="1"/>
      <c r="E71" s="1"/>
      <c r="F71" s="1"/>
      <c r="G71" s="1"/>
      <c r="H71" s="1"/>
      <c r="I71" s="1"/>
      <c r="J71" s="1"/>
      <c r="K71" s="360"/>
      <c r="L71" s="1"/>
      <c r="M71" s="1"/>
      <c r="N71" s="1"/>
      <c r="O71" s="1"/>
      <c r="P71" s="1"/>
      <c r="Q71" s="1"/>
      <c r="R71" s="1"/>
      <c r="S71" s="1"/>
      <c r="T71" s="1"/>
      <c r="U71" s="1"/>
      <c r="V71" s="1"/>
      <c r="W71" s="1"/>
      <c r="X71" s="1"/>
      <c r="Y71" s="1"/>
      <c r="Z71" s="1"/>
      <c r="AA71" s="1"/>
      <c r="AB71" s="1"/>
      <c r="AC71" s="1"/>
      <c r="AD71" s="1"/>
      <c r="AE71" s="1"/>
      <c r="AF71" s="1"/>
      <c r="AG71" s="1"/>
      <c r="AH71" s="1"/>
      <c r="AI71" s="1"/>
    </row>
    <row r="72" spans="1:35">
      <c r="A72" s="1"/>
      <c r="B72" s="1"/>
      <c r="C72" s="1"/>
      <c r="D72" s="1"/>
      <c r="E72" s="1"/>
      <c r="F72" s="1"/>
      <c r="G72" s="1"/>
      <c r="H72" s="1"/>
      <c r="I72" s="1"/>
      <c r="J72" s="1"/>
      <c r="K72" s="360"/>
      <c r="L72" s="1"/>
      <c r="M72" s="1"/>
      <c r="N72" s="1"/>
      <c r="O72" s="1"/>
      <c r="P72" s="1"/>
      <c r="Q72" s="1"/>
      <c r="R72" s="1"/>
      <c r="S72" s="1"/>
      <c r="T72" s="1"/>
      <c r="U72" s="1"/>
      <c r="V72" s="1"/>
      <c r="W72" s="1"/>
      <c r="X72" s="1"/>
      <c r="Y72" s="1"/>
      <c r="Z72" s="1"/>
      <c r="AA72" s="1"/>
      <c r="AB72" s="1"/>
      <c r="AC72" s="1"/>
      <c r="AD72" s="1"/>
      <c r="AE72" s="1"/>
      <c r="AF72" s="1"/>
      <c r="AG72" s="1"/>
      <c r="AH72" s="1"/>
      <c r="AI72" s="1"/>
    </row>
    <row r="73" spans="1:35">
      <c r="A73" s="1"/>
      <c r="B73" s="1"/>
      <c r="C73" s="1"/>
      <c r="D73" s="1"/>
      <c r="E73" s="1"/>
      <c r="F73" s="1"/>
      <c r="G73" s="1"/>
      <c r="H73" s="1"/>
      <c r="I73" s="1"/>
      <c r="J73" s="1"/>
      <c r="K73" s="360"/>
      <c r="L73" s="1"/>
      <c r="M73" s="1"/>
      <c r="N73" s="1"/>
      <c r="O73" s="1"/>
      <c r="P73" s="1"/>
      <c r="Q73" s="1"/>
      <c r="R73" s="1"/>
      <c r="S73" s="1"/>
      <c r="T73" s="1"/>
      <c r="U73" s="1"/>
      <c r="V73" s="1"/>
      <c r="W73" s="1"/>
      <c r="X73" s="1"/>
      <c r="Y73" s="1"/>
      <c r="Z73" s="1"/>
      <c r="AA73" s="1"/>
      <c r="AB73" s="1"/>
      <c r="AC73" s="1"/>
      <c r="AD73" s="1"/>
      <c r="AE73" s="1"/>
      <c r="AF73" s="1"/>
      <c r="AG73" s="1"/>
      <c r="AH73" s="1"/>
      <c r="AI73" s="1"/>
    </row>
    <row r="74" spans="1:35">
      <c r="A74" s="1"/>
      <c r="B74" s="1"/>
      <c r="C74" s="1"/>
      <c r="D74" s="1"/>
      <c r="E74" s="1"/>
      <c r="F74" s="1"/>
      <c r="G74" s="1"/>
      <c r="H74" s="1"/>
      <c r="I74" s="1"/>
      <c r="J74" s="1"/>
      <c r="K74" s="360"/>
      <c r="L74" s="1"/>
      <c r="M74" s="1"/>
      <c r="N74" s="1"/>
      <c r="O74" s="1"/>
      <c r="P74" s="1"/>
      <c r="Q74" s="1"/>
      <c r="R74" s="1"/>
      <c r="S74" s="1"/>
      <c r="T74" s="1"/>
      <c r="U74" s="1"/>
      <c r="V74" s="1"/>
      <c r="W74" s="1"/>
      <c r="X74" s="1"/>
      <c r="Y74" s="1"/>
      <c r="Z74" s="1"/>
      <c r="AA74" s="1"/>
      <c r="AB74" s="1"/>
      <c r="AC74" s="1"/>
      <c r="AD74" s="1"/>
      <c r="AE74" s="1"/>
      <c r="AF74" s="1"/>
      <c r="AG74" s="1"/>
      <c r="AH74" s="1"/>
      <c r="AI74" s="1"/>
    </row>
    <row r="75" spans="1:35">
      <c r="A75" s="1"/>
      <c r="B75" s="1"/>
      <c r="C75" s="1"/>
      <c r="D75" s="1"/>
      <c r="E75" s="1"/>
      <c r="F75" s="1"/>
      <c r="G75" s="1"/>
      <c r="H75" s="1"/>
      <c r="I75" s="1"/>
      <c r="J75" s="1"/>
      <c r="K75" s="360"/>
      <c r="L75" s="1"/>
      <c r="M75" s="1"/>
      <c r="N75" s="1"/>
      <c r="O75" s="1"/>
      <c r="P75" s="1"/>
      <c r="Q75" s="1"/>
      <c r="R75" s="1"/>
      <c r="S75" s="1"/>
      <c r="T75" s="1"/>
      <c r="U75" s="1"/>
      <c r="V75" s="1"/>
      <c r="W75" s="1"/>
      <c r="X75" s="1"/>
      <c r="Y75" s="1"/>
      <c r="Z75" s="1"/>
      <c r="AA75" s="1"/>
      <c r="AB75" s="1"/>
      <c r="AC75" s="1"/>
      <c r="AD75" s="1"/>
      <c r="AE75" s="1"/>
      <c r="AF75" s="1"/>
      <c r="AG75" s="1"/>
      <c r="AH75" s="1"/>
      <c r="AI75" s="1"/>
    </row>
    <row r="76" spans="1:35">
      <c r="A76" s="1"/>
      <c r="B76" s="1"/>
      <c r="C76" s="1"/>
      <c r="D76" s="1"/>
      <c r="E76" s="1"/>
      <c r="F76" s="1"/>
      <c r="G76" s="1"/>
      <c r="H76" s="1"/>
      <c r="I76" s="1"/>
      <c r="J76" s="1"/>
      <c r="K76" s="360"/>
      <c r="L76" s="1"/>
      <c r="M76" s="1"/>
      <c r="N76" s="1"/>
      <c r="O76" s="1"/>
      <c r="P76" s="1"/>
      <c r="Q76" s="1"/>
      <c r="R76" s="1"/>
      <c r="S76" s="1"/>
      <c r="T76" s="1"/>
      <c r="U76" s="1"/>
      <c r="V76" s="1"/>
      <c r="W76" s="1"/>
      <c r="X76" s="1"/>
      <c r="Y76" s="1"/>
      <c r="Z76" s="1"/>
      <c r="AA76" s="1"/>
      <c r="AB76" s="1"/>
      <c r="AC76" s="1"/>
      <c r="AD76" s="1"/>
      <c r="AE76" s="1"/>
      <c r="AF76" s="1"/>
      <c r="AG76" s="1"/>
      <c r="AH76" s="1"/>
      <c r="AI76" s="1"/>
    </row>
    <row r="77" spans="1:35">
      <c r="A77" s="1"/>
      <c r="B77" s="1"/>
      <c r="C77" s="1"/>
      <c r="D77" s="1"/>
      <c r="E77" s="1"/>
      <c r="F77" s="1"/>
      <c r="G77" s="1"/>
      <c r="H77" s="1"/>
      <c r="I77" s="1"/>
      <c r="J77" s="1"/>
      <c r="K77" s="360"/>
      <c r="L77" s="1"/>
      <c r="M77" s="1"/>
      <c r="N77" s="1"/>
      <c r="O77" s="1"/>
      <c r="P77" s="1"/>
      <c r="Q77" s="1"/>
      <c r="R77" s="1"/>
      <c r="S77" s="1"/>
      <c r="T77" s="1"/>
      <c r="U77" s="1"/>
      <c r="V77" s="1"/>
      <c r="W77" s="1"/>
      <c r="X77" s="1"/>
      <c r="Y77" s="1"/>
      <c r="Z77" s="1"/>
      <c r="AA77" s="1"/>
      <c r="AB77" s="1"/>
      <c r="AC77" s="1"/>
      <c r="AD77" s="1"/>
      <c r="AE77" s="1"/>
      <c r="AF77" s="1"/>
      <c r="AG77" s="1"/>
      <c r="AH77" s="1"/>
      <c r="AI77" s="1"/>
    </row>
    <row r="78" spans="1:35">
      <c r="A78" s="1"/>
      <c r="B78" s="1"/>
      <c r="C78" s="1"/>
      <c r="D78" s="1"/>
      <c r="E78" s="1"/>
      <c r="F78" s="1"/>
      <c r="G78" s="1"/>
      <c r="H78" s="1"/>
      <c r="I78" s="1"/>
      <c r="J78" s="1"/>
      <c r="K78" s="360"/>
      <c r="L78" s="1"/>
      <c r="M78" s="1"/>
      <c r="N78" s="1"/>
      <c r="O78" s="1"/>
      <c r="P78" s="1"/>
      <c r="Q78" s="1"/>
      <c r="R78" s="1"/>
      <c r="S78" s="1"/>
      <c r="T78" s="1"/>
      <c r="U78" s="1"/>
      <c r="V78" s="1"/>
      <c r="W78" s="1"/>
      <c r="X78" s="1"/>
      <c r="Y78" s="1"/>
      <c r="Z78" s="1"/>
      <c r="AA78" s="1"/>
      <c r="AB78" s="1"/>
      <c r="AC78" s="1"/>
      <c r="AD78" s="1"/>
      <c r="AE78" s="1"/>
      <c r="AF78" s="1"/>
      <c r="AG78" s="1"/>
      <c r="AH78" s="1"/>
      <c r="AI78" s="1"/>
    </row>
    <row r="79" spans="1:35">
      <c r="A79" s="1"/>
      <c r="B79" s="1"/>
      <c r="C79" s="1"/>
      <c r="D79" s="1"/>
      <c r="E79" s="1"/>
      <c r="F79" s="1"/>
      <c r="G79" s="1"/>
      <c r="H79" s="1"/>
      <c r="I79" s="1"/>
      <c r="J79" s="1"/>
      <c r="K79" s="360"/>
      <c r="L79" s="1"/>
      <c r="M79" s="1"/>
      <c r="N79" s="1"/>
      <c r="O79" s="1"/>
      <c r="P79" s="1"/>
      <c r="Q79" s="1"/>
      <c r="R79" s="1"/>
      <c r="S79" s="1"/>
      <c r="T79" s="1"/>
      <c r="U79" s="1"/>
      <c r="V79" s="1"/>
      <c r="W79" s="1"/>
      <c r="X79" s="1"/>
      <c r="Y79" s="1"/>
      <c r="Z79" s="1"/>
      <c r="AA79" s="1"/>
      <c r="AB79" s="1"/>
      <c r="AC79" s="1"/>
      <c r="AD79" s="1"/>
      <c r="AE79" s="1"/>
      <c r="AF79" s="1"/>
      <c r="AG79" s="1"/>
      <c r="AH79" s="1"/>
      <c r="AI79" s="1"/>
    </row>
    <row r="80" spans="1:35">
      <c r="A80" s="1"/>
      <c r="B80" s="1"/>
      <c r="C80" s="1"/>
      <c r="D80" s="1"/>
      <c r="E80" s="1"/>
      <c r="F80" s="1"/>
      <c r="G80" s="1"/>
      <c r="H80" s="1"/>
      <c r="I80" s="1"/>
      <c r="J80" s="1"/>
      <c r="K80" s="360"/>
      <c r="L80" s="1"/>
      <c r="M80" s="1"/>
      <c r="N80" s="1"/>
      <c r="O80" s="1"/>
      <c r="P80" s="1"/>
      <c r="Q80" s="1"/>
      <c r="R80" s="1"/>
      <c r="S80" s="1"/>
      <c r="T80" s="1"/>
      <c r="U80" s="1"/>
      <c r="V80" s="1"/>
      <c r="W80" s="1"/>
      <c r="X80" s="1"/>
      <c r="Y80" s="1"/>
      <c r="Z80" s="1"/>
      <c r="AA80" s="1"/>
      <c r="AB80" s="1"/>
      <c r="AC80" s="1"/>
      <c r="AD80" s="1"/>
      <c r="AE80" s="1"/>
      <c r="AF80" s="1"/>
      <c r="AG80" s="1"/>
      <c r="AH80" s="1"/>
      <c r="AI80" s="1"/>
    </row>
    <row r="81" spans="1:35">
      <c r="A81" s="1"/>
      <c r="B81" s="1"/>
      <c r="C81" s="1"/>
      <c r="D81" s="1"/>
      <c r="E81" s="1"/>
      <c r="F81" s="1"/>
      <c r="G81" s="1"/>
      <c r="H81" s="1"/>
      <c r="I81" s="1"/>
      <c r="J81" s="1"/>
      <c r="K81" s="360"/>
      <c r="L81" s="1"/>
      <c r="M81" s="1"/>
      <c r="N81" s="1"/>
      <c r="O81" s="1"/>
      <c r="P81" s="1"/>
      <c r="Q81" s="1"/>
      <c r="R81" s="1"/>
      <c r="S81" s="1"/>
      <c r="T81" s="1"/>
      <c r="U81" s="1"/>
      <c r="V81" s="1"/>
      <c r="W81" s="1"/>
      <c r="X81" s="1"/>
      <c r="Y81" s="1"/>
      <c r="Z81" s="1"/>
      <c r="AA81" s="1"/>
      <c r="AB81" s="1"/>
      <c r="AC81" s="1"/>
      <c r="AD81" s="1"/>
      <c r="AE81" s="1"/>
      <c r="AF81" s="1"/>
      <c r="AG81" s="1"/>
      <c r="AH81" s="1"/>
      <c r="AI81" s="1"/>
    </row>
    <row r="82" spans="1:35">
      <c r="A82" s="1"/>
      <c r="B82" s="1"/>
      <c r="C82" s="1"/>
      <c r="D82" s="1"/>
      <c r="E82" s="1"/>
      <c r="F82" s="1"/>
      <c r="G82" s="1"/>
      <c r="H82" s="1"/>
      <c r="I82" s="1"/>
      <c r="J82" s="1"/>
      <c r="K82" s="360"/>
      <c r="L82" s="1"/>
      <c r="M82" s="1"/>
      <c r="N82" s="1"/>
      <c r="O82" s="1"/>
      <c r="P82" s="1"/>
      <c r="Q82" s="1"/>
      <c r="R82" s="1"/>
      <c r="S82" s="1"/>
      <c r="T82" s="1"/>
      <c r="U82" s="1"/>
      <c r="V82" s="1"/>
      <c r="W82" s="1"/>
      <c r="X82" s="1"/>
      <c r="Y82" s="1"/>
      <c r="Z82" s="1"/>
      <c r="AA82" s="1"/>
      <c r="AB82" s="1"/>
      <c r="AC82" s="1"/>
      <c r="AD82" s="1"/>
      <c r="AE82" s="1"/>
      <c r="AF82" s="1"/>
      <c r="AG82" s="1"/>
      <c r="AH82" s="1"/>
      <c r="AI82" s="1"/>
    </row>
    <row r="83" spans="1:35">
      <c r="A83" s="1"/>
      <c r="B83" s="1"/>
      <c r="C83" s="1"/>
      <c r="D83" s="1"/>
      <c r="E83" s="1"/>
      <c r="F83" s="1"/>
      <c r="G83" s="1"/>
      <c r="H83" s="1"/>
      <c r="I83" s="1"/>
      <c r="J83" s="1"/>
      <c r="K83" s="360"/>
      <c r="L83" s="1"/>
      <c r="M83" s="1"/>
      <c r="N83" s="1"/>
      <c r="O83" s="1"/>
      <c r="P83" s="1"/>
      <c r="Q83" s="1"/>
      <c r="R83" s="1"/>
      <c r="S83" s="1"/>
      <c r="T83" s="1"/>
      <c r="U83" s="1"/>
      <c r="V83" s="1"/>
      <c r="W83" s="1"/>
      <c r="X83" s="1"/>
      <c r="Y83" s="1"/>
      <c r="Z83" s="1"/>
      <c r="AA83" s="1"/>
      <c r="AB83" s="1"/>
      <c r="AC83" s="1"/>
      <c r="AD83" s="1"/>
      <c r="AE83" s="1"/>
      <c r="AF83" s="1"/>
      <c r="AG83" s="1"/>
      <c r="AH83" s="1"/>
      <c r="AI83" s="1"/>
    </row>
    <row r="84" spans="1:35">
      <c r="A84" s="1"/>
      <c r="B84" s="1"/>
      <c r="C84" s="1"/>
      <c r="D84" s="1"/>
      <c r="E84" s="1"/>
      <c r="F84" s="1"/>
      <c r="G84" s="1"/>
      <c r="H84" s="1"/>
      <c r="I84" s="1"/>
      <c r="J84" s="1"/>
      <c r="K84" s="360"/>
      <c r="L84" s="1"/>
      <c r="M84" s="1"/>
      <c r="N84" s="1"/>
      <c r="O84" s="1"/>
      <c r="P84" s="1"/>
      <c r="Q84" s="1"/>
      <c r="R84" s="1"/>
      <c r="S84" s="1"/>
      <c r="T84" s="1"/>
      <c r="U84" s="1"/>
      <c r="V84" s="1"/>
      <c r="W84" s="1"/>
      <c r="X84" s="1"/>
      <c r="Y84" s="1"/>
      <c r="Z84" s="1"/>
      <c r="AA84" s="1"/>
      <c r="AB84" s="1"/>
      <c r="AC84" s="1"/>
      <c r="AD84" s="1"/>
      <c r="AE84" s="1"/>
      <c r="AF84" s="1"/>
      <c r="AG84" s="1"/>
      <c r="AH84" s="1"/>
      <c r="AI84" s="1"/>
    </row>
    <row r="85" spans="1:35">
      <c r="A85" s="1"/>
      <c r="B85" s="1"/>
      <c r="C85" s="1"/>
      <c r="D85" s="1"/>
      <c r="E85" s="1"/>
      <c r="F85" s="1"/>
      <c r="G85" s="1"/>
      <c r="H85" s="1"/>
      <c r="I85" s="1"/>
      <c r="J85" s="1"/>
      <c r="K85" s="360"/>
      <c r="L85" s="1"/>
      <c r="M85" s="1"/>
      <c r="N85" s="1"/>
      <c r="O85" s="1"/>
      <c r="P85" s="1"/>
      <c r="Q85" s="1"/>
      <c r="R85" s="1"/>
      <c r="S85" s="1"/>
      <c r="T85" s="1"/>
      <c r="U85" s="1"/>
      <c r="V85" s="1"/>
      <c r="W85" s="1"/>
      <c r="X85" s="1"/>
      <c r="Y85" s="1"/>
      <c r="Z85" s="1"/>
      <c r="AA85" s="1"/>
      <c r="AB85" s="1"/>
      <c r="AC85" s="1"/>
      <c r="AD85" s="1"/>
      <c r="AE85" s="1"/>
      <c r="AF85" s="1"/>
      <c r="AG85" s="1"/>
      <c r="AH85" s="1"/>
      <c r="AI85" s="1"/>
    </row>
    <row r="86" spans="1:35">
      <c r="A86" s="1"/>
      <c r="B86" s="1"/>
      <c r="C86" s="1"/>
      <c r="D86" s="1"/>
      <c r="E86" s="1"/>
      <c r="F86" s="1"/>
      <c r="G86" s="1"/>
      <c r="H86" s="1"/>
      <c r="I86" s="1"/>
      <c r="J86" s="1"/>
      <c r="K86" s="360"/>
      <c r="L86" s="1"/>
      <c r="M86" s="1"/>
      <c r="N86" s="1"/>
      <c r="O86" s="1"/>
      <c r="P86" s="1"/>
      <c r="Q86" s="1"/>
      <c r="R86" s="1"/>
      <c r="S86" s="1"/>
      <c r="T86" s="1"/>
      <c r="U86" s="1"/>
      <c r="V86" s="1"/>
      <c r="W86" s="1"/>
      <c r="X86" s="1"/>
      <c r="Y86" s="1"/>
      <c r="Z86" s="1"/>
      <c r="AA86" s="1"/>
      <c r="AB86" s="1"/>
      <c r="AC86" s="1"/>
      <c r="AD86" s="1"/>
      <c r="AE86" s="1"/>
      <c r="AF86" s="1"/>
      <c r="AG86" s="1"/>
      <c r="AH86" s="1"/>
      <c r="AI86" s="1"/>
    </row>
    <row r="87" spans="1:35">
      <c r="A87" s="1"/>
      <c r="B87" s="1"/>
      <c r="C87" s="1"/>
      <c r="D87" s="1"/>
      <c r="E87" s="1"/>
      <c r="F87" s="1"/>
      <c r="G87" s="1"/>
      <c r="H87" s="1"/>
      <c r="I87" s="1"/>
      <c r="J87" s="1"/>
      <c r="K87" s="360"/>
      <c r="L87" s="1"/>
      <c r="M87" s="1"/>
      <c r="N87" s="1"/>
      <c r="O87" s="1"/>
      <c r="P87" s="1"/>
      <c r="Q87" s="1"/>
      <c r="R87" s="1"/>
      <c r="S87" s="1"/>
      <c r="T87" s="1"/>
      <c r="U87" s="1"/>
      <c r="V87" s="1"/>
      <c r="W87" s="1"/>
      <c r="X87" s="1"/>
      <c r="Y87" s="1"/>
      <c r="Z87" s="1"/>
      <c r="AA87" s="1"/>
      <c r="AB87" s="1"/>
      <c r="AC87" s="1"/>
      <c r="AD87" s="1"/>
      <c r="AE87" s="1"/>
      <c r="AF87" s="1"/>
      <c r="AG87" s="1"/>
      <c r="AH87" s="1"/>
      <c r="AI87" s="1"/>
    </row>
    <row r="88" spans="1:35">
      <c r="A88" s="1"/>
      <c r="B88" s="1"/>
      <c r="C88" s="1"/>
      <c r="D88" s="1"/>
      <c r="E88" s="1"/>
      <c r="F88" s="1"/>
      <c r="G88" s="1"/>
      <c r="H88" s="1"/>
      <c r="I88" s="1"/>
      <c r="J88" s="1"/>
      <c r="K88" s="360"/>
      <c r="L88" s="1"/>
      <c r="M88" s="1"/>
      <c r="N88" s="1"/>
      <c r="O88" s="1"/>
      <c r="P88" s="1"/>
      <c r="Q88" s="1"/>
      <c r="R88" s="1"/>
      <c r="S88" s="1"/>
      <c r="T88" s="1"/>
      <c r="U88" s="1"/>
      <c r="V88" s="1"/>
      <c r="W88" s="1"/>
      <c r="X88" s="1"/>
      <c r="Y88" s="1"/>
      <c r="Z88" s="1"/>
      <c r="AA88" s="1"/>
      <c r="AB88" s="1"/>
      <c r="AC88" s="1"/>
      <c r="AD88" s="1"/>
      <c r="AE88" s="1"/>
      <c r="AF88" s="1"/>
      <c r="AG88" s="1"/>
      <c r="AH88" s="1"/>
      <c r="AI88" s="1"/>
    </row>
    <row r="89" spans="1:35">
      <c r="A89" s="1"/>
      <c r="B89" s="1"/>
      <c r="C89" s="1"/>
      <c r="D89" s="1"/>
      <c r="E89" s="1"/>
      <c r="F89" s="1"/>
      <c r="G89" s="1"/>
      <c r="H89" s="1"/>
      <c r="I89" s="1"/>
      <c r="J89" s="1"/>
      <c r="K89" s="360"/>
      <c r="L89" s="1"/>
      <c r="M89" s="1"/>
      <c r="N89" s="1"/>
      <c r="O89" s="1"/>
      <c r="P89" s="1"/>
      <c r="Q89" s="1"/>
      <c r="R89" s="1"/>
      <c r="S89" s="1"/>
      <c r="T89" s="1"/>
      <c r="U89" s="1"/>
      <c r="V89" s="1"/>
      <c r="W89" s="1"/>
      <c r="X89" s="1"/>
      <c r="Y89" s="1"/>
      <c r="Z89" s="1"/>
      <c r="AA89" s="1"/>
      <c r="AB89" s="1"/>
      <c r="AC89" s="1"/>
      <c r="AD89" s="1"/>
      <c r="AE89" s="1"/>
      <c r="AF89" s="1"/>
      <c r="AG89" s="1"/>
      <c r="AH89" s="1"/>
      <c r="AI89" s="1"/>
    </row>
    <row r="90" spans="1:35">
      <c r="A90" s="1"/>
      <c r="B90" s="1"/>
      <c r="C90" s="1"/>
      <c r="D90" s="1"/>
      <c r="E90" s="1"/>
      <c r="F90" s="1"/>
      <c r="G90" s="1"/>
      <c r="H90" s="1"/>
      <c r="I90" s="1"/>
      <c r="J90" s="1"/>
      <c r="K90" s="360"/>
      <c r="L90" s="1"/>
      <c r="M90" s="1"/>
      <c r="N90" s="1"/>
      <c r="O90" s="1"/>
      <c r="P90" s="1"/>
      <c r="Q90" s="1"/>
      <c r="R90" s="1"/>
      <c r="S90" s="1"/>
      <c r="T90" s="1"/>
      <c r="U90" s="1"/>
      <c r="V90" s="1"/>
      <c r="W90" s="1"/>
      <c r="X90" s="1"/>
      <c r="Y90" s="1"/>
      <c r="Z90" s="1"/>
      <c r="AA90" s="1"/>
      <c r="AB90" s="1"/>
      <c r="AC90" s="1"/>
      <c r="AD90" s="1"/>
      <c r="AE90" s="1"/>
      <c r="AF90" s="1"/>
      <c r="AG90" s="1"/>
      <c r="AH90" s="1"/>
      <c r="AI90" s="1"/>
    </row>
    <row r="91" spans="1:35">
      <c r="A91" s="1"/>
      <c r="B91" s="1"/>
      <c r="C91" s="1"/>
      <c r="D91" s="1"/>
      <c r="E91" s="1"/>
      <c r="F91" s="1"/>
      <c r="G91" s="1"/>
      <c r="H91" s="1"/>
      <c r="I91" s="1"/>
      <c r="J91" s="1"/>
      <c r="K91" s="360"/>
      <c r="L91" s="1"/>
      <c r="M91" s="1"/>
      <c r="N91" s="1"/>
      <c r="O91" s="1"/>
      <c r="P91" s="1"/>
      <c r="Q91" s="1"/>
      <c r="R91" s="1"/>
      <c r="S91" s="1"/>
      <c r="T91" s="1"/>
      <c r="U91" s="1"/>
      <c r="V91" s="1"/>
      <c r="W91" s="1"/>
      <c r="X91" s="1"/>
      <c r="Y91" s="1"/>
      <c r="Z91" s="1"/>
      <c r="AA91" s="1"/>
      <c r="AB91" s="1"/>
      <c r="AC91" s="1"/>
      <c r="AD91" s="1"/>
      <c r="AE91" s="1"/>
      <c r="AF91" s="1"/>
      <c r="AG91" s="1"/>
      <c r="AH91" s="1"/>
      <c r="AI91" s="1"/>
    </row>
    <row r="92" spans="1:35">
      <c r="A92" s="1"/>
      <c r="B92" s="1"/>
      <c r="C92" s="1"/>
      <c r="D92" s="1"/>
      <c r="E92" s="1"/>
      <c r="F92" s="1"/>
      <c r="G92" s="1"/>
      <c r="H92" s="1"/>
      <c r="I92" s="1"/>
      <c r="J92" s="1"/>
      <c r="K92" s="360"/>
      <c r="L92" s="1"/>
      <c r="M92" s="1"/>
      <c r="N92" s="1"/>
      <c r="O92" s="1"/>
      <c r="P92" s="1"/>
      <c r="Q92" s="1"/>
      <c r="R92" s="1"/>
      <c r="S92" s="1"/>
      <c r="T92" s="1"/>
      <c r="U92" s="1"/>
      <c r="V92" s="1"/>
      <c r="W92" s="1"/>
      <c r="X92" s="1"/>
      <c r="Y92" s="1"/>
      <c r="Z92" s="1"/>
      <c r="AA92" s="1"/>
      <c r="AB92" s="1"/>
      <c r="AC92" s="1"/>
      <c r="AD92" s="1"/>
      <c r="AE92" s="1"/>
      <c r="AF92" s="1"/>
      <c r="AG92" s="1"/>
      <c r="AH92" s="1"/>
      <c r="AI92" s="1"/>
    </row>
    <row r="93" spans="1:35">
      <c r="A93" s="1"/>
      <c r="B93" s="1"/>
      <c r="C93" s="1"/>
      <c r="D93" s="1"/>
      <c r="E93" s="1"/>
      <c r="F93" s="1"/>
      <c r="G93" s="1"/>
      <c r="H93" s="1"/>
      <c r="I93" s="1"/>
      <c r="J93" s="1"/>
      <c r="K93" s="360"/>
      <c r="L93" s="1"/>
      <c r="M93" s="1"/>
      <c r="N93" s="1"/>
      <c r="O93" s="1"/>
      <c r="P93" s="1"/>
      <c r="Q93" s="1"/>
      <c r="R93" s="1"/>
      <c r="S93" s="1"/>
      <c r="T93" s="1"/>
      <c r="U93" s="1"/>
      <c r="V93" s="1"/>
      <c r="W93" s="1"/>
      <c r="X93" s="1"/>
      <c r="Y93" s="1"/>
      <c r="Z93" s="1"/>
      <c r="AA93" s="1"/>
      <c r="AB93" s="1"/>
      <c r="AC93" s="1"/>
      <c r="AD93" s="1"/>
      <c r="AE93" s="1"/>
      <c r="AF93" s="1"/>
      <c r="AG93" s="1"/>
      <c r="AH93" s="1"/>
      <c r="AI93" s="1"/>
    </row>
    <row r="94" spans="1:35">
      <c r="A94" s="1"/>
      <c r="B94" s="1"/>
      <c r="C94" s="1"/>
      <c r="D94" s="1"/>
      <c r="E94" s="1"/>
      <c r="F94" s="1"/>
      <c r="G94" s="1"/>
      <c r="H94" s="1"/>
      <c r="I94" s="1"/>
      <c r="J94" s="1"/>
      <c r="K94" s="360"/>
      <c r="L94" s="1"/>
      <c r="M94" s="1"/>
      <c r="N94" s="1"/>
      <c r="O94" s="1"/>
      <c r="P94" s="1"/>
      <c r="Q94" s="1"/>
      <c r="R94" s="1"/>
      <c r="S94" s="1"/>
      <c r="T94" s="1"/>
      <c r="U94" s="1"/>
      <c r="V94" s="1"/>
      <c r="W94" s="1"/>
      <c r="X94" s="1"/>
      <c r="Y94" s="1"/>
      <c r="Z94" s="1"/>
      <c r="AA94" s="1"/>
      <c r="AB94" s="1"/>
      <c r="AC94" s="1"/>
      <c r="AD94" s="1"/>
      <c r="AE94" s="1"/>
      <c r="AF94" s="1"/>
      <c r="AG94" s="1"/>
      <c r="AH94" s="1"/>
      <c r="AI94" s="1"/>
    </row>
    <row r="95" spans="1:35">
      <c r="A95" s="1"/>
      <c r="B95" s="1"/>
      <c r="C95" s="1"/>
      <c r="D95" s="1"/>
      <c r="E95" s="1"/>
      <c r="F95" s="1"/>
      <c r="G95" s="1"/>
      <c r="H95" s="1"/>
      <c r="I95" s="1"/>
      <c r="J95" s="1"/>
      <c r="K95" s="360"/>
      <c r="L95" s="1"/>
      <c r="M95" s="1"/>
      <c r="N95" s="1"/>
      <c r="O95" s="1"/>
      <c r="P95" s="1"/>
      <c r="Q95" s="1"/>
      <c r="R95" s="1"/>
      <c r="S95" s="1"/>
      <c r="T95" s="1"/>
      <c r="U95" s="1"/>
      <c r="V95" s="1"/>
      <c r="W95" s="1"/>
      <c r="X95" s="1"/>
      <c r="Y95" s="1"/>
      <c r="Z95" s="1"/>
      <c r="AA95" s="1"/>
      <c r="AB95" s="1"/>
      <c r="AC95" s="1"/>
      <c r="AD95" s="1"/>
      <c r="AE95" s="1"/>
      <c r="AF95" s="1"/>
      <c r="AG95" s="1"/>
      <c r="AH95" s="1"/>
      <c r="AI95" s="1"/>
    </row>
    <row r="96" spans="1:35">
      <c r="A96" s="1"/>
      <c r="B96" s="1"/>
      <c r="C96" s="1"/>
      <c r="D96" s="1"/>
      <c r="E96" s="1"/>
      <c r="F96" s="1"/>
      <c r="G96" s="1"/>
      <c r="H96" s="1"/>
      <c r="I96" s="1"/>
      <c r="J96" s="1"/>
      <c r="K96" s="360"/>
      <c r="L96" s="1"/>
      <c r="M96" s="1"/>
      <c r="N96" s="1"/>
      <c r="O96" s="1"/>
      <c r="P96" s="1"/>
      <c r="Q96" s="1"/>
      <c r="R96" s="1"/>
      <c r="S96" s="1"/>
      <c r="T96" s="1"/>
      <c r="U96" s="1"/>
      <c r="V96" s="1"/>
      <c r="W96" s="1"/>
      <c r="X96" s="1"/>
      <c r="Y96" s="1"/>
      <c r="Z96" s="1"/>
      <c r="AA96" s="1"/>
      <c r="AB96" s="1"/>
      <c r="AC96" s="1"/>
      <c r="AD96" s="1"/>
      <c r="AE96" s="1"/>
      <c r="AF96" s="1"/>
      <c r="AG96" s="1"/>
      <c r="AH96" s="1"/>
      <c r="AI96" s="1"/>
    </row>
    <row r="97" spans="1:35">
      <c r="A97" s="1"/>
      <c r="B97" s="1"/>
      <c r="C97" s="1"/>
      <c r="D97" s="1"/>
      <c r="E97" s="1"/>
      <c r="F97" s="1"/>
      <c r="G97" s="1"/>
      <c r="H97" s="1"/>
      <c r="I97" s="1"/>
      <c r="J97" s="1"/>
      <c r="K97" s="360"/>
      <c r="L97" s="1"/>
      <c r="M97" s="1"/>
      <c r="N97" s="1"/>
      <c r="O97" s="1"/>
      <c r="P97" s="1"/>
      <c r="Q97" s="1"/>
      <c r="R97" s="1"/>
      <c r="S97" s="1"/>
      <c r="T97" s="1"/>
      <c r="U97" s="1"/>
      <c r="V97" s="1"/>
      <c r="W97" s="1"/>
      <c r="X97" s="1"/>
      <c r="Y97" s="1"/>
      <c r="Z97" s="1"/>
      <c r="AA97" s="1"/>
      <c r="AB97" s="1"/>
      <c r="AC97" s="1"/>
      <c r="AD97" s="1"/>
      <c r="AE97" s="1"/>
      <c r="AF97" s="1"/>
      <c r="AG97" s="1"/>
      <c r="AH97" s="1"/>
      <c r="AI97" s="1"/>
    </row>
    <row r="98" spans="1:35">
      <c r="A98" s="1"/>
      <c r="B98" s="1"/>
      <c r="C98" s="1"/>
      <c r="D98" s="1"/>
      <c r="E98" s="1"/>
      <c r="F98" s="1"/>
      <c r="G98" s="1"/>
      <c r="H98" s="1"/>
      <c r="I98" s="1"/>
      <c r="J98" s="1"/>
      <c r="K98" s="360"/>
      <c r="L98" s="1"/>
      <c r="M98" s="1"/>
      <c r="N98" s="1"/>
      <c r="O98" s="1"/>
      <c r="P98" s="1"/>
      <c r="Q98" s="1"/>
      <c r="R98" s="1"/>
      <c r="S98" s="1"/>
      <c r="T98" s="1"/>
      <c r="U98" s="1"/>
      <c r="V98" s="1"/>
      <c r="W98" s="1"/>
      <c r="X98" s="1"/>
      <c r="Y98" s="1"/>
      <c r="Z98" s="1"/>
      <c r="AA98" s="1"/>
      <c r="AB98" s="1"/>
      <c r="AC98" s="1"/>
      <c r="AD98" s="1"/>
      <c r="AE98" s="1"/>
      <c r="AF98" s="1"/>
      <c r="AG98" s="1"/>
      <c r="AH98" s="1"/>
      <c r="AI98" s="1"/>
    </row>
    <row r="99" spans="1:35">
      <c r="A99" s="1"/>
      <c r="B99" s="1"/>
      <c r="C99" s="1"/>
      <c r="D99" s="1"/>
      <c r="E99" s="1"/>
      <c r="F99" s="1"/>
      <c r="G99" s="1"/>
      <c r="H99" s="1"/>
      <c r="I99" s="1"/>
      <c r="J99" s="1"/>
      <c r="K99" s="360"/>
      <c r="L99" s="1"/>
      <c r="M99" s="1"/>
      <c r="N99" s="1"/>
      <c r="O99" s="1"/>
      <c r="P99" s="1"/>
      <c r="Q99" s="1"/>
      <c r="R99" s="1"/>
      <c r="S99" s="1"/>
      <c r="T99" s="1"/>
      <c r="U99" s="1"/>
      <c r="V99" s="1"/>
      <c r="W99" s="1"/>
      <c r="X99" s="1"/>
      <c r="Y99" s="1"/>
      <c r="Z99" s="1"/>
      <c r="AA99" s="1"/>
      <c r="AB99" s="1"/>
      <c r="AC99" s="1"/>
      <c r="AD99" s="1"/>
      <c r="AE99" s="1"/>
      <c r="AF99" s="1"/>
      <c r="AG99" s="1"/>
      <c r="AH99" s="1"/>
      <c r="AI99" s="1"/>
    </row>
    <row r="100" spans="1:35">
      <c r="A100" s="1"/>
      <c r="B100" s="1"/>
      <c r="C100" s="1"/>
      <c r="D100" s="1"/>
      <c r="E100" s="1"/>
      <c r="F100" s="1"/>
      <c r="G100" s="1"/>
      <c r="H100" s="1"/>
      <c r="I100" s="1"/>
      <c r="J100" s="1"/>
      <c r="K100" s="360"/>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5">
      <c r="A101" s="1"/>
      <c r="B101" s="1"/>
      <c r="C101" s="1"/>
      <c r="D101" s="1"/>
      <c r="E101" s="1"/>
      <c r="F101" s="1"/>
      <c r="G101" s="1"/>
      <c r="H101" s="1"/>
      <c r="I101" s="1"/>
      <c r="J101" s="1"/>
      <c r="K101" s="360"/>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1:35">
      <c r="A102" s="1"/>
      <c r="B102" s="1"/>
      <c r="C102" s="1"/>
      <c r="D102" s="1"/>
      <c r="E102" s="1"/>
      <c r="F102" s="1"/>
      <c r="G102" s="1"/>
      <c r="H102" s="1"/>
      <c r="I102" s="1"/>
      <c r="J102" s="1"/>
      <c r="K102" s="360"/>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1:35">
      <c r="A103" s="1"/>
      <c r="B103" s="1"/>
      <c r="C103" s="1"/>
      <c r="D103" s="1"/>
      <c r="E103" s="1"/>
      <c r="F103" s="1"/>
      <c r="G103" s="1"/>
      <c r="H103" s="1"/>
      <c r="I103" s="1"/>
      <c r="J103" s="1"/>
      <c r="K103" s="360"/>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1:35">
      <c r="A104" s="1"/>
      <c r="B104" s="1"/>
      <c r="C104" s="1"/>
      <c r="D104" s="1"/>
      <c r="E104" s="1"/>
      <c r="F104" s="1"/>
      <c r="G104" s="1"/>
      <c r="H104" s="1"/>
      <c r="I104" s="1"/>
      <c r="J104" s="1"/>
      <c r="K104" s="360"/>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1:35">
      <c r="A105" s="1"/>
      <c r="B105" s="1"/>
      <c r="C105" s="1"/>
      <c r="D105" s="1"/>
      <c r="E105" s="1"/>
      <c r="F105" s="1"/>
      <c r="G105" s="1"/>
      <c r="H105" s="1"/>
      <c r="I105" s="1"/>
      <c r="J105" s="1"/>
      <c r="K105" s="360"/>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35">
      <c r="A106" s="1"/>
      <c r="B106" s="1"/>
      <c r="C106" s="1"/>
      <c r="D106" s="1"/>
      <c r="E106" s="1"/>
      <c r="F106" s="1"/>
      <c r="G106" s="1"/>
      <c r="H106" s="1"/>
      <c r="I106" s="1"/>
      <c r="J106" s="1"/>
      <c r="K106" s="360"/>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spans="1:35">
      <c r="A107" s="1"/>
      <c r="B107" s="1"/>
      <c r="C107" s="1"/>
      <c r="D107" s="1"/>
      <c r="E107" s="1"/>
      <c r="F107" s="1"/>
      <c r="G107" s="1"/>
      <c r="H107" s="1"/>
      <c r="I107" s="1"/>
      <c r="J107" s="1"/>
      <c r="K107" s="360"/>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spans="1:35">
      <c r="A108" s="1"/>
      <c r="B108" s="1"/>
      <c r="C108" s="1"/>
      <c r="D108" s="1"/>
      <c r="E108" s="1"/>
      <c r="F108" s="1"/>
      <c r="G108" s="1"/>
      <c r="H108" s="1"/>
      <c r="I108" s="1"/>
      <c r="J108" s="1"/>
      <c r="K108" s="360"/>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spans="1:35">
      <c r="A109" s="1"/>
      <c r="B109" s="1"/>
      <c r="C109" s="1"/>
      <c r="D109" s="1"/>
      <c r="E109" s="1"/>
      <c r="F109" s="1"/>
      <c r="G109" s="1"/>
      <c r="H109" s="1"/>
      <c r="I109" s="1"/>
      <c r="J109" s="1"/>
      <c r="K109" s="360"/>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35">
      <c r="A110" s="1"/>
      <c r="B110" s="1"/>
      <c r="C110" s="1"/>
      <c r="D110" s="1"/>
      <c r="E110" s="1"/>
      <c r="F110" s="1"/>
      <c r="G110" s="1"/>
      <c r="H110" s="1"/>
      <c r="I110" s="1"/>
      <c r="J110" s="1"/>
      <c r="K110" s="360"/>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35">
      <c r="A111" s="1"/>
      <c r="B111" s="1"/>
      <c r="C111" s="1"/>
      <c r="D111" s="1"/>
      <c r="E111" s="1"/>
      <c r="F111" s="1"/>
      <c r="G111" s="1"/>
      <c r="H111" s="1"/>
      <c r="I111" s="1"/>
      <c r="J111" s="1"/>
      <c r="K111" s="360"/>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35">
      <c r="A112" s="1"/>
      <c r="B112" s="1"/>
      <c r="C112" s="1"/>
      <c r="D112" s="1"/>
      <c r="E112" s="1"/>
      <c r="F112" s="1"/>
      <c r="G112" s="1"/>
      <c r="H112" s="1"/>
      <c r="I112" s="1"/>
      <c r="J112" s="1"/>
      <c r="K112" s="360"/>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35">
      <c r="A113" s="1"/>
      <c r="B113" s="1"/>
      <c r="C113" s="1"/>
      <c r="D113" s="1"/>
      <c r="E113" s="1"/>
      <c r="F113" s="1"/>
      <c r="G113" s="1"/>
      <c r="H113" s="1"/>
      <c r="I113" s="1"/>
      <c r="J113" s="1"/>
      <c r="K113" s="360"/>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5">
      <c r="A114" s="1"/>
      <c r="B114" s="1"/>
      <c r="C114" s="1"/>
      <c r="D114" s="1"/>
      <c r="E114" s="1"/>
      <c r="F114" s="1"/>
      <c r="G114" s="1"/>
      <c r="H114" s="1"/>
      <c r="I114" s="1"/>
      <c r="J114" s="1"/>
      <c r="K114" s="360"/>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1:35">
      <c r="A115" s="1"/>
      <c r="B115" s="1"/>
      <c r="C115" s="1"/>
      <c r="D115" s="1"/>
      <c r="E115" s="1"/>
      <c r="F115" s="1"/>
      <c r="G115" s="1"/>
      <c r="H115" s="1"/>
      <c r="I115" s="1"/>
      <c r="J115" s="1"/>
      <c r="K115" s="360"/>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1:35">
      <c r="A116" s="1"/>
      <c r="B116" s="1"/>
      <c r="C116" s="1"/>
      <c r="D116" s="1"/>
      <c r="E116" s="1"/>
      <c r="F116" s="1"/>
      <c r="G116" s="1"/>
      <c r="H116" s="1"/>
      <c r="I116" s="1"/>
      <c r="J116" s="1"/>
      <c r="K116" s="360"/>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1:35">
      <c r="A117" s="1"/>
      <c r="B117" s="1"/>
      <c r="C117" s="1"/>
      <c r="D117" s="1"/>
      <c r="E117" s="1"/>
      <c r="F117" s="1"/>
      <c r="G117" s="1"/>
      <c r="H117" s="1"/>
      <c r="I117" s="1"/>
      <c r="J117" s="1"/>
      <c r="K117" s="360"/>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1:35">
      <c r="A118" s="1"/>
      <c r="B118" s="1"/>
      <c r="C118" s="1"/>
      <c r="D118" s="1"/>
      <c r="E118" s="1"/>
      <c r="F118" s="1"/>
      <c r="G118" s="1"/>
      <c r="H118" s="1"/>
      <c r="I118" s="1"/>
      <c r="J118" s="1"/>
      <c r="K118" s="360"/>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1:35">
      <c r="A119" s="1"/>
      <c r="B119" s="1"/>
      <c r="C119" s="1"/>
      <c r="D119" s="1"/>
      <c r="E119" s="1"/>
      <c r="F119" s="1"/>
      <c r="G119" s="1"/>
      <c r="H119" s="1"/>
      <c r="I119" s="1"/>
      <c r="J119" s="1"/>
      <c r="K119" s="360"/>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1:35">
      <c r="A120" s="1"/>
      <c r="B120" s="1"/>
      <c r="C120" s="1"/>
      <c r="D120" s="1"/>
      <c r="E120" s="1"/>
      <c r="F120" s="1"/>
      <c r="G120" s="1"/>
      <c r="H120" s="1"/>
      <c r="I120" s="1"/>
      <c r="J120" s="1"/>
      <c r="K120" s="360"/>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1:35">
      <c r="A121" s="1"/>
      <c r="B121" s="1"/>
      <c r="C121" s="1"/>
      <c r="D121" s="1"/>
      <c r="E121" s="1"/>
      <c r="F121" s="1"/>
      <c r="G121" s="1"/>
      <c r="H121" s="1"/>
      <c r="I121" s="1"/>
      <c r="J121" s="1"/>
      <c r="K121" s="360"/>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1:35">
      <c r="A122" s="1"/>
      <c r="B122" s="1"/>
      <c r="C122" s="1"/>
      <c r="D122" s="1"/>
      <c r="E122" s="1"/>
      <c r="F122" s="1"/>
      <c r="G122" s="1"/>
      <c r="H122" s="1"/>
      <c r="I122" s="1"/>
      <c r="J122" s="1"/>
      <c r="K122" s="360"/>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1:35">
      <c r="A123" s="1"/>
      <c r="B123" s="1"/>
      <c r="C123" s="1"/>
      <c r="D123" s="1"/>
      <c r="E123" s="1"/>
      <c r="F123" s="1"/>
      <c r="G123" s="1"/>
      <c r="H123" s="1"/>
      <c r="I123" s="1"/>
      <c r="J123" s="1"/>
      <c r="K123" s="360"/>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1:35">
      <c r="A124" s="1"/>
      <c r="B124" s="1"/>
      <c r="C124" s="1"/>
      <c r="D124" s="1"/>
      <c r="E124" s="1"/>
      <c r="F124" s="1"/>
      <c r="G124" s="1"/>
      <c r="H124" s="1"/>
      <c r="I124" s="1"/>
      <c r="J124" s="1"/>
      <c r="K124" s="360"/>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1:35">
      <c r="A125" s="1"/>
      <c r="B125" s="1"/>
      <c r="C125" s="1"/>
      <c r="D125" s="1"/>
      <c r="E125" s="1"/>
      <c r="F125" s="1"/>
      <c r="G125" s="1"/>
      <c r="H125" s="1"/>
      <c r="I125" s="1"/>
      <c r="J125" s="1"/>
      <c r="K125" s="360"/>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1:35">
      <c r="A126" s="1"/>
      <c r="B126" s="1"/>
      <c r="C126" s="1"/>
      <c r="D126" s="1"/>
      <c r="E126" s="1"/>
      <c r="F126" s="1"/>
      <c r="G126" s="1"/>
      <c r="H126" s="1"/>
      <c r="I126" s="1"/>
      <c r="J126" s="1"/>
      <c r="K126" s="360"/>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1:35">
      <c r="A127" s="1"/>
      <c r="B127" s="1"/>
      <c r="C127" s="1"/>
      <c r="D127" s="1"/>
      <c r="E127" s="1"/>
      <c r="F127" s="1"/>
      <c r="G127" s="1"/>
      <c r="H127" s="1"/>
      <c r="I127" s="1"/>
      <c r="J127" s="1"/>
      <c r="K127" s="360"/>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1:35">
      <c r="A128" s="1"/>
      <c r="B128" s="1"/>
      <c r="C128" s="1"/>
      <c r="D128" s="1"/>
      <c r="E128" s="1"/>
      <c r="F128" s="1"/>
      <c r="G128" s="1"/>
      <c r="H128" s="1"/>
      <c r="I128" s="1"/>
      <c r="J128" s="1"/>
      <c r="K128" s="360"/>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1:35">
      <c r="A129" s="1"/>
      <c r="B129" s="1"/>
      <c r="C129" s="1"/>
      <c r="D129" s="1"/>
      <c r="E129" s="1"/>
      <c r="F129" s="1"/>
      <c r="G129" s="1"/>
      <c r="H129" s="1"/>
      <c r="I129" s="1"/>
      <c r="J129" s="1"/>
      <c r="K129" s="360"/>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1:35">
      <c r="A130" s="1"/>
      <c r="B130" s="1"/>
      <c r="C130" s="1"/>
      <c r="D130" s="1"/>
      <c r="E130" s="1"/>
      <c r="F130" s="1"/>
      <c r="G130" s="1"/>
      <c r="H130" s="1"/>
      <c r="I130" s="1"/>
      <c r="J130" s="1"/>
      <c r="K130" s="360"/>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1:35">
      <c r="A131" s="1"/>
      <c r="B131" s="1"/>
      <c r="C131" s="1"/>
      <c r="D131" s="1"/>
      <c r="E131" s="1"/>
      <c r="F131" s="1"/>
      <c r="G131" s="1"/>
      <c r="H131" s="1"/>
      <c r="I131" s="1"/>
      <c r="J131" s="1"/>
      <c r="K131" s="360"/>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1:35">
      <c r="A132" s="1"/>
      <c r="B132" s="1"/>
      <c r="C132" s="1"/>
      <c r="D132" s="1"/>
      <c r="E132" s="1"/>
      <c r="F132" s="1"/>
      <c r="G132" s="1"/>
      <c r="H132" s="1"/>
      <c r="I132" s="1"/>
      <c r="J132" s="1"/>
      <c r="K132" s="360"/>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1:35">
      <c r="A133" s="1"/>
      <c r="B133" s="1"/>
      <c r="C133" s="1"/>
      <c r="D133" s="1"/>
      <c r="E133" s="1"/>
      <c r="F133" s="1"/>
      <c r="G133" s="1"/>
      <c r="H133" s="1"/>
      <c r="I133" s="1"/>
      <c r="J133" s="1"/>
      <c r="K133" s="360"/>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1:35">
      <c r="A134" s="1"/>
      <c r="B134" s="1"/>
      <c r="C134" s="1"/>
      <c r="D134" s="1"/>
      <c r="E134" s="1"/>
      <c r="F134" s="1"/>
      <c r="G134" s="1"/>
      <c r="H134" s="1"/>
      <c r="I134" s="1"/>
      <c r="J134" s="1"/>
      <c r="K134" s="360"/>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1: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1: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1: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1: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1: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1: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1: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1:35">
      <c r="A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AD421"/>
  <sheetViews>
    <sheetView zoomScale="68" zoomScaleNormal="110" workbookViewId="0">
      <selection activeCell="F157" sqref="F157"/>
    </sheetView>
  </sheetViews>
  <sheetFormatPr defaultRowHeight="14.4"/>
  <cols>
    <col min="1" max="1" width="2.33203125" customWidth="1"/>
    <col min="2" max="2" width="10.88671875" customWidth="1"/>
    <col min="3" max="3" width="10" customWidth="1"/>
    <col min="4" max="4" width="17.109375" customWidth="1"/>
    <col min="5" max="5" width="14.109375" customWidth="1"/>
    <col min="6" max="7" width="22" customWidth="1"/>
    <col min="8" max="8" width="15.33203125" customWidth="1"/>
    <col min="9" max="9" width="15.44140625" customWidth="1"/>
    <col min="10" max="13" width="17.109375" bestFit="1" customWidth="1"/>
    <col min="14" max="14" width="17.88671875" customWidth="1"/>
    <col min="15" max="15" width="16.109375" customWidth="1"/>
    <col min="16" max="16" width="18.44140625" customWidth="1"/>
    <col min="17" max="17" width="11.109375" bestFit="1" customWidth="1"/>
    <col min="18" max="18" width="16.44140625" bestFit="1" customWidth="1"/>
  </cols>
  <sheetData>
    <row r="1" spans="1:30" ht="41.25" customHeight="1">
      <c r="A1" s="59"/>
      <c r="B1" s="390" t="s">
        <v>669</v>
      </c>
      <c r="C1" s="389"/>
      <c r="D1" s="389"/>
      <c r="E1" s="389"/>
      <c r="F1" s="389"/>
      <c r="G1" s="389"/>
      <c r="H1" s="389"/>
      <c r="I1" s="389"/>
      <c r="J1" s="370"/>
      <c r="K1" s="370"/>
      <c r="L1" s="370"/>
      <c r="M1" s="370"/>
      <c r="N1" s="370"/>
      <c r="O1" s="370"/>
      <c r="P1" s="370"/>
      <c r="Q1" s="370"/>
      <c r="R1" s="370"/>
      <c r="S1" s="370"/>
      <c r="T1" s="370"/>
      <c r="U1" s="370"/>
      <c r="V1" s="370"/>
      <c r="W1" s="370"/>
      <c r="X1" s="370"/>
      <c r="Y1" s="370"/>
      <c r="Z1" s="59"/>
      <c r="AA1" s="59"/>
      <c r="AB1" s="59"/>
      <c r="AC1" s="59"/>
      <c r="AD1" s="59"/>
    </row>
    <row r="2" spans="1:30" ht="15" customHeight="1">
      <c r="A2" s="59"/>
      <c r="B2" s="390"/>
      <c r="C2" s="389"/>
      <c r="D2" s="389"/>
      <c r="E2" s="389"/>
      <c r="F2" s="389"/>
      <c r="G2" s="389"/>
      <c r="H2" s="389"/>
      <c r="I2" s="389"/>
      <c r="J2" s="370"/>
      <c r="K2" s="370"/>
      <c r="L2" s="370"/>
      <c r="M2" s="370"/>
      <c r="N2" s="370"/>
      <c r="O2" s="370"/>
      <c r="P2" s="370"/>
      <c r="Q2" s="370"/>
      <c r="R2" s="370"/>
      <c r="S2" s="370"/>
      <c r="T2" s="370"/>
      <c r="U2" s="370"/>
      <c r="V2" s="370"/>
      <c r="W2" s="370"/>
      <c r="X2" s="370"/>
      <c r="Y2" s="370"/>
      <c r="Z2" s="59"/>
      <c r="AA2" s="59"/>
      <c r="AB2" s="59"/>
      <c r="AC2" s="59"/>
      <c r="AD2" s="59"/>
    </row>
    <row r="3" spans="1:30" s="62" customFormat="1" ht="6.75" customHeight="1">
      <c r="B3" s="371"/>
      <c r="C3" s="371"/>
      <c r="D3" s="371"/>
      <c r="E3" s="371"/>
      <c r="F3" s="371"/>
      <c r="G3" s="371"/>
      <c r="H3" s="371"/>
      <c r="I3" s="371"/>
      <c r="J3" s="371"/>
      <c r="K3" s="371"/>
      <c r="L3" s="371"/>
      <c r="M3" s="371"/>
      <c r="N3" s="371"/>
      <c r="O3" s="371"/>
      <c r="P3" s="371"/>
      <c r="Q3" s="371"/>
      <c r="R3" s="371"/>
      <c r="S3" s="371"/>
      <c r="T3" s="371"/>
      <c r="U3" s="371"/>
      <c r="V3" s="371"/>
      <c r="W3" s="371"/>
      <c r="X3" s="371"/>
      <c r="Y3" s="371"/>
    </row>
    <row r="4" spans="1:30">
      <c r="A4" s="1"/>
      <c r="B4" s="125"/>
      <c r="C4" s="125"/>
      <c r="D4" s="125"/>
      <c r="E4" s="125"/>
      <c r="F4" s="125"/>
      <c r="G4" s="125"/>
      <c r="H4" s="125"/>
      <c r="I4" s="125"/>
      <c r="J4" s="125"/>
      <c r="K4" s="125"/>
      <c r="L4" s="125"/>
      <c r="M4" s="125"/>
      <c r="N4" s="125"/>
      <c r="O4" s="125"/>
      <c r="P4" s="125"/>
      <c r="Q4" s="125"/>
      <c r="R4" s="125"/>
      <c r="S4" s="125"/>
      <c r="T4" s="125"/>
      <c r="U4" s="125"/>
      <c r="V4" s="125"/>
      <c r="W4" s="125"/>
      <c r="X4" s="125"/>
      <c r="Y4" s="125"/>
      <c r="Z4" s="1"/>
      <c r="AA4" s="1"/>
      <c r="AB4" s="1"/>
      <c r="AC4" s="1"/>
      <c r="AD4" s="1"/>
    </row>
    <row r="5" spans="1:30" ht="24.6">
      <c r="A5" s="1"/>
      <c r="B5" s="2"/>
      <c r="C5" s="388"/>
      <c r="D5" s="2"/>
      <c r="E5" s="2"/>
      <c r="F5" s="2"/>
      <c r="G5" s="2"/>
      <c r="H5" s="2"/>
      <c r="I5" s="125"/>
      <c r="J5" s="125"/>
      <c r="K5" s="125"/>
      <c r="L5" s="125"/>
      <c r="M5" s="125"/>
      <c r="N5" s="125"/>
      <c r="O5" s="125"/>
      <c r="P5" s="1"/>
      <c r="Q5" s="1"/>
      <c r="R5" s="1"/>
      <c r="S5" s="1"/>
      <c r="T5" s="1"/>
      <c r="U5" s="1"/>
      <c r="V5" s="1"/>
      <c r="W5" s="1"/>
      <c r="X5" s="1"/>
      <c r="Y5" s="125"/>
      <c r="Z5" s="1"/>
      <c r="AA5" s="1"/>
      <c r="AB5" s="1"/>
      <c r="AC5" s="1"/>
      <c r="AD5" s="1"/>
    </row>
    <row r="6" spans="1:30">
      <c r="A6" s="1"/>
      <c r="B6" s="2"/>
      <c r="C6" s="2"/>
      <c r="D6" s="2"/>
      <c r="E6" s="963"/>
      <c r="F6" s="963"/>
      <c r="G6" s="963"/>
      <c r="H6" s="963"/>
      <c r="I6" s="125"/>
      <c r="J6" s="125"/>
      <c r="K6" s="125"/>
      <c r="L6" s="125"/>
      <c r="M6" s="125"/>
      <c r="N6" s="125"/>
      <c r="O6" s="125"/>
      <c r="P6" s="1"/>
      <c r="Q6" s="1"/>
      <c r="R6" s="1"/>
      <c r="S6" s="1"/>
      <c r="T6" s="1"/>
      <c r="U6" s="1"/>
      <c r="V6" s="1"/>
      <c r="W6" s="1"/>
      <c r="X6" s="1"/>
      <c r="Y6" s="125"/>
      <c r="Z6" s="1"/>
      <c r="AA6" s="1"/>
      <c r="AB6" s="1"/>
      <c r="AC6" s="1"/>
      <c r="AD6" s="1"/>
    </row>
    <row r="7" spans="1:30">
      <c r="A7" s="1"/>
      <c r="B7" s="2"/>
      <c r="C7" s="2"/>
      <c r="D7" s="385"/>
      <c r="E7" s="386"/>
      <c r="F7" s="386"/>
      <c r="G7" s="386"/>
      <c r="H7" s="386"/>
      <c r="I7" s="125"/>
      <c r="J7" s="125"/>
      <c r="K7" s="125"/>
      <c r="L7" s="125"/>
      <c r="M7" s="125"/>
      <c r="N7" s="125"/>
      <c r="O7" s="125"/>
      <c r="P7" s="1"/>
      <c r="Q7" s="1"/>
      <c r="R7" s="1"/>
      <c r="S7" s="1"/>
      <c r="T7" s="1"/>
      <c r="U7" s="1"/>
      <c r="V7" s="1"/>
      <c r="W7" s="1"/>
      <c r="X7" s="1"/>
      <c r="Y7" s="125"/>
      <c r="Z7" s="1"/>
      <c r="AA7" s="1"/>
      <c r="AB7" s="1"/>
      <c r="AC7" s="1"/>
      <c r="AD7" s="1"/>
    </row>
    <row r="8" spans="1:30" ht="34.799999999999997">
      <c r="A8" s="662" t="s">
        <v>731</v>
      </c>
      <c r="B8" s="1"/>
      <c r="C8" s="1"/>
      <c r="D8" s="1"/>
      <c r="E8" s="1"/>
      <c r="F8" s="1"/>
      <c r="G8" s="1"/>
      <c r="H8" s="1"/>
      <c r="I8" s="1"/>
      <c r="J8" s="1"/>
      <c r="K8" s="1"/>
      <c r="L8" s="1"/>
      <c r="M8" s="1"/>
      <c r="N8" s="1"/>
      <c r="O8" s="1"/>
      <c r="P8" s="1"/>
      <c r="Q8" s="1"/>
      <c r="R8" s="1"/>
      <c r="S8" s="1"/>
      <c r="T8" s="1"/>
      <c r="U8" s="1"/>
      <c r="V8" s="1"/>
      <c r="W8" s="1"/>
      <c r="X8" s="1"/>
      <c r="Y8" s="125"/>
      <c r="Z8" s="1"/>
      <c r="AA8" s="1"/>
      <c r="AB8" s="1"/>
      <c r="AC8" s="1"/>
      <c r="AD8" s="1"/>
    </row>
    <row r="9" spans="1:30" ht="19.2">
      <c r="A9" s="1"/>
      <c r="B9" s="387" t="s">
        <v>519</v>
      </c>
      <c r="C9" s="125"/>
      <c r="D9" s="125"/>
      <c r="E9" s="125"/>
      <c r="F9" s="125"/>
      <c r="G9" s="125"/>
      <c r="H9" s="125"/>
      <c r="I9" s="125"/>
      <c r="J9" s="125"/>
      <c r="K9" s="125"/>
      <c r="L9" s="125"/>
      <c r="M9" s="125"/>
      <c r="N9" s="125"/>
      <c r="O9" s="125"/>
      <c r="P9" s="125"/>
      <c r="Q9" s="125"/>
      <c r="R9" s="125"/>
      <c r="S9" s="125"/>
      <c r="T9" s="125"/>
      <c r="U9" s="125"/>
      <c r="V9" s="125"/>
      <c r="W9" s="125"/>
      <c r="X9" s="125"/>
      <c r="Y9" s="125"/>
      <c r="Z9" s="1"/>
      <c r="AA9" s="1"/>
      <c r="AB9" s="1"/>
      <c r="AC9" s="1"/>
      <c r="AD9" s="1"/>
    </row>
    <row r="10" spans="1:30">
      <c r="A10" s="1"/>
      <c r="B10" s="964" t="s">
        <v>727</v>
      </c>
      <c r="C10" s="964"/>
      <c r="D10" s="964"/>
      <c r="E10" s="964"/>
      <c r="F10" s="964"/>
      <c r="G10" s="964"/>
      <c r="H10" s="964"/>
      <c r="I10" s="964"/>
      <c r="J10" s="964"/>
      <c r="K10" s="964"/>
      <c r="L10" s="964"/>
      <c r="M10" s="964"/>
      <c r="N10" s="125"/>
      <c r="O10" s="125"/>
      <c r="P10" s="125"/>
      <c r="Q10" s="125"/>
      <c r="R10" s="125"/>
      <c r="S10" s="125"/>
      <c r="T10" s="125"/>
      <c r="U10" s="125"/>
      <c r="V10" s="125"/>
      <c r="W10" s="125"/>
      <c r="X10" s="125"/>
      <c r="Y10" s="125"/>
      <c r="Z10" s="1"/>
      <c r="AA10" s="1"/>
      <c r="AB10" s="1"/>
      <c r="AC10" s="1"/>
      <c r="AD10" s="1"/>
    </row>
    <row r="11" spans="1:30">
      <c r="A11" s="1"/>
      <c r="B11" s="964"/>
      <c r="C11" s="964"/>
      <c r="D11" s="964"/>
      <c r="E11" s="964"/>
      <c r="F11" s="964"/>
      <c r="G11" s="964"/>
      <c r="H11" s="964"/>
      <c r="I11" s="964"/>
      <c r="J11" s="964"/>
      <c r="K11" s="964"/>
      <c r="L11" s="964"/>
      <c r="M11" s="964"/>
      <c r="N11" s="125"/>
      <c r="O11" s="125"/>
      <c r="P11" s="125"/>
      <c r="Q11" s="125"/>
      <c r="R11" s="125"/>
      <c r="S11" s="125"/>
      <c r="T11" s="125"/>
      <c r="U11" s="125"/>
      <c r="V11" s="125"/>
      <c r="W11" s="125"/>
      <c r="X11" s="125"/>
      <c r="Y11" s="125"/>
      <c r="Z11" s="1"/>
      <c r="AA11" s="1"/>
      <c r="AB11" s="1"/>
      <c r="AC11" s="1"/>
      <c r="AD11" s="1"/>
    </row>
    <row r="12" spans="1:30">
      <c r="A12" s="1"/>
      <c r="B12" s="125" t="s">
        <v>732</v>
      </c>
      <c r="C12" s="397"/>
      <c r="D12" s="397"/>
      <c r="E12" s="397"/>
      <c r="F12" s="397"/>
      <c r="G12" s="396">
        <f>AVERAGE(F30:I30)</f>
        <v>0.10710872645178841</v>
      </c>
      <c r="I12" s="396"/>
      <c r="K12" s="1"/>
      <c r="L12" s="1"/>
      <c r="M12" s="1"/>
      <c r="N12" s="1"/>
      <c r="O12" s="125"/>
      <c r="P12" s="125"/>
      <c r="Q12" s="125"/>
      <c r="R12" s="125"/>
      <c r="S12" s="125"/>
      <c r="T12" s="125"/>
      <c r="U12" s="125"/>
      <c r="V12" s="125"/>
      <c r="W12" s="125"/>
      <c r="X12" s="125"/>
      <c r="Y12" s="125"/>
      <c r="Z12" s="1"/>
      <c r="AA12" s="1"/>
      <c r="AB12" s="1"/>
      <c r="AC12" s="1"/>
      <c r="AD12" s="1"/>
    </row>
    <row r="13" spans="1:30">
      <c r="A13" s="1"/>
      <c r="B13" s="125" t="s">
        <v>723</v>
      </c>
      <c r="C13" s="125"/>
      <c r="D13" s="125"/>
      <c r="E13" s="401">
        <v>7.6797343881065003E-2</v>
      </c>
      <c r="G13" s="125"/>
      <c r="H13" s="1"/>
      <c r="I13" s="1"/>
      <c r="J13" s="1"/>
      <c r="K13" s="1"/>
      <c r="L13" s="125"/>
      <c r="M13" s="125"/>
      <c r="N13" s="125"/>
      <c r="O13" s="125"/>
      <c r="P13" s="125"/>
      <c r="Q13" s="125"/>
      <c r="R13" s="125"/>
      <c r="S13" s="125"/>
      <c r="T13" s="125"/>
      <c r="U13" s="125"/>
      <c r="V13" s="125"/>
      <c r="W13" s="125"/>
      <c r="X13" s="125"/>
      <c r="Y13" s="125"/>
      <c r="Z13" s="1"/>
      <c r="AA13" s="1"/>
      <c r="AB13" s="1"/>
      <c r="AC13" s="1"/>
      <c r="AD13" s="1"/>
    </row>
    <row r="14" spans="1:30">
      <c r="B14" s="125" t="s">
        <v>724</v>
      </c>
      <c r="C14" s="391">
        <v>0.27900000000000003</v>
      </c>
      <c r="D14" s="1"/>
      <c r="E14" s="1"/>
      <c r="F14" s="1"/>
      <c r="G14" s="125"/>
      <c r="H14" s="391"/>
      <c r="J14" s="125"/>
      <c r="K14" s="125"/>
      <c r="L14" s="125"/>
      <c r="M14" s="125"/>
      <c r="N14" s="125"/>
      <c r="O14" s="125"/>
      <c r="P14" s="125"/>
      <c r="Q14" s="125"/>
      <c r="R14" s="125"/>
      <c r="S14" s="125"/>
      <c r="T14" s="125"/>
      <c r="U14" s="125"/>
      <c r="V14" s="125"/>
      <c r="W14" s="125"/>
      <c r="X14" s="125"/>
      <c r="Y14" s="125"/>
      <c r="Z14" s="1"/>
      <c r="AA14" s="1"/>
      <c r="AB14" s="1"/>
      <c r="AC14" s="1"/>
      <c r="AD14" s="1"/>
    </row>
    <row r="15" spans="1:30">
      <c r="A15" s="1"/>
      <c r="B15" s="125" t="s">
        <v>523</v>
      </c>
      <c r="C15" s="395">
        <f>WACC!G63</f>
        <v>4.6963148036883978E-2</v>
      </c>
      <c r="D15" s="125"/>
      <c r="E15" s="393"/>
      <c r="F15" s="395"/>
      <c r="G15" s="125"/>
      <c r="H15" s="125"/>
      <c r="I15" s="125"/>
      <c r="J15" s="125"/>
      <c r="K15" s="1"/>
      <c r="L15" s="125"/>
      <c r="M15" s="125"/>
      <c r="N15" s="125"/>
      <c r="O15" s="125"/>
      <c r="P15" s="125"/>
      <c r="Q15" s="125"/>
      <c r="R15" s="125"/>
      <c r="S15" s="125"/>
      <c r="T15" s="125"/>
      <c r="U15" s="125"/>
      <c r="V15" s="125"/>
      <c r="W15" s="125"/>
      <c r="X15" s="125"/>
      <c r="Y15" s="125"/>
      <c r="Z15" s="1"/>
      <c r="AA15" s="1"/>
      <c r="AB15" s="1"/>
      <c r="AC15" s="1"/>
      <c r="AD15" s="1"/>
    </row>
    <row r="16" spans="1:30">
      <c r="A16" s="1"/>
      <c r="B16" s="393" t="s">
        <v>522</v>
      </c>
      <c r="C16" s="395">
        <f>(E13+1.2%)/2</f>
        <v>4.43986719405325E-2</v>
      </c>
      <c r="E16" s="1"/>
      <c r="F16" s="1"/>
      <c r="G16" s="125"/>
      <c r="H16" s="125"/>
      <c r="I16" s="125"/>
      <c r="J16" s="125"/>
      <c r="L16" s="125"/>
      <c r="M16" s="125"/>
      <c r="N16" s="125"/>
      <c r="O16" s="125"/>
      <c r="P16" s="125"/>
      <c r="Q16" s="125"/>
      <c r="R16" s="125"/>
      <c r="S16" s="125"/>
      <c r="T16" s="125"/>
      <c r="U16" s="125"/>
      <c r="V16" s="125"/>
      <c r="W16" s="125"/>
      <c r="X16" s="125"/>
      <c r="Y16" s="125"/>
      <c r="Z16" s="1"/>
      <c r="AA16" s="1"/>
      <c r="AB16" s="1"/>
      <c r="AC16" s="1"/>
      <c r="AD16" s="1"/>
    </row>
    <row r="17" spans="1:30">
      <c r="A17" s="1"/>
      <c r="B17" s="394" t="s">
        <v>522</v>
      </c>
      <c r="C17" s="377">
        <f>WACC!G65</f>
        <v>5.2784530767033287E-2</v>
      </c>
      <c r="D17" s="125"/>
      <c r="E17" s="125"/>
      <c r="F17" s="125"/>
      <c r="G17" s="396"/>
      <c r="H17" s="401"/>
      <c r="I17" s="125"/>
      <c r="J17" s="125"/>
      <c r="K17" s="125"/>
      <c r="L17" s="125"/>
      <c r="M17" s="125"/>
      <c r="N17" s="125"/>
      <c r="O17" s="125"/>
      <c r="P17" s="125"/>
      <c r="Q17" s="125"/>
      <c r="R17" s="125"/>
      <c r="S17" s="125"/>
      <c r="T17" s="125"/>
      <c r="U17" s="125"/>
      <c r="V17" s="125"/>
      <c r="W17" s="125"/>
      <c r="X17" s="125"/>
      <c r="Y17" s="125"/>
      <c r="Z17" s="1"/>
      <c r="AA17" s="1"/>
      <c r="AB17" s="1"/>
      <c r="AC17" s="1"/>
      <c r="AD17" s="1"/>
    </row>
    <row r="18" spans="1:30">
      <c r="A18" s="1"/>
      <c r="B18" s="397" t="s">
        <v>661</v>
      </c>
      <c r="C18" s="397"/>
      <c r="D18" s="397"/>
      <c r="E18" s="397"/>
      <c r="F18" s="397"/>
      <c r="G18" s="396">
        <v>0.11</v>
      </c>
      <c r="I18" s="125"/>
      <c r="J18" s="125"/>
      <c r="K18" s="125"/>
      <c r="L18" s="125"/>
      <c r="M18" s="125"/>
      <c r="N18" s="125"/>
      <c r="O18" s="125"/>
      <c r="P18" s="125"/>
      <c r="Q18" s="125"/>
      <c r="R18" s="125"/>
      <c r="S18" s="125"/>
      <c r="T18" s="125"/>
      <c r="U18" s="125"/>
      <c r="V18" s="125"/>
      <c r="W18" s="125"/>
      <c r="X18" s="125"/>
      <c r="Y18" s="125"/>
      <c r="Z18" s="1"/>
      <c r="AA18" s="1"/>
      <c r="AB18" s="1"/>
      <c r="AC18" s="1"/>
      <c r="AD18" s="1"/>
    </row>
    <row r="19" spans="1:30">
      <c r="A19" s="1"/>
      <c r="B19" s="397" t="s">
        <v>662</v>
      </c>
      <c r="C19" s="397"/>
      <c r="D19" s="397"/>
      <c r="E19" s="397"/>
      <c r="F19" s="397"/>
      <c r="G19" s="397"/>
      <c r="H19" s="396">
        <f>AVERAGE(F46,H46:I46)</f>
        <v>0.59912998234232473</v>
      </c>
      <c r="I19" s="1"/>
      <c r="K19" s="1"/>
      <c r="L19" s="1"/>
      <c r="M19" s="1"/>
      <c r="N19" s="125"/>
      <c r="O19" s="125"/>
      <c r="P19" s="125"/>
      <c r="Q19" s="125"/>
      <c r="R19" s="125"/>
      <c r="S19" s="125"/>
      <c r="T19" s="125"/>
      <c r="U19" s="125"/>
      <c r="V19" s="125"/>
      <c r="W19" s="125"/>
      <c r="X19" s="125"/>
      <c r="Y19" s="125"/>
      <c r="Z19" s="1"/>
      <c r="AA19" s="1"/>
      <c r="AB19" s="1"/>
      <c r="AC19" s="1"/>
      <c r="AD19" s="1"/>
    </row>
    <row r="20" spans="1:30">
      <c r="A20" s="1"/>
      <c r="B20" s="125" t="s">
        <v>733</v>
      </c>
      <c r="C20" s="1"/>
      <c r="D20" s="1"/>
      <c r="E20" s="1"/>
      <c r="F20" s="1"/>
      <c r="G20" s="858">
        <f>AVERAGE(F34:I34)</f>
        <v>-43</v>
      </c>
      <c r="H20" s="1"/>
      <c r="J20" s="1"/>
      <c r="K20" s="1"/>
      <c r="L20" s="1"/>
      <c r="M20" s="1"/>
      <c r="N20" s="125"/>
      <c r="O20" s="125"/>
      <c r="P20" s="125"/>
      <c r="Q20" s="1"/>
      <c r="R20" s="125"/>
      <c r="S20" s="125"/>
      <c r="T20" s="125"/>
      <c r="U20" s="125"/>
      <c r="V20" s="125"/>
      <c r="W20" s="125"/>
      <c r="X20" s="125"/>
      <c r="Y20" s="125"/>
      <c r="Z20" s="1"/>
      <c r="AA20" s="1"/>
      <c r="AB20" s="1"/>
      <c r="AC20" s="1"/>
      <c r="AD20" s="1"/>
    </row>
    <row r="21" spans="1:30">
      <c r="A21" s="1"/>
      <c r="B21" s="1" t="s">
        <v>663</v>
      </c>
      <c r="C21" s="125"/>
      <c r="D21" s="125"/>
      <c r="E21" s="687">
        <f>AVERAGE(G49:I49)</f>
        <v>0.29511823035850493</v>
      </c>
      <c r="G21" s="395"/>
      <c r="H21" s="125"/>
      <c r="I21" s="1"/>
      <c r="J21" s="1"/>
      <c r="K21" s="125"/>
      <c r="L21" s="125"/>
      <c r="M21" s="125"/>
      <c r="N21" s="125"/>
      <c r="O21" s="125"/>
      <c r="P21" s="125"/>
      <c r="Q21" s="125"/>
      <c r="R21" s="125"/>
      <c r="S21" s="125"/>
      <c r="T21" s="125"/>
      <c r="U21" s="125"/>
      <c r="V21" s="125"/>
      <c r="W21" s="125"/>
      <c r="X21" s="125"/>
      <c r="Y21" s="125"/>
      <c r="Z21" s="1"/>
      <c r="AA21" s="1"/>
      <c r="AB21" s="1"/>
      <c r="AC21" s="1"/>
      <c r="AD21" s="1"/>
    </row>
    <row r="22" spans="1:30">
      <c r="A22" s="1"/>
      <c r="B22" s="1" t="s">
        <v>664</v>
      </c>
      <c r="C22" s="1"/>
      <c r="D22" s="1"/>
      <c r="E22" s="1"/>
      <c r="F22" s="396">
        <f>AVERAGE(G51:I51)</f>
        <v>-0.63421168203776901</v>
      </c>
      <c r="G22" s="1"/>
      <c r="H22" s="1"/>
      <c r="I22" s="125"/>
      <c r="J22" s="125"/>
      <c r="K22" s="125"/>
      <c r="L22" s="125"/>
      <c r="M22" s="125"/>
      <c r="N22" s="125"/>
      <c r="O22" s="125"/>
      <c r="P22" s="399"/>
      <c r="Q22" s="125"/>
      <c r="R22" s="125"/>
      <c r="S22" s="125"/>
      <c r="T22" s="125"/>
      <c r="U22" s="125"/>
      <c r="V22" s="125"/>
      <c r="W22" s="125"/>
      <c r="X22" s="125"/>
      <c r="Y22" s="125"/>
      <c r="Z22" s="1"/>
      <c r="AA22" s="1"/>
      <c r="AB22" s="1"/>
      <c r="AC22" s="1"/>
      <c r="AD22" s="1"/>
    </row>
    <row r="23" spans="1:30">
      <c r="A23" s="1"/>
      <c r="B23" s="125" t="s">
        <v>665</v>
      </c>
      <c r="E23" s="1"/>
      <c r="F23" s="396">
        <f>AVERAGE(G53:I53)</f>
        <v>0.26192328692328681</v>
      </c>
      <c r="H23" s="1"/>
      <c r="I23" s="1"/>
      <c r="J23" s="125"/>
      <c r="K23" s="125"/>
      <c r="L23" s="125"/>
      <c r="M23" s="125"/>
      <c r="N23" s="125"/>
      <c r="O23" s="125"/>
      <c r="P23" s="125"/>
      <c r="Q23" s="125"/>
      <c r="R23" s="125"/>
      <c r="S23" s="125"/>
      <c r="T23" s="125"/>
      <c r="U23" s="125"/>
      <c r="V23" s="125"/>
      <c r="W23" s="125"/>
      <c r="X23" s="125"/>
      <c r="Y23" s="125"/>
      <c r="Z23" s="1"/>
      <c r="AA23" s="1"/>
      <c r="AB23" s="1"/>
      <c r="AC23" s="1"/>
      <c r="AD23" s="1"/>
    </row>
    <row r="24" spans="1:30">
      <c r="A24" s="1"/>
      <c r="B24" s="125" t="s">
        <v>666</v>
      </c>
      <c r="C24" s="125"/>
      <c r="D24" s="125"/>
      <c r="E24" s="125"/>
      <c r="F24" s="396">
        <f>AVERAGE(G55:I55)</f>
        <v>-2.647868797868798</v>
      </c>
      <c r="G24" s="1"/>
      <c r="H24" s="125"/>
      <c r="I24" s="125"/>
      <c r="J24" s="125"/>
      <c r="K24" s="125"/>
      <c r="L24" s="125"/>
      <c r="M24" s="125"/>
      <c r="N24" s="125"/>
      <c r="O24" s="125"/>
      <c r="P24" s="125"/>
      <c r="Q24" s="125"/>
      <c r="R24" s="125"/>
      <c r="S24" s="125"/>
      <c r="T24" s="125"/>
      <c r="U24" s="125"/>
      <c r="V24" s="125"/>
      <c r="W24" s="125"/>
      <c r="X24" s="125"/>
      <c r="Y24" s="125"/>
      <c r="Z24" s="1"/>
      <c r="AA24" s="1"/>
      <c r="AB24" s="1"/>
      <c r="AC24" s="1"/>
      <c r="AD24" s="1"/>
    </row>
    <row r="25" spans="1:30">
      <c r="A25" s="1"/>
      <c r="B25" s="125" t="s">
        <v>667</v>
      </c>
      <c r="C25" s="1"/>
      <c r="D25" s="1"/>
      <c r="E25" s="1"/>
      <c r="F25" s="396">
        <f>AVERAGE(G57:I57)</f>
        <v>9.0530217335866598E-3</v>
      </c>
      <c r="H25" s="1"/>
      <c r="I25" s="1"/>
      <c r="J25" s="1"/>
      <c r="K25" s="1"/>
      <c r="L25" s="1"/>
      <c r="M25" s="1"/>
      <c r="N25" s="1"/>
      <c r="O25" s="157"/>
      <c r="P25" s="125"/>
      <c r="Q25" s="125"/>
      <c r="R25" s="125"/>
      <c r="S25" s="125"/>
      <c r="T25" s="125"/>
      <c r="U25" s="125"/>
      <c r="V25" s="125"/>
      <c r="W25" s="125"/>
      <c r="X25" s="125"/>
      <c r="Y25" s="125"/>
      <c r="Z25" s="1"/>
      <c r="AA25" s="1"/>
      <c r="AB25" s="1"/>
      <c r="AC25" s="1"/>
      <c r="AD25" s="1"/>
    </row>
    <row r="26" spans="1:30">
      <c r="A26" s="1"/>
      <c r="C26" s="1"/>
      <c r="D26" s="1"/>
      <c r="E26" s="1"/>
      <c r="G26" s="1"/>
      <c r="H26" s="1"/>
      <c r="I26" s="1"/>
      <c r="J26" s="1"/>
      <c r="K26" s="1"/>
      <c r="L26" s="1"/>
      <c r="M26" s="1"/>
      <c r="N26" s="1"/>
      <c r="O26" s="125"/>
      <c r="P26" s="125"/>
      <c r="Q26" s="125"/>
      <c r="R26" s="125"/>
      <c r="S26" s="125"/>
      <c r="T26" s="125"/>
      <c r="U26" s="125"/>
      <c r="V26" s="125"/>
      <c r="W26" s="125"/>
      <c r="X26" s="125"/>
      <c r="Y26" s="125"/>
      <c r="Z26" s="1"/>
      <c r="AA26" s="1"/>
      <c r="AB26" s="1"/>
      <c r="AC26" s="1"/>
      <c r="AD26" s="1"/>
    </row>
    <row r="27" spans="1:30">
      <c r="A27" s="1"/>
      <c r="B27" s="125"/>
      <c r="C27" s="125"/>
      <c r="D27" s="125"/>
      <c r="E27" s="14"/>
      <c r="F27" s="945" t="s">
        <v>158</v>
      </c>
      <c r="G27" s="945"/>
      <c r="H27" s="945"/>
      <c r="I27" s="965"/>
      <c r="J27" s="966" t="s">
        <v>528</v>
      </c>
      <c r="K27" s="967"/>
      <c r="L27" s="967"/>
      <c r="M27" s="967"/>
      <c r="N27" s="967"/>
      <c r="O27" s="567" t="s">
        <v>658</v>
      </c>
      <c r="P27" s="125"/>
      <c r="Q27" s="125"/>
      <c r="R27" s="125"/>
      <c r="S27" s="125"/>
      <c r="T27" s="125"/>
      <c r="U27" s="125"/>
      <c r="V27" s="125"/>
      <c r="W27" s="125"/>
      <c r="X27" s="125"/>
      <c r="Y27" s="125"/>
      <c r="Z27" s="1"/>
      <c r="AA27" s="1"/>
      <c r="AB27" s="1"/>
      <c r="AC27" s="1"/>
      <c r="AD27" s="1"/>
    </row>
    <row r="28" spans="1:30">
      <c r="A28" s="1"/>
      <c r="B28" s="371"/>
      <c r="C28" s="398"/>
      <c r="D28" s="121"/>
      <c r="E28" s="122" t="s">
        <v>1</v>
      </c>
      <c r="F28" s="123">
        <v>42735</v>
      </c>
      <c r="G28" s="123">
        <v>43100</v>
      </c>
      <c r="H28" s="123">
        <v>43465</v>
      </c>
      <c r="I28" s="123">
        <v>43830</v>
      </c>
      <c r="J28" s="568">
        <v>44196</v>
      </c>
      <c r="K28" s="108">
        <v>44561</v>
      </c>
      <c r="L28" s="108">
        <v>44926</v>
      </c>
      <c r="M28" s="108">
        <v>45291</v>
      </c>
      <c r="N28" s="108">
        <v>45657</v>
      </c>
      <c r="O28" s="125"/>
      <c r="P28" s="125"/>
      <c r="Q28" s="125"/>
      <c r="R28" s="125"/>
      <c r="S28" s="125"/>
      <c r="T28" s="125"/>
      <c r="U28" s="125"/>
      <c r="V28" s="125"/>
      <c r="W28" s="125"/>
      <c r="X28" s="125"/>
      <c r="Y28" s="125"/>
      <c r="Z28" s="1"/>
      <c r="AA28" s="1"/>
      <c r="AB28" s="1"/>
      <c r="AC28" s="1"/>
      <c r="AD28" s="1"/>
    </row>
    <row r="29" spans="1:30">
      <c r="A29" s="1"/>
      <c r="B29" s="125" t="s">
        <v>457</v>
      </c>
      <c r="C29" s="125"/>
      <c r="D29" s="125"/>
      <c r="E29" s="125"/>
      <c r="F29" s="409">
        <v>4860</v>
      </c>
      <c r="G29" s="409">
        <v>5796</v>
      </c>
      <c r="H29" s="409">
        <v>6494</v>
      </c>
      <c r="I29" s="409">
        <v>7324</v>
      </c>
      <c r="J29" s="569">
        <f>I29*(1+J30)</f>
        <v>8108.4643125328985</v>
      </c>
      <c r="K29" s="212">
        <f t="shared" ref="K29:O29" si="0">J29*(1+K30)</f>
        <v>8976.9515985280741</v>
      </c>
      <c r="L29" s="212">
        <f t="shared" si="0"/>
        <v>9938.4614516657621</v>
      </c>
      <c r="M29" s="212">
        <f t="shared" si="0"/>
        <v>11002.957400643874</v>
      </c>
      <c r="N29" s="212">
        <f t="shared" si="0"/>
        <v>12181.470155030122</v>
      </c>
      <c r="O29" s="212">
        <f t="shared" si="0"/>
        <v>13486.211909645868</v>
      </c>
      <c r="P29" s="125"/>
      <c r="Q29" s="125"/>
      <c r="R29" s="125"/>
      <c r="S29" s="125"/>
      <c r="T29" s="125"/>
      <c r="U29" s="125"/>
      <c r="V29" s="125"/>
      <c r="W29" s="125"/>
      <c r="X29" s="125"/>
      <c r="Y29" s="125"/>
      <c r="Z29" s="1"/>
      <c r="AA29" s="1"/>
      <c r="AB29" s="1"/>
      <c r="AC29" s="1"/>
      <c r="AD29" s="1"/>
    </row>
    <row r="30" spans="1:30">
      <c r="A30" s="1"/>
      <c r="B30" s="680" t="s">
        <v>720</v>
      </c>
      <c r="C30" s="680"/>
      <c r="D30" s="125"/>
      <c r="E30" s="125"/>
      <c r="F30" s="855">
        <v>-1.2395854501117659E-2</v>
      </c>
      <c r="G30" s="855">
        <v>0.19259259259259259</v>
      </c>
      <c r="H30" s="855">
        <v>0.12042788129744651</v>
      </c>
      <c r="I30" s="855">
        <v>0.12781028641823222</v>
      </c>
      <c r="J30" s="849">
        <v>0.10710872645178841</v>
      </c>
      <c r="K30" s="850">
        <v>0.10710872645178841</v>
      </c>
      <c r="L30" s="850">
        <v>0.10710872645178841</v>
      </c>
      <c r="M30" s="850">
        <v>0.10710872645178841</v>
      </c>
      <c r="N30" s="850">
        <v>0.10710872645178841</v>
      </c>
      <c r="O30" s="850">
        <v>0.10710872645178841</v>
      </c>
      <c r="P30" s="125"/>
      <c r="Q30" s="125"/>
      <c r="R30" s="125"/>
      <c r="S30" s="125"/>
      <c r="T30" s="125"/>
      <c r="U30" s="125"/>
      <c r="V30" s="125"/>
      <c r="W30" s="125"/>
      <c r="X30" s="125"/>
      <c r="Y30" s="125"/>
      <c r="Z30" s="1"/>
      <c r="AA30" s="1"/>
      <c r="AB30" s="1"/>
      <c r="AC30" s="1"/>
      <c r="AD30" s="1"/>
    </row>
    <row r="31" spans="1:30">
      <c r="A31" s="1"/>
      <c r="B31" s="125"/>
      <c r="C31" s="125"/>
      <c r="D31" s="125"/>
      <c r="E31" s="125"/>
      <c r="F31" s="409"/>
      <c r="G31" s="409"/>
      <c r="H31" s="409"/>
      <c r="I31" s="409"/>
      <c r="J31" s="569"/>
      <c r="K31" s="212"/>
      <c r="L31" s="212"/>
      <c r="M31" s="212"/>
      <c r="N31" s="212"/>
      <c r="O31" s="125"/>
      <c r="P31" s="125"/>
      <c r="Q31" s="125"/>
      <c r="R31" s="125"/>
      <c r="S31" s="125"/>
      <c r="T31" s="125"/>
      <c r="U31" s="125"/>
      <c r="V31" s="125"/>
      <c r="W31" s="125"/>
      <c r="X31" s="125"/>
      <c r="Y31" s="125"/>
      <c r="Z31" s="1"/>
      <c r="AA31" s="1"/>
      <c r="AB31" s="1"/>
      <c r="AC31" s="1"/>
      <c r="AD31" s="1"/>
    </row>
    <row r="32" spans="1:30">
      <c r="A32" s="1"/>
      <c r="B32" s="562" t="s">
        <v>306</v>
      </c>
      <c r="C32" s="562"/>
      <c r="D32" s="562"/>
      <c r="E32" s="688"/>
      <c r="F32" s="688">
        <v>1162</v>
      </c>
      <c r="G32" s="688">
        <v>1199</v>
      </c>
      <c r="H32" s="688">
        <v>1231</v>
      </c>
      <c r="I32" s="688">
        <v>1234</v>
      </c>
      <c r="J32" s="689">
        <f>I32*(1+$E$13)</f>
        <v>1328.7679223492341</v>
      </c>
      <c r="K32" s="688">
        <f>J32*(1+$E$13)</f>
        <v>1430.8137694200166</v>
      </c>
      <c r="L32" s="688">
        <f>K32*(1+$E$13)</f>
        <v>1540.6964664999284</v>
      </c>
      <c r="M32" s="688">
        <f>L32*(1+$E$13)</f>
        <v>1659.017862854065</v>
      </c>
      <c r="N32" s="688">
        <f>M32*(1+$E$13)</f>
        <v>1786.426028172498</v>
      </c>
      <c r="O32" s="688">
        <f>N32*(1+C16)</f>
        <v>1865.7409713433572</v>
      </c>
      <c r="P32" s="125"/>
      <c r="Q32" s="125"/>
      <c r="R32" s="125"/>
      <c r="S32" s="125"/>
      <c r="T32" s="125"/>
      <c r="U32" s="125"/>
      <c r="V32" s="125"/>
      <c r="W32" s="125"/>
      <c r="X32" s="125"/>
      <c r="Y32" s="125"/>
      <c r="Z32" s="1"/>
      <c r="AA32" s="1"/>
      <c r="AB32" s="1"/>
      <c r="AC32" s="1"/>
      <c r="AD32" s="1"/>
    </row>
    <row r="33" spans="1:30">
      <c r="A33" s="1"/>
      <c r="B33" s="665"/>
      <c r="C33" s="666"/>
      <c r="D33" s="125"/>
      <c r="E33" s="125"/>
      <c r="F33" s="667">
        <v>0.10877862595419847</v>
      </c>
      <c r="G33" s="667">
        <f t="shared" ref="G33" si="1">(G32-F32)/F32</f>
        <v>3.1841652323580036E-2</v>
      </c>
      <c r="H33" s="667">
        <f t="shared" ref="H33" si="2">(H32-G32)/G32</f>
        <v>2.6688907422852376E-2</v>
      </c>
      <c r="I33" s="667">
        <f t="shared" ref="I33" si="3">(I32-H32)/H32</f>
        <v>2.437043054427295E-3</v>
      </c>
      <c r="J33" s="570">
        <v>7.6797343881065003E-2</v>
      </c>
      <c r="K33" s="407">
        <v>7.6797343881065003E-2</v>
      </c>
      <c r="L33" s="407">
        <v>7.6797343881065003E-2</v>
      </c>
      <c r="M33" s="407">
        <v>7.6797343881065003E-2</v>
      </c>
      <c r="N33" s="407">
        <v>7.6797343881065003E-2</v>
      </c>
      <c r="O33" s="407">
        <v>4.43986719405325E-2</v>
      </c>
      <c r="P33" s="125"/>
      <c r="Q33" s="125"/>
      <c r="R33" s="125"/>
      <c r="S33" s="125"/>
      <c r="T33" s="125"/>
      <c r="U33" s="125"/>
      <c r="V33" s="125"/>
      <c r="W33" s="125"/>
      <c r="X33" s="125"/>
      <c r="Y33" s="125"/>
      <c r="Z33" s="1"/>
      <c r="AA33" s="1"/>
      <c r="AB33" s="1"/>
      <c r="AC33" s="1"/>
      <c r="AD33" s="1"/>
    </row>
    <row r="34" spans="1:30">
      <c r="A34" s="1"/>
      <c r="B34" s="125" t="s">
        <v>456</v>
      </c>
      <c r="C34" s="1"/>
      <c r="D34" s="125"/>
      <c r="E34" s="409"/>
      <c r="F34" s="409">
        <v>-71</v>
      </c>
      <c r="G34" s="409">
        <v>-45</v>
      </c>
      <c r="H34" s="409">
        <v>-20</v>
      </c>
      <c r="I34" s="409">
        <v>-36</v>
      </c>
      <c r="J34" s="569">
        <f t="shared" ref="J34:O34" si="4">$G$20</f>
        <v>-43</v>
      </c>
      <c r="K34" s="212">
        <f t="shared" si="4"/>
        <v>-43</v>
      </c>
      <c r="L34" s="212">
        <f t="shared" si="4"/>
        <v>-43</v>
      </c>
      <c r="M34" s="212">
        <f t="shared" si="4"/>
        <v>-43</v>
      </c>
      <c r="N34" s="212">
        <f t="shared" si="4"/>
        <v>-43</v>
      </c>
      <c r="O34" s="212">
        <f t="shared" si="4"/>
        <v>-43</v>
      </c>
      <c r="P34" s="125"/>
      <c r="Q34" s="125"/>
      <c r="R34" s="125"/>
      <c r="S34" s="125"/>
      <c r="T34" s="125"/>
      <c r="U34" s="125"/>
      <c r="V34" s="125"/>
      <c r="W34" s="125"/>
      <c r="X34" s="125"/>
      <c r="Y34" s="125"/>
      <c r="Z34" s="1"/>
      <c r="AA34" s="1"/>
      <c r="AB34" s="1"/>
      <c r="AC34" s="1"/>
      <c r="AD34" s="1"/>
    </row>
    <row r="35" spans="1:30">
      <c r="A35" s="1"/>
      <c r="B35" s="125" t="s">
        <v>726</v>
      </c>
      <c r="C35" s="125"/>
      <c r="D35" s="125"/>
      <c r="E35" s="661"/>
      <c r="F35" s="661">
        <f t="shared" ref="F35:I35" si="5">F32+F34</f>
        <v>1091</v>
      </c>
      <c r="G35" s="661">
        <f t="shared" si="5"/>
        <v>1154</v>
      </c>
      <c r="H35" s="661">
        <f t="shared" si="5"/>
        <v>1211</v>
      </c>
      <c r="I35" s="661">
        <f t="shared" si="5"/>
        <v>1198</v>
      </c>
      <c r="J35" s="569">
        <f>J32+J34</f>
        <v>1285.7679223492341</v>
      </c>
      <c r="K35" s="212">
        <f t="shared" ref="K35:O35" si="6">K32+K34</f>
        <v>1387.8137694200166</v>
      </c>
      <c r="L35" s="212">
        <f t="shared" si="6"/>
        <v>1497.6964664999284</v>
      </c>
      <c r="M35" s="212">
        <f t="shared" si="6"/>
        <v>1616.017862854065</v>
      </c>
      <c r="N35" s="212">
        <f t="shared" si="6"/>
        <v>1743.426028172498</v>
      </c>
      <c r="O35" s="212">
        <f t="shared" si="6"/>
        <v>1822.7409713433572</v>
      </c>
      <c r="P35" s="1"/>
      <c r="Q35" s="1"/>
      <c r="R35" s="1"/>
      <c r="S35" s="1"/>
      <c r="T35" s="1"/>
      <c r="U35" s="1"/>
      <c r="V35" s="1"/>
      <c r="W35" s="1"/>
      <c r="X35" s="1"/>
      <c r="Y35" s="1"/>
      <c r="Z35" s="1"/>
      <c r="AA35" s="1"/>
      <c r="AB35" s="1"/>
      <c r="AC35" s="1"/>
      <c r="AD35" s="1"/>
    </row>
    <row r="36" spans="1:30">
      <c r="A36" s="1"/>
      <c r="B36" s="125"/>
      <c r="C36" s="1"/>
      <c r="D36" s="125"/>
      <c r="E36" s="125"/>
      <c r="F36" s="409"/>
      <c r="G36" s="409"/>
      <c r="H36" s="409"/>
      <c r="I36" s="409"/>
      <c r="J36" s="569"/>
      <c r="K36" s="212"/>
      <c r="L36" s="212"/>
      <c r="M36" s="212"/>
      <c r="N36" s="212"/>
      <c r="O36" s="125"/>
      <c r="P36" s="1"/>
      <c r="Q36" s="1"/>
      <c r="R36" s="1"/>
      <c r="S36" s="1"/>
      <c r="T36" s="1"/>
      <c r="U36" s="1"/>
      <c r="V36" s="1"/>
      <c r="W36" s="1"/>
      <c r="X36" s="1"/>
      <c r="Y36" s="1"/>
      <c r="Z36" s="1"/>
      <c r="AA36" s="1"/>
      <c r="AB36" s="1"/>
      <c r="AC36" s="1"/>
      <c r="AD36" s="1"/>
    </row>
    <row r="37" spans="1:30">
      <c r="A37" s="1"/>
      <c r="B37" s="125" t="s">
        <v>334</v>
      </c>
      <c r="C37" s="125"/>
      <c r="D37" s="125"/>
      <c r="E37" s="125"/>
      <c r="F37" s="409">
        <v>-648</v>
      </c>
      <c r="G37" s="409">
        <v>-444</v>
      </c>
      <c r="H37" s="409">
        <v>-623</v>
      </c>
      <c r="I37" s="409">
        <v>-511</v>
      </c>
      <c r="J37" s="569">
        <f>J44*J46</f>
        <v>-534.3826488430326</v>
      </c>
      <c r="K37" s="212">
        <f t="shared" ref="K37:O37" si="7">K44*K46</f>
        <v>-591.61969379854315</v>
      </c>
      <c r="L37" s="212">
        <f t="shared" si="7"/>
        <v>-654.98732574510211</v>
      </c>
      <c r="M37" s="212">
        <f t="shared" si="7"/>
        <v>-725.14218404772271</v>
      </c>
      <c r="N37" s="212">
        <f t="shared" si="7"/>
        <v>-802.81123987754279</v>
      </c>
      <c r="O37" s="212">
        <f t="shared" si="7"/>
        <v>-1036.4963799654774</v>
      </c>
      <c r="P37" s="1"/>
      <c r="Q37" s="1"/>
      <c r="R37" s="1"/>
      <c r="S37" s="1"/>
      <c r="T37" s="1"/>
      <c r="U37" s="1"/>
      <c r="V37" s="1"/>
      <c r="W37" s="1"/>
      <c r="X37" s="1"/>
      <c r="Y37" s="1"/>
      <c r="Z37" s="1"/>
      <c r="AA37" s="1"/>
      <c r="AB37" s="1"/>
      <c r="AC37" s="1"/>
      <c r="AD37" s="1"/>
    </row>
    <row r="38" spans="1:30">
      <c r="A38" s="1"/>
      <c r="B38" s="562" t="s">
        <v>303</v>
      </c>
      <c r="C38" s="562"/>
      <c r="D38" s="562"/>
      <c r="E38" s="562"/>
      <c r="F38" s="710">
        <v>443</v>
      </c>
      <c r="G38" s="710">
        <v>710</v>
      </c>
      <c r="H38" s="710">
        <v>588</v>
      </c>
      <c r="I38" s="710">
        <v>687</v>
      </c>
      <c r="J38" s="689">
        <f>J35+J37</f>
        <v>751.38527350620154</v>
      </c>
      <c r="K38" s="688">
        <f t="shared" ref="K38:O38" si="8">K35+K37</f>
        <v>796.19407562147342</v>
      </c>
      <c r="L38" s="688">
        <f t="shared" si="8"/>
        <v>842.70914075482631</v>
      </c>
      <c r="M38" s="688">
        <f t="shared" si="8"/>
        <v>890.87567880634231</v>
      </c>
      <c r="N38" s="688">
        <f t="shared" si="8"/>
        <v>940.61478829495525</v>
      </c>
      <c r="O38" s="688">
        <f t="shared" si="8"/>
        <v>786.24459137787971</v>
      </c>
      <c r="P38" s="125"/>
      <c r="Q38" s="125"/>
      <c r="R38" s="125"/>
      <c r="S38" s="125"/>
      <c r="T38" s="125"/>
      <c r="U38" s="125"/>
      <c r="V38" s="125"/>
      <c r="W38" s="125"/>
      <c r="X38" s="125"/>
      <c r="Y38" s="125"/>
      <c r="Z38" s="1"/>
      <c r="AA38" s="1"/>
      <c r="AB38" s="1"/>
      <c r="AC38" s="1"/>
      <c r="AD38" s="1"/>
    </row>
    <row r="39" spans="1:30">
      <c r="A39" s="1"/>
      <c r="B39" s="125"/>
      <c r="C39" s="125"/>
      <c r="D39" s="125"/>
      <c r="E39" s="125"/>
      <c r="F39" s="409"/>
      <c r="G39" s="409"/>
      <c r="H39" s="409"/>
      <c r="I39" s="409"/>
      <c r="J39" s="569"/>
      <c r="K39" s="212"/>
      <c r="L39" s="212"/>
      <c r="M39" s="212"/>
      <c r="N39" s="212"/>
      <c r="O39" s="125"/>
      <c r="P39" s="125"/>
      <c r="Q39" s="125"/>
      <c r="R39" s="125"/>
      <c r="S39" s="125"/>
      <c r="T39" s="125"/>
      <c r="U39" s="125"/>
      <c r="V39" s="125"/>
      <c r="W39" s="125"/>
      <c r="X39" s="125"/>
      <c r="Y39" s="125"/>
      <c r="Z39" s="1"/>
      <c r="AA39" s="1"/>
      <c r="AB39" s="1"/>
      <c r="AC39" s="1"/>
      <c r="AD39" s="1"/>
    </row>
    <row r="40" spans="1:30">
      <c r="A40" s="1"/>
      <c r="B40" s="125" t="s">
        <v>716</v>
      </c>
      <c r="C40" s="125"/>
      <c r="D40" s="125"/>
      <c r="E40" s="125"/>
      <c r="F40" s="212">
        <v>281.18562874251495</v>
      </c>
      <c r="G40" s="212">
        <v>473.33333333333331</v>
      </c>
      <c r="H40" s="212">
        <v>399.6</v>
      </c>
      <c r="I40" s="212">
        <v>463.51807228915663</v>
      </c>
      <c r="J40" s="569">
        <f>J38*(1-0.279)</f>
        <v>541.74878219797131</v>
      </c>
      <c r="K40" s="212">
        <f>J40*(1+$C$16)</f>
        <v>565.80170865296202</v>
      </c>
      <c r="L40" s="212">
        <f>K40*(1+$C$16)</f>
        <v>590.92255309883762</v>
      </c>
      <c r="M40" s="212">
        <f>L40*(1+$C$16)</f>
        <v>617.15872967613484</v>
      </c>
      <c r="N40" s="212">
        <f>M40*(1+$C$16)</f>
        <v>644.5597576502613</v>
      </c>
      <c r="O40" s="212">
        <f>N40*(1+$C$16)</f>
        <v>673.17735487624441</v>
      </c>
      <c r="P40" s="125"/>
      <c r="Q40" s="125"/>
      <c r="R40" s="125"/>
      <c r="S40" s="125"/>
      <c r="T40" s="125"/>
      <c r="U40" s="125"/>
      <c r="V40" s="125"/>
      <c r="W40" s="125"/>
      <c r="X40" s="125"/>
      <c r="Y40" s="125"/>
      <c r="Z40" s="1"/>
      <c r="AA40" s="1"/>
      <c r="AB40" s="1"/>
      <c r="AC40" s="1"/>
      <c r="AD40" s="1"/>
    </row>
    <row r="41" spans="1:30">
      <c r="B41" s="125" t="s">
        <v>719</v>
      </c>
      <c r="C41" s="1"/>
      <c r="D41" s="1"/>
      <c r="E41" s="125"/>
      <c r="F41" s="132">
        <v>-39.814371257485028</v>
      </c>
      <c r="G41" s="132">
        <v>-44.666666666666664</v>
      </c>
      <c r="H41" s="132">
        <v>-31.400000000000002</v>
      </c>
      <c r="I41" s="132">
        <v>-34.481927710843372</v>
      </c>
      <c r="J41" s="569">
        <v>-37.590741408748769</v>
      </c>
      <c r="K41" s="212">
        <v>-37.590741408748769</v>
      </c>
      <c r="L41" s="212">
        <v>-37.590741408748769</v>
      </c>
      <c r="M41" s="212">
        <v>-37.590741408748769</v>
      </c>
      <c r="N41" s="212">
        <v>-37.590741408748769</v>
      </c>
      <c r="O41" s="212">
        <v>-37.590741408748769</v>
      </c>
      <c r="P41" s="1"/>
      <c r="Q41" s="1"/>
      <c r="R41" s="1"/>
      <c r="S41" s="1"/>
      <c r="T41" s="1"/>
      <c r="U41" s="1"/>
      <c r="V41" s="1"/>
      <c r="W41" s="1"/>
      <c r="X41" s="1"/>
      <c r="Y41" s="1"/>
      <c r="Z41" s="1"/>
      <c r="AA41" s="1"/>
      <c r="AB41" s="1"/>
      <c r="AC41" s="1"/>
      <c r="AD41" s="1"/>
    </row>
    <row r="42" spans="1:30">
      <c r="B42" s="562" t="s">
        <v>718</v>
      </c>
      <c r="C42" s="690"/>
      <c r="D42" s="690"/>
      <c r="E42" s="562"/>
      <c r="F42" s="691">
        <v>281.18562874251495</v>
      </c>
      <c r="G42" s="691">
        <v>473.33333333333331</v>
      </c>
      <c r="H42" s="691">
        <v>399.6</v>
      </c>
      <c r="I42" s="691">
        <v>463.51807228915663</v>
      </c>
      <c r="J42" s="692">
        <f t="shared" ref="J42:O42" si="9">J40+J41</f>
        <v>504.15804078922253</v>
      </c>
      <c r="K42" s="693">
        <f t="shared" si="9"/>
        <v>528.21096724421329</v>
      </c>
      <c r="L42" s="693">
        <f t="shared" si="9"/>
        <v>553.3318116900889</v>
      </c>
      <c r="M42" s="693">
        <f t="shared" si="9"/>
        <v>579.56798826738611</v>
      </c>
      <c r="N42" s="693">
        <f t="shared" si="9"/>
        <v>606.96901624151258</v>
      </c>
      <c r="O42" s="693">
        <f t="shared" si="9"/>
        <v>635.58661346749568</v>
      </c>
      <c r="P42" s="125"/>
      <c r="Q42" s="125"/>
      <c r="R42" s="125"/>
      <c r="S42" s="125"/>
      <c r="T42" s="125"/>
      <c r="U42" s="125"/>
      <c r="V42" s="125"/>
      <c r="W42" s="125"/>
      <c r="X42" s="125"/>
      <c r="Y42" s="125"/>
      <c r="Z42" s="1"/>
      <c r="AA42" s="1"/>
      <c r="AB42" s="1"/>
      <c r="AC42" s="1"/>
      <c r="AD42" s="1"/>
    </row>
    <row r="43" spans="1:30">
      <c r="A43" s="1"/>
      <c r="B43" s="1"/>
      <c r="C43" s="1"/>
      <c r="D43" s="1"/>
      <c r="E43" s="125"/>
      <c r="F43" s="125"/>
      <c r="G43" s="125"/>
      <c r="H43" s="125"/>
      <c r="I43" s="125"/>
      <c r="J43" s="400"/>
      <c r="K43" s="2"/>
      <c r="L43" s="2"/>
      <c r="M43" s="2"/>
      <c r="N43" s="2"/>
      <c r="O43" s="526"/>
      <c r="P43" s="1"/>
      <c r="Q43" s="1"/>
      <c r="R43" s="1"/>
      <c r="S43" s="1"/>
      <c r="T43" s="1"/>
      <c r="U43" s="1"/>
      <c r="V43" s="1"/>
      <c r="W43" s="1"/>
      <c r="X43" s="1"/>
      <c r="Y43" s="1"/>
      <c r="Z43" s="1"/>
      <c r="AA43" s="1"/>
      <c r="AB43" s="1"/>
      <c r="AC43" s="1"/>
      <c r="AD43" s="1"/>
    </row>
    <row r="44" spans="1:30">
      <c r="A44" s="1"/>
      <c r="B44" s="125" t="s">
        <v>526</v>
      </c>
      <c r="C44" s="125"/>
      <c r="D44" s="125"/>
      <c r="E44" s="2"/>
      <c r="F44" s="409">
        <f>'Cash flows'!D19</f>
        <v>-1066</v>
      </c>
      <c r="G44" s="409">
        <f>'Cash flows'!E19</f>
        <v>-80</v>
      </c>
      <c r="H44" s="409">
        <f>'Cash flows'!F19</f>
        <v>-1076</v>
      </c>
      <c r="I44" s="409">
        <f>'Cash flows'!G19</f>
        <v>-837</v>
      </c>
      <c r="J44" s="569">
        <f t="shared" ref="J44:O44" si="10">-J29*J47</f>
        <v>-891.93107437861886</v>
      </c>
      <c r="K44" s="212">
        <f t="shared" si="10"/>
        <v>-987.46467583808817</v>
      </c>
      <c r="L44" s="212">
        <f t="shared" si="10"/>
        <v>-1093.2307596832338</v>
      </c>
      <c r="M44" s="212">
        <f t="shared" si="10"/>
        <v>-1210.3253140708262</v>
      </c>
      <c r="N44" s="212">
        <f t="shared" si="10"/>
        <v>-1339.9617170533134</v>
      </c>
      <c r="O44" s="695">
        <f t="shared" si="10"/>
        <v>-1730.002521177875</v>
      </c>
      <c r="P44" s="125"/>
      <c r="Q44" s="125"/>
      <c r="R44" s="125"/>
      <c r="S44" s="125"/>
      <c r="T44" s="125"/>
      <c r="U44" s="125"/>
      <c r="V44" s="125"/>
      <c r="W44" s="125"/>
      <c r="X44" s="125"/>
      <c r="Y44" s="125"/>
      <c r="Z44" s="1"/>
      <c r="AA44" s="1"/>
      <c r="AB44" s="1"/>
      <c r="AC44" s="1"/>
      <c r="AD44" s="1"/>
    </row>
    <row r="45" spans="1:30">
      <c r="A45" s="1"/>
      <c r="B45" s="125" t="s">
        <v>525</v>
      </c>
      <c r="C45" s="125"/>
      <c r="D45" s="125"/>
      <c r="E45" s="125"/>
      <c r="F45" s="409">
        <f>'Cash flows'!D20</f>
        <v>648</v>
      </c>
      <c r="G45" s="409">
        <f>'Cash flows'!E20</f>
        <v>444</v>
      </c>
      <c r="H45" s="409">
        <f>'Cash flows'!F20</f>
        <v>623</v>
      </c>
      <c r="I45" s="409">
        <f>'Cash flows'!G20</f>
        <v>511</v>
      </c>
      <c r="J45" s="569">
        <f>-J44*J46</f>
        <v>534.3826488430326</v>
      </c>
      <c r="K45" s="212">
        <f t="shared" ref="K45:O45" si="11">-K44*K46</f>
        <v>591.61969379854315</v>
      </c>
      <c r="L45" s="212">
        <f t="shared" si="11"/>
        <v>654.98732574510211</v>
      </c>
      <c r="M45" s="212">
        <f t="shared" si="11"/>
        <v>725.14218404772271</v>
      </c>
      <c r="N45" s="212">
        <f t="shared" si="11"/>
        <v>802.81123987754279</v>
      </c>
      <c r="O45" s="695">
        <f t="shared" si="11"/>
        <v>1036.4963799654774</v>
      </c>
      <c r="P45" s="1"/>
      <c r="Q45" s="1"/>
      <c r="R45" s="1"/>
      <c r="S45" s="1"/>
      <c r="T45" s="1"/>
      <c r="U45" s="1"/>
      <c r="V45" s="1"/>
      <c r="W45" s="1"/>
      <c r="X45" s="1"/>
      <c r="Y45" s="1"/>
      <c r="Z45" s="1"/>
      <c r="AA45" s="1"/>
      <c r="AB45" s="1"/>
      <c r="AC45" s="1"/>
      <c r="AD45" s="1"/>
    </row>
    <row r="46" spans="1:30">
      <c r="A46" s="1"/>
      <c r="B46" s="405" t="s">
        <v>527</v>
      </c>
      <c r="C46" s="403"/>
      <c r="D46" s="403"/>
      <c r="E46" s="403"/>
      <c r="F46" s="855">
        <f>-F45/F44</f>
        <v>0.60787992495309573</v>
      </c>
      <c r="G46" s="855">
        <f t="shared" ref="G46:I46" si="12">-G45/G44</f>
        <v>5.55</v>
      </c>
      <c r="H46" s="855">
        <f t="shared" si="12"/>
        <v>0.57899628252788105</v>
      </c>
      <c r="I46" s="855">
        <f t="shared" si="12"/>
        <v>0.61051373954599764</v>
      </c>
      <c r="J46" s="856">
        <v>0.59912998234232473</v>
      </c>
      <c r="K46" s="851">
        <v>0.59912998234232473</v>
      </c>
      <c r="L46" s="851">
        <v>0.59912998234232473</v>
      </c>
      <c r="M46" s="851">
        <v>0.59912998234232473</v>
      </c>
      <c r="N46" s="851">
        <v>0.59912998234232473</v>
      </c>
      <c r="O46" s="696">
        <v>0.59912998234232473</v>
      </c>
      <c r="P46" s="125"/>
      <c r="Q46" s="125"/>
      <c r="R46" s="125"/>
      <c r="S46" s="125"/>
      <c r="T46" s="125"/>
      <c r="U46" s="125"/>
      <c r="V46" s="125"/>
      <c r="W46" s="125"/>
      <c r="X46" s="125"/>
      <c r="Y46" s="125"/>
      <c r="Z46" s="1"/>
      <c r="AA46" s="1"/>
      <c r="AB46" s="1"/>
      <c r="AC46" s="1"/>
      <c r="AD46" s="1"/>
    </row>
    <row r="47" spans="1:30">
      <c r="A47" s="1"/>
      <c r="B47" s="405" t="s">
        <v>529</v>
      </c>
      <c r="C47" s="403"/>
      <c r="D47" s="403"/>
      <c r="E47" s="403"/>
      <c r="F47" s="855">
        <f>-F44/F29</f>
        <v>0.21934156378600822</v>
      </c>
      <c r="G47" s="855">
        <f>-G44/G29</f>
        <v>1.3802622498274672E-2</v>
      </c>
      <c r="H47" s="855">
        <f>-H44/H29</f>
        <v>0.16569140745303357</v>
      </c>
      <c r="I47" s="855">
        <f>-I44/I29</f>
        <v>0.1142818132168214</v>
      </c>
      <c r="J47" s="859">
        <v>0.11</v>
      </c>
      <c r="K47" s="860">
        <v>0.11</v>
      </c>
      <c r="L47" s="860">
        <v>0.11</v>
      </c>
      <c r="M47" s="860">
        <v>0.11</v>
      </c>
      <c r="N47" s="860">
        <v>0.11</v>
      </c>
      <c r="O47" s="697">
        <v>0.12827935173853447</v>
      </c>
      <c r="P47" s="1"/>
      <c r="Q47" s="1"/>
      <c r="R47" s="1"/>
      <c r="S47" s="1"/>
      <c r="T47" s="1"/>
      <c r="U47" s="1"/>
      <c r="V47" s="1"/>
      <c r="W47" s="1"/>
      <c r="X47" s="1"/>
      <c r="Y47" s="1"/>
      <c r="Z47" s="1"/>
      <c r="AA47" s="1"/>
      <c r="AB47" s="1"/>
      <c r="AC47" s="1"/>
      <c r="AD47" s="1"/>
    </row>
    <row r="48" spans="1:30">
      <c r="A48" s="1"/>
      <c r="B48" s="125" t="s">
        <v>354</v>
      </c>
      <c r="C48" s="125"/>
      <c r="D48" s="125"/>
      <c r="E48" s="125"/>
      <c r="F48" s="409">
        <v>95</v>
      </c>
      <c r="G48" s="409">
        <v>-46</v>
      </c>
      <c r="H48" s="409">
        <v>17</v>
      </c>
      <c r="I48" s="409">
        <v>34</v>
      </c>
      <c r="J48" s="569">
        <v>44.03</v>
      </c>
      <c r="K48" s="212">
        <v>44.03</v>
      </c>
      <c r="L48" s="212">
        <v>44.03</v>
      </c>
      <c r="M48" s="212">
        <v>44.03</v>
      </c>
      <c r="N48" s="212">
        <v>44.03</v>
      </c>
      <c r="O48" s="698">
        <v>44.03</v>
      </c>
      <c r="P48" s="125"/>
      <c r="Q48" s="125"/>
      <c r="R48" s="125"/>
      <c r="S48" s="125"/>
      <c r="T48" s="125"/>
      <c r="U48" s="125"/>
      <c r="V48" s="125"/>
      <c r="W48" s="125"/>
      <c r="X48" s="125"/>
      <c r="Y48" s="125"/>
      <c r="Z48" s="1"/>
      <c r="AA48" s="1"/>
      <c r="AB48" s="1"/>
      <c r="AC48" s="1"/>
      <c r="AD48" s="1"/>
    </row>
    <row r="49" spans="1:30">
      <c r="A49" s="1"/>
      <c r="B49" s="403" t="s">
        <v>531</v>
      </c>
      <c r="C49" s="403"/>
      <c r="D49" s="403"/>
      <c r="E49" s="403"/>
      <c r="F49" s="406"/>
      <c r="G49" s="855">
        <f>G48/F48-1</f>
        <v>-1.4842105263157894</v>
      </c>
      <c r="H49" s="855">
        <f>-(H48/G48-1)</f>
        <v>1.3695652173913042</v>
      </c>
      <c r="I49" s="855">
        <f t="shared" ref="I49" si="13">I48/H48-1</f>
        <v>1</v>
      </c>
      <c r="J49" s="856">
        <v>0.29511823035850493</v>
      </c>
      <c r="K49" s="851">
        <v>0.29511823035850493</v>
      </c>
      <c r="L49" s="851">
        <v>0.29511823035850493</v>
      </c>
      <c r="M49" s="851">
        <v>0.29511823035850493</v>
      </c>
      <c r="N49" s="851">
        <v>0.29511823035850493</v>
      </c>
      <c r="O49" s="696">
        <v>0.29511823035850493</v>
      </c>
      <c r="P49" s="1"/>
      <c r="Q49" s="1"/>
      <c r="R49" s="1"/>
      <c r="S49" s="1"/>
      <c r="T49" s="1"/>
      <c r="U49" s="1"/>
      <c r="V49" s="1"/>
      <c r="W49" s="1"/>
      <c r="X49" s="1"/>
      <c r="Y49" s="1"/>
      <c r="Z49" s="1"/>
      <c r="AA49" s="1"/>
      <c r="AB49" s="1"/>
      <c r="AC49" s="1"/>
      <c r="AD49" s="1"/>
    </row>
    <row r="50" spans="1:30">
      <c r="A50" s="1"/>
      <c r="B50" s="125" t="s">
        <v>660</v>
      </c>
      <c r="C50" s="125"/>
      <c r="D50" s="125"/>
      <c r="E50" s="125"/>
      <c r="F50" s="409">
        <v>33</v>
      </c>
      <c r="G50" s="409">
        <v>-46</v>
      </c>
      <c r="H50" s="409">
        <v>-5</v>
      </c>
      <c r="I50" s="409">
        <v>-7</v>
      </c>
      <c r="J50" s="569">
        <f>I50*(1-$F$22)</f>
        <v>-11.439481774264383</v>
      </c>
      <c r="K50" s="212">
        <v>-11.439481774264383</v>
      </c>
      <c r="L50" s="212">
        <v>-11.439481774264383</v>
      </c>
      <c r="M50" s="212">
        <v>-11.439481774264383</v>
      </c>
      <c r="N50" s="212">
        <v>-11.439481774264383</v>
      </c>
      <c r="O50" s="698">
        <v>-11.439481774264383</v>
      </c>
      <c r="P50" s="125"/>
      <c r="Q50" s="125"/>
      <c r="R50" s="125"/>
      <c r="S50" s="125"/>
      <c r="T50" s="125"/>
      <c r="U50" s="125"/>
      <c r="V50" s="125"/>
      <c r="W50" s="125"/>
      <c r="X50" s="125"/>
      <c r="Y50" s="125"/>
      <c r="Z50" s="1"/>
      <c r="AA50" s="1"/>
      <c r="AB50" s="1"/>
      <c r="AC50" s="1"/>
      <c r="AD50" s="1"/>
    </row>
    <row r="51" spans="1:30">
      <c r="A51" s="1"/>
      <c r="B51" s="403" t="s">
        <v>531</v>
      </c>
      <c r="C51" s="403"/>
      <c r="D51" s="403"/>
      <c r="E51" s="403"/>
      <c r="F51" s="406"/>
      <c r="G51" s="855">
        <f>G50/F50-1</f>
        <v>-2.393939393939394</v>
      </c>
      <c r="H51" s="855">
        <f>-(H50/G50-1)</f>
        <v>0.89130434782608692</v>
      </c>
      <c r="I51" s="855">
        <f>-(I50/H50-1)</f>
        <v>-0.39999999999999991</v>
      </c>
      <c r="J51" s="856">
        <v>-0.63421168203776901</v>
      </c>
      <c r="K51" s="851">
        <v>-0.63421168203776901</v>
      </c>
      <c r="L51" s="851">
        <v>-0.63421168203776901</v>
      </c>
      <c r="M51" s="851">
        <v>-0.63421168203776901</v>
      </c>
      <c r="N51" s="851">
        <v>-0.63421168203776901</v>
      </c>
      <c r="O51" s="696">
        <v>-0.63421168203776901</v>
      </c>
      <c r="P51" s="125"/>
      <c r="Q51" s="125"/>
      <c r="R51" s="125"/>
      <c r="S51" s="125"/>
      <c r="T51" s="125"/>
      <c r="U51" s="125"/>
      <c r="V51" s="125"/>
      <c r="W51" s="125"/>
      <c r="X51" s="125"/>
      <c r="Y51" s="125"/>
      <c r="Z51" s="1"/>
      <c r="AA51" s="1"/>
      <c r="AB51" s="1"/>
      <c r="AC51" s="1"/>
      <c r="AD51" s="1"/>
    </row>
    <row r="52" spans="1:30">
      <c r="A52" s="1"/>
      <c r="B52" s="125" t="s">
        <v>368</v>
      </c>
      <c r="C52" s="125"/>
      <c r="D52" s="125"/>
      <c r="E52" s="125"/>
      <c r="F52" s="409">
        <v>-33</v>
      </c>
      <c r="G52" s="409">
        <v>40</v>
      </c>
      <c r="H52" s="409">
        <v>37</v>
      </c>
      <c r="I52" s="409">
        <v>-13</v>
      </c>
      <c r="J52" s="569">
        <f>I52*(1+$F$23)</f>
        <v>-16.405002730002728</v>
      </c>
      <c r="K52" s="212">
        <v>-16.405002730002728</v>
      </c>
      <c r="L52" s="212">
        <v>-16.405002730002728</v>
      </c>
      <c r="M52" s="212">
        <v>-16.405002730002728</v>
      </c>
      <c r="N52" s="212">
        <v>-16.405002730002728</v>
      </c>
      <c r="O52" s="698">
        <v>-16.405002730002728</v>
      </c>
      <c r="P52" s="125"/>
      <c r="Q52" s="125"/>
      <c r="R52" s="125"/>
      <c r="S52" s="125"/>
      <c r="T52" s="125"/>
      <c r="U52" s="125"/>
      <c r="V52" s="125"/>
      <c r="W52" s="125"/>
      <c r="X52" s="125"/>
      <c r="Y52" s="125"/>
      <c r="Z52" s="1"/>
      <c r="AA52" s="1"/>
      <c r="AB52" s="1"/>
      <c r="AC52" s="1"/>
      <c r="AD52" s="1"/>
    </row>
    <row r="53" spans="1:30">
      <c r="A53" s="1"/>
      <c r="B53" s="403" t="s">
        <v>531</v>
      </c>
      <c r="C53" s="403"/>
      <c r="D53" s="403"/>
      <c r="E53" s="403"/>
      <c r="F53" s="406"/>
      <c r="G53" s="855">
        <f>-(G52/F52 -1)</f>
        <v>2.2121212121212119</v>
      </c>
      <c r="H53" s="855">
        <f t="shared" ref="H53:I53" si="14">H52/G52 -1</f>
        <v>-7.4999999999999956E-2</v>
      </c>
      <c r="I53" s="855">
        <f t="shared" si="14"/>
        <v>-1.3513513513513513</v>
      </c>
      <c r="J53" s="856">
        <v>0.26192328692328681</v>
      </c>
      <c r="K53" s="851">
        <v>0.26192328692328681</v>
      </c>
      <c r="L53" s="851">
        <v>0.26192328692328681</v>
      </c>
      <c r="M53" s="851">
        <v>0.26192328692328681</v>
      </c>
      <c r="N53" s="851">
        <v>0.26192328692328681</v>
      </c>
      <c r="O53" s="696">
        <v>0.26192328692328681</v>
      </c>
      <c r="P53" s="125"/>
      <c r="Q53" s="125"/>
      <c r="R53" s="125"/>
      <c r="S53" s="125"/>
      <c r="T53" s="125"/>
      <c r="U53" s="125"/>
      <c r="V53" s="125"/>
      <c r="W53" s="125"/>
      <c r="X53" s="125"/>
      <c r="Y53" s="125"/>
      <c r="Z53" s="1"/>
      <c r="AA53" s="1"/>
      <c r="AB53" s="1"/>
      <c r="AC53" s="1"/>
      <c r="AD53" s="1"/>
    </row>
    <row r="54" spans="1:30">
      <c r="A54" s="1"/>
      <c r="B54" s="125" t="s">
        <v>356</v>
      </c>
      <c r="C54" s="125"/>
      <c r="D54" s="125"/>
      <c r="E54" s="125"/>
      <c r="F54" s="409">
        <v>20</v>
      </c>
      <c r="G54" s="409">
        <v>-91</v>
      </c>
      <c r="H54" s="409">
        <v>11</v>
      </c>
      <c r="I54" s="409">
        <v>-3</v>
      </c>
      <c r="J54" s="569">
        <f t="shared" ref="J54:O54" si="15">I54*(1+$F$24)</f>
        <v>4.9436063936063945</v>
      </c>
      <c r="K54" s="212">
        <f t="shared" si="15"/>
        <v>-8.1464147249686736</v>
      </c>
      <c r="L54" s="212">
        <f t="shared" si="15"/>
        <v>13.424222639774802</v>
      </c>
      <c r="M54" s="212">
        <f t="shared" si="15"/>
        <v>-22.121357623728805</v>
      </c>
      <c r="N54" s="212">
        <f t="shared" si="15"/>
        <v>36.453094994639756</v>
      </c>
      <c r="O54" s="698">
        <f t="shared" si="15"/>
        <v>-60.069917827414109</v>
      </c>
      <c r="P54" s="125"/>
      <c r="Q54" s="125"/>
      <c r="R54" s="125"/>
      <c r="S54" s="125"/>
      <c r="T54" s="125"/>
      <c r="U54" s="125"/>
      <c r="V54" s="125"/>
      <c r="W54" s="125"/>
      <c r="X54" s="125"/>
      <c r="Y54" s="125"/>
      <c r="Z54" s="1"/>
      <c r="AA54" s="1"/>
      <c r="AB54" s="1"/>
      <c r="AC54" s="1"/>
      <c r="AD54" s="1"/>
    </row>
    <row r="55" spans="1:30">
      <c r="A55" s="1"/>
      <c r="B55" s="403" t="s">
        <v>531</v>
      </c>
      <c r="C55" s="403"/>
      <c r="D55" s="403"/>
      <c r="E55" s="403"/>
      <c r="F55" s="406"/>
      <c r="G55" s="855">
        <f>G54/F54 -1</f>
        <v>-5.55</v>
      </c>
      <c r="H55" s="855">
        <f>H54/G54 -1</f>
        <v>-1.1208791208791209</v>
      </c>
      <c r="I55" s="855">
        <f t="shared" ref="I55" si="16">I54/H54 -1</f>
        <v>-1.2727272727272727</v>
      </c>
      <c r="J55" s="856">
        <v>-2.647868797868798</v>
      </c>
      <c r="K55" s="851">
        <v>-2.647868797868798</v>
      </c>
      <c r="L55" s="851">
        <v>-2.647868797868798</v>
      </c>
      <c r="M55" s="851">
        <v>-2.647868797868798</v>
      </c>
      <c r="N55" s="851">
        <v>-2.647868797868798</v>
      </c>
      <c r="O55" s="696">
        <v>-1.9006160506160503</v>
      </c>
      <c r="P55" s="125"/>
      <c r="Q55" s="125"/>
      <c r="R55" s="125"/>
      <c r="S55" s="125"/>
      <c r="T55" s="125"/>
      <c r="U55" s="125"/>
      <c r="V55" s="125"/>
      <c r="W55" s="125"/>
      <c r="X55" s="125"/>
      <c r="Y55" s="125"/>
      <c r="Z55" s="1"/>
      <c r="AA55" s="1"/>
      <c r="AB55" s="1"/>
      <c r="AC55" s="1"/>
      <c r="AD55" s="1"/>
    </row>
    <row r="56" spans="1:30">
      <c r="A56" s="1"/>
      <c r="B56" s="125" t="s">
        <v>530</v>
      </c>
      <c r="C56" s="125"/>
      <c r="D56" s="125"/>
      <c r="E56" s="125"/>
      <c r="F56" s="409">
        <v>54</v>
      </c>
      <c r="G56" s="409">
        <v>71</v>
      </c>
      <c r="H56" s="409">
        <v>25</v>
      </c>
      <c r="I56" s="409">
        <v>81</v>
      </c>
      <c r="J56" s="569">
        <f t="shared" ref="J56:O56" si="17">J29*J57</f>
        <v>73.406103647372149</v>
      </c>
      <c r="K56" s="212">
        <f t="shared" si="17"/>
        <v>81.268537922830163</v>
      </c>
      <c r="L56" s="212">
        <f t="shared" si="17"/>
        <v>89.973107520343362</v>
      </c>
      <c r="M56" s="212">
        <f t="shared" si="17"/>
        <v>99.610012481757181</v>
      </c>
      <c r="N56" s="212">
        <f t="shared" si="17"/>
        <v>110.27911406052495</v>
      </c>
      <c r="O56" s="698">
        <f t="shared" si="17"/>
        <v>122.0909695217793</v>
      </c>
      <c r="P56" s="125"/>
      <c r="Q56" s="125"/>
      <c r="R56" s="125"/>
      <c r="S56" s="125"/>
      <c r="T56" s="125"/>
      <c r="U56" s="125"/>
      <c r="V56" s="125"/>
      <c r="W56" s="125"/>
      <c r="X56" s="125"/>
      <c r="Y56" s="125"/>
      <c r="Z56" s="1"/>
      <c r="AA56" s="1"/>
      <c r="AB56" s="1"/>
      <c r="AC56" s="1"/>
      <c r="AD56" s="1"/>
    </row>
    <row r="57" spans="1:30">
      <c r="A57" s="1"/>
      <c r="B57" s="403" t="s">
        <v>659</v>
      </c>
      <c r="C57" s="403"/>
      <c r="D57" s="403"/>
      <c r="E57" s="403"/>
      <c r="F57" s="848">
        <f>F56/F29</f>
        <v>1.1111111111111112E-2</v>
      </c>
      <c r="G57" s="848">
        <f>G56/G29</f>
        <v>1.2249827467218772E-2</v>
      </c>
      <c r="H57" s="848">
        <f>H56/H29</f>
        <v>3.8497074222359103E-3</v>
      </c>
      <c r="I57" s="848">
        <f>I56/I29</f>
        <v>1.1059530311305297E-2</v>
      </c>
      <c r="J57" s="849">
        <v>9.0530217335866598E-3</v>
      </c>
      <c r="K57" s="848">
        <v>9.0530217335866598E-3</v>
      </c>
      <c r="L57" s="848">
        <v>9.0530217335866598E-3</v>
      </c>
      <c r="M57" s="848">
        <v>9.0530217335866598E-3</v>
      </c>
      <c r="N57" s="848">
        <v>9.0530217335866598E-3</v>
      </c>
      <c r="O57" s="699">
        <v>9.0530217335866598E-3</v>
      </c>
      <c r="P57" s="1"/>
      <c r="Q57" s="1"/>
      <c r="R57" s="125"/>
      <c r="S57" s="125"/>
      <c r="T57" s="125"/>
      <c r="U57" s="125"/>
      <c r="V57" s="125"/>
      <c r="W57" s="125"/>
      <c r="X57" s="125"/>
      <c r="Y57" s="125"/>
      <c r="Z57" s="1"/>
      <c r="AA57" s="1"/>
      <c r="AB57" s="1"/>
      <c r="AC57" s="1"/>
      <c r="AD57" s="1"/>
    </row>
    <row r="58" spans="1:30">
      <c r="A58" s="1"/>
      <c r="B58" s="408" t="s">
        <v>357</v>
      </c>
      <c r="C58" s="408"/>
      <c r="D58" s="408"/>
      <c r="E58" s="408"/>
      <c r="F58" s="410">
        <f>F40+F44+F45+F48+F50+F52+F54+F56</f>
        <v>32.18562874251495</v>
      </c>
      <c r="G58" s="410">
        <f>G40+G44+G45+G48+G50+G52+G54+G56</f>
        <v>765.33333333333326</v>
      </c>
      <c r="H58" s="410">
        <f>H40+H44+H45+H48+H50+H52+H54+H56</f>
        <v>31.600000000000023</v>
      </c>
      <c r="I58" s="410">
        <f>I40+I44+I45+I48+I50+I52+I54+I56</f>
        <v>229.51807228915663</v>
      </c>
      <c r="J58" s="571">
        <f>J42+J44+J45+J48+J50+J52+J54+J56</f>
        <v>241.1448407903477</v>
      </c>
      <c r="K58" s="411">
        <f t="shared" ref="K58:O58" si="18">K42+K44+K45+K48+K50+K52+K54+K56</f>
        <v>221.67362389826263</v>
      </c>
      <c r="L58" s="411">
        <f t="shared" si="18"/>
        <v>234.67122340780821</v>
      </c>
      <c r="M58" s="411">
        <f t="shared" si="18"/>
        <v>188.05902859804394</v>
      </c>
      <c r="N58" s="411">
        <f t="shared" si="18"/>
        <v>232.7362636166396</v>
      </c>
      <c r="O58" s="695">
        <f t="shared" si="18"/>
        <v>20.2870394451962</v>
      </c>
      <c r="P58" s="125"/>
      <c r="Q58" s="125"/>
      <c r="R58" s="125"/>
      <c r="S58" s="125"/>
      <c r="T58" s="125"/>
      <c r="U58" s="125"/>
      <c r="V58" s="125"/>
      <c r="W58" s="125"/>
      <c r="X58" s="125"/>
      <c r="Y58" s="125"/>
      <c r="Z58" s="1"/>
      <c r="AA58" s="1"/>
      <c r="AB58" s="1"/>
      <c r="AC58" s="1"/>
      <c r="AD58" s="1"/>
    </row>
    <row r="59" spans="1:30">
      <c r="A59" s="1"/>
      <c r="B59" s="403" t="s">
        <v>532</v>
      </c>
      <c r="C59" s="403"/>
      <c r="D59" s="403"/>
      <c r="E59" s="403"/>
      <c r="F59" s="406"/>
      <c r="G59" s="406"/>
      <c r="H59" s="406"/>
      <c r="I59" s="406"/>
      <c r="J59" s="861">
        <v>1.0469999999999999</v>
      </c>
      <c r="K59" s="862">
        <f>1.047^2</f>
        <v>1.0962089999999998</v>
      </c>
      <c r="L59" s="862">
        <f>1.047^3</f>
        <v>1.1477308229999996</v>
      </c>
      <c r="M59" s="862">
        <f>1.047^4</f>
        <v>1.2016741716809995</v>
      </c>
      <c r="N59" s="862">
        <f>1.047^5</f>
        <v>1.2581528577500065</v>
      </c>
      <c r="O59" s="526"/>
      <c r="P59" s="125"/>
      <c r="Q59" s="125"/>
      <c r="R59" s="125"/>
      <c r="S59" s="125"/>
      <c r="T59" s="125"/>
      <c r="U59" s="125"/>
      <c r="V59" s="125"/>
      <c r="W59" s="125"/>
      <c r="X59" s="125"/>
      <c r="Y59" s="125"/>
      <c r="Z59" s="1"/>
      <c r="AA59" s="1"/>
      <c r="AB59" s="1"/>
      <c r="AC59" s="1"/>
      <c r="AD59" s="1"/>
    </row>
    <row r="60" spans="1:30">
      <c r="A60" s="1"/>
      <c r="B60" s="125" t="s">
        <v>524</v>
      </c>
      <c r="C60" s="125"/>
      <c r="D60" s="125"/>
      <c r="E60" s="125"/>
      <c r="F60" s="125"/>
      <c r="G60" s="125"/>
      <c r="H60" s="125"/>
      <c r="I60" s="125"/>
      <c r="J60" s="668">
        <f>J58/J59</f>
        <v>230.31980973290135</v>
      </c>
      <c r="K60" s="626">
        <f t="shared" ref="K60:N60" si="19">K58/K59</f>
        <v>202.21839439218496</v>
      </c>
      <c r="L60" s="626">
        <f t="shared" si="19"/>
        <v>204.46538396033674</v>
      </c>
      <c r="M60" s="626">
        <f>M58/M59</f>
        <v>156.49752073390383</v>
      </c>
      <c r="N60" s="626">
        <f t="shared" si="19"/>
        <v>184.98250207279983</v>
      </c>
      <c r="O60" s="125"/>
      <c r="P60" s="125"/>
      <c r="Q60" s="125"/>
      <c r="R60" s="125"/>
      <c r="S60" s="125"/>
      <c r="T60" s="125"/>
      <c r="U60" s="125"/>
      <c r="V60" s="125"/>
      <c r="W60" s="125"/>
      <c r="X60" s="125"/>
      <c r="Y60" s="125"/>
      <c r="Z60" s="1"/>
      <c r="AA60" s="1"/>
      <c r="AB60" s="1"/>
      <c r="AC60" s="1"/>
      <c r="AD60" s="1"/>
    </row>
    <row r="61" spans="1:30">
      <c r="A61" s="1"/>
      <c r="B61" s="1"/>
      <c r="C61" s="125"/>
      <c r="D61" s="125"/>
      <c r="E61" s="125"/>
      <c r="F61" s="125"/>
      <c r="G61" s="125"/>
      <c r="H61" s="125"/>
      <c r="I61" s="125"/>
      <c r="J61" s="2"/>
      <c r="K61" s="2"/>
      <c r="L61" s="2"/>
      <c r="M61" s="2"/>
      <c r="N61" s="2"/>
      <c r="O61" s="125"/>
      <c r="P61" s="125"/>
      <c r="Q61" s="125"/>
      <c r="R61" s="125"/>
      <c r="S61" s="125"/>
      <c r="T61" s="125"/>
      <c r="U61" s="125"/>
      <c r="V61" s="125"/>
      <c r="W61" s="125"/>
      <c r="X61" s="125"/>
      <c r="Y61" s="125"/>
      <c r="Z61" s="1"/>
      <c r="AA61" s="1"/>
      <c r="AB61" s="1"/>
      <c r="AC61" s="1"/>
      <c r="AD61" s="1"/>
    </row>
    <row r="62" spans="1:30">
      <c r="A62" s="1"/>
      <c r="B62" s="1"/>
      <c r="C62" s="1"/>
      <c r="D62" s="1"/>
      <c r="E62" s="1"/>
      <c r="F62" s="1"/>
      <c r="G62" s="1"/>
      <c r="H62" s="125"/>
      <c r="I62" s="125"/>
      <c r="J62" s="2"/>
      <c r="K62" s="2"/>
      <c r="L62" s="2"/>
      <c r="M62" s="2"/>
      <c r="O62" s="125"/>
      <c r="P62" s="125"/>
      <c r="Q62" s="125"/>
      <c r="R62" s="125"/>
      <c r="S62" s="125"/>
      <c r="T62" s="125"/>
      <c r="U62" s="125"/>
      <c r="V62" s="125"/>
      <c r="W62" s="125"/>
      <c r="X62" s="125"/>
      <c r="Y62" s="125"/>
      <c r="Z62" s="1"/>
      <c r="AA62" s="1"/>
      <c r="AB62" s="1"/>
      <c r="AC62" s="1"/>
      <c r="AD62" s="1"/>
    </row>
    <row r="63" spans="1:30">
      <c r="A63" s="1"/>
      <c r="B63" s="398" t="s">
        <v>670</v>
      </c>
      <c r="C63" s="1"/>
      <c r="D63" s="1"/>
      <c r="E63" s="1"/>
      <c r="F63" s="1"/>
      <c r="G63" s="1"/>
      <c r="H63" s="125"/>
      <c r="I63" s="125"/>
      <c r="J63" s="2"/>
      <c r="K63" s="2"/>
      <c r="L63" s="2"/>
      <c r="M63" s="2"/>
      <c r="N63" s="1"/>
      <c r="O63" s="1"/>
      <c r="P63" s="125"/>
      <c r="Q63" s="125"/>
      <c r="R63" s="125"/>
      <c r="S63" s="125"/>
      <c r="T63" s="125"/>
      <c r="U63" s="125"/>
      <c r="V63" s="125"/>
      <c r="W63" s="125"/>
      <c r="X63" s="125"/>
      <c r="Y63" s="125"/>
      <c r="Z63" s="1"/>
      <c r="AA63" s="1"/>
      <c r="AB63" s="1"/>
      <c r="AC63" s="1"/>
      <c r="AD63" s="1"/>
    </row>
    <row r="64" spans="1:30">
      <c r="A64" s="1"/>
      <c r="B64" s="1"/>
      <c r="C64" s="1"/>
      <c r="D64" s="1"/>
      <c r="E64" s="1"/>
      <c r="F64" s="1"/>
      <c r="G64" s="1"/>
      <c r="H64" s="125"/>
      <c r="I64" s="125"/>
      <c r="J64" s="2"/>
      <c r="K64" s="2"/>
      <c r="L64" s="2"/>
      <c r="M64" s="2"/>
      <c r="N64" s="2"/>
      <c r="O64" s="125"/>
      <c r="P64" s="125"/>
      <c r="Q64" s="125"/>
      <c r="R64" s="125"/>
      <c r="S64" s="125"/>
      <c r="T64" s="125"/>
      <c r="U64" s="125"/>
      <c r="V64" s="125"/>
      <c r="W64" s="125"/>
      <c r="X64" s="125"/>
      <c r="Y64" s="125"/>
      <c r="Z64" s="1"/>
      <c r="AA64" s="1"/>
      <c r="AB64" s="1"/>
      <c r="AC64" s="1"/>
      <c r="AD64" s="1"/>
    </row>
    <row r="65" spans="1:30">
      <c r="A65" s="1"/>
      <c r="B65" s="125" t="s">
        <v>534</v>
      </c>
      <c r="C65" s="125"/>
      <c r="D65" s="419">
        <f>O40*(((1-E67))*(1+C16))/C17-C16</f>
        <v>2116.025579380992</v>
      </c>
      <c r="E65" s="1"/>
      <c r="G65" s="1"/>
      <c r="H65" s="679"/>
      <c r="I65" s="125"/>
      <c r="J65" s="2"/>
      <c r="K65" s="2"/>
      <c r="L65" s="2"/>
      <c r="M65" s="2"/>
      <c r="N65" s="2"/>
      <c r="O65" s="125"/>
      <c r="P65" s="125"/>
      <c r="Q65" s="125"/>
      <c r="R65" s="125"/>
      <c r="S65" s="125"/>
      <c r="T65" s="125"/>
      <c r="U65" s="125"/>
      <c r="V65" s="125"/>
      <c r="W65" s="125"/>
      <c r="X65" s="125"/>
      <c r="Y65" s="125"/>
      <c r="Z65" s="1"/>
      <c r="AA65" s="1"/>
      <c r="AB65" s="1"/>
      <c r="AC65" s="1"/>
      <c r="AD65" s="1"/>
    </row>
    <row r="66" spans="1:30">
      <c r="A66" s="1"/>
      <c r="B66" s="125" t="s">
        <v>671</v>
      </c>
      <c r="D66" s="412">
        <f>D65/(1+0.0528)^5</f>
        <v>1636.0310128861393</v>
      </c>
      <c r="E66" s="125"/>
      <c r="F66" s="125"/>
      <c r="G66" s="125"/>
      <c r="H66" s="125"/>
      <c r="I66" s="125"/>
      <c r="J66" s="2"/>
      <c r="K66" s="2"/>
      <c r="L66" s="2"/>
      <c r="M66" s="2"/>
      <c r="N66" s="2"/>
      <c r="O66" s="125"/>
      <c r="P66" s="125"/>
      <c r="Q66" s="125"/>
      <c r="R66" s="125"/>
      <c r="S66" s="125"/>
      <c r="T66" s="125"/>
      <c r="U66" s="125"/>
      <c r="V66" s="125"/>
      <c r="W66" s="125"/>
      <c r="X66" s="125"/>
      <c r="Y66" s="125"/>
      <c r="Z66" s="1"/>
      <c r="AA66" s="1"/>
      <c r="AB66" s="1"/>
      <c r="AC66" s="1"/>
      <c r="AD66" s="1"/>
    </row>
    <row r="67" spans="1:30">
      <c r="A67" s="1"/>
      <c r="B67" s="2" t="s">
        <v>668</v>
      </c>
      <c r="C67" s="125"/>
      <c r="D67" s="125"/>
      <c r="E67" s="391">
        <f>C16/C17</f>
        <v>0.84113037087490417</v>
      </c>
      <c r="F67" s="125"/>
      <c r="G67" s="125"/>
      <c r="H67" s="125"/>
      <c r="I67" s="125"/>
      <c r="J67" s="2"/>
      <c r="K67" s="2"/>
      <c r="L67" s="2"/>
      <c r="M67" s="2"/>
      <c r="N67" s="2"/>
      <c r="O67" s="125"/>
      <c r="P67" s="125"/>
      <c r="Q67" s="125"/>
      <c r="R67" s="125"/>
      <c r="S67" s="125"/>
      <c r="T67" s="125"/>
      <c r="U67" s="125"/>
      <c r="V67" s="125"/>
      <c r="W67" s="125"/>
      <c r="X67" s="125"/>
      <c r="Y67" s="125"/>
      <c r="Z67" s="1"/>
      <c r="AA67" s="1"/>
      <c r="AB67" s="1"/>
      <c r="AC67" s="1"/>
      <c r="AD67" s="1"/>
    </row>
    <row r="68" spans="1:30">
      <c r="A68" s="1"/>
      <c r="B68" s="1"/>
      <c r="C68" s="1"/>
      <c r="D68" s="1"/>
      <c r="E68" s="1"/>
      <c r="F68" s="125"/>
      <c r="G68" s="125"/>
      <c r="H68" s="125"/>
      <c r="I68" s="125"/>
      <c r="J68" s="2"/>
      <c r="K68" s="2"/>
      <c r="L68" s="2"/>
      <c r="M68" s="2"/>
      <c r="N68" s="2"/>
      <c r="O68" s="125"/>
      <c r="P68" s="125"/>
      <c r="Q68" s="125"/>
      <c r="R68" s="125"/>
      <c r="S68" s="125"/>
      <c r="T68" s="125"/>
      <c r="U68" s="125"/>
      <c r="V68" s="125"/>
      <c r="W68" s="125"/>
      <c r="X68" s="125"/>
      <c r="Y68" s="125"/>
      <c r="Z68" s="1"/>
      <c r="AA68" s="1"/>
      <c r="AB68" s="1"/>
      <c r="AC68" s="1"/>
      <c r="AD68" s="1"/>
    </row>
    <row r="69" spans="1:30">
      <c r="A69" s="1"/>
      <c r="B69" s="125" t="s">
        <v>533</v>
      </c>
      <c r="C69" s="125"/>
      <c r="E69" s="419">
        <f>SUM(J60:N60,D66)</f>
        <v>2614.5146237782656</v>
      </c>
      <c r="F69" s="125"/>
      <c r="G69" s="125"/>
      <c r="H69" s="125"/>
      <c r="I69" s="125"/>
      <c r="J69" s="2"/>
      <c r="K69" s="2"/>
      <c r="L69" s="2"/>
      <c r="M69" s="2"/>
      <c r="N69" s="2"/>
      <c r="O69" s="125"/>
      <c r="P69" s="125"/>
      <c r="Q69" s="125"/>
      <c r="R69" s="125"/>
      <c r="S69" s="125"/>
      <c r="T69" s="125"/>
      <c r="U69" s="125"/>
      <c r="V69" s="125"/>
      <c r="W69" s="125"/>
      <c r="X69" s="125"/>
      <c r="Y69" s="125"/>
      <c r="Z69" s="1"/>
      <c r="AA69" s="1"/>
      <c r="AB69" s="1"/>
      <c r="AC69" s="1"/>
      <c r="AD69" s="1"/>
    </row>
    <row r="70" spans="1:30">
      <c r="A70" s="1"/>
      <c r="B70" s="125" t="s">
        <v>729</v>
      </c>
      <c r="C70" s="125"/>
      <c r="D70" s="125"/>
      <c r="E70" s="125">
        <f>'Reorganised Statements'!G41</f>
        <v>434</v>
      </c>
      <c r="F70" s="125"/>
      <c r="G70" s="125"/>
      <c r="H70" s="125"/>
      <c r="I70" s="125"/>
      <c r="J70" s="2"/>
      <c r="K70" s="2"/>
      <c r="L70" s="2"/>
      <c r="M70" s="2"/>
      <c r="N70" s="2"/>
      <c r="O70" s="125"/>
      <c r="P70" s="1"/>
      <c r="Q70" s="1"/>
      <c r="R70" s="125"/>
      <c r="S70" s="125"/>
      <c r="T70" s="125"/>
      <c r="U70" s="125"/>
      <c r="V70" s="125"/>
      <c r="W70" s="125"/>
      <c r="X70" s="125"/>
      <c r="Y70" s="125"/>
      <c r="Z70" s="1"/>
      <c r="AA70" s="1"/>
      <c r="AB70" s="1"/>
      <c r="AC70" s="1"/>
      <c r="AD70" s="1"/>
    </row>
    <row r="71" spans="1:30">
      <c r="A71" s="1"/>
      <c r="B71" s="125" t="s">
        <v>540</v>
      </c>
      <c r="C71" s="125"/>
      <c r="D71" s="125"/>
      <c r="E71" s="125">
        <f>'Reorganised Statements'!G39 +'Reorganised Statements'!G8</f>
        <v>3702</v>
      </c>
      <c r="F71" s="125"/>
      <c r="G71" s="125"/>
      <c r="H71" s="125"/>
      <c r="I71" s="125"/>
      <c r="J71" s="2"/>
      <c r="K71" s="2"/>
      <c r="L71" s="2"/>
      <c r="M71" s="2"/>
      <c r="N71" s="2"/>
      <c r="O71" s="125"/>
      <c r="P71" s="1"/>
      <c r="Q71" s="1"/>
      <c r="R71" s="125"/>
      <c r="S71" s="125"/>
      <c r="T71" s="125"/>
      <c r="U71" s="125"/>
      <c r="V71" s="125"/>
      <c r="W71" s="125"/>
      <c r="X71" s="125"/>
      <c r="Y71" s="125"/>
      <c r="Z71" s="1"/>
      <c r="AA71" s="1"/>
      <c r="AB71" s="1"/>
      <c r="AC71" s="1"/>
      <c r="AD71" s="1"/>
    </row>
    <row r="72" spans="1:30">
      <c r="A72" s="1"/>
      <c r="B72" s="125" t="s">
        <v>541</v>
      </c>
      <c r="C72" s="125"/>
      <c r="D72" s="125"/>
      <c r="E72" s="125">
        <f>'Financial statements'!J111</f>
        <v>362</v>
      </c>
      <c r="F72" s="125"/>
      <c r="G72" s="125"/>
      <c r="H72" s="125"/>
      <c r="I72" s="125"/>
      <c r="J72" s="2"/>
      <c r="K72" s="2"/>
      <c r="L72" s="2"/>
      <c r="M72" s="2"/>
      <c r="N72" s="2"/>
      <c r="O72" s="125"/>
      <c r="P72" s="1"/>
      <c r="Q72" s="1"/>
      <c r="R72" s="125"/>
      <c r="S72" s="125"/>
      <c r="T72" s="125"/>
      <c r="U72" s="125"/>
      <c r="V72" s="125"/>
      <c r="W72" s="125"/>
      <c r="X72" s="125"/>
      <c r="Y72" s="125"/>
      <c r="Z72" s="1"/>
      <c r="AA72" s="1"/>
      <c r="AB72" s="1"/>
      <c r="AC72" s="1"/>
      <c r="AD72" s="1"/>
    </row>
    <row r="73" spans="1:30">
      <c r="A73" s="1"/>
      <c r="B73" s="125" t="s">
        <v>535</v>
      </c>
      <c r="C73" s="125"/>
      <c r="D73" s="125"/>
      <c r="E73" s="419">
        <f>E69+E70+E71-E72</f>
        <v>6388.5146237782656</v>
      </c>
      <c r="F73" s="125"/>
      <c r="G73" s="125"/>
      <c r="H73" s="125"/>
      <c r="I73" s="125"/>
      <c r="J73" s="2"/>
      <c r="K73" s="2"/>
      <c r="L73" s="2"/>
      <c r="M73" s="2"/>
      <c r="N73" s="2"/>
      <c r="O73" s="125"/>
      <c r="P73" s="1"/>
      <c r="Q73" s="1"/>
      <c r="R73" s="125"/>
      <c r="S73" s="125"/>
      <c r="T73" s="125"/>
      <c r="U73" s="125"/>
      <c r="V73" s="125"/>
      <c r="W73" s="125"/>
      <c r="X73" s="125"/>
      <c r="Y73" s="125"/>
      <c r="Z73" s="1"/>
      <c r="AA73" s="1"/>
      <c r="AB73" s="1"/>
      <c r="AC73" s="1"/>
      <c r="AD73" s="1"/>
    </row>
    <row r="74" spans="1:30">
      <c r="A74" s="1"/>
      <c r="B74" s="125" t="s">
        <v>728</v>
      </c>
      <c r="C74" s="125"/>
      <c r="D74" s="125"/>
      <c r="E74" s="420">
        <f>E73/'Forecasts Simone'!G139</f>
        <v>2.0547239789148914</v>
      </c>
      <c r="F74" s="125"/>
      <c r="G74" s="125"/>
      <c r="H74" s="125"/>
      <c r="I74" s="125"/>
      <c r="J74" s="2"/>
      <c r="K74" s="2"/>
      <c r="L74" s="2"/>
      <c r="M74" s="2"/>
      <c r="N74" s="2"/>
      <c r="O74" s="125"/>
      <c r="P74" s="1"/>
      <c r="Q74" s="1"/>
      <c r="R74" s="125"/>
      <c r="S74" s="125"/>
      <c r="T74" s="125"/>
      <c r="U74" s="125"/>
      <c r="V74" s="125"/>
      <c r="W74" s="125"/>
      <c r="X74" s="125"/>
      <c r="Y74" s="125"/>
      <c r="Z74" s="1"/>
      <c r="AA74" s="1"/>
      <c r="AB74" s="1"/>
      <c r="AC74" s="1"/>
      <c r="AD74" s="1"/>
    </row>
    <row r="75" spans="1:30">
      <c r="A75" s="1"/>
      <c r="B75" s="1"/>
      <c r="C75" s="1"/>
      <c r="D75" s="1"/>
      <c r="E75" s="1"/>
      <c r="F75" s="1"/>
      <c r="G75" s="1"/>
      <c r="H75" s="1"/>
      <c r="I75" s="1"/>
      <c r="J75" s="1"/>
      <c r="K75" s="1"/>
      <c r="L75" s="1"/>
      <c r="M75" s="1"/>
      <c r="N75" s="2"/>
      <c r="O75" s="125"/>
      <c r="P75" s="1"/>
      <c r="Q75" s="1"/>
      <c r="R75" s="125"/>
      <c r="S75" s="125"/>
      <c r="T75" s="125"/>
      <c r="U75" s="125"/>
      <c r="V75" s="125"/>
      <c r="W75" s="125"/>
      <c r="X75" s="125"/>
      <c r="Y75" s="125"/>
      <c r="Z75" s="1"/>
      <c r="AA75" s="1"/>
      <c r="AB75" s="1"/>
      <c r="AC75" s="1"/>
      <c r="AD75" s="1"/>
    </row>
    <row r="76" spans="1:30">
      <c r="A76" s="1"/>
      <c r="B76" s="1"/>
      <c r="C76" s="1"/>
      <c r="D76" s="1"/>
      <c r="E76" s="1"/>
      <c r="F76" s="1"/>
      <c r="G76" s="1"/>
      <c r="H76" s="1"/>
      <c r="I76" s="1"/>
      <c r="J76" s="1"/>
      <c r="K76" s="1"/>
      <c r="L76" s="1"/>
      <c r="M76" s="1"/>
      <c r="N76" s="1"/>
      <c r="O76" s="1"/>
      <c r="P76" s="1"/>
      <c r="Q76" s="1"/>
      <c r="R76" s="125"/>
      <c r="S76" s="125"/>
      <c r="T76" s="125"/>
      <c r="U76" s="125"/>
      <c r="V76" s="125"/>
      <c r="W76" s="125"/>
      <c r="X76" s="125"/>
      <c r="Y76" s="125"/>
      <c r="Z76" s="1"/>
      <c r="AA76" s="1"/>
      <c r="AB76" s="1"/>
      <c r="AC76" s="1"/>
      <c r="AD76" s="1"/>
    </row>
    <row r="77" spans="1:30">
      <c r="A77" s="1"/>
      <c r="B77" s="125"/>
      <c r="C77" s="125"/>
      <c r="D77" s="125"/>
      <c r="E77" s="125"/>
      <c r="F77" s="125"/>
      <c r="G77" s="125"/>
      <c r="H77" s="125"/>
      <c r="I77" s="125"/>
      <c r="J77" s="125"/>
      <c r="K77" s="125"/>
      <c r="L77" s="125"/>
      <c r="M77" s="1"/>
      <c r="N77" s="1"/>
      <c r="O77" s="1"/>
      <c r="P77" s="1"/>
      <c r="Q77" s="1"/>
      <c r="R77" s="125"/>
      <c r="S77" s="125"/>
      <c r="T77" s="125"/>
      <c r="U77" s="125"/>
      <c r="V77" s="125"/>
      <c r="W77" s="125"/>
      <c r="X77" s="125"/>
      <c r="Y77" s="125"/>
      <c r="Z77" s="1"/>
      <c r="AA77" s="1"/>
      <c r="AB77" s="1"/>
      <c r="AC77" s="1"/>
      <c r="AD77" s="1"/>
    </row>
    <row r="78" spans="1:30">
      <c r="A78" s="1"/>
      <c r="B78" s="125"/>
      <c r="C78" s="125"/>
      <c r="D78" s="125"/>
      <c r="E78" s="125"/>
      <c r="F78" s="125"/>
      <c r="G78" s="125"/>
      <c r="H78" s="125"/>
      <c r="I78" s="125"/>
      <c r="J78" s="125"/>
      <c r="K78" s="125"/>
      <c r="L78" s="125"/>
      <c r="M78" s="1"/>
      <c r="N78" s="1"/>
      <c r="O78" s="1"/>
      <c r="P78" s="1"/>
      <c r="Q78" s="1"/>
      <c r="R78" s="125"/>
      <c r="S78" s="125"/>
      <c r="T78" s="125"/>
      <c r="U78" s="125"/>
      <c r="V78" s="125"/>
      <c r="W78" s="125"/>
      <c r="X78" s="125"/>
      <c r="Y78" s="125"/>
      <c r="Z78" s="1"/>
      <c r="AA78" s="1"/>
      <c r="AB78" s="1"/>
      <c r="AC78" s="1"/>
      <c r="AD78" s="1"/>
    </row>
    <row r="79" spans="1:30">
      <c r="A79" s="1"/>
      <c r="B79" s="125"/>
      <c r="C79" s="125"/>
      <c r="D79" s="125"/>
      <c r="E79" s="125"/>
      <c r="F79" s="125"/>
      <c r="G79" s="125"/>
      <c r="H79" s="125"/>
      <c r="I79" s="125"/>
      <c r="J79" s="125"/>
      <c r="K79" s="125"/>
      <c r="L79" s="125"/>
      <c r="M79" s="1"/>
      <c r="N79" s="1"/>
      <c r="O79" s="1"/>
      <c r="P79" s="1"/>
      <c r="Q79" s="1"/>
      <c r="R79" s="125"/>
      <c r="S79" s="125"/>
      <c r="T79" s="125"/>
      <c r="U79" s="125"/>
      <c r="V79" s="125"/>
      <c r="W79" s="125"/>
      <c r="X79" s="125"/>
      <c r="Y79" s="125"/>
      <c r="Z79" s="1"/>
      <c r="AA79" s="1"/>
      <c r="AB79" s="1"/>
      <c r="AC79" s="1"/>
      <c r="AD79" s="1"/>
    </row>
    <row r="80" spans="1:30">
      <c r="A80" s="1"/>
      <c r="B80" s="125"/>
      <c r="C80" s="125"/>
      <c r="D80" s="125"/>
      <c r="E80" s="125"/>
      <c r="F80" s="125"/>
      <c r="G80" s="125"/>
      <c r="H80" s="125"/>
      <c r="I80" s="125"/>
      <c r="J80" s="125"/>
      <c r="K80" s="125"/>
      <c r="L80" s="125"/>
      <c r="M80" s="1"/>
      <c r="N80" s="1"/>
      <c r="O80" s="1"/>
      <c r="P80" s="1"/>
      <c r="Q80" s="1"/>
      <c r="R80" s="125"/>
      <c r="S80" s="125"/>
      <c r="T80" s="125"/>
      <c r="U80" s="125"/>
      <c r="V80" s="125"/>
      <c r="W80" s="125"/>
      <c r="X80" s="125"/>
      <c r="Y80" s="125"/>
      <c r="Z80" s="1"/>
      <c r="AA80" s="1"/>
      <c r="AB80" s="1"/>
      <c r="AC80" s="1"/>
      <c r="AD80" s="1"/>
    </row>
    <row r="81" spans="1:30" ht="34.799999999999997">
      <c r="A81" s="662" t="s">
        <v>730</v>
      </c>
      <c r="B81" s="14"/>
      <c r="C81" s="125"/>
      <c r="D81" s="125"/>
      <c r="E81" s="125"/>
      <c r="F81" s="125"/>
      <c r="G81" s="125"/>
      <c r="H81" s="125"/>
      <c r="I81" s="125"/>
      <c r="J81" s="125"/>
      <c r="K81" s="125"/>
      <c r="L81" s="125"/>
      <c r="M81" s="1"/>
      <c r="N81" s="2"/>
      <c r="O81" s="125"/>
      <c r="P81" s="125"/>
      <c r="Q81" s="125"/>
      <c r="R81" s="125"/>
      <c r="S81" s="125"/>
      <c r="T81" s="125"/>
      <c r="U81" s="125"/>
      <c r="V81" s="125"/>
      <c r="W81" s="125"/>
      <c r="X81" s="125"/>
      <c r="Y81" s="125"/>
      <c r="Z81" s="1"/>
      <c r="AA81" s="1"/>
      <c r="AB81" s="1"/>
      <c r="AC81" s="1"/>
      <c r="AD81" s="1"/>
    </row>
    <row r="82" spans="1:30" ht="19.2">
      <c r="A82" s="1"/>
      <c r="B82" s="387" t="s">
        <v>721</v>
      </c>
      <c r="C82" s="125"/>
      <c r="D82" s="125"/>
      <c r="E82" s="125"/>
      <c r="F82" s="125"/>
      <c r="G82" s="125"/>
      <c r="H82" s="125"/>
      <c r="I82" s="125"/>
      <c r="J82" s="125"/>
      <c r="K82" s="125"/>
      <c r="L82" s="125"/>
      <c r="M82" s="1"/>
      <c r="N82" s="1"/>
      <c r="O82" s="1"/>
      <c r="P82" s="1"/>
      <c r="Q82" s="1"/>
      <c r="R82" s="125"/>
      <c r="S82" s="125"/>
      <c r="T82" s="125"/>
      <c r="U82" s="125"/>
      <c r="V82" s="125"/>
      <c r="W82" s="125"/>
      <c r="X82" s="125"/>
      <c r="Y82" s="125"/>
      <c r="Z82" s="1"/>
      <c r="AA82" s="1"/>
      <c r="AB82" s="1"/>
      <c r="AC82" s="1"/>
      <c r="AD82" s="1"/>
    </row>
    <row r="83" spans="1:30">
      <c r="A83" s="1"/>
      <c r="B83" s="125" t="s">
        <v>734</v>
      </c>
      <c r="C83" s="391"/>
      <c r="D83" s="125"/>
      <c r="E83" s="391"/>
      <c r="F83" s="125"/>
      <c r="G83" s="125"/>
      <c r="H83" s="125"/>
      <c r="I83" s="125"/>
      <c r="J83" s="125"/>
      <c r="K83" s="125"/>
      <c r="L83" s="125"/>
      <c r="M83" s="125"/>
      <c r="N83" s="125"/>
      <c r="O83" s="125"/>
      <c r="P83" s="125"/>
      <c r="Q83" s="125"/>
      <c r="R83" s="125"/>
      <c r="S83" s="125"/>
      <c r="T83" s="125"/>
      <c r="U83" s="125"/>
      <c r="V83" s="125"/>
      <c r="W83" s="125"/>
      <c r="X83" s="125"/>
      <c r="Y83" s="125"/>
      <c r="Z83" s="1"/>
      <c r="AA83" s="1"/>
      <c r="AB83" s="1"/>
      <c r="AC83" s="1"/>
      <c r="AD83" s="1"/>
    </row>
    <row r="84" spans="1:30">
      <c r="A84" s="1"/>
      <c r="B84" s="125" t="s">
        <v>722</v>
      </c>
      <c r="C84" s="125"/>
      <c r="D84" s="125"/>
      <c r="E84" s="125"/>
      <c r="F84" s="125"/>
      <c r="G84" s="125"/>
      <c r="H84" s="396">
        <v>6.4000000000000001E-2</v>
      </c>
      <c r="I84" s="125"/>
      <c r="J84" s="125"/>
      <c r="K84" s="125"/>
      <c r="L84" s="125"/>
      <c r="M84" s="125"/>
      <c r="N84" s="125"/>
      <c r="O84" s="125"/>
      <c r="P84" s="125"/>
      <c r="Q84" s="125"/>
      <c r="R84" s="125"/>
      <c r="S84" s="125"/>
      <c r="T84" s="125"/>
      <c r="U84" s="125"/>
      <c r="V84" s="125"/>
      <c r="W84" s="125"/>
      <c r="X84" s="125"/>
      <c r="Y84" s="125"/>
      <c r="Z84" s="1"/>
      <c r="AA84" s="1"/>
      <c r="AB84" s="1"/>
      <c r="AC84" s="1"/>
      <c r="AD84" s="1"/>
    </row>
    <row r="85" spans="1:30">
      <c r="A85" s="1"/>
      <c r="B85" s="735" t="s">
        <v>735</v>
      </c>
      <c r="C85" s="735"/>
      <c r="D85" s="735"/>
      <c r="E85" s="735"/>
      <c r="F85" s="735"/>
      <c r="G85" s="736">
        <v>1.2E-2</v>
      </c>
      <c r="H85" s="14"/>
      <c r="I85" s="125"/>
      <c r="J85" s="125"/>
      <c r="K85" s="14"/>
      <c r="L85" s="125"/>
      <c r="M85" s="679"/>
      <c r="N85" s="125"/>
      <c r="O85" s="125"/>
      <c r="P85" s="125"/>
      <c r="Q85" s="125"/>
      <c r="R85" s="125"/>
      <c r="S85" s="125"/>
      <c r="T85" s="125"/>
      <c r="U85" s="125"/>
      <c r="V85" s="125"/>
      <c r="W85" s="125"/>
      <c r="X85" s="125"/>
      <c r="Y85" s="125"/>
      <c r="Z85" s="1"/>
      <c r="AA85" s="1"/>
      <c r="AB85" s="1"/>
      <c r="AC85" s="1"/>
      <c r="AD85" s="1"/>
    </row>
    <row r="86" spans="1:30">
      <c r="A86" s="1"/>
      <c r="B86" s="125" t="s">
        <v>801</v>
      </c>
      <c r="C86" s="125"/>
      <c r="D86" s="125"/>
      <c r="E86" s="125"/>
      <c r="G86" s="396">
        <v>0.1071</v>
      </c>
      <c r="H86" s="657"/>
      <c r="I86" s="657"/>
      <c r="J86" s="657"/>
      <c r="K86" s="657"/>
      <c r="L86" s="412"/>
      <c r="M86" s="125"/>
      <c r="N86" s="125"/>
      <c r="O86" s="125"/>
      <c r="P86" s="125"/>
      <c r="Q86" s="125"/>
      <c r="R86" s="125"/>
      <c r="S86" s="125"/>
      <c r="T86" s="125"/>
      <c r="U86" s="125"/>
      <c r="V86" s="125"/>
      <c r="W86" s="125"/>
      <c r="X86" s="125"/>
      <c r="Y86" s="125"/>
      <c r="Z86" s="1"/>
      <c r="AA86" s="1"/>
      <c r="AB86" s="1"/>
      <c r="AC86" s="1"/>
      <c r="AD86" s="1"/>
    </row>
    <row r="87" spans="1:30" ht="17.25" customHeight="1">
      <c r="A87" s="1"/>
      <c r="B87" s="125" t="s">
        <v>737</v>
      </c>
      <c r="C87" s="125"/>
      <c r="D87" s="125"/>
      <c r="E87" s="125"/>
      <c r="F87" s="864">
        <f>4476/(1+(1+G86)+(1+G86)^2+(1+G86)^3+(1+G86)^4)</f>
        <v>722.87077665416166</v>
      </c>
      <c r="G87" s="125"/>
      <c r="H87" s="125"/>
      <c r="I87" s="125"/>
      <c r="J87" s="125"/>
      <c r="K87" s="125"/>
      <c r="L87" s="125"/>
      <c r="M87" s="1"/>
      <c r="N87" s="1"/>
      <c r="O87" s="1"/>
      <c r="P87" s="1"/>
      <c r="Q87" s="1"/>
      <c r="R87" s="1"/>
      <c r="S87" s="1"/>
      <c r="T87" s="1"/>
      <c r="U87" s="1"/>
      <c r="V87" s="1"/>
      <c r="W87" s="1"/>
      <c r="X87" s="125"/>
      <c r="Y87" s="125"/>
      <c r="Z87" s="1"/>
      <c r="AA87" s="1"/>
      <c r="AB87" s="1"/>
      <c r="AC87" s="1"/>
      <c r="AD87" s="1"/>
    </row>
    <row r="88" spans="1:30">
      <c r="A88" s="1"/>
      <c r="B88" s="14"/>
      <c r="C88" s="377"/>
      <c r="D88" s="125"/>
      <c r="E88" s="391"/>
      <c r="F88" s="125"/>
      <c r="G88" s="125"/>
      <c r="H88" s="125"/>
      <c r="I88" s="125"/>
      <c r="J88" s="14"/>
      <c r="K88" s="125"/>
      <c r="L88" s="125"/>
      <c r="M88" s="1"/>
      <c r="N88" s="1"/>
      <c r="O88" s="1"/>
      <c r="P88" s="1"/>
      <c r="Q88" s="125"/>
      <c r="R88" s="125"/>
      <c r="S88" s="125"/>
      <c r="T88" s="125"/>
      <c r="U88" s="125"/>
      <c r="V88" s="125"/>
      <c r="W88" s="125"/>
      <c r="X88" s="125"/>
      <c r="Y88" s="125"/>
      <c r="Z88" s="125"/>
      <c r="AA88" s="125"/>
      <c r="AB88" s="125"/>
      <c r="AC88" s="125"/>
      <c r="AD88" s="1"/>
    </row>
    <row r="89" spans="1:30">
      <c r="A89" s="1"/>
      <c r="B89" s="125" t="s">
        <v>740</v>
      </c>
      <c r="C89" s="377"/>
      <c r="D89" s="125"/>
      <c r="E89" s="125"/>
      <c r="F89" s="125"/>
      <c r="G89" s="14"/>
      <c r="H89" s="125"/>
      <c r="I89" s="125"/>
      <c r="J89" s="1"/>
      <c r="K89" s="396">
        <f>AVERAGE(F96:J96)</f>
        <v>4.6749245751011637E-2</v>
      </c>
      <c r="L89" s="125"/>
      <c r="M89" s="1"/>
      <c r="N89" s="1"/>
      <c r="O89" s="1"/>
      <c r="P89" s="1"/>
      <c r="Q89" s="125"/>
      <c r="R89" s="125"/>
      <c r="S89" s="621"/>
      <c r="T89" s="125"/>
      <c r="U89" s="2"/>
      <c r="V89" s="669"/>
      <c r="W89" s="2"/>
      <c r="X89" s="125"/>
      <c r="Y89" s="391"/>
      <c r="Z89" s="125"/>
      <c r="AA89" s="125"/>
      <c r="AB89" s="125"/>
      <c r="AC89" s="125"/>
      <c r="AD89" s="1"/>
    </row>
    <row r="90" spans="1:30">
      <c r="A90" s="1"/>
      <c r="B90" s="125"/>
      <c r="C90" s="125"/>
      <c r="D90" s="125"/>
      <c r="E90" s="959" t="s">
        <v>158</v>
      </c>
      <c r="F90" s="959"/>
      <c r="G90" s="959"/>
      <c r="H90" s="959"/>
      <c r="I90" s="960"/>
      <c r="J90" s="961" t="s">
        <v>528</v>
      </c>
      <c r="K90" s="962"/>
      <c r="L90" s="962"/>
      <c r="M90" s="962"/>
      <c r="N90" s="962"/>
      <c r="O90" s="721" t="s">
        <v>658</v>
      </c>
      <c r="P90" s="721" t="s">
        <v>739</v>
      </c>
      <c r="Q90" s="125"/>
      <c r="R90" s="125"/>
      <c r="S90" s="664"/>
      <c r="T90" s="125"/>
      <c r="U90" s="2"/>
      <c r="V90" s="669"/>
      <c r="W90" s="2"/>
      <c r="X90" s="2"/>
      <c r="Y90" s="125"/>
      <c r="Z90" s="125"/>
      <c r="AA90" s="125"/>
      <c r="AB90" s="125"/>
      <c r="AC90" s="125"/>
      <c r="AD90" s="1"/>
    </row>
    <row r="91" spans="1:30">
      <c r="A91" s="1"/>
      <c r="B91" s="371"/>
      <c r="C91" s="371"/>
      <c r="D91" s="398"/>
      <c r="E91" s="728" t="s">
        <v>1</v>
      </c>
      <c r="F91" s="711">
        <v>42735</v>
      </c>
      <c r="G91" s="711">
        <v>43100</v>
      </c>
      <c r="H91" s="711">
        <v>43465</v>
      </c>
      <c r="I91" s="711">
        <v>43830</v>
      </c>
      <c r="J91" s="712">
        <v>44196</v>
      </c>
      <c r="K91" s="713">
        <v>44561</v>
      </c>
      <c r="L91" s="713">
        <v>44926</v>
      </c>
      <c r="M91" s="713">
        <v>45291</v>
      </c>
      <c r="N91" s="713">
        <v>45657</v>
      </c>
      <c r="O91" s="1"/>
      <c r="P91" s="1"/>
      <c r="Q91" s="125"/>
      <c r="R91" s="125"/>
      <c r="S91" s="125"/>
      <c r="T91" s="125"/>
      <c r="U91" s="125"/>
      <c r="V91" s="125"/>
      <c r="W91" s="125"/>
      <c r="X91" s="125"/>
      <c r="Y91" s="125"/>
      <c r="Z91" s="125"/>
      <c r="AA91" s="125"/>
      <c r="AB91" s="125"/>
      <c r="AC91" s="125"/>
      <c r="AD91" s="1"/>
    </row>
    <row r="92" spans="1:30">
      <c r="A92" s="1"/>
      <c r="B92" s="125" t="s">
        <v>457</v>
      </c>
      <c r="C92" s="125"/>
      <c r="D92" s="2"/>
      <c r="E92" s="714">
        <v>4921</v>
      </c>
      <c r="F92" s="212">
        <v>4860</v>
      </c>
      <c r="G92" s="212">
        <v>5796</v>
      </c>
      <c r="H92" s="212">
        <v>6494</v>
      </c>
      <c r="I92" s="212">
        <v>7324</v>
      </c>
      <c r="J92" s="569">
        <f>I92*(1+J93)</f>
        <v>8108.4643125328985</v>
      </c>
      <c r="K92" s="212">
        <f t="shared" ref="K92:O92" si="20">J92*(1+K93)</f>
        <v>8976.9515985280741</v>
      </c>
      <c r="L92" s="212">
        <f t="shared" si="20"/>
        <v>9938.4614516657621</v>
      </c>
      <c r="M92" s="212">
        <f t="shared" si="20"/>
        <v>11002.957400643874</v>
      </c>
      <c r="N92" s="212">
        <f t="shared" si="20"/>
        <v>12181.470155030122</v>
      </c>
      <c r="O92" s="212">
        <f t="shared" si="20"/>
        <v>13486.211909645868</v>
      </c>
      <c r="P92" s="212">
        <f>N92*(1+P93)</f>
        <v>13486.211909645868</v>
      </c>
      <c r="Q92" s="125"/>
      <c r="R92" s="125"/>
      <c r="S92" s="125"/>
      <c r="T92" s="125"/>
      <c r="U92" s="125"/>
      <c r="V92" s="125"/>
      <c r="W92" s="125"/>
      <c r="Y92" s="125"/>
      <c r="Z92" s="125"/>
      <c r="AA92" s="125"/>
      <c r="AB92" s="125"/>
      <c r="AC92" s="125"/>
      <c r="AD92" s="1"/>
    </row>
    <row r="93" spans="1:30">
      <c r="A93" s="1"/>
      <c r="B93" s="680" t="s">
        <v>720</v>
      </c>
      <c r="C93" s="680"/>
      <c r="D93" s="682"/>
      <c r="E93" s="385"/>
      <c r="F93" s="851">
        <f>(F92-E92)/E92</f>
        <v>-1.2395854501117659E-2</v>
      </c>
      <c r="G93" s="851">
        <f t="shared" ref="G93:I93" si="21">(G92-F92)/F92</f>
        <v>0.19259259259259259</v>
      </c>
      <c r="H93" s="851">
        <f t="shared" si="21"/>
        <v>0.12042788129744651</v>
      </c>
      <c r="I93" s="851">
        <f t="shared" si="21"/>
        <v>0.12781028641823222</v>
      </c>
      <c r="J93" s="849">
        <v>0.10710872645178841</v>
      </c>
      <c r="K93" s="850">
        <v>0.10710872645178841</v>
      </c>
      <c r="L93" s="850">
        <v>0.10710872645178841</v>
      </c>
      <c r="M93" s="850">
        <v>0.10710872645178841</v>
      </c>
      <c r="N93" s="850">
        <v>0.10710872645178841</v>
      </c>
      <c r="O93" s="850">
        <v>0.10710872645178841</v>
      </c>
      <c r="P93" s="850">
        <v>0.10710872645178841</v>
      </c>
      <c r="Q93" s="1"/>
      <c r="R93" s="125"/>
      <c r="S93" s="125"/>
      <c r="T93" s="125"/>
      <c r="U93" s="125"/>
      <c r="V93" s="125"/>
      <c r="W93" s="125"/>
      <c r="X93" s="125"/>
      <c r="Y93" s="125"/>
      <c r="Z93" s="1"/>
      <c r="AA93" s="1"/>
      <c r="AB93" s="1"/>
      <c r="AC93" s="1"/>
      <c r="AD93" s="1"/>
    </row>
    <row r="94" spans="1:30">
      <c r="A94" s="1"/>
      <c r="B94" s="125"/>
      <c r="C94" s="125"/>
      <c r="D94" s="2"/>
      <c r="E94" s="385"/>
      <c r="F94" s="212"/>
      <c r="G94" s="212"/>
      <c r="H94" s="212"/>
      <c r="I94" s="212"/>
      <c r="J94" s="569"/>
      <c r="K94" s="212"/>
      <c r="L94" s="212"/>
      <c r="M94" s="212"/>
      <c r="N94" s="212"/>
      <c r="O94" s="125"/>
      <c r="P94" s="1"/>
      <c r="Q94" s="1"/>
      <c r="R94" s="125"/>
      <c r="S94" s="125"/>
      <c r="T94" s="125"/>
      <c r="U94" s="125"/>
      <c r="V94" s="125"/>
      <c r="W94" s="125"/>
      <c r="X94" s="125"/>
      <c r="Y94" s="125"/>
      <c r="Z94" s="1"/>
      <c r="AA94" s="1"/>
      <c r="AB94" s="1"/>
      <c r="AC94" s="1"/>
      <c r="AD94" s="1"/>
    </row>
    <row r="95" spans="1:30">
      <c r="A95" s="1"/>
      <c r="B95" s="125" t="s">
        <v>306</v>
      </c>
      <c r="C95" s="125"/>
      <c r="D95" s="2"/>
      <c r="E95" s="695">
        <v>1048</v>
      </c>
      <c r="F95" s="212">
        <v>1162</v>
      </c>
      <c r="G95" s="212">
        <v>1199</v>
      </c>
      <c r="H95" s="212">
        <v>1231</v>
      </c>
      <c r="I95" s="212">
        <v>1234</v>
      </c>
      <c r="J95" s="719">
        <f>I95*(1+J96)</f>
        <v>1312.9760000000001</v>
      </c>
      <c r="K95" s="720">
        <f>J95*(1+K96)</f>
        <v>1397.0064640000003</v>
      </c>
      <c r="L95" s="720">
        <f t="shared" ref="L95:M95" si="22">K95*(1+L96)</f>
        <v>1486.4148776960003</v>
      </c>
      <c r="M95" s="720">
        <f t="shared" si="22"/>
        <v>1581.5454298685445</v>
      </c>
      <c r="N95" s="720">
        <f>M95*(1+N96)</f>
        <v>1682.7643373801313</v>
      </c>
      <c r="O95" s="412">
        <f>N95*(1+O96)</f>
        <v>1702.9575094286929</v>
      </c>
      <c r="P95" s="734">
        <f>N95*(1+P96)</f>
        <v>1761.4323009293535</v>
      </c>
      <c r="Q95" s="1"/>
      <c r="R95" s="125"/>
      <c r="S95" s="125"/>
      <c r="T95" s="125"/>
      <c r="U95" s="125"/>
      <c r="V95" s="125"/>
      <c r="W95" s="125"/>
      <c r="X95" s="125"/>
      <c r="Y95" s="125"/>
      <c r="Z95" s="1"/>
      <c r="AA95" s="1"/>
      <c r="AB95" s="1"/>
      <c r="AC95" s="1"/>
      <c r="AD95" s="1"/>
    </row>
    <row r="96" spans="1:30">
      <c r="A96" s="1"/>
      <c r="B96" s="665"/>
      <c r="C96" s="666"/>
      <c r="D96" s="666"/>
      <c r="E96" s="415"/>
      <c r="F96" s="848">
        <f t="shared" ref="F96:I96" si="23">(F95-E95)/E95</f>
        <v>0.10877862595419847</v>
      </c>
      <c r="G96" s="848">
        <f t="shared" si="23"/>
        <v>3.1841652323580036E-2</v>
      </c>
      <c r="H96" s="848">
        <f t="shared" si="23"/>
        <v>2.6688907422852376E-2</v>
      </c>
      <c r="I96" s="848">
        <f t="shared" si="23"/>
        <v>2.437043054427295E-3</v>
      </c>
      <c r="J96" s="849">
        <f>$H$84</f>
        <v>6.4000000000000001E-2</v>
      </c>
      <c r="K96" s="850">
        <f t="shared" ref="K96:N96" si="24">$H$84</f>
        <v>6.4000000000000001E-2</v>
      </c>
      <c r="L96" s="850">
        <f t="shared" si="24"/>
        <v>6.4000000000000001E-2</v>
      </c>
      <c r="M96" s="850">
        <f t="shared" si="24"/>
        <v>6.4000000000000001E-2</v>
      </c>
      <c r="N96" s="850">
        <f t="shared" si="24"/>
        <v>6.4000000000000001E-2</v>
      </c>
      <c r="O96" s="718">
        <f>G85</f>
        <v>1.2E-2</v>
      </c>
      <c r="P96" s="863">
        <f>K89</f>
        <v>4.6749245751011637E-2</v>
      </c>
      <c r="Q96" s="1"/>
      <c r="R96" s="125"/>
      <c r="S96" s="125"/>
      <c r="T96" s="125"/>
      <c r="U96" s="125"/>
      <c r="V96" s="125"/>
      <c r="W96" s="125"/>
      <c r="X96" s="125"/>
      <c r="Y96" s="125"/>
      <c r="Z96" s="1"/>
      <c r="AA96" s="1"/>
      <c r="AB96" s="1"/>
      <c r="AC96" s="1"/>
      <c r="AD96" s="1"/>
    </row>
    <row r="97" spans="1:30">
      <c r="A97" s="1"/>
      <c r="B97" s="163" t="s">
        <v>456</v>
      </c>
      <c r="C97" s="1"/>
      <c r="D97" s="1"/>
      <c r="E97" s="715">
        <v>-79</v>
      </c>
      <c r="F97" s="660">
        <v>-71</v>
      </c>
      <c r="G97" s="660">
        <v>-45</v>
      </c>
      <c r="H97" s="660">
        <v>-20</v>
      </c>
      <c r="I97" s="660">
        <v>-36</v>
      </c>
      <c r="J97" s="684">
        <f>$G$20</f>
        <v>-43</v>
      </c>
      <c r="K97" s="685">
        <f t="shared" ref="K97:P97" si="25">$G$20</f>
        <v>-43</v>
      </c>
      <c r="L97" s="685">
        <f t="shared" si="25"/>
        <v>-43</v>
      </c>
      <c r="M97" s="685">
        <f t="shared" si="25"/>
        <v>-43</v>
      </c>
      <c r="N97" s="685">
        <f t="shared" si="25"/>
        <v>-43</v>
      </c>
      <c r="O97" s="685">
        <f t="shared" si="25"/>
        <v>-43</v>
      </c>
      <c r="P97" s="685">
        <f t="shared" si="25"/>
        <v>-43</v>
      </c>
      <c r="Q97" s="1"/>
      <c r="R97" s="125"/>
      <c r="S97" s="125"/>
      <c r="T97" s="125"/>
      <c r="U97" s="125"/>
      <c r="V97" s="125"/>
      <c r="W97" s="125"/>
      <c r="X97" s="125"/>
      <c r="Y97" s="125"/>
      <c r="Z97" s="1"/>
      <c r="AA97" s="1"/>
      <c r="AB97" s="1"/>
      <c r="AC97" s="1"/>
      <c r="AD97" s="1"/>
    </row>
    <row r="98" spans="1:30">
      <c r="A98" s="1"/>
      <c r="B98" s="562" t="s">
        <v>736</v>
      </c>
      <c r="C98" s="562"/>
      <c r="D98" s="562"/>
      <c r="E98" s="727">
        <f t="shared" ref="E98:J98" si="26">E95+E97</f>
        <v>969</v>
      </c>
      <c r="F98" s="688">
        <f t="shared" si="26"/>
        <v>1091</v>
      </c>
      <c r="G98" s="688">
        <f t="shared" si="26"/>
        <v>1154</v>
      </c>
      <c r="H98" s="688">
        <f t="shared" si="26"/>
        <v>1211</v>
      </c>
      <c r="I98" s="688">
        <f t="shared" si="26"/>
        <v>1198</v>
      </c>
      <c r="J98" s="689">
        <f t="shared" si="26"/>
        <v>1269.9760000000001</v>
      </c>
      <c r="K98" s="688">
        <f t="shared" ref="K98:P98" si="27">K95+K97</f>
        <v>1354.0064640000003</v>
      </c>
      <c r="L98" s="688">
        <f t="shared" si="27"/>
        <v>1443.4148776960003</v>
      </c>
      <c r="M98" s="688">
        <f t="shared" si="27"/>
        <v>1538.5454298685445</v>
      </c>
      <c r="N98" s="688">
        <f t="shared" si="27"/>
        <v>1639.7643373801313</v>
      </c>
      <c r="O98" s="688">
        <f t="shared" si="27"/>
        <v>1659.9575094286929</v>
      </c>
      <c r="P98" s="688">
        <f t="shared" si="27"/>
        <v>1718.4323009293535</v>
      </c>
      <c r="Q98" s="125"/>
      <c r="R98" s="125"/>
      <c r="S98" s="125"/>
      <c r="T98" s="125"/>
      <c r="U98" s="125"/>
      <c r="V98" s="125"/>
      <c r="W98" s="125"/>
      <c r="X98" s="125"/>
      <c r="Y98" s="125"/>
      <c r="Z98" s="1"/>
      <c r="AA98" s="1"/>
      <c r="AB98" s="1"/>
      <c r="AC98" s="1"/>
      <c r="AD98" s="1"/>
    </row>
    <row r="99" spans="1:30">
      <c r="A99" s="1"/>
      <c r="B99" s="1"/>
      <c r="C99" s="1"/>
      <c r="D99" s="1"/>
      <c r="E99" s="415"/>
      <c r="F99" s="852">
        <f>(F98-E98)/E98</f>
        <v>0.12590299277605779</v>
      </c>
      <c r="G99" s="852">
        <f t="shared" ref="G99:I99" si="28">(G98-F98)/F98</f>
        <v>5.7745187901008251E-2</v>
      </c>
      <c r="H99" s="852">
        <f t="shared" si="28"/>
        <v>4.9393414211438474E-2</v>
      </c>
      <c r="I99" s="852">
        <f t="shared" si="28"/>
        <v>-1.0734929810074319E-2</v>
      </c>
      <c r="J99" s="853">
        <v>6.4000000000000001E-2</v>
      </c>
      <c r="K99" s="854">
        <v>6.4000000000000001E-2</v>
      </c>
      <c r="L99" s="854">
        <v>6.4000000000000001E-2</v>
      </c>
      <c r="M99" s="854">
        <v>6.4000000000000001E-2</v>
      </c>
      <c r="N99" s="854">
        <v>6.4000000000000001E-2</v>
      </c>
      <c r="O99" s="402"/>
      <c r="P99" s="1"/>
      <c r="Q99" s="125"/>
      <c r="R99" s="125"/>
      <c r="S99" s="125"/>
      <c r="T99" s="125"/>
      <c r="U99" s="125"/>
      <c r="V99" s="125"/>
      <c r="W99" s="125"/>
      <c r="X99" s="125"/>
      <c r="Y99" s="125"/>
      <c r="Z99" s="1"/>
      <c r="AA99" s="1"/>
      <c r="AB99" s="1"/>
      <c r="AC99" s="1"/>
      <c r="AD99" s="1"/>
    </row>
    <row r="100" spans="1:30">
      <c r="A100" s="1"/>
      <c r="B100" s="1"/>
      <c r="C100" s="1"/>
      <c r="D100" s="1"/>
      <c r="E100" s="415"/>
      <c r="F100" s="1"/>
      <c r="G100" s="1"/>
      <c r="H100" s="1"/>
      <c r="I100" s="1"/>
      <c r="J100" s="683"/>
      <c r="K100" s="52"/>
      <c r="L100" s="52"/>
      <c r="M100" s="52"/>
      <c r="N100" s="1"/>
      <c r="O100" s="1"/>
      <c r="P100" s="125"/>
      <c r="Q100" s="1"/>
      <c r="R100" s="125"/>
      <c r="S100" s="125"/>
      <c r="T100" s="125"/>
      <c r="U100" s="125"/>
      <c r="V100" s="125"/>
      <c r="W100" s="125"/>
      <c r="X100" s="125"/>
      <c r="Y100" s="125"/>
      <c r="Z100" s="1"/>
      <c r="AA100" s="1"/>
      <c r="AB100" s="1"/>
      <c r="AC100" s="1"/>
      <c r="AD100" s="1"/>
    </row>
    <row r="101" spans="1:30">
      <c r="A101" s="1"/>
      <c r="B101" s="1" t="s">
        <v>334</v>
      </c>
      <c r="C101" s="125"/>
      <c r="D101" s="1"/>
      <c r="E101" s="716">
        <v>-754</v>
      </c>
      <c r="F101" s="409">
        <v>-648</v>
      </c>
      <c r="G101" s="409">
        <v>-444</v>
      </c>
      <c r="H101" s="409">
        <v>-623</v>
      </c>
      <c r="I101" s="409">
        <v>-511</v>
      </c>
      <c r="J101" s="670">
        <f t="shared" ref="J101:O101" si="29">-J109</f>
        <v>-433.09355565259045</v>
      </c>
      <c r="K101" s="671">
        <f t="shared" si="29"/>
        <v>-479.47787546298287</v>
      </c>
      <c r="L101" s="671">
        <f t="shared" si="29"/>
        <v>-530.82995592506836</v>
      </c>
      <c r="M101" s="671">
        <f t="shared" si="29"/>
        <v>-587.68184420464308</v>
      </c>
      <c r="N101" s="671">
        <f t="shared" si="29"/>
        <v>-650.62256971896045</v>
      </c>
      <c r="O101" s="671">
        <f t="shared" si="29"/>
        <v>-650.62256971896045</v>
      </c>
      <c r="P101" s="671">
        <f>-O109</f>
        <v>-650.62256971896045</v>
      </c>
      <c r="Q101" s="125"/>
      <c r="R101" s="125"/>
      <c r="S101" s="125"/>
      <c r="T101" s="125"/>
      <c r="U101" s="125"/>
      <c r="V101" s="125"/>
      <c r="W101" s="125"/>
      <c r="X101" s="125"/>
      <c r="Y101" s="125"/>
      <c r="Z101" s="1"/>
      <c r="AA101" s="1"/>
      <c r="AB101" s="1"/>
      <c r="AC101" s="1"/>
      <c r="AD101" s="1"/>
    </row>
    <row r="102" spans="1:30">
      <c r="A102" s="1"/>
      <c r="B102" s="562" t="s">
        <v>303</v>
      </c>
      <c r="C102" s="562"/>
      <c r="D102" s="562"/>
      <c r="E102" s="723">
        <f>SUM(E95,E101,E97)</f>
        <v>215</v>
      </c>
      <c r="F102" s="722">
        <f>SUM(F95,F101,F97)</f>
        <v>443</v>
      </c>
      <c r="G102" s="722">
        <f>SUM(G95,G101,G97)</f>
        <v>710</v>
      </c>
      <c r="H102" s="722">
        <f>SUM(H95,H101,H97)</f>
        <v>588</v>
      </c>
      <c r="I102" s="722">
        <f>SUM(I95,I101,I97)</f>
        <v>687</v>
      </c>
      <c r="J102" s="689">
        <f t="shared" ref="J102:P102" si="30">J98+J101</f>
        <v>836.88244434740966</v>
      </c>
      <c r="K102" s="688">
        <f t="shared" si="30"/>
        <v>874.52858853701741</v>
      </c>
      <c r="L102" s="688">
        <f t="shared" si="30"/>
        <v>912.58492177093194</v>
      </c>
      <c r="M102" s="688">
        <f t="shared" si="30"/>
        <v>950.8635856639014</v>
      </c>
      <c r="N102" s="688">
        <f t="shared" si="30"/>
        <v>989.14176766117089</v>
      </c>
      <c r="O102" s="688">
        <f t="shared" si="30"/>
        <v>1009.3349397097325</v>
      </c>
      <c r="P102" s="688">
        <f t="shared" si="30"/>
        <v>1067.809731210393</v>
      </c>
      <c r="Q102" s="125"/>
      <c r="R102" s="125"/>
      <c r="S102" s="125"/>
      <c r="T102" s="125"/>
      <c r="U102" s="125"/>
      <c r="V102" s="125"/>
      <c r="W102" s="125"/>
      <c r="X102" s="125"/>
      <c r="Y102" s="125"/>
      <c r="Z102" s="1"/>
      <c r="AA102" s="1"/>
      <c r="AB102" s="1"/>
      <c r="AC102" s="1"/>
      <c r="AD102" s="1"/>
    </row>
    <row r="103" spans="1:30">
      <c r="A103" s="1"/>
      <c r="B103" s="1"/>
      <c r="C103" s="1"/>
      <c r="D103" s="1"/>
      <c r="E103" s="415"/>
      <c r="F103" s="1"/>
      <c r="G103" s="1"/>
      <c r="H103" s="1"/>
      <c r="I103" s="1"/>
      <c r="J103" s="683"/>
      <c r="K103" s="52"/>
      <c r="L103" s="52"/>
      <c r="M103" s="52"/>
      <c r="N103" s="52"/>
      <c r="O103" s="125"/>
      <c r="P103" s="125"/>
      <c r="Q103" s="125"/>
      <c r="R103" s="125"/>
      <c r="S103" s="125"/>
      <c r="T103" s="125"/>
      <c r="U103" s="125"/>
      <c r="V103" s="125"/>
      <c r="W103" s="125"/>
      <c r="X103" s="125"/>
      <c r="Y103" s="125"/>
      <c r="Z103" s="1"/>
      <c r="AA103" s="1"/>
      <c r="AB103" s="1"/>
      <c r="AC103" s="1"/>
      <c r="AD103" s="1"/>
    </row>
    <row r="104" spans="1:30">
      <c r="A104" s="1"/>
      <c r="B104" s="125" t="s">
        <v>717</v>
      </c>
      <c r="C104" s="125"/>
      <c r="D104" s="125"/>
      <c r="E104" s="2"/>
      <c r="F104" s="409">
        <f t="shared" ref="F104:P104" si="31">F102*(1-0.279)</f>
        <v>319.40299999999996</v>
      </c>
      <c r="G104" s="409">
        <f t="shared" si="31"/>
        <v>511.90999999999997</v>
      </c>
      <c r="H104" s="409">
        <f t="shared" si="31"/>
        <v>423.94799999999998</v>
      </c>
      <c r="I104" s="409">
        <f t="shared" si="31"/>
        <v>495.327</v>
      </c>
      <c r="J104" s="569">
        <f t="shared" si="31"/>
        <v>603.39224237448229</v>
      </c>
      <c r="K104" s="212">
        <f t="shared" si="31"/>
        <v>630.53511233518952</v>
      </c>
      <c r="L104" s="212">
        <f t="shared" si="31"/>
        <v>657.97372859684185</v>
      </c>
      <c r="M104" s="212">
        <f t="shared" si="31"/>
        <v>685.57264526367294</v>
      </c>
      <c r="N104" s="212">
        <f t="shared" si="31"/>
        <v>713.17121448370415</v>
      </c>
      <c r="O104" s="409">
        <f t="shared" si="31"/>
        <v>727.73049153071702</v>
      </c>
      <c r="P104" s="409">
        <f t="shared" si="31"/>
        <v>769.89081620269337</v>
      </c>
      <c r="Q104" s="125"/>
      <c r="R104" s="125"/>
      <c r="S104" s="125"/>
      <c r="T104" s="125"/>
      <c r="U104" s="125"/>
      <c r="V104" s="125"/>
      <c r="W104" s="125"/>
      <c r="X104" s="125"/>
      <c r="Y104" s="125"/>
      <c r="Z104" s="1"/>
      <c r="AA104" s="1"/>
      <c r="AB104" s="1"/>
      <c r="AC104" s="1"/>
      <c r="AD104" s="1"/>
    </row>
    <row r="105" spans="1:30">
      <c r="A105" s="1"/>
      <c r="B105" s="125" t="s">
        <v>719</v>
      </c>
      <c r="C105" s="125"/>
      <c r="D105" s="125"/>
      <c r="E105" s="2"/>
      <c r="F105" s="678">
        <v>-39.814371257485028</v>
      </c>
      <c r="G105" s="678">
        <v>-44.666666666666664</v>
      </c>
      <c r="H105" s="678">
        <v>-31.400000000000002</v>
      </c>
      <c r="I105" s="678">
        <v>-34.481927710843372</v>
      </c>
      <c r="J105" s="569">
        <v>-37.590741408748769</v>
      </c>
      <c r="K105" s="212">
        <v>-37.590741408748769</v>
      </c>
      <c r="L105" s="212">
        <v>-37.590741408748769</v>
      </c>
      <c r="M105" s="212">
        <v>-37.590741408748769</v>
      </c>
      <c r="N105" s="212">
        <v>-37.590741408748769</v>
      </c>
      <c r="O105" s="409">
        <v>-37.590741408748769</v>
      </c>
      <c r="P105" s="409">
        <v>-37.590741408748769</v>
      </c>
      <c r="Q105" s="1"/>
      <c r="R105" s="125"/>
      <c r="S105" s="125"/>
      <c r="T105" s="125"/>
      <c r="U105" s="125"/>
      <c r="V105" s="125"/>
      <c r="W105" s="125"/>
      <c r="X105" s="125"/>
      <c r="Y105" s="125"/>
      <c r="Z105" s="1"/>
      <c r="AA105" s="1"/>
      <c r="AB105" s="1"/>
      <c r="AC105" s="1"/>
      <c r="AD105" s="1"/>
    </row>
    <row r="106" spans="1:30">
      <c r="A106" s="1"/>
      <c r="B106" s="562" t="s">
        <v>718</v>
      </c>
      <c r="C106" s="562"/>
      <c r="D106" s="562"/>
      <c r="E106" s="562"/>
      <c r="F106" s="724">
        <v>281.18562874251495</v>
      </c>
      <c r="G106" s="724">
        <v>473.33333333333331</v>
      </c>
      <c r="H106" s="724">
        <v>399.6</v>
      </c>
      <c r="I106" s="724">
        <v>463.51807228915663</v>
      </c>
      <c r="J106" s="725">
        <f t="shared" ref="J106:P106" si="32">J104+J105</f>
        <v>565.80150096573357</v>
      </c>
      <c r="K106" s="726">
        <f t="shared" si="32"/>
        <v>592.9443709264408</v>
      </c>
      <c r="L106" s="726">
        <f t="shared" si="32"/>
        <v>620.38298718809313</v>
      </c>
      <c r="M106" s="726">
        <f t="shared" si="32"/>
        <v>647.98190385492421</v>
      </c>
      <c r="N106" s="726">
        <f t="shared" si="32"/>
        <v>675.58047307495542</v>
      </c>
      <c r="O106" s="726">
        <f t="shared" si="32"/>
        <v>690.13975012196829</v>
      </c>
      <c r="P106" s="726">
        <f t="shared" si="32"/>
        <v>732.30007479394465</v>
      </c>
      <c r="Q106" s="125"/>
      <c r="R106" s="125"/>
      <c r="S106" s="125"/>
      <c r="T106" s="125"/>
      <c r="U106" s="125"/>
      <c r="V106" s="125"/>
      <c r="W106" s="125"/>
      <c r="X106" s="125"/>
      <c r="Y106" s="125"/>
      <c r="Z106" s="1"/>
      <c r="AA106" s="1"/>
      <c r="AB106" s="1"/>
      <c r="AC106" s="1"/>
      <c r="AD106" s="1"/>
    </row>
    <row r="107" spans="1:30">
      <c r="A107" s="1"/>
      <c r="B107" s="1"/>
      <c r="C107" s="1"/>
      <c r="D107" s="1"/>
      <c r="E107" s="1"/>
      <c r="F107" s="1"/>
      <c r="G107" s="1"/>
      <c r="H107" s="1"/>
      <c r="I107" s="1"/>
      <c r="J107" s="683"/>
      <c r="K107" s="52"/>
      <c r="L107" s="52"/>
      <c r="M107" s="52"/>
      <c r="N107" s="52"/>
      <c r="O107" s="125"/>
      <c r="P107" s="125"/>
      <c r="Q107" s="125"/>
      <c r="R107" s="125"/>
      <c r="S107" s="125"/>
      <c r="T107" s="125"/>
      <c r="U107" s="125"/>
      <c r="V107" s="125"/>
      <c r="W107" s="125"/>
      <c r="X107" s="125"/>
      <c r="Y107" s="125"/>
      <c r="Z107" s="1"/>
      <c r="AA107" s="1"/>
      <c r="AB107" s="1"/>
      <c r="AC107" s="1"/>
      <c r="AD107" s="1"/>
    </row>
    <row r="108" spans="1:30">
      <c r="A108" s="1"/>
      <c r="B108" s="657" t="s">
        <v>526</v>
      </c>
      <c r="C108" s="403"/>
      <c r="D108" s="403"/>
      <c r="E108" s="403"/>
      <c r="F108" s="409">
        <v>-1066</v>
      </c>
      <c r="G108" s="409">
        <v>-80</v>
      </c>
      <c r="H108" s="409">
        <v>-1076</v>
      </c>
      <c r="I108" s="409">
        <v>-837</v>
      </c>
      <c r="J108" s="569">
        <f>-F87</f>
        <v>-722.87077665416166</v>
      </c>
      <c r="K108" s="212">
        <f>-$F$87*(1+$G$86)</f>
        <v>-800.29023683382241</v>
      </c>
      <c r="L108" s="212">
        <f>-$F$87*(1+$G$86)^2</f>
        <v>-886.00132119872478</v>
      </c>
      <c r="M108" s="212">
        <f>-$F$87*(1+$G$86)^3</f>
        <v>-980.89206269910812</v>
      </c>
      <c r="N108" s="212">
        <f>-$F$87*(1+$G$86)^4</f>
        <v>-1085.9456026141827</v>
      </c>
      <c r="O108" s="695">
        <v>-1085.9456026141827</v>
      </c>
      <c r="P108" s="733"/>
      <c r="Q108" s="1"/>
      <c r="R108" s="125"/>
      <c r="S108" s="125"/>
      <c r="T108" s="125"/>
      <c r="U108" s="125"/>
      <c r="V108" s="125"/>
      <c r="W108" s="125"/>
      <c r="X108" s="125"/>
      <c r="Y108" s="125"/>
      <c r="Z108" s="1"/>
      <c r="AA108" s="1"/>
      <c r="AB108" s="1"/>
      <c r="AC108" s="1"/>
      <c r="AD108" s="1"/>
    </row>
    <row r="109" spans="1:30">
      <c r="A109" s="1"/>
      <c r="B109" s="657" t="s">
        <v>525</v>
      </c>
      <c r="C109" s="403"/>
      <c r="D109" s="403"/>
      <c r="E109" s="403"/>
      <c r="F109" s="660">
        <v>648</v>
      </c>
      <c r="G109" s="660">
        <v>444</v>
      </c>
      <c r="H109" s="660">
        <v>623</v>
      </c>
      <c r="I109" s="660">
        <v>511</v>
      </c>
      <c r="J109" s="670">
        <f>-J108*J110</f>
        <v>433.09355565259045</v>
      </c>
      <c r="K109" s="671">
        <f t="shared" ref="K109:N109" si="33">-K108*K110</f>
        <v>479.47787546298287</v>
      </c>
      <c r="L109" s="671">
        <f t="shared" si="33"/>
        <v>530.82995592506836</v>
      </c>
      <c r="M109" s="671">
        <f t="shared" si="33"/>
        <v>587.68184420464308</v>
      </c>
      <c r="N109" s="671">
        <f t="shared" si="33"/>
        <v>650.62256971896045</v>
      </c>
      <c r="O109" s="729">
        <f t="shared" ref="O109" si="34">-O108*O110</f>
        <v>650.62256971896045</v>
      </c>
      <c r="P109" s="1"/>
      <c r="Q109" s="1"/>
      <c r="R109" s="125"/>
      <c r="S109" s="125"/>
      <c r="T109" s="125"/>
      <c r="U109" s="125"/>
      <c r="V109" s="125"/>
      <c r="W109" s="125"/>
      <c r="X109" s="125"/>
      <c r="Y109" s="125"/>
      <c r="Z109" s="1"/>
      <c r="AA109" s="1"/>
      <c r="AB109" s="1"/>
      <c r="AC109" s="1"/>
      <c r="AD109" s="1"/>
    </row>
    <row r="110" spans="1:30">
      <c r="A110" s="1"/>
      <c r="B110" s="663" t="s">
        <v>527</v>
      </c>
      <c r="C110" s="125"/>
      <c r="D110" s="125"/>
      <c r="E110" s="125"/>
      <c r="F110" s="855">
        <v>0.60787992495309573</v>
      </c>
      <c r="G110" s="855">
        <v>5.55</v>
      </c>
      <c r="H110" s="855">
        <v>0.57899628252788105</v>
      </c>
      <c r="I110" s="855">
        <v>0.61051373954599764</v>
      </c>
      <c r="J110" s="856">
        <v>0.59912998234232473</v>
      </c>
      <c r="K110" s="851">
        <v>0.59912998234232473</v>
      </c>
      <c r="L110" s="851">
        <v>0.59912998234232473</v>
      </c>
      <c r="M110" s="851">
        <v>0.59912998234232473</v>
      </c>
      <c r="N110" s="851">
        <v>0.59912998234232473</v>
      </c>
      <c r="O110" s="696">
        <v>0.59912998234232473</v>
      </c>
      <c r="P110" s="125"/>
      <c r="Q110" s="125"/>
      <c r="R110" s="125"/>
      <c r="S110" s="125"/>
      <c r="T110" s="125"/>
      <c r="U110" s="125"/>
      <c r="V110" s="125"/>
      <c r="W110" s="125"/>
      <c r="X110" s="125"/>
      <c r="Y110" s="125"/>
      <c r="Z110" s="1"/>
      <c r="AA110" s="1"/>
      <c r="AB110" s="1"/>
      <c r="AC110" s="1"/>
      <c r="AD110" s="1"/>
    </row>
    <row r="111" spans="1:30">
      <c r="A111" s="1"/>
      <c r="B111" s="403"/>
      <c r="C111" s="403"/>
      <c r="D111" s="403"/>
      <c r="E111" s="403"/>
      <c r="F111" s="681"/>
      <c r="G111" s="681"/>
      <c r="H111" s="681"/>
      <c r="I111" s="681"/>
      <c r="J111" s="676"/>
      <c r="K111" s="677"/>
      <c r="L111" s="677"/>
      <c r="M111" s="677"/>
      <c r="N111" s="677"/>
      <c r="O111" s="526"/>
      <c r="P111" s="125"/>
      <c r="Q111" s="125"/>
      <c r="R111" s="125"/>
      <c r="S111" s="125"/>
      <c r="T111" s="125"/>
      <c r="U111" s="125"/>
      <c r="V111" s="125"/>
      <c r="W111" s="125"/>
      <c r="X111" s="125"/>
      <c r="Y111" s="125"/>
      <c r="Z111" s="1"/>
      <c r="AA111" s="1"/>
      <c r="AB111" s="1"/>
      <c r="AC111" s="1"/>
      <c r="AD111" s="1"/>
    </row>
    <row r="112" spans="1:30">
      <c r="A112" s="1"/>
      <c r="B112" s="125" t="s">
        <v>354</v>
      </c>
      <c r="C112" s="125"/>
      <c r="D112" s="125"/>
      <c r="E112" s="125"/>
      <c r="F112" s="409">
        <v>95</v>
      </c>
      <c r="G112" s="409">
        <v>-46</v>
      </c>
      <c r="H112" s="409">
        <v>17</v>
      </c>
      <c r="I112" s="409">
        <v>34</v>
      </c>
      <c r="J112" s="569">
        <v>44.034019832189166</v>
      </c>
      <c r="K112" s="212">
        <v>44.03</v>
      </c>
      <c r="L112" s="212">
        <v>44.03</v>
      </c>
      <c r="M112" s="212">
        <v>44.03</v>
      </c>
      <c r="N112" s="212">
        <v>44.03</v>
      </c>
      <c r="O112" s="695">
        <v>44.03</v>
      </c>
      <c r="P112" s="125"/>
      <c r="Q112" s="125"/>
      <c r="R112" s="125"/>
      <c r="S112" s="125"/>
      <c r="T112" s="125"/>
      <c r="U112" s="125"/>
      <c r="V112" s="125"/>
      <c r="W112" s="125"/>
      <c r="X112" s="125"/>
      <c r="Y112" s="125"/>
      <c r="Z112" s="1"/>
      <c r="AA112" s="1"/>
      <c r="AB112" s="1"/>
      <c r="AC112" s="1"/>
      <c r="AD112" s="1"/>
    </row>
    <row r="113" spans="1:30">
      <c r="A113" s="1"/>
      <c r="B113" s="403" t="s">
        <v>531</v>
      </c>
      <c r="C113" s="403"/>
      <c r="D113" s="403"/>
      <c r="E113" s="403"/>
      <c r="F113" s="857"/>
      <c r="G113" s="848">
        <v>-1.4842105263157894</v>
      </c>
      <c r="H113" s="848">
        <v>1.3695652173913042</v>
      </c>
      <c r="I113" s="848">
        <v>1</v>
      </c>
      <c r="J113" s="856">
        <v>0.29511823035850493</v>
      </c>
      <c r="K113" s="851">
        <v>0.29511823035850493</v>
      </c>
      <c r="L113" s="851">
        <v>0.29511823035850493</v>
      </c>
      <c r="M113" s="851">
        <v>0.29511823035850493</v>
      </c>
      <c r="N113" s="851">
        <v>0.29511823035850493</v>
      </c>
      <c r="O113" s="717"/>
      <c r="P113" s="125"/>
      <c r="Q113" s="125"/>
      <c r="R113" s="125"/>
      <c r="S113" s="125"/>
      <c r="T113" s="125"/>
      <c r="U113" s="125"/>
      <c r="V113" s="125"/>
      <c r="W113" s="125"/>
      <c r="X113" s="125"/>
      <c r="Y113" s="125"/>
      <c r="Z113" s="1"/>
      <c r="AA113" s="1"/>
      <c r="AB113" s="1"/>
      <c r="AC113" s="1"/>
      <c r="AD113" s="1"/>
    </row>
    <row r="114" spans="1:30">
      <c r="A114" s="1"/>
      <c r="B114" s="125" t="s">
        <v>660</v>
      </c>
      <c r="C114" s="125"/>
      <c r="D114" s="125"/>
      <c r="E114" s="125"/>
      <c r="F114" s="409">
        <v>33</v>
      </c>
      <c r="G114" s="409">
        <v>-46</v>
      </c>
      <c r="H114" s="409">
        <v>-5</v>
      </c>
      <c r="I114" s="409">
        <v>-7</v>
      </c>
      <c r="J114" s="569">
        <v>-11.439481774264383</v>
      </c>
      <c r="K114" s="212">
        <v>-11.439481774264383</v>
      </c>
      <c r="L114" s="212">
        <v>-11.439481774264383</v>
      </c>
      <c r="M114" s="212">
        <v>-11.439481774264383</v>
      </c>
      <c r="N114" s="212">
        <v>-11.439481774264383</v>
      </c>
      <c r="O114" s="695">
        <v>-11.439481774264383</v>
      </c>
      <c r="P114" s="125"/>
      <c r="Q114" s="125"/>
      <c r="R114" s="125"/>
      <c r="S114" s="125"/>
      <c r="T114" s="125"/>
      <c r="U114" s="125"/>
      <c r="V114" s="125"/>
      <c r="W114" s="125"/>
      <c r="X114" s="125"/>
      <c r="Y114" s="125"/>
      <c r="Z114" s="1"/>
      <c r="AA114" s="1"/>
      <c r="AB114" s="1"/>
      <c r="AC114" s="1"/>
      <c r="AD114" s="1"/>
    </row>
    <row r="115" spans="1:30">
      <c r="A115" s="1"/>
      <c r="B115" s="403" t="s">
        <v>531</v>
      </c>
      <c r="C115" s="403"/>
      <c r="D115" s="403"/>
      <c r="E115" s="403"/>
      <c r="F115" s="406"/>
      <c r="G115" s="848">
        <v>-2.393939393939394</v>
      </c>
      <c r="H115" s="848">
        <v>0.89130434782608692</v>
      </c>
      <c r="I115" s="848">
        <v>-0.39999999999999991</v>
      </c>
      <c r="J115" s="856">
        <v>-0.63421168203776901</v>
      </c>
      <c r="K115" s="851">
        <v>-0.63421168203776901</v>
      </c>
      <c r="L115" s="851">
        <v>-0.63421168203776901</v>
      </c>
      <c r="M115" s="851">
        <v>-0.63421168203776901</v>
      </c>
      <c r="N115" s="851">
        <v>-0.63421168203776901</v>
      </c>
      <c r="O115" s="717"/>
      <c r="P115" s="125"/>
      <c r="Q115" s="125"/>
      <c r="R115" s="125"/>
      <c r="S115" s="125"/>
      <c r="T115" s="125"/>
      <c r="U115" s="125"/>
      <c r="V115" s="125"/>
      <c r="W115" s="125"/>
      <c r="X115" s="125"/>
      <c r="Y115" s="125"/>
      <c r="Z115" s="1"/>
      <c r="AA115" s="1"/>
      <c r="AB115" s="1"/>
      <c r="AC115" s="1"/>
      <c r="AD115" s="1"/>
    </row>
    <row r="116" spans="1:30">
      <c r="A116" s="1"/>
      <c r="B116" s="125" t="s">
        <v>368</v>
      </c>
      <c r="C116" s="125"/>
      <c r="D116" s="125"/>
      <c r="E116" s="125"/>
      <c r="F116" s="409">
        <v>-33</v>
      </c>
      <c r="G116" s="409">
        <v>40</v>
      </c>
      <c r="H116" s="409">
        <v>37</v>
      </c>
      <c r="I116" s="409">
        <v>-13</v>
      </c>
      <c r="J116" s="569">
        <v>-16.405002730002728</v>
      </c>
      <c r="K116" s="212">
        <v>-16.405002730002728</v>
      </c>
      <c r="L116" s="212">
        <v>-16.405002730002728</v>
      </c>
      <c r="M116" s="212">
        <v>-16.405002730002728</v>
      </c>
      <c r="N116" s="212">
        <v>-16.405002730002728</v>
      </c>
      <c r="O116" s="695">
        <v>-16.405002730002728</v>
      </c>
      <c r="P116" s="125"/>
      <c r="Q116" s="125"/>
      <c r="R116" s="125"/>
      <c r="S116" s="125"/>
      <c r="T116" s="125"/>
      <c r="U116" s="125"/>
      <c r="V116" s="125"/>
      <c r="W116" s="125"/>
      <c r="X116" s="125"/>
      <c r="Y116" s="125"/>
      <c r="Z116" s="1"/>
      <c r="AA116" s="1"/>
      <c r="AB116" s="1"/>
      <c r="AC116" s="1"/>
      <c r="AD116" s="1"/>
    </row>
    <row r="117" spans="1:30">
      <c r="A117" s="1"/>
      <c r="B117" s="403" t="s">
        <v>531</v>
      </c>
      <c r="C117" s="403"/>
      <c r="D117" s="403"/>
      <c r="E117" s="403"/>
      <c r="F117" s="406"/>
      <c r="G117" s="848">
        <v>2.2121212121212119</v>
      </c>
      <c r="H117" s="848">
        <v>-7.4999999999999956E-2</v>
      </c>
      <c r="I117" s="848">
        <v>-1.3513513513513513</v>
      </c>
      <c r="J117" s="856">
        <v>0.26192328692328681</v>
      </c>
      <c r="K117" s="851">
        <v>0.26192328692328681</v>
      </c>
      <c r="L117" s="851">
        <v>0.26192328692328681</v>
      </c>
      <c r="M117" s="851">
        <v>0.26192328692328681</v>
      </c>
      <c r="N117" s="851">
        <v>0.26192328692328681</v>
      </c>
      <c r="O117" s="717"/>
      <c r="P117" s="125"/>
      <c r="Q117" s="125"/>
      <c r="R117" s="125"/>
      <c r="S117" s="125"/>
      <c r="T117" s="125"/>
      <c r="U117" s="125"/>
      <c r="V117" s="125"/>
      <c r="W117" s="125"/>
      <c r="X117" s="125"/>
      <c r="Y117" s="125"/>
      <c r="Z117" s="1"/>
      <c r="AA117" s="1"/>
      <c r="AB117" s="1"/>
      <c r="AC117" s="1"/>
      <c r="AD117" s="1"/>
    </row>
    <row r="118" spans="1:30">
      <c r="A118" s="1"/>
      <c r="B118" s="125" t="s">
        <v>356</v>
      </c>
      <c r="C118" s="125"/>
      <c r="D118" s="125"/>
      <c r="E118" s="125"/>
      <c r="F118" s="409">
        <v>20</v>
      </c>
      <c r="G118" s="409">
        <v>-91</v>
      </c>
      <c r="H118" s="409">
        <v>11</v>
      </c>
      <c r="I118" s="409">
        <v>-3</v>
      </c>
      <c r="J118" s="569">
        <v>2.701848151848151</v>
      </c>
      <c r="K118" s="212">
        <v>-2.4333278118817563</v>
      </c>
      <c r="L118" s="212">
        <v>2.191494083791143</v>
      </c>
      <c r="M118" s="212">
        <v>-1.9736947466924188</v>
      </c>
      <c r="N118" s="212">
        <v>1.7775411678877722</v>
      </c>
      <c r="O118" s="695">
        <v>1.7775411678877722</v>
      </c>
      <c r="P118" s="125"/>
      <c r="Q118" s="125"/>
      <c r="R118" s="125"/>
      <c r="S118" s="125"/>
      <c r="T118" s="125"/>
      <c r="U118" s="125"/>
      <c r="V118" s="125"/>
      <c r="W118" s="125"/>
      <c r="X118" s="125"/>
      <c r="Y118" s="125"/>
      <c r="Z118" s="1"/>
      <c r="AA118" s="1"/>
      <c r="AB118" s="1"/>
      <c r="AC118" s="1"/>
      <c r="AD118" s="1"/>
    </row>
    <row r="119" spans="1:30">
      <c r="A119" s="1"/>
      <c r="B119" s="403" t="s">
        <v>531</v>
      </c>
      <c r="C119" s="403"/>
      <c r="D119" s="403"/>
      <c r="E119" s="403"/>
      <c r="F119" s="404"/>
      <c r="G119" s="848">
        <v>-5.55</v>
      </c>
      <c r="H119" s="848">
        <v>1.1208791208791209</v>
      </c>
      <c r="I119" s="848">
        <v>-1.2727272727272727</v>
      </c>
      <c r="J119" s="856">
        <v>-2.647868797868798</v>
      </c>
      <c r="K119" s="851">
        <v>-2.647868797868798</v>
      </c>
      <c r="L119" s="851">
        <v>-2.647868797868798</v>
      </c>
      <c r="M119" s="851">
        <v>-2.647868797868798</v>
      </c>
      <c r="N119" s="851">
        <v>-2.647868797868798</v>
      </c>
      <c r="O119" s="526"/>
      <c r="P119" s="125"/>
      <c r="Q119" s="125"/>
      <c r="R119" s="125"/>
      <c r="S119" s="125"/>
      <c r="T119" s="125"/>
      <c r="U119" s="125"/>
      <c r="V119" s="125"/>
      <c r="W119" s="125"/>
      <c r="X119" s="125"/>
      <c r="Y119" s="125"/>
      <c r="Z119" s="1"/>
      <c r="AA119" s="1"/>
      <c r="AB119" s="1"/>
      <c r="AC119" s="1"/>
      <c r="AD119" s="1"/>
    </row>
    <row r="120" spans="1:30">
      <c r="A120" s="1"/>
      <c r="B120" s="125" t="s">
        <v>530</v>
      </c>
      <c r="C120" s="125"/>
      <c r="D120" s="125"/>
      <c r="E120" s="125"/>
      <c r="F120" s="409">
        <v>54</v>
      </c>
      <c r="G120" s="409">
        <v>71</v>
      </c>
      <c r="H120" s="409">
        <v>25</v>
      </c>
      <c r="I120" s="409">
        <v>81</v>
      </c>
      <c r="J120" s="569">
        <v>74.778706735263384</v>
      </c>
      <c r="K120" s="212">
        <v>84.336194661082388</v>
      </c>
      <c r="L120" s="212">
        <v>95.115227856139114</v>
      </c>
      <c r="M120" s="212">
        <v>107.27193237116767</v>
      </c>
      <c r="N120" s="212">
        <v>120.98238877216383</v>
      </c>
      <c r="O120" s="695">
        <v>120.98238877216383</v>
      </c>
      <c r="P120" s="125"/>
      <c r="Q120" s="125"/>
      <c r="R120" s="125"/>
      <c r="S120" s="125"/>
      <c r="T120" s="125"/>
      <c r="U120" s="125"/>
      <c r="V120" s="125"/>
      <c r="W120" s="125"/>
      <c r="X120" s="125"/>
      <c r="Y120" s="125"/>
      <c r="Z120" s="1"/>
      <c r="AA120" s="1"/>
      <c r="AB120" s="1"/>
      <c r="AC120" s="1"/>
      <c r="AD120" s="1"/>
    </row>
    <row r="121" spans="1:30">
      <c r="A121" s="1"/>
      <c r="B121" s="403" t="s">
        <v>659</v>
      </c>
      <c r="C121" s="403"/>
      <c r="D121" s="403"/>
      <c r="E121" s="403"/>
      <c r="F121" s="848">
        <v>1.1111111111111112E-2</v>
      </c>
      <c r="G121" s="848">
        <v>1.2249827467218772E-2</v>
      </c>
      <c r="H121" s="848">
        <v>3.8497074222359103E-3</v>
      </c>
      <c r="I121" s="848">
        <v>1.1059530311305297E-2</v>
      </c>
      <c r="J121" s="849">
        <v>9.0530217335866598E-3</v>
      </c>
      <c r="K121" s="850">
        <v>9.0530217335866598E-3</v>
      </c>
      <c r="L121" s="850">
        <v>9.0530217335866598E-3</v>
      </c>
      <c r="M121" s="850">
        <v>9.0530217335866598E-3</v>
      </c>
      <c r="N121" s="850">
        <v>9.0530217335866598E-3</v>
      </c>
      <c r="O121" s="730">
        <v>9.0530217335866598E-3</v>
      </c>
      <c r="P121" s="125"/>
      <c r="Q121" s="125"/>
      <c r="R121" s="125"/>
      <c r="S121" s="125"/>
      <c r="T121" s="125"/>
      <c r="U121" s="125"/>
      <c r="V121" s="125"/>
      <c r="W121" s="125"/>
      <c r="X121" s="125"/>
      <c r="Y121" s="125"/>
      <c r="Z121" s="1"/>
      <c r="AA121" s="1"/>
      <c r="AB121" s="1"/>
      <c r="AC121" s="1"/>
      <c r="AD121" s="1"/>
    </row>
    <row r="122" spans="1:30">
      <c r="A122" s="1"/>
      <c r="B122" s="672" t="s">
        <v>357</v>
      </c>
      <c r="C122" s="672"/>
      <c r="D122" s="672"/>
      <c r="E122" s="672"/>
      <c r="F122" s="673">
        <v>32.18562874251495</v>
      </c>
      <c r="G122" s="673">
        <v>765.33333333333326</v>
      </c>
      <c r="H122" s="673">
        <v>31.600000000000023</v>
      </c>
      <c r="I122" s="673">
        <v>229.51807228915663</v>
      </c>
      <c r="J122" s="674">
        <f>J106+J108+J109+J112+J114+J116+J118+J120</f>
        <v>369.69437017919597</v>
      </c>
      <c r="K122" s="675">
        <f t="shared" ref="K122:M122" si="35">K106+K108+K109+K112+K114+K116+K118+K120</f>
        <v>370.22039190053476</v>
      </c>
      <c r="L122" s="675">
        <f t="shared" si="35"/>
        <v>378.70385935009983</v>
      </c>
      <c r="M122" s="675">
        <f t="shared" si="35"/>
        <v>376.25543848066729</v>
      </c>
      <c r="N122" s="675">
        <f>N106+N108+N109+N112+N114+N116+N118+N120</f>
        <v>379.20288561551763</v>
      </c>
      <c r="O122" s="732">
        <f>O106+O108+O109+O112+O114+O116+O118+O120</f>
        <v>393.7621626625305</v>
      </c>
      <c r="P122" s="125"/>
      <c r="Q122" s="125"/>
      <c r="R122" s="125"/>
      <c r="S122" s="125"/>
      <c r="T122" s="125"/>
      <c r="U122" s="125"/>
      <c r="V122" s="125"/>
      <c r="W122" s="125"/>
      <c r="X122" s="125"/>
      <c r="Y122" s="125"/>
      <c r="Z122" s="1"/>
      <c r="AA122" s="1"/>
      <c r="AB122" s="1"/>
      <c r="AC122" s="1"/>
      <c r="AD122" s="1"/>
    </row>
    <row r="123" spans="1:30">
      <c r="A123" s="1"/>
      <c r="B123" s="125" t="s">
        <v>532</v>
      </c>
      <c r="C123" s="125"/>
      <c r="D123" s="125"/>
      <c r="E123" s="125"/>
      <c r="F123" s="125"/>
      <c r="G123" s="125"/>
      <c r="H123" s="125"/>
      <c r="I123" s="125"/>
      <c r="J123" s="400">
        <v>1.0469999999999999</v>
      </c>
      <c r="K123" s="2">
        <v>1.0962089999999998</v>
      </c>
      <c r="L123" s="2">
        <v>1.1477308229999996</v>
      </c>
      <c r="M123" s="2">
        <v>1.2016741716809995</v>
      </c>
      <c r="N123" s="2">
        <v>1.2581528577500065</v>
      </c>
      <c r="O123" s="526">
        <f>(1+E83)^6</f>
        <v>1</v>
      </c>
      <c r="P123" s="125"/>
      <c r="Q123" s="125"/>
      <c r="R123" s="125"/>
      <c r="S123" s="125"/>
      <c r="T123" s="125"/>
      <c r="U123" s="125"/>
      <c r="V123" s="125"/>
      <c r="W123" s="125"/>
      <c r="X123" s="125"/>
      <c r="Y123" s="125"/>
      <c r="Z123" s="1"/>
      <c r="AA123" s="1"/>
      <c r="AB123" s="1"/>
      <c r="AC123" s="1"/>
      <c r="AD123" s="1"/>
    </row>
    <row r="124" spans="1:30">
      <c r="A124" s="1"/>
      <c r="B124" s="125" t="s">
        <v>524</v>
      </c>
      <c r="C124" s="125"/>
      <c r="D124" s="125"/>
      <c r="E124" s="125"/>
      <c r="F124" s="125"/>
      <c r="G124" s="125"/>
      <c r="H124" s="125"/>
      <c r="I124" s="125"/>
      <c r="J124" s="668">
        <f t="shared" ref="J124:O124" si="36">J122/J123</f>
        <v>353.09872987506782</v>
      </c>
      <c r="K124" s="626">
        <f t="shared" si="36"/>
        <v>337.72792587958577</v>
      </c>
      <c r="L124" s="626">
        <f t="shared" si="36"/>
        <v>329.9587775818581</v>
      </c>
      <c r="M124" s="626">
        <f t="shared" si="36"/>
        <v>313.10936637202627</v>
      </c>
      <c r="N124" s="626">
        <f t="shared" si="36"/>
        <v>301.39651416733085</v>
      </c>
      <c r="O124" s="731">
        <f t="shared" si="36"/>
        <v>393.7621626625305</v>
      </c>
      <c r="P124" s="125"/>
      <c r="Q124" s="125"/>
      <c r="R124" s="125"/>
      <c r="S124" s="125"/>
      <c r="T124" s="125"/>
      <c r="U124" s="125"/>
      <c r="V124" s="125"/>
      <c r="W124" s="125"/>
      <c r="X124" s="125"/>
      <c r="Y124" s="125"/>
      <c r="Z124" s="1"/>
      <c r="AA124" s="1"/>
      <c r="AB124" s="1"/>
      <c r="AC124" s="1"/>
      <c r="AD124" s="1"/>
    </row>
    <row r="125" spans="1:30">
      <c r="A125" s="1"/>
      <c r="B125" s="125"/>
      <c r="C125" s="125"/>
      <c r="D125" s="125"/>
      <c r="E125" s="125"/>
      <c r="F125" s="125"/>
      <c r="G125" s="125"/>
      <c r="H125" s="125"/>
      <c r="I125" s="125"/>
      <c r="J125" s="2"/>
      <c r="K125" s="125"/>
      <c r="L125" s="125"/>
      <c r="M125" s="125"/>
      <c r="N125" s="125"/>
      <c r="O125" s="125"/>
      <c r="P125" s="125"/>
      <c r="Q125" s="125"/>
      <c r="R125" s="125"/>
      <c r="S125" s="125"/>
      <c r="T125" s="125"/>
      <c r="U125" s="125"/>
      <c r="V125" s="125"/>
      <c r="W125" s="125"/>
      <c r="X125" s="125"/>
      <c r="Y125" s="125"/>
      <c r="Z125" s="1"/>
      <c r="AA125" s="1"/>
      <c r="AB125" s="1"/>
      <c r="AC125" s="1"/>
      <c r="AD125" s="1"/>
    </row>
    <row r="126" spans="1:30">
      <c r="A126" s="1"/>
      <c r="B126" s="125"/>
      <c r="C126" s="125"/>
      <c r="D126" s="125"/>
      <c r="E126" s="125"/>
      <c r="F126" s="125"/>
      <c r="G126" s="125"/>
      <c r="H126" s="125"/>
      <c r="I126" s="125"/>
      <c r="J126" s="2"/>
      <c r="K126" s="125"/>
      <c r="L126" s="125"/>
      <c r="M126" s="125"/>
      <c r="N126" s="125"/>
      <c r="O126" s="125"/>
      <c r="P126" s="125"/>
      <c r="Q126" s="125"/>
      <c r="R126" s="125"/>
      <c r="S126" s="125"/>
      <c r="T126" s="125"/>
      <c r="U126" s="125"/>
      <c r="V126" s="125"/>
      <c r="W126" s="125"/>
      <c r="X126" s="125"/>
      <c r="Y126" s="125"/>
      <c r="Z126" s="1"/>
      <c r="AA126" s="1"/>
      <c r="AB126" s="1"/>
      <c r="AC126" s="1"/>
      <c r="AD126" s="1"/>
    </row>
    <row r="127" spans="1:30">
      <c r="A127" s="1"/>
      <c r="B127" s="398" t="s">
        <v>670</v>
      </c>
      <c r="C127" s="125"/>
      <c r="D127" s="125"/>
      <c r="E127" s="125"/>
      <c r="F127" s="125"/>
      <c r="G127" s="398" t="s">
        <v>738</v>
      </c>
      <c r="H127" s="125"/>
      <c r="I127" s="125"/>
      <c r="J127" s="125"/>
      <c r="K127" s="125"/>
      <c r="L127" s="125"/>
      <c r="M127" s="125"/>
      <c r="N127" s="125"/>
      <c r="O127" s="125"/>
      <c r="P127" s="125"/>
      <c r="Q127" s="125"/>
      <c r="R127" s="125"/>
      <c r="S127" s="125"/>
      <c r="T127" s="125"/>
      <c r="U127" s="125"/>
      <c r="V127" s="125"/>
      <c r="W127" s="125"/>
      <c r="X127" s="125"/>
      <c r="Y127" s="125"/>
      <c r="Z127" s="1"/>
      <c r="AA127" s="1"/>
      <c r="AB127" s="1"/>
      <c r="AC127" s="1"/>
      <c r="AD127" s="1"/>
    </row>
    <row r="128" spans="1:30">
      <c r="A128" s="1"/>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
      <c r="AA128" s="1"/>
      <c r="AB128" s="1"/>
      <c r="AC128" s="1"/>
      <c r="AD128" s="1"/>
    </row>
    <row r="129" spans="1:30">
      <c r="A129" s="1"/>
      <c r="B129" s="125" t="s">
        <v>534</v>
      </c>
      <c r="C129" s="125"/>
      <c r="D129" s="419">
        <f>O104*(((1-E131))*(1+G85))/C17-G85</f>
        <v>10780.347011978787</v>
      </c>
      <c r="E129" s="125"/>
      <c r="F129" s="125"/>
      <c r="G129" s="125" t="s">
        <v>534</v>
      </c>
      <c r="H129" s="125"/>
      <c r="I129" s="419">
        <f>P104*(((1-J131))*(1+J86))/C17-K89</f>
        <v>1667.6366019282864</v>
      </c>
      <c r="J129" s="125"/>
      <c r="K129" s="125"/>
      <c r="L129" s="125"/>
      <c r="M129" s="125"/>
      <c r="N129" s="125"/>
      <c r="O129" s="125"/>
      <c r="P129" s="125"/>
      <c r="Q129" s="125"/>
      <c r="R129" s="125"/>
      <c r="S129" s="125"/>
      <c r="T129" s="125"/>
      <c r="U129" s="125"/>
      <c r="V129" s="125"/>
      <c r="W129" s="125"/>
      <c r="X129" s="125"/>
      <c r="Y129" s="125"/>
      <c r="Z129" s="1"/>
      <c r="AA129" s="1"/>
      <c r="AB129" s="1"/>
      <c r="AC129" s="1"/>
      <c r="AD129" s="1"/>
    </row>
    <row r="130" spans="1:30">
      <c r="A130" s="1"/>
      <c r="B130" s="125" t="s">
        <v>671</v>
      </c>
      <c r="C130" s="14"/>
      <c r="D130" s="412">
        <f>D129/(1+0.0528)^5</f>
        <v>8334.9569178795682</v>
      </c>
      <c r="E130" s="125"/>
      <c r="F130" s="125"/>
      <c r="G130" s="125" t="s">
        <v>671</v>
      </c>
      <c r="H130" s="14"/>
      <c r="I130" s="412">
        <f>I129/(1+0.0528)^5</f>
        <v>1289.3536002418523</v>
      </c>
      <c r="J130" s="125"/>
      <c r="K130" s="125"/>
      <c r="L130" s="125"/>
      <c r="M130" s="125"/>
      <c r="N130" s="125"/>
      <c r="O130" s="125"/>
      <c r="P130" s="125"/>
      <c r="Q130" s="125"/>
      <c r="R130" s="125"/>
      <c r="S130" s="125"/>
      <c r="T130" s="125"/>
      <c r="U130" s="125"/>
      <c r="V130" s="125"/>
      <c r="W130" s="125"/>
      <c r="X130" s="125"/>
      <c r="Y130" s="125"/>
      <c r="Z130" s="1"/>
      <c r="AA130" s="1"/>
      <c r="AB130" s="1"/>
      <c r="AC130" s="1"/>
      <c r="AD130" s="1"/>
    </row>
    <row r="131" spans="1:30">
      <c r="A131" s="1"/>
      <c r="B131" s="2" t="s">
        <v>668</v>
      </c>
      <c r="C131" s="125"/>
      <c r="D131" s="125"/>
      <c r="E131" s="391">
        <f>O96/C17</f>
        <v>0.22733933267234102</v>
      </c>
      <c r="F131" s="125"/>
      <c r="G131" s="2" t="s">
        <v>668</v>
      </c>
      <c r="H131" s="125"/>
      <c r="I131" s="125"/>
      <c r="J131" s="391">
        <f>K89/C17</f>
        <v>0.88566186099752153</v>
      </c>
      <c r="K131" s="125"/>
      <c r="L131" s="125"/>
      <c r="M131" s="125"/>
      <c r="N131" s="125"/>
      <c r="O131" s="125"/>
      <c r="P131" s="125"/>
      <c r="Q131" s="125"/>
      <c r="R131" s="125"/>
      <c r="S131" s="125"/>
      <c r="T131" s="125"/>
      <c r="U131" s="125"/>
      <c r="V131" s="125"/>
      <c r="W131" s="125"/>
      <c r="X131" s="125"/>
      <c r="Y131" s="125"/>
      <c r="Z131" s="1"/>
      <c r="AA131" s="1"/>
      <c r="AB131" s="1"/>
      <c r="AC131" s="1"/>
      <c r="AD131" s="1"/>
    </row>
    <row r="132" spans="1:30">
      <c r="A132" s="1"/>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
      <c r="AA132" s="1"/>
      <c r="AB132" s="1"/>
      <c r="AC132" s="1"/>
      <c r="AD132" s="1"/>
    </row>
    <row r="133" spans="1:30">
      <c r="A133" s="1"/>
      <c r="B133" s="125" t="s">
        <v>533</v>
      </c>
      <c r="C133" s="125"/>
      <c r="D133" s="14"/>
      <c r="E133" s="419">
        <f>SUM(J124:M124,D130)</f>
        <v>9668.8517175881061</v>
      </c>
      <c r="F133" s="125"/>
      <c r="G133" s="125" t="s">
        <v>533</v>
      </c>
      <c r="H133" s="125"/>
      <c r="I133" s="14"/>
      <c r="J133" s="419">
        <f>SUM(O124:R124,I130)</f>
        <v>1683.1157629043828</v>
      </c>
      <c r="K133" s="125"/>
      <c r="L133" s="125"/>
      <c r="M133" s="125"/>
      <c r="N133" s="125"/>
      <c r="O133" s="125"/>
      <c r="P133" s="125"/>
      <c r="Q133" s="125"/>
      <c r="R133" s="125"/>
      <c r="S133" s="125"/>
      <c r="T133" s="125"/>
      <c r="U133" s="125"/>
      <c r="V133" s="125"/>
      <c r="W133" s="125"/>
      <c r="X133" s="125"/>
      <c r="Y133" s="125"/>
      <c r="Z133" s="1"/>
      <c r="AA133" s="1"/>
      <c r="AB133" s="1"/>
      <c r="AC133" s="1"/>
      <c r="AD133" s="1"/>
    </row>
    <row r="134" spans="1:30">
      <c r="A134" s="1"/>
      <c r="B134" s="125" t="s">
        <v>539</v>
      </c>
      <c r="C134" s="125"/>
      <c r="D134" s="125"/>
      <c r="E134" s="125">
        <v>434</v>
      </c>
      <c r="F134" s="125"/>
      <c r="G134" s="125" t="s">
        <v>539</v>
      </c>
      <c r="H134" s="125"/>
      <c r="I134" s="125"/>
      <c r="J134" s="125">
        <v>434</v>
      </c>
      <c r="K134" s="125"/>
      <c r="L134" s="125"/>
      <c r="M134" s="125"/>
      <c r="N134" s="125"/>
      <c r="O134" s="125"/>
      <c r="P134" s="125"/>
      <c r="Q134" s="125"/>
      <c r="R134" s="125"/>
      <c r="S134" s="125"/>
      <c r="T134" s="125"/>
      <c r="U134" s="125"/>
      <c r="V134" s="125"/>
      <c r="W134" s="125"/>
      <c r="X134" s="125"/>
      <c r="Y134" s="125"/>
      <c r="Z134" s="1"/>
      <c r="AA134" s="1"/>
      <c r="AB134" s="1"/>
      <c r="AC134" s="1"/>
      <c r="AD134" s="1"/>
    </row>
    <row r="135" spans="1:30">
      <c r="A135" s="1"/>
      <c r="B135" s="125" t="s">
        <v>540</v>
      </c>
      <c r="C135" s="125"/>
      <c r="D135" s="125"/>
      <c r="E135" s="125">
        <v>3702</v>
      </c>
      <c r="F135" s="125"/>
      <c r="G135" s="125" t="s">
        <v>540</v>
      </c>
      <c r="H135" s="125"/>
      <c r="I135" s="125"/>
      <c r="J135" s="125">
        <v>3702</v>
      </c>
      <c r="K135" s="125"/>
      <c r="L135" s="125"/>
      <c r="M135" s="125"/>
      <c r="N135" s="125"/>
      <c r="O135" s="125"/>
      <c r="P135" s="125"/>
      <c r="Q135" s="125"/>
      <c r="R135" s="125"/>
      <c r="S135" s="125"/>
      <c r="T135" s="125"/>
      <c r="U135" s="125"/>
      <c r="V135" s="125"/>
      <c r="W135" s="125"/>
      <c r="X135" s="125"/>
      <c r="Y135" s="125"/>
      <c r="Z135" s="1"/>
      <c r="AA135" s="1"/>
      <c r="AB135" s="1"/>
      <c r="AC135" s="1"/>
      <c r="AD135" s="1"/>
    </row>
    <row r="136" spans="1:30">
      <c r="A136" s="1"/>
      <c r="B136" s="125" t="s">
        <v>541</v>
      </c>
      <c r="C136" s="125"/>
      <c r="D136" s="125"/>
      <c r="E136" s="125">
        <v>362</v>
      </c>
      <c r="F136" s="125"/>
      <c r="G136" s="125" t="s">
        <v>541</v>
      </c>
      <c r="H136" s="125"/>
      <c r="I136" s="125"/>
      <c r="J136" s="125">
        <v>362</v>
      </c>
      <c r="K136" s="125"/>
      <c r="L136" s="125"/>
      <c r="M136" s="125"/>
      <c r="N136" s="125"/>
      <c r="O136" s="125"/>
      <c r="P136" s="125"/>
      <c r="Q136" s="125"/>
      <c r="R136" s="125"/>
      <c r="S136" s="125"/>
      <c r="T136" s="125"/>
      <c r="U136" s="125"/>
      <c r="V136" s="125"/>
      <c r="W136" s="125"/>
      <c r="X136" s="125"/>
      <c r="Y136" s="125"/>
      <c r="Z136" s="1"/>
      <c r="AA136" s="1"/>
      <c r="AB136" s="1"/>
      <c r="AC136" s="1"/>
      <c r="AD136" s="1"/>
    </row>
    <row r="137" spans="1:30">
      <c r="A137" s="1"/>
      <c r="B137" s="125" t="s">
        <v>535</v>
      </c>
      <c r="C137" s="125"/>
      <c r="D137" s="125"/>
      <c r="E137" s="419">
        <f>E133+E134+E135-E136</f>
        <v>13442.851717588106</v>
      </c>
      <c r="F137" s="125"/>
      <c r="G137" s="125" t="s">
        <v>535</v>
      </c>
      <c r="H137" s="125"/>
      <c r="I137" s="125"/>
      <c r="J137" s="419">
        <f>J133+J134+J135-J136</f>
        <v>5457.1157629043828</v>
      </c>
      <c r="K137" s="125"/>
      <c r="L137" s="125"/>
      <c r="M137" s="125"/>
      <c r="N137" s="125"/>
      <c r="O137" s="125"/>
      <c r="P137" s="125"/>
      <c r="Q137" s="125"/>
      <c r="R137" s="125"/>
      <c r="S137" s="125"/>
      <c r="T137" s="125"/>
      <c r="U137" s="125"/>
      <c r="V137" s="125"/>
      <c r="W137" s="125"/>
      <c r="X137" s="125"/>
      <c r="Y137" s="125"/>
      <c r="Z137" s="1"/>
      <c r="AA137" s="1"/>
      <c r="AB137" s="1"/>
      <c r="AC137" s="1"/>
      <c r="AD137" s="1"/>
    </row>
    <row r="138" spans="1:30">
      <c r="A138" s="1"/>
      <c r="B138" s="125" t="s">
        <v>728</v>
      </c>
      <c r="C138" s="125"/>
      <c r="D138" s="125"/>
      <c r="E138" s="420">
        <f>E137/'Forecasts Simone'!G139</f>
        <v>4.3235949818942148</v>
      </c>
      <c r="F138" s="125"/>
      <c r="G138" s="125" t="s">
        <v>728</v>
      </c>
      <c r="H138" s="125"/>
      <c r="I138" s="125"/>
      <c r="J138" s="420">
        <f>J137/'Forecasts Simone'!G139</f>
        <v>1.755160201405723</v>
      </c>
      <c r="K138" s="125"/>
      <c r="L138" s="125"/>
      <c r="M138" s="125"/>
      <c r="N138" s="125"/>
      <c r="O138" s="125"/>
      <c r="P138" s="125"/>
      <c r="Q138" s="125"/>
      <c r="R138" s="125"/>
      <c r="S138" s="125"/>
      <c r="T138" s="125"/>
      <c r="U138" s="125"/>
      <c r="V138" s="125"/>
      <c r="W138" s="125"/>
      <c r="X138" s="125"/>
      <c r="Y138" s="125"/>
      <c r="Z138" s="1"/>
      <c r="AA138" s="1"/>
      <c r="AB138" s="1"/>
      <c r="AC138" s="1"/>
      <c r="AD138" s="1"/>
    </row>
    <row r="139" spans="1:30">
      <c r="A139" s="1"/>
      <c r="B139" s="125"/>
      <c r="C139" s="125"/>
      <c r="D139" s="125"/>
      <c r="E139" s="125"/>
      <c r="F139" s="125"/>
      <c r="G139" s="125"/>
      <c r="H139" s="125"/>
      <c r="I139" s="125"/>
      <c r="J139" s="125"/>
      <c r="K139" s="125"/>
      <c r="L139" s="1"/>
      <c r="M139" s="1"/>
      <c r="N139" s="1"/>
      <c r="O139" s="1"/>
      <c r="P139" s="125"/>
      <c r="Q139" s="125"/>
      <c r="R139" s="125"/>
      <c r="S139" s="125"/>
      <c r="T139" s="125"/>
      <c r="U139" s="125"/>
      <c r="V139" s="125"/>
      <c r="W139" s="125"/>
      <c r="X139" s="125"/>
      <c r="Y139" s="125"/>
      <c r="Z139" s="1"/>
      <c r="AA139" s="1"/>
      <c r="AB139" s="1"/>
      <c r="AC139" s="1"/>
      <c r="AD139" s="1"/>
    </row>
    <row r="140" spans="1:30">
      <c r="A140" s="1"/>
      <c r="B140" s="125"/>
      <c r="C140" s="125"/>
      <c r="D140" s="125"/>
      <c r="E140" s="125"/>
      <c r="F140" s="125"/>
      <c r="G140" s="125"/>
      <c r="H140" s="125"/>
      <c r="I140" s="125"/>
      <c r="J140" s="125"/>
      <c r="K140" s="125"/>
      <c r="L140" s="1"/>
      <c r="M140" s="1"/>
      <c r="N140" s="1"/>
      <c r="O140" s="1"/>
      <c r="P140" s="125"/>
      <c r="Q140" s="125"/>
      <c r="R140" s="125"/>
      <c r="S140" s="125"/>
      <c r="T140" s="125"/>
      <c r="U140" s="125"/>
      <c r="V140" s="125"/>
      <c r="W140" s="125"/>
      <c r="X140" s="125"/>
      <c r="Y140" s="125"/>
      <c r="Z140" s="1"/>
      <c r="AA140" s="1"/>
      <c r="AB140" s="1"/>
      <c r="AC140" s="1"/>
      <c r="AD140" s="1"/>
    </row>
    <row r="141" spans="1:30">
      <c r="A141" s="1"/>
      <c r="B141" s="125"/>
      <c r="C141" s="125"/>
      <c r="D141" s="125"/>
      <c r="E141" s="125"/>
      <c r="F141" s="125"/>
      <c r="G141" s="125"/>
      <c r="H141" s="125"/>
      <c r="I141" s="125"/>
      <c r="J141" s="125"/>
      <c r="K141" s="125"/>
      <c r="L141" s="1"/>
      <c r="M141" s="1"/>
      <c r="N141" s="1"/>
      <c r="O141" s="1"/>
      <c r="P141" s="125"/>
      <c r="Q141" s="125"/>
      <c r="R141" s="125"/>
      <c r="S141" s="125"/>
      <c r="T141" s="125"/>
      <c r="U141" s="125"/>
      <c r="V141" s="125"/>
      <c r="W141" s="125"/>
      <c r="X141" s="125"/>
      <c r="Y141" s="125"/>
      <c r="Z141" s="1"/>
      <c r="AA141" s="1"/>
      <c r="AB141" s="1"/>
      <c r="AC141" s="1"/>
      <c r="AD141" s="1"/>
    </row>
    <row r="142" spans="1:30">
      <c r="A142" s="1"/>
      <c r="B142" s="1"/>
      <c r="C142" s="1"/>
      <c r="D142" s="1"/>
      <c r="E142" s="1"/>
      <c r="F142" s="1"/>
      <c r="G142" s="1"/>
      <c r="H142" s="1"/>
      <c r="I142" s="1"/>
      <c r="J142" s="1"/>
      <c r="K142" s="1"/>
      <c r="L142" s="1"/>
      <c r="M142" s="1"/>
      <c r="N142" s="1"/>
      <c r="O142" s="1"/>
      <c r="P142" s="125"/>
      <c r="Q142" s="125"/>
      <c r="R142" s="125"/>
      <c r="S142" s="125"/>
      <c r="T142" s="125"/>
      <c r="U142" s="125"/>
      <c r="V142" s="125"/>
      <c r="W142" s="125"/>
      <c r="X142" s="125"/>
      <c r="Y142" s="125"/>
      <c r="Z142" s="1"/>
      <c r="AA142" s="1"/>
      <c r="AB142" s="1"/>
      <c r="AC142" s="1"/>
      <c r="AD142" s="1"/>
    </row>
    <row r="143" spans="1:30">
      <c r="A143" s="1"/>
      <c r="B143" s="1"/>
      <c r="C143" s="1"/>
      <c r="D143" s="1"/>
      <c r="E143" s="1"/>
      <c r="F143" s="1"/>
      <c r="G143" s="1"/>
      <c r="H143" s="1"/>
      <c r="I143" s="1"/>
      <c r="J143" s="1"/>
      <c r="K143" s="1"/>
      <c r="L143" s="1"/>
      <c r="M143" s="1"/>
      <c r="N143" s="1"/>
      <c r="O143" s="1"/>
      <c r="P143" s="125"/>
      <c r="Q143" s="125"/>
      <c r="R143" s="125"/>
      <c r="S143" s="125"/>
      <c r="T143" s="125"/>
      <c r="U143" s="125"/>
      <c r="V143" s="125"/>
      <c r="W143" s="125"/>
      <c r="X143" s="125"/>
      <c r="Y143" s="125"/>
      <c r="Z143" s="1"/>
      <c r="AA143" s="1"/>
      <c r="AB143" s="1"/>
      <c r="AC143" s="1"/>
      <c r="AD143" s="1"/>
    </row>
    <row r="144" spans="1:30">
      <c r="A144" s="1"/>
      <c r="B144" s="1"/>
      <c r="C144" s="1"/>
      <c r="D144" s="1"/>
      <c r="E144" s="1"/>
      <c r="F144" s="1"/>
      <c r="G144" s="1"/>
      <c r="H144" s="1"/>
      <c r="I144" s="1"/>
      <c r="J144" s="1"/>
      <c r="K144" s="1"/>
      <c r="L144" s="1"/>
      <c r="M144" s="1"/>
      <c r="N144" s="1"/>
      <c r="O144" s="1"/>
      <c r="P144" s="125"/>
      <c r="Q144" s="125"/>
      <c r="R144" s="125"/>
      <c r="S144" s="125"/>
      <c r="T144" s="125"/>
      <c r="U144" s="125"/>
      <c r="V144" s="125"/>
      <c r="W144" s="125"/>
      <c r="X144" s="125"/>
      <c r="Y144" s="125"/>
      <c r="Z144" s="1"/>
      <c r="AA144" s="1"/>
      <c r="AB144" s="1"/>
      <c r="AC144" s="1"/>
      <c r="AD144" s="1"/>
    </row>
    <row r="145" spans="1:30">
      <c r="A145" s="1"/>
      <c r="B145" s="1"/>
      <c r="C145" s="1"/>
      <c r="D145" s="1"/>
      <c r="E145" s="1"/>
      <c r="F145" s="1"/>
      <c r="G145" s="1"/>
      <c r="H145" s="1"/>
      <c r="I145" s="1"/>
      <c r="J145" s="1"/>
      <c r="K145" s="1"/>
      <c r="L145" s="1"/>
      <c r="M145" s="1"/>
      <c r="N145" s="1"/>
      <c r="O145" s="1"/>
      <c r="P145" s="125"/>
      <c r="Q145" s="125"/>
      <c r="R145" s="125"/>
      <c r="S145" s="125"/>
      <c r="T145" s="125"/>
      <c r="U145" s="125"/>
      <c r="V145" s="125"/>
      <c r="W145" s="125"/>
      <c r="X145" s="125"/>
      <c r="Y145" s="125"/>
      <c r="Z145" s="1"/>
      <c r="AA145" s="1"/>
      <c r="AB145" s="1"/>
      <c r="AC145" s="1"/>
      <c r="AD145" s="1"/>
    </row>
    <row r="146" spans="1:30">
      <c r="A146" s="1"/>
      <c r="B146" s="1"/>
      <c r="C146" s="1"/>
      <c r="D146" s="1"/>
      <c r="E146" s="1"/>
      <c r="F146" s="1"/>
      <c r="G146" s="1"/>
      <c r="H146" s="1"/>
      <c r="I146" s="1"/>
      <c r="J146" s="1"/>
      <c r="K146" s="1"/>
      <c r="L146" s="1"/>
      <c r="M146" s="1"/>
      <c r="N146" s="1"/>
      <c r="O146" s="1"/>
      <c r="P146" s="125"/>
      <c r="Q146" s="125"/>
      <c r="R146" s="125"/>
      <c r="S146" s="125"/>
      <c r="T146" s="125"/>
      <c r="U146" s="125"/>
      <c r="V146" s="125"/>
      <c r="W146" s="125"/>
      <c r="X146" s="125"/>
      <c r="Y146" s="125"/>
      <c r="Z146" s="1"/>
      <c r="AA146" s="1"/>
      <c r="AB146" s="1"/>
      <c r="AC146" s="1"/>
      <c r="AD146" s="1"/>
    </row>
    <row r="147" spans="1:30">
      <c r="A147" s="1"/>
      <c r="B147" s="1"/>
      <c r="C147" s="1"/>
      <c r="D147" s="1"/>
      <c r="E147" s="1"/>
      <c r="F147" s="1"/>
      <c r="G147" s="1"/>
      <c r="H147" s="1"/>
      <c r="I147" s="1"/>
      <c r="J147" s="1"/>
      <c r="K147" s="1"/>
      <c r="L147" s="1"/>
      <c r="M147" s="1"/>
      <c r="N147" s="1"/>
      <c r="O147" s="1"/>
      <c r="P147" s="125"/>
      <c r="Q147" s="125"/>
      <c r="R147" s="125"/>
      <c r="S147" s="125"/>
      <c r="T147" s="125"/>
      <c r="U147" s="125"/>
      <c r="V147" s="125"/>
      <c r="W147" s="125"/>
      <c r="X147" s="125"/>
      <c r="Y147" s="125"/>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25"/>
      <c r="T148" s="125"/>
      <c r="U148" s="125"/>
      <c r="V148" s="125"/>
      <c r="W148" s="125"/>
      <c r="X148" s="125"/>
      <c r="Y148" s="125"/>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25"/>
      <c r="T149" s="125"/>
      <c r="U149" s="125"/>
      <c r="V149" s="125"/>
      <c r="W149" s="125"/>
      <c r="X149" s="125"/>
      <c r="Y149" s="125"/>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25"/>
      <c r="T150" s="125"/>
      <c r="U150" s="125"/>
      <c r="V150" s="125"/>
      <c r="W150" s="125"/>
      <c r="X150" s="125"/>
      <c r="Y150" s="125"/>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25"/>
      <c r="T151" s="125"/>
      <c r="U151" s="125"/>
      <c r="V151" s="125"/>
      <c r="W151" s="125"/>
      <c r="X151" s="125"/>
      <c r="Y151" s="125"/>
      <c r="Z151" s="1"/>
      <c r="AA151" s="1"/>
      <c r="AB151" s="1"/>
      <c r="AC151" s="1"/>
      <c r="AD151" s="1"/>
    </row>
    <row r="152" spans="1:30">
      <c r="A152" s="1"/>
      <c r="B152" s="1"/>
      <c r="C152" s="1"/>
      <c r="D152" s="1"/>
      <c r="E152" s="1"/>
      <c r="F152" s="1"/>
      <c r="G152" s="1"/>
      <c r="H152" s="1"/>
      <c r="I152" s="1"/>
      <c r="J152" s="1"/>
      <c r="K152" s="1"/>
      <c r="L152" s="1"/>
      <c r="M152" s="1"/>
      <c r="N152" s="1"/>
      <c r="O152" s="1"/>
      <c r="P152" s="1"/>
      <c r="Q152" s="1"/>
      <c r="R152" s="1"/>
      <c r="S152" s="125"/>
      <c r="T152" s="125"/>
      <c r="U152" s="125"/>
      <c r="V152" s="125"/>
      <c r="W152" s="125"/>
      <c r="X152" s="125"/>
      <c r="Y152" s="125"/>
      <c r="Z152" s="1"/>
      <c r="AA152" s="1"/>
      <c r="AB152" s="1"/>
      <c r="AC152" s="1"/>
      <c r="AD152" s="1"/>
    </row>
    <row r="153" spans="1:30">
      <c r="A153" s="1"/>
      <c r="B153" s="125"/>
      <c r="C153" s="125"/>
      <c r="D153" s="125"/>
      <c r="E153" s="125"/>
      <c r="F153" s="125"/>
      <c r="G153" s="125"/>
      <c r="H153" s="125"/>
      <c r="I153" s="125"/>
      <c r="J153" s="2"/>
      <c r="K153" s="125"/>
      <c r="L153" s="125"/>
      <c r="M153" s="125"/>
      <c r="N153" s="125"/>
      <c r="O153" s="125"/>
      <c r="P153" s="125"/>
      <c r="Q153" s="125"/>
      <c r="R153" s="125"/>
      <c r="S153" s="125"/>
      <c r="T153" s="125"/>
      <c r="U153" s="125"/>
      <c r="V153" s="125"/>
      <c r="W153" s="125"/>
      <c r="X153" s="125"/>
      <c r="Y153" s="125"/>
      <c r="Z153" s="1"/>
      <c r="AA153" s="1"/>
      <c r="AB153" s="1"/>
      <c r="AC153" s="1"/>
      <c r="AD153" s="1"/>
    </row>
    <row r="154" spans="1:30">
      <c r="A154" s="1"/>
      <c r="B154" s="125"/>
      <c r="C154" s="125"/>
      <c r="D154" s="125"/>
      <c r="E154" s="125"/>
      <c r="F154" s="125"/>
      <c r="G154" s="125"/>
      <c r="H154" s="125"/>
      <c r="I154" s="125"/>
      <c r="J154" s="2"/>
      <c r="K154" s="125"/>
      <c r="L154" s="125"/>
      <c r="M154" s="125"/>
      <c r="N154" s="125"/>
      <c r="O154" s="125"/>
      <c r="P154" s="125"/>
      <c r="Q154" s="125"/>
      <c r="R154" s="125"/>
      <c r="S154" s="125"/>
      <c r="T154" s="125"/>
      <c r="U154" s="125"/>
      <c r="V154" s="125"/>
      <c r="W154" s="125"/>
      <c r="X154" s="125"/>
      <c r="Y154" s="125"/>
      <c r="Z154" s="1"/>
      <c r="AA154" s="1"/>
      <c r="AB154" s="1"/>
      <c r="AC154" s="1"/>
      <c r="AD154" s="1"/>
    </row>
    <row r="155" spans="1:30">
      <c r="A155" s="1"/>
      <c r="B155" s="125"/>
      <c r="C155" s="125"/>
      <c r="D155" s="125"/>
      <c r="E155" s="125"/>
      <c r="F155" s="125"/>
      <c r="G155" s="125"/>
      <c r="H155" s="125"/>
      <c r="I155" s="125"/>
      <c r="J155" s="2"/>
      <c r="K155" s="125"/>
      <c r="L155" s="125"/>
      <c r="M155" s="125"/>
      <c r="N155" s="125"/>
      <c r="O155" s="125"/>
      <c r="P155" s="125"/>
      <c r="Q155" s="125"/>
      <c r="R155" s="125"/>
      <c r="S155" s="125"/>
      <c r="T155" s="125"/>
      <c r="U155" s="125"/>
      <c r="V155" s="125"/>
      <c r="W155" s="125"/>
      <c r="X155" s="125"/>
      <c r="Y155" s="125"/>
      <c r="Z155" s="1"/>
      <c r="AA155" s="1"/>
      <c r="AB155" s="1"/>
      <c r="AC155" s="1"/>
      <c r="AD155" s="1"/>
    </row>
    <row r="156" spans="1:30">
      <c r="A156" s="1"/>
      <c r="B156" s="125"/>
      <c r="C156" s="125"/>
      <c r="D156" s="125"/>
      <c r="E156" s="125"/>
      <c r="F156" s="125"/>
      <c r="G156" s="125"/>
      <c r="H156" s="125"/>
      <c r="I156" s="125"/>
      <c r="J156" s="2"/>
      <c r="K156" s="125"/>
      <c r="L156" s="125"/>
      <c r="M156" s="125"/>
      <c r="N156" s="125"/>
      <c r="O156" s="125"/>
      <c r="P156" s="125"/>
      <c r="Q156" s="125"/>
      <c r="R156" s="125"/>
      <c r="S156" s="125"/>
      <c r="T156" s="125"/>
      <c r="U156" s="125"/>
      <c r="V156" s="125"/>
      <c r="W156" s="125"/>
      <c r="X156" s="125"/>
      <c r="Y156" s="125"/>
      <c r="Z156" s="1"/>
      <c r="AA156" s="1"/>
      <c r="AB156" s="1"/>
      <c r="AC156" s="1"/>
      <c r="AD156" s="1"/>
    </row>
    <row r="157" spans="1:30">
      <c r="A157" s="1"/>
      <c r="B157" s="125"/>
      <c r="C157" s="125"/>
      <c r="D157" s="125"/>
      <c r="E157" s="125"/>
      <c r="F157" s="125"/>
      <c r="G157" s="125"/>
      <c r="H157" s="125"/>
      <c r="I157" s="125"/>
      <c r="J157" s="2"/>
      <c r="K157" s="125"/>
      <c r="L157" s="125"/>
      <c r="M157" s="125"/>
      <c r="N157" s="125"/>
      <c r="O157" s="125"/>
      <c r="P157" s="125"/>
      <c r="Q157" s="125"/>
      <c r="R157" s="125"/>
      <c r="S157" s="125"/>
      <c r="T157" s="125"/>
      <c r="U157" s="125"/>
      <c r="V157" s="125"/>
      <c r="W157" s="125"/>
      <c r="X157" s="125"/>
      <c r="Y157" s="125"/>
      <c r="Z157" s="1"/>
      <c r="AA157" s="1"/>
      <c r="AB157" s="1"/>
      <c r="AC157" s="1"/>
      <c r="AD157" s="1"/>
    </row>
    <row r="158" spans="1:30">
      <c r="A158" s="1"/>
      <c r="B158" s="125"/>
      <c r="C158" s="125"/>
      <c r="D158" s="125"/>
      <c r="E158" s="125"/>
      <c r="F158" s="125"/>
      <c r="G158" s="125"/>
      <c r="H158" s="125"/>
      <c r="I158" s="125"/>
      <c r="J158" s="2"/>
      <c r="K158" s="125"/>
      <c r="L158" s="125"/>
      <c r="M158" s="125"/>
      <c r="N158" s="125"/>
      <c r="O158" s="125"/>
      <c r="P158" s="125"/>
      <c r="Q158" s="125"/>
      <c r="R158" s="125"/>
      <c r="S158" s="125"/>
      <c r="T158" s="125"/>
      <c r="U158" s="125"/>
      <c r="V158" s="125"/>
      <c r="W158" s="125"/>
      <c r="X158" s="125"/>
      <c r="Y158" s="125"/>
      <c r="Z158" s="1"/>
      <c r="AA158" s="1"/>
      <c r="AB158" s="1"/>
      <c r="AC158" s="1"/>
      <c r="AD158" s="1"/>
    </row>
    <row r="159" spans="1:30">
      <c r="A159" s="1"/>
      <c r="B159" s="125"/>
      <c r="C159" s="125"/>
      <c r="D159" s="125"/>
      <c r="E159" s="125"/>
      <c r="F159" s="125"/>
      <c r="G159" s="125"/>
      <c r="H159" s="125"/>
      <c r="I159" s="125"/>
      <c r="J159" s="2"/>
      <c r="K159" s="125"/>
      <c r="L159" s="125"/>
      <c r="M159" s="125"/>
      <c r="N159" s="125"/>
      <c r="O159" s="125"/>
      <c r="P159" s="125"/>
      <c r="Q159" s="125"/>
      <c r="R159" s="125"/>
      <c r="S159" s="125"/>
      <c r="T159" s="125"/>
      <c r="U159" s="125"/>
      <c r="V159" s="125"/>
      <c r="W159" s="125"/>
      <c r="X159" s="125"/>
      <c r="Y159" s="125"/>
      <c r="Z159" s="1"/>
      <c r="AA159" s="1"/>
      <c r="AB159" s="1"/>
      <c r="AC159" s="1"/>
      <c r="AD159" s="1"/>
    </row>
    <row r="160" spans="1:30">
      <c r="A160" s="1"/>
      <c r="B160" s="125"/>
      <c r="C160" s="125"/>
      <c r="D160" s="125"/>
      <c r="E160" s="125"/>
      <c r="F160" s="125"/>
      <c r="G160" s="125"/>
      <c r="H160" s="125"/>
      <c r="I160" s="125"/>
      <c r="J160" s="2"/>
      <c r="K160" s="125"/>
      <c r="L160" s="125"/>
      <c r="M160" s="125"/>
      <c r="N160" s="125"/>
      <c r="O160" s="125"/>
      <c r="P160" s="125"/>
      <c r="Q160" s="125"/>
      <c r="R160" s="125"/>
      <c r="S160" s="125"/>
      <c r="T160" s="125"/>
      <c r="U160" s="125"/>
      <c r="V160" s="125"/>
      <c r="W160" s="125"/>
      <c r="X160" s="125"/>
      <c r="Y160" s="125"/>
      <c r="Z160" s="1"/>
      <c r="AA160" s="1"/>
      <c r="AB160" s="1"/>
      <c r="AC160" s="1"/>
      <c r="AD160" s="1"/>
    </row>
    <row r="161" spans="1:30">
      <c r="A161" s="1"/>
      <c r="B161" s="125"/>
      <c r="C161" s="125"/>
      <c r="D161" s="125"/>
      <c r="E161" s="125"/>
      <c r="F161" s="125"/>
      <c r="G161" s="125"/>
      <c r="H161" s="125"/>
      <c r="I161" s="125"/>
      <c r="J161" s="2"/>
      <c r="K161" s="125"/>
      <c r="L161" s="125"/>
      <c r="M161" s="125"/>
      <c r="N161" s="125"/>
      <c r="O161" s="125"/>
      <c r="P161" s="125"/>
      <c r="Q161" s="125"/>
      <c r="R161" s="125"/>
      <c r="S161" s="125"/>
      <c r="T161" s="125"/>
      <c r="U161" s="125"/>
      <c r="V161" s="125"/>
      <c r="W161" s="125"/>
      <c r="X161" s="125"/>
      <c r="Y161" s="125"/>
      <c r="Z161" s="1"/>
      <c r="AA161" s="1"/>
      <c r="AB161" s="1"/>
      <c r="AC161" s="1"/>
      <c r="AD161" s="1"/>
    </row>
    <row r="162" spans="1:30">
      <c r="A162" s="1"/>
      <c r="B162" s="125"/>
      <c r="C162" s="125"/>
      <c r="D162" s="125"/>
      <c r="E162" s="125"/>
      <c r="F162" s="125"/>
      <c r="G162" s="125"/>
      <c r="H162" s="125"/>
      <c r="I162" s="125"/>
      <c r="J162" s="2"/>
      <c r="K162" s="125"/>
      <c r="L162" s="125"/>
      <c r="M162" s="125"/>
      <c r="N162" s="125"/>
      <c r="O162" s="125"/>
      <c r="P162" s="125"/>
      <c r="Q162" s="125"/>
      <c r="R162" s="125"/>
      <c r="S162" s="125"/>
      <c r="T162" s="125"/>
      <c r="U162" s="125"/>
      <c r="V162" s="125"/>
      <c r="W162" s="125"/>
      <c r="X162" s="125"/>
      <c r="Y162" s="125"/>
      <c r="Z162" s="1"/>
      <c r="AA162" s="1"/>
      <c r="AB162" s="1"/>
      <c r="AC162" s="1"/>
      <c r="AD162" s="1"/>
    </row>
    <row r="163" spans="1:30">
      <c r="A163" s="1"/>
      <c r="B163" s="125"/>
      <c r="C163" s="125"/>
      <c r="D163" s="125"/>
      <c r="E163" s="125"/>
      <c r="F163" s="125"/>
      <c r="G163" s="125"/>
      <c r="H163" s="125"/>
      <c r="I163" s="125"/>
      <c r="J163" s="2"/>
      <c r="K163" s="125"/>
      <c r="L163" s="125"/>
      <c r="M163" s="125"/>
      <c r="N163" s="125"/>
      <c r="O163" s="125"/>
      <c r="P163" s="125"/>
      <c r="Q163" s="125"/>
      <c r="R163" s="125"/>
      <c r="S163" s="125"/>
      <c r="T163" s="125"/>
      <c r="U163" s="125"/>
      <c r="V163" s="125"/>
      <c r="W163" s="125"/>
      <c r="X163" s="125"/>
      <c r="Y163" s="125"/>
      <c r="Z163" s="1"/>
      <c r="AA163" s="1"/>
      <c r="AB163" s="1"/>
      <c r="AC163" s="1"/>
      <c r="AD163" s="1"/>
    </row>
    <row r="164" spans="1:30">
      <c r="A164" s="1"/>
      <c r="B164" s="125"/>
      <c r="C164" s="125"/>
      <c r="D164" s="125"/>
      <c r="E164" s="125"/>
      <c r="F164" s="125"/>
      <c r="G164" s="125"/>
      <c r="H164" s="125"/>
      <c r="I164" s="125"/>
      <c r="J164" s="2"/>
      <c r="K164" s="125"/>
      <c r="L164" s="125"/>
      <c r="M164" s="125"/>
      <c r="N164" s="125"/>
      <c r="O164" s="125"/>
      <c r="P164" s="125"/>
      <c r="Q164" s="125"/>
      <c r="R164" s="125"/>
      <c r="S164" s="125"/>
      <c r="T164" s="125"/>
      <c r="U164" s="125"/>
      <c r="V164" s="125"/>
      <c r="W164" s="125"/>
      <c r="X164" s="125"/>
      <c r="Y164" s="125"/>
      <c r="Z164" s="1"/>
      <c r="AA164" s="1"/>
      <c r="AB164" s="1"/>
      <c r="AC164" s="1"/>
      <c r="AD164" s="1"/>
    </row>
    <row r="165" spans="1:30">
      <c r="A165" s="1"/>
      <c r="B165" s="125"/>
      <c r="C165" s="125"/>
      <c r="D165" s="125"/>
      <c r="E165" s="125"/>
      <c r="F165" s="125"/>
      <c r="G165" s="125"/>
      <c r="H165" s="125"/>
      <c r="I165" s="125"/>
      <c r="J165" s="2"/>
      <c r="K165" s="125"/>
      <c r="L165" s="125"/>
      <c r="M165" s="125"/>
      <c r="N165" s="125"/>
      <c r="O165" s="125"/>
      <c r="P165" s="125"/>
      <c r="Q165" s="125"/>
      <c r="R165" s="125"/>
      <c r="S165" s="125"/>
      <c r="T165" s="125"/>
      <c r="U165" s="125"/>
      <c r="V165" s="125"/>
      <c r="W165" s="125"/>
      <c r="X165" s="125"/>
      <c r="Y165" s="125"/>
      <c r="Z165" s="1"/>
      <c r="AA165" s="1"/>
      <c r="AB165" s="1"/>
      <c r="AC165" s="1"/>
      <c r="AD165" s="1"/>
    </row>
    <row r="166" spans="1:30">
      <c r="A166" s="1"/>
      <c r="B166" s="125"/>
      <c r="C166" s="125"/>
      <c r="D166" s="125"/>
      <c r="E166" s="125"/>
      <c r="F166" s="125"/>
      <c r="G166" s="125"/>
      <c r="H166" s="125"/>
      <c r="I166" s="125"/>
      <c r="J166" s="2"/>
      <c r="K166" s="125"/>
      <c r="L166" s="125"/>
      <c r="M166" s="125"/>
      <c r="N166" s="125"/>
      <c r="O166" s="125"/>
      <c r="P166" s="125"/>
      <c r="Q166" s="125"/>
      <c r="R166" s="125"/>
      <c r="S166" s="125"/>
      <c r="T166" s="125"/>
      <c r="U166" s="125"/>
      <c r="V166" s="125"/>
      <c r="W166" s="125"/>
      <c r="X166" s="125"/>
      <c r="Y166" s="125"/>
      <c r="Z166" s="1"/>
      <c r="AA166" s="1"/>
      <c r="AB166" s="1"/>
      <c r="AC166" s="1"/>
      <c r="AD166" s="1"/>
    </row>
    <row r="167" spans="1:30">
      <c r="A167" s="1"/>
      <c r="B167" s="125"/>
      <c r="C167" s="125"/>
      <c r="D167" s="125"/>
      <c r="E167" s="125"/>
      <c r="F167" s="125"/>
      <c r="G167" s="125"/>
      <c r="H167" s="125"/>
      <c r="I167" s="125"/>
      <c r="J167" s="2"/>
      <c r="K167" s="125"/>
      <c r="L167" s="125"/>
      <c r="M167" s="125"/>
      <c r="N167" s="125"/>
      <c r="O167" s="125"/>
      <c r="P167" s="125"/>
      <c r="Q167" s="125"/>
      <c r="R167" s="125"/>
      <c r="S167" s="125"/>
      <c r="T167" s="125"/>
      <c r="U167" s="125"/>
      <c r="V167" s="125"/>
      <c r="W167" s="125"/>
      <c r="X167" s="125"/>
      <c r="Y167" s="125"/>
      <c r="Z167" s="1"/>
      <c r="AA167" s="1"/>
      <c r="AB167" s="1"/>
      <c r="AC167" s="1"/>
      <c r="AD167" s="1"/>
    </row>
    <row r="168" spans="1:30">
      <c r="A168" s="1"/>
      <c r="B168" s="125"/>
      <c r="C168" s="125"/>
      <c r="D168" s="125"/>
      <c r="E168" s="125"/>
      <c r="F168" s="125"/>
      <c r="G168" s="125"/>
      <c r="H168" s="125"/>
      <c r="I168" s="125"/>
      <c r="J168" s="2"/>
      <c r="K168" s="125"/>
      <c r="L168" s="125"/>
      <c r="M168" s="125"/>
      <c r="N168" s="125"/>
      <c r="O168" s="125"/>
      <c r="P168" s="125"/>
      <c r="Q168" s="125"/>
      <c r="R168" s="125"/>
      <c r="S168" s="125"/>
      <c r="T168" s="125"/>
      <c r="U168" s="125"/>
      <c r="V168" s="125"/>
      <c r="W168" s="125"/>
      <c r="X168" s="125"/>
      <c r="Y168" s="125"/>
      <c r="Z168" s="1"/>
      <c r="AA168" s="1"/>
      <c r="AB168" s="1"/>
      <c r="AC168" s="1"/>
      <c r="AD168" s="1"/>
    </row>
    <row r="169" spans="1:30">
      <c r="A169" s="1"/>
      <c r="B169" s="125"/>
      <c r="C169" s="125"/>
      <c r="D169" s="125"/>
      <c r="E169" s="125"/>
      <c r="F169" s="125"/>
      <c r="G169" s="125"/>
      <c r="H169" s="125"/>
      <c r="I169" s="125"/>
      <c r="J169" s="2"/>
      <c r="K169" s="125"/>
      <c r="L169" s="125"/>
      <c r="M169" s="125"/>
      <c r="N169" s="125"/>
      <c r="O169" s="125"/>
      <c r="P169" s="125"/>
      <c r="Q169" s="125"/>
      <c r="R169" s="125"/>
      <c r="S169" s="125"/>
      <c r="T169" s="125"/>
      <c r="U169" s="125"/>
      <c r="V169" s="125"/>
      <c r="W169" s="125"/>
      <c r="X169" s="125"/>
      <c r="Y169" s="125"/>
      <c r="Z169" s="1"/>
      <c r="AA169" s="1"/>
      <c r="AB169" s="1"/>
      <c r="AC169" s="1"/>
      <c r="AD169" s="1"/>
    </row>
    <row r="170" spans="1:30">
      <c r="A170" s="1"/>
      <c r="B170" s="125"/>
      <c r="C170" s="125"/>
      <c r="D170" s="125"/>
      <c r="E170" s="125"/>
      <c r="F170" s="125"/>
      <c r="G170" s="125"/>
      <c r="H170" s="125"/>
      <c r="I170" s="125"/>
      <c r="J170" s="2"/>
      <c r="K170" s="125"/>
      <c r="L170" s="125"/>
      <c r="M170" s="125"/>
      <c r="N170" s="125"/>
      <c r="O170" s="125"/>
      <c r="P170" s="125"/>
      <c r="Q170" s="125"/>
      <c r="R170" s="125"/>
      <c r="S170" s="125"/>
      <c r="T170" s="125"/>
      <c r="U170" s="125"/>
      <c r="V170" s="125"/>
      <c r="W170" s="125"/>
      <c r="X170" s="125"/>
      <c r="Y170" s="125"/>
      <c r="Z170" s="1"/>
      <c r="AA170" s="1"/>
      <c r="AB170" s="1"/>
      <c r="AC170" s="1"/>
      <c r="AD170" s="1"/>
    </row>
    <row r="171" spans="1:30">
      <c r="A171" s="1"/>
      <c r="B171" s="125"/>
      <c r="C171" s="125"/>
      <c r="D171" s="125"/>
      <c r="E171" s="125"/>
      <c r="F171" s="125"/>
      <c r="G171" s="125"/>
      <c r="H171" s="125"/>
      <c r="I171" s="125"/>
      <c r="J171" s="2"/>
      <c r="K171" s="125"/>
      <c r="L171" s="125"/>
      <c r="M171" s="125"/>
      <c r="N171" s="125"/>
      <c r="O171" s="125"/>
      <c r="P171" s="125"/>
      <c r="Q171" s="125"/>
      <c r="R171" s="125"/>
      <c r="S171" s="125"/>
      <c r="T171" s="125"/>
      <c r="U171" s="125"/>
      <c r="V171" s="125"/>
      <c r="W171" s="125"/>
      <c r="X171" s="125"/>
      <c r="Y171" s="125"/>
      <c r="Z171" s="1"/>
      <c r="AA171" s="1"/>
      <c r="AB171" s="1"/>
      <c r="AC171" s="1"/>
      <c r="AD171" s="1"/>
    </row>
    <row r="172" spans="1:30">
      <c r="A172" s="1"/>
      <c r="B172" s="125"/>
      <c r="C172" s="125"/>
      <c r="D172" s="125"/>
      <c r="E172" s="125"/>
      <c r="F172" s="125"/>
      <c r="G172" s="125"/>
      <c r="H172" s="125"/>
      <c r="I172" s="125"/>
      <c r="J172" s="2"/>
      <c r="K172" s="125"/>
      <c r="L172" s="125"/>
      <c r="M172" s="125"/>
      <c r="N172" s="125"/>
      <c r="O172" s="125"/>
      <c r="P172" s="125"/>
      <c r="Q172" s="125"/>
      <c r="R172" s="125"/>
      <c r="S172" s="125"/>
      <c r="T172" s="125"/>
      <c r="U172" s="125"/>
      <c r="V172" s="125"/>
      <c r="W172" s="125"/>
      <c r="X172" s="125"/>
      <c r="Y172" s="125"/>
      <c r="Z172" s="1"/>
      <c r="AA172" s="1"/>
      <c r="AB172" s="1"/>
      <c r="AC172" s="1"/>
      <c r="AD172" s="1"/>
    </row>
    <row r="173" spans="1:30">
      <c r="A173" s="1"/>
      <c r="B173" s="125"/>
      <c r="C173" s="125"/>
      <c r="D173" s="125"/>
      <c r="E173" s="125"/>
      <c r="F173" s="125"/>
      <c r="G173" s="125"/>
      <c r="H173" s="125"/>
      <c r="I173" s="125"/>
      <c r="J173" s="2"/>
      <c r="K173" s="125"/>
      <c r="L173" s="125"/>
      <c r="M173" s="125"/>
      <c r="N173" s="125"/>
      <c r="O173" s="125"/>
      <c r="P173" s="125"/>
      <c r="Q173" s="125"/>
      <c r="R173" s="125"/>
      <c r="S173" s="125"/>
      <c r="T173" s="125"/>
      <c r="U173" s="125"/>
      <c r="V173" s="125"/>
      <c r="W173" s="125"/>
      <c r="X173" s="125"/>
      <c r="Y173" s="125"/>
      <c r="Z173" s="1"/>
      <c r="AA173" s="1"/>
      <c r="AB173" s="1"/>
      <c r="AC173" s="1"/>
      <c r="AD173" s="1"/>
    </row>
    <row r="174" spans="1:30">
      <c r="A174" s="1"/>
      <c r="B174" s="125"/>
      <c r="C174" s="125"/>
      <c r="D174" s="125"/>
      <c r="E174" s="125"/>
      <c r="F174" s="125"/>
      <c r="G174" s="125"/>
      <c r="H174" s="125"/>
      <c r="I174" s="125"/>
      <c r="J174" s="2"/>
      <c r="K174" s="125"/>
      <c r="L174" s="125"/>
      <c r="M174" s="125"/>
      <c r="N174" s="125"/>
      <c r="O174" s="125"/>
      <c r="P174" s="125"/>
      <c r="Q174" s="125"/>
      <c r="R174" s="125"/>
      <c r="S174" s="125"/>
      <c r="T174" s="125"/>
      <c r="U174" s="125"/>
      <c r="V174" s="125"/>
      <c r="W174" s="125"/>
      <c r="X174" s="125"/>
      <c r="Y174" s="125"/>
      <c r="Z174" s="1"/>
      <c r="AA174" s="1"/>
      <c r="AB174" s="1"/>
      <c r="AC174" s="1"/>
      <c r="AD174" s="1"/>
    </row>
    <row r="175" spans="1:30">
      <c r="A175" s="1"/>
      <c r="B175" s="125"/>
      <c r="C175" s="125"/>
      <c r="D175" s="125"/>
      <c r="E175" s="125"/>
      <c r="F175" s="125"/>
      <c r="G175" s="125"/>
      <c r="H175" s="125"/>
      <c r="I175" s="125"/>
      <c r="J175" s="2"/>
      <c r="K175" s="125"/>
      <c r="L175" s="125"/>
      <c r="M175" s="125"/>
      <c r="N175" s="125"/>
      <c r="O175" s="125"/>
      <c r="P175" s="125"/>
      <c r="Q175" s="125"/>
      <c r="R175" s="125"/>
      <c r="S175" s="125"/>
      <c r="T175" s="125"/>
      <c r="U175" s="125"/>
      <c r="V175" s="125"/>
      <c r="W175" s="125"/>
      <c r="X175" s="125"/>
      <c r="Y175" s="125"/>
      <c r="Z175" s="1"/>
      <c r="AA175" s="1"/>
      <c r="AB175" s="1"/>
      <c r="AC175" s="1"/>
      <c r="AD175" s="1"/>
    </row>
    <row r="176" spans="1:30">
      <c r="A176" s="1"/>
      <c r="B176" s="125"/>
      <c r="C176" s="125"/>
      <c r="D176" s="125"/>
      <c r="E176" s="125"/>
      <c r="F176" s="125"/>
      <c r="G176" s="125"/>
      <c r="H176" s="125"/>
      <c r="I176" s="125"/>
      <c r="J176" s="2"/>
      <c r="K176" s="125"/>
      <c r="L176" s="125"/>
      <c r="M176" s="125"/>
      <c r="N176" s="125"/>
      <c r="O176" s="125"/>
      <c r="P176" s="125"/>
      <c r="Q176" s="125"/>
      <c r="R176" s="125"/>
      <c r="S176" s="125"/>
      <c r="T176" s="125"/>
      <c r="U176" s="125"/>
      <c r="V176" s="125"/>
      <c r="W176" s="125"/>
      <c r="X176" s="125"/>
      <c r="Y176" s="125"/>
      <c r="Z176" s="1"/>
      <c r="AA176" s="1"/>
      <c r="AB176" s="1"/>
      <c r="AC176" s="1"/>
      <c r="AD176" s="1"/>
    </row>
    <row r="177" spans="1:30">
      <c r="A177" s="1"/>
      <c r="B177" s="125"/>
      <c r="C177" s="125"/>
      <c r="D177" s="125"/>
      <c r="E177" s="125"/>
      <c r="F177" s="125"/>
      <c r="G177" s="125"/>
      <c r="H177" s="125"/>
      <c r="I177" s="125"/>
      <c r="J177" s="2"/>
      <c r="K177" s="125"/>
      <c r="L177" s="125"/>
      <c r="M177" s="125"/>
      <c r="N177" s="125"/>
      <c r="O177" s="125"/>
      <c r="P177" s="125"/>
      <c r="Q177" s="125"/>
      <c r="R177" s="125"/>
      <c r="S177" s="125"/>
      <c r="T177" s="125"/>
      <c r="U177" s="125"/>
      <c r="V177" s="125"/>
      <c r="W177" s="125"/>
      <c r="X177" s="125"/>
      <c r="Y177" s="125"/>
      <c r="Z177" s="1"/>
      <c r="AA177" s="1"/>
      <c r="AB177" s="1"/>
      <c r="AC177" s="1"/>
      <c r="AD177" s="1"/>
    </row>
    <row r="178" spans="1:30">
      <c r="A178" s="1"/>
      <c r="B178" s="125"/>
      <c r="C178" s="125"/>
      <c r="D178" s="125"/>
      <c r="E178" s="125"/>
      <c r="F178" s="125"/>
      <c r="G178" s="125"/>
      <c r="H178" s="125"/>
      <c r="I178" s="125"/>
      <c r="J178" s="2"/>
      <c r="K178" s="125"/>
      <c r="L178" s="125"/>
      <c r="M178" s="125"/>
      <c r="N178" s="125"/>
      <c r="O178" s="125"/>
      <c r="P178" s="125"/>
      <c r="Q178" s="125"/>
      <c r="R178" s="125"/>
      <c r="S178" s="125"/>
      <c r="T178" s="125"/>
      <c r="U178" s="125"/>
      <c r="V178" s="125"/>
      <c r="W178" s="125"/>
      <c r="X178" s="125"/>
      <c r="Y178" s="125"/>
      <c r="Z178" s="1"/>
      <c r="AA178" s="1"/>
      <c r="AB178" s="1"/>
      <c r="AC178" s="1"/>
      <c r="AD178" s="1"/>
    </row>
    <row r="179" spans="1:30">
      <c r="A179" s="1"/>
      <c r="B179" s="125"/>
      <c r="C179" s="125"/>
      <c r="D179" s="125"/>
      <c r="E179" s="125"/>
      <c r="F179" s="125"/>
      <c r="G179" s="125"/>
      <c r="H179" s="125"/>
      <c r="I179" s="125"/>
      <c r="J179" s="2"/>
      <c r="K179" s="125"/>
      <c r="L179" s="125"/>
      <c r="M179" s="125"/>
      <c r="N179" s="125"/>
      <c r="O179" s="125"/>
      <c r="P179" s="125"/>
      <c r="Q179" s="125"/>
      <c r="R179" s="125"/>
      <c r="S179" s="125"/>
      <c r="T179" s="125"/>
      <c r="U179" s="125"/>
      <c r="V179" s="125"/>
      <c r="W179" s="125"/>
      <c r="X179" s="125"/>
      <c r="Y179" s="125"/>
      <c r="Z179" s="1"/>
      <c r="AA179" s="1"/>
      <c r="AB179" s="1"/>
      <c r="AC179" s="1"/>
      <c r="AD179" s="1"/>
    </row>
    <row r="180" spans="1:30">
      <c r="A180" s="1"/>
      <c r="B180" s="125"/>
      <c r="C180" s="125"/>
      <c r="D180" s="125"/>
      <c r="E180" s="125"/>
      <c r="F180" s="125"/>
      <c r="G180" s="125"/>
      <c r="H180" s="125"/>
      <c r="I180" s="125"/>
      <c r="J180" s="2"/>
      <c r="K180" s="125"/>
      <c r="L180" s="125"/>
      <c r="M180" s="125"/>
      <c r="N180" s="125"/>
      <c r="O180" s="125"/>
      <c r="P180" s="125"/>
      <c r="Q180" s="125"/>
      <c r="R180" s="125"/>
      <c r="S180" s="125"/>
      <c r="T180" s="125"/>
      <c r="U180" s="125"/>
      <c r="V180" s="125"/>
      <c r="W180" s="125"/>
      <c r="X180" s="125"/>
      <c r="Y180" s="125"/>
      <c r="Z180" s="1"/>
      <c r="AA180" s="1"/>
      <c r="AB180" s="1"/>
      <c r="AC180" s="1"/>
      <c r="AD180" s="1"/>
    </row>
    <row r="181" spans="1:30">
      <c r="A181" s="1"/>
      <c r="B181" s="125"/>
      <c r="C181" s="125"/>
      <c r="D181" s="125"/>
      <c r="E181" s="125"/>
      <c r="F181" s="125"/>
      <c r="G181" s="125"/>
      <c r="H181" s="125"/>
      <c r="I181" s="125"/>
      <c r="J181" s="2"/>
      <c r="K181" s="125"/>
      <c r="L181" s="125"/>
      <c r="M181" s="125"/>
      <c r="N181" s="125"/>
      <c r="O181" s="125"/>
      <c r="P181" s="125"/>
      <c r="Q181" s="125"/>
      <c r="R181" s="125"/>
      <c r="S181" s="125"/>
      <c r="T181" s="125"/>
      <c r="U181" s="125"/>
      <c r="V181" s="125"/>
      <c r="W181" s="125"/>
      <c r="X181" s="125"/>
      <c r="Y181" s="125"/>
      <c r="Z181" s="1"/>
      <c r="AA181" s="1"/>
      <c r="AB181" s="1"/>
      <c r="AC181" s="1"/>
      <c r="AD181" s="1"/>
    </row>
    <row r="182" spans="1:30">
      <c r="A182" s="1"/>
      <c r="B182" s="125"/>
      <c r="C182" s="125"/>
      <c r="D182" s="125"/>
      <c r="E182" s="125"/>
      <c r="F182" s="125"/>
      <c r="G182" s="125"/>
      <c r="H182" s="125"/>
      <c r="I182" s="125"/>
      <c r="J182" s="2"/>
      <c r="K182" s="125"/>
      <c r="L182" s="125"/>
      <c r="M182" s="125"/>
      <c r="N182" s="125"/>
      <c r="O182" s="125"/>
      <c r="P182" s="125"/>
      <c r="Q182" s="125"/>
      <c r="R182" s="125"/>
      <c r="S182" s="125"/>
      <c r="T182" s="125"/>
      <c r="U182" s="125"/>
      <c r="V182" s="125"/>
      <c r="W182" s="125"/>
      <c r="X182" s="125"/>
      <c r="Y182" s="125"/>
      <c r="Z182" s="1"/>
      <c r="AA182" s="1"/>
      <c r="AB182" s="1"/>
      <c r="AC182" s="1"/>
      <c r="AD182" s="1"/>
    </row>
    <row r="183" spans="1:30">
      <c r="A183" s="1"/>
      <c r="B183" s="125"/>
      <c r="C183" s="125"/>
      <c r="D183" s="125"/>
      <c r="E183" s="125"/>
      <c r="F183" s="125"/>
      <c r="G183" s="125"/>
      <c r="H183" s="125"/>
      <c r="I183" s="125"/>
      <c r="J183" s="2"/>
      <c r="K183" s="125"/>
      <c r="L183" s="125"/>
      <c r="M183" s="125"/>
      <c r="N183" s="125"/>
      <c r="O183" s="125"/>
      <c r="P183" s="125"/>
      <c r="Q183" s="125"/>
      <c r="R183" s="125"/>
      <c r="S183" s="125"/>
      <c r="T183" s="125"/>
      <c r="U183" s="125"/>
      <c r="V183" s="125"/>
      <c r="W183" s="125"/>
      <c r="X183" s="125"/>
      <c r="Y183" s="125"/>
      <c r="Z183" s="1"/>
      <c r="AA183" s="1"/>
      <c r="AB183" s="1"/>
      <c r="AC183" s="1"/>
      <c r="AD183" s="1"/>
    </row>
    <row r="184" spans="1:30">
      <c r="A184" s="1"/>
      <c r="B184" s="125"/>
      <c r="C184" s="125"/>
      <c r="D184" s="125"/>
      <c r="E184" s="125"/>
      <c r="F184" s="125"/>
      <c r="G184" s="125"/>
      <c r="H184" s="125"/>
      <c r="I184" s="125"/>
      <c r="J184" s="2"/>
      <c r="K184" s="125"/>
      <c r="L184" s="125"/>
      <c r="M184" s="125"/>
      <c r="N184" s="125"/>
      <c r="O184" s="125"/>
      <c r="P184" s="125"/>
      <c r="Q184" s="125"/>
      <c r="R184" s="125"/>
      <c r="S184" s="125"/>
      <c r="T184" s="125"/>
      <c r="U184" s="125"/>
      <c r="V184" s="125"/>
      <c r="W184" s="125"/>
      <c r="X184" s="125"/>
      <c r="Y184" s="125"/>
      <c r="Z184" s="1"/>
      <c r="AA184" s="1"/>
      <c r="AB184" s="1"/>
      <c r="AC184" s="1"/>
      <c r="AD184" s="1"/>
    </row>
    <row r="185" spans="1:30">
      <c r="A185" s="1"/>
      <c r="B185" s="125"/>
      <c r="C185" s="125"/>
      <c r="D185" s="125"/>
      <c r="E185" s="125"/>
      <c r="F185" s="125"/>
      <c r="G185" s="125"/>
      <c r="H185" s="125"/>
      <c r="I185" s="125"/>
      <c r="J185" s="2"/>
      <c r="K185" s="125"/>
      <c r="L185" s="125"/>
      <c r="M185" s="125"/>
      <c r="N185" s="125"/>
      <c r="O185" s="125"/>
      <c r="P185" s="125"/>
      <c r="Q185" s="125"/>
      <c r="R185" s="125"/>
      <c r="S185" s="125"/>
      <c r="T185" s="125"/>
      <c r="U185" s="125"/>
      <c r="V185" s="125"/>
      <c r="W185" s="125"/>
      <c r="X185" s="125"/>
      <c r="Y185" s="125"/>
      <c r="Z185" s="1"/>
      <c r="AA185" s="1"/>
      <c r="AB185" s="1"/>
      <c r="AC185" s="1"/>
      <c r="AD185" s="1"/>
    </row>
    <row r="186" spans="1:30">
      <c r="A186" s="1"/>
      <c r="B186" s="125"/>
      <c r="C186" s="125"/>
      <c r="D186" s="125"/>
      <c r="E186" s="125"/>
      <c r="F186" s="125"/>
      <c r="G186" s="125"/>
      <c r="H186" s="125"/>
      <c r="I186" s="125"/>
      <c r="J186" s="2"/>
      <c r="K186" s="125"/>
      <c r="L186" s="125"/>
      <c r="M186" s="125"/>
      <c r="N186" s="125"/>
      <c r="O186" s="125"/>
      <c r="P186" s="125"/>
      <c r="Q186" s="125"/>
      <c r="R186" s="125"/>
      <c r="S186" s="125"/>
      <c r="T186" s="125"/>
      <c r="U186" s="125"/>
      <c r="V186" s="125"/>
      <c r="W186" s="125"/>
      <c r="X186" s="125"/>
      <c r="Y186" s="125"/>
      <c r="Z186" s="1"/>
      <c r="AA186" s="1"/>
      <c r="AB186" s="1"/>
      <c r="AC186" s="1"/>
      <c r="AD186" s="1"/>
    </row>
    <row r="187" spans="1:30">
      <c r="A187" s="1"/>
      <c r="B187" s="125"/>
      <c r="C187" s="125"/>
      <c r="D187" s="125"/>
      <c r="E187" s="125"/>
      <c r="F187" s="125"/>
      <c r="G187" s="125"/>
      <c r="H187" s="125"/>
      <c r="I187" s="125"/>
      <c r="J187" s="2"/>
      <c r="K187" s="125"/>
      <c r="L187" s="125"/>
      <c r="M187" s="125"/>
      <c r="N187" s="125"/>
      <c r="O187" s="125"/>
      <c r="P187" s="125"/>
      <c r="Q187" s="125"/>
      <c r="R187" s="125"/>
      <c r="S187" s="125"/>
      <c r="T187" s="125"/>
      <c r="U187" s="125"/>
      <c r="V187" s="125"/>
      <c r="W187" s="125"/>
      <c r="X187" s="125"/>
      <c r="Y187" s="125"/>
      <c r="Z187" s="1"/>
      <c r="AA187" s="1"/>
      <c r="AB187" s="1"/>
      <c r="AC187" s="1"/>
      <c r="AD187" s="1"/>
    </row>
    <row r="188" spans="1:30">
      <c r="A188" s="1"/>
      <c r="B188" s="125"/>
      <c r="C188" s="125"/>
      <c r="D188" s="125"/>
      <c r="E188" s="125"/>
      <c r="F188" s="125"/>
      <c r="G188" s="125"/>
      <c r="H188" s="125"/>
      <c r="I188" s="125"/>
      <c r="J188" s="2"/>
      <c r="K188" s="125"/>
      <c r="L188" s="125"/>
      <c r="M188" s="125"/>
      <c r="N188" s="125"/>
      <c r="O188" s="125"/>
      <c r="P188" s="125"/>
      <c r="Q188" s="125"/>
      <c r="R188" s="125"/>
      <c r="S188" s="125"/>
      <c r="T188" s="125"/>
      <c r="U188" s="125"/>
      <c r="V188" s="125"/>
      <c r="W188" s="125"/>
      <c r="X188" s="125"/>
      <c r="Y188" s="125"/>
      <c r="Z188" s="1"/>
      <c r="AA188" s="1"/>
      <c r="AB188" s="1"/>
      <c r="AC188" s="1"/>
      <c r="AD188" s="1"/>
    </row>
    <row r="189" spans="1:30">
      <c r="A189" s="1"/>
      <c r="B189" s="125"/>
      <c r="C189" s="125"/>
      <c r="D189" s="125"/>
      <c r="E189" s="125"/>
      <c r="F189" s="125"/>
      <c r="G189" s="125"/>
      <c r="H189" s="125"/>
      <c r="I189" s="125"/>
      <c r="J189" s="2"/>
      <c r="K189" s="125"/>
      <c r="L189" s="125"/>
      <c r="M189" s="125"/>
      <c r="N189" s="125"/>
      <c r="O189" s="125"/>
      <c r="P189" s="125"/>
      <c r="Q189" s="125"/>
      <c r="R189" s="125"/>
      <c r="S189" s="125"/>
      <c r="T189" s="125"/>
      <c r="U189" s="125"/>
      <c r="V189" s="125"/>
      <c r="W189" s="125"/>
      <c r="X189" s="125"/>
      <c r="Y189" s="125"/>
      <c r="Z189" s="1"/>
      <c r="AA189" s="1"/>
      <c r="AB189" s="1"/>
      <c r="AC189" s="1"/>
      <c r="AD189" s="1"/>
    </row>
    <row r="190" spans="1:30">
      <c r="A190" s="1"/>
      <c r="B190" s="125"/>
      <c r="C190" s="125"/>
      <c r="D190" s="125"/>
      <c r="E190" s="125"/>
      <c r="F190" s="125"/>
      <c r="G190" s="125"/>
      <c r="H190" s="125"/>
      <c r="I190" s="125"/>
      <c r="J190" s="2"/>
      <c r="K190" s="125"/>
      <c r="L190" s="125"/>
      <c r="M190" s="125"/>
      <c r="N190" s="125"/>
      <c r="O190" s="125"/>
      <c r="P190" s="125"/>
      <c r="Q190" s="125"/>
      <c r="R190" s="125"/>
      <c r="S190" s="125"/>
      <c r="T190" s="125"/>
      <c r="U190" s="125"/>
      <c r="V190" s="125"/>
      <c r="W190" s="125"/>
      <c r="X190" s="125"/>
      <c r="Y190" s="125"/>
      <c r="Z190" s="1"/>
      <c r="AA190" s="1"/>
      <c r="AB190" s="1"/>
      <c r="AC190" s="1"/>
      <c r="AD190" s="1"/>
    </row>
    <row r="191" spans="1:30">
      <c r="A191" s="1"/>
      <c r="B191" s="125"/>
      <c r="C191" s="125"/>
      <c r="D191" s="125"/>
      <c r="E191" s="125"/>
      <c r="F191" s="125"/>
      <c r="G191" s="125"/>
      <c r="H191" s="125"/>
      <c r="I191" s="125"/>
      <c r="J191" s="2"/>
      <c r="K191" s="125"/>
      <c r="L191" s="125"/>
      <c r="M191" s="125"/>
      <c r="N191" s="125"/>
      <c r="O191" s="125"/>
      <c r="P191" s="125"/>
      <c r="Q191" s="125"/>
      <c r="R191" s="125"/>
      <c r="S191" s="125"/>
      <c r="T191" s="125"/>
      <c r="U191" s="125"/>
      <c r="V191" s="125"/>
      <c r="W191" s="125"/>
      <c r="X191" s="125"/>
      <c r="Y191" s="125"/>
      <c r="Z191" s="1"/>
      <c r="AA191" s="1"/>
      <c r="AB191" s="1"/>
      <c r="AC191" s="1"/>
      <c r="AD191" s="1"/>
    </row>
    <row r="192" spans="1:30">
      <c r="A192" s="1"/>
      <c r="B192" s="125"/>
      <c r="C192" s="125"/>
      <c r="D192" s="125"/>
      <c r="E192" s="125"/>
      <c r="F192" s="125"/>
      <c r="G192" s="125"/>
      <c r="H192" s="125"/>
      <c r="I192" s="125"/>
      <c r="J192" s="2"/>
      <c r="K192" s="125"/>
      <c r="L192" s="125"/>
      <c r="M192" s="125"/>
      <c r="N192" s="125"/>
      <c r="O192" s="125"/>
      <c r="P192" s="125"/>
      <c r="Q192" s="125"/>
      <c r="R192" s="125"/>
      <c r="S192" s="125"/>
      <c r="T192" s="125"/>
      <c r="U192" s="125"/>
      <c r="V192" s="125"/>
      <c r="W192" s="125"/>
      <c r="X192" s="125"/>
      <c r="Y192" s="125"/>
      <c r="Z192" s="1"/>
      <c r="AA192" s="1"/>
      <c r="AB192" s="1"/>
      <c r="AC192" s="1"/>
      <c r="AD192" s="1"/>
    </row>
    <row r="193" spans="1:30">
      <c r="A193" s="1"/>
      <c r="B193" s="125"/>
      <c r="C193" s="125"/>
      <c r="D193" s="125"/>
      <c r="E193" s="125"/>
      <c r="F193" s="125"/>
      <c r="G193" s="125"/>
      <c r="H193" s="125"/>
      <c r="I193" s="125"/>
      <c r="J193" s="2"/>
      <c r="K193" s="125"/>
      <c r="L193" s="125"/>
      <c r="M193" s="125"/>
      <c r="N193" s="125"/>
      <c r="O193" s="125"/>
      <c r="P193" s="125"/>
      <c r="Q193" s="125"/>
      <c r="R193" s="125"/>
      <c r="S193" s="125"/>
      <c r="T193" s="125"/>
      <c r="U193" s="125"/>
      <c r="V193" s="125"/>
      <c r="W193" s="125"/>
      <c r="X193" s="125"/>
      <c r="Y193" s="125"/>
      <c r="Z193" s="1"/>
      <c r="AA193" s="1"/>
      <c r="AB193" s="1"/>
      <c r="AC193" s="1"/>
      <c r="AD193" s="1"/>
    </row>
    <row r="194" spans="1:30">
      <c r="A194" s="1"/>
      <c r="B194" s="125"/>
      <c r="C194" s="125"/>
      <c r="D194" s="125"/>
      <c r="E194" s="125"/>
      <c r="F194" s="125"/>
      <c r="G194" s="125"/>
      <c r="H194" s="125"/>
      <c r="I194" s="125"/>
      <c r="J194" s="2"/>
      <c r="K194" s="125"/>
      <c r="L194" s="125"/>
      <c r="M194" s="125"/>
      <c r="N194" s="125"/>
      <c r="O194" s="125"/>
      <c r="P194" s="125"/>
      <c r="Q194" s="125"/>
      <c r="R194" s="125"/>
      <c r="S194" s="125"/>
      <c r="T194" s="125"/>
      <c r="U194" s="125"/>
      <c r="V194" s="125"/>
      <c r="W194" s="125"/>
      <c r="X194" s="125"/>
      <c r="Y194" s="125"/>
      <c r="Z194" s="1"/>
      <c r="AA194" s="1"/>
      <c r="AB194" s="1"/>
      <c r="AC194" s="1"/>
      <c r="AD194" s="1"/>
    </row>
    <row r="195" spans="1:30">
      <c r="A195" s="1"/>
      <c r="B195" s="125"/>
      <c r="C195" s="125"/>
      <c r="D195" s="125"/>
      <c r="E195" s="125"/>
      <c r="F195" s="125"/>
      <c r="G195" s="125"/>
      <c r="H195" s="125"/>
      <c r="I195" s="125"/>
      <c r="J195" s="2"/>
      <c r="K195" s="125"/>
      <c r="L195" s="125"/>
      <c r="M195" s="125"/>
      <c r="N195" s="125"/>
      <c r="O195" s="125"/>
      <c r="P195" s="125"/>
      <c r="Q195" s="125"/>
      <c r="R195" s="125"/>
      <c r="S195" s="125"/>
      <c r="T195" s="125"/>
      <c r="U195" s="125"/>
      <c r="V195" s="125"/>
      <c r="W195" s="125"/>
      <c r="X195" s="125"/>
      <c r="Y195" s="125"/>
      <c r="Z195" s="1"/>
      <c r="AA195" s="1"/>
      <c r="AB195" s="1"/>
      <c r="AC195" s="1"/>
      <c r="AD195" s="1"/>
    </row>
    <row r="196" spans="1:30">
      <c r="A196" s="1"/>
      <c r="B196" s="125"/>
      <c r="C196" s="125"/>
      <c r="D196" s="125"/>
      <c r="E196" s="125"/>
      <c r="F196" s="125"/>
      <c r="G196" s="125"/>
      <c r="H196" s="125"/>
      <c r="I196" s="125"/>
      <c r="J196" s="2"/>
      <c r="K196" s="125"/>
      <c r="L196" s="125"/>
      <c r="M196" s="125"/>
      <c r="N196" s="125"/>
      <c r="O196" s="125"/>
      <c r="P196" s="125"/>
      <c r="Q196" s="125"/>
      <c r="R196" s="125"/>
      <c r="S196" s="125"/>
      <c r="T196" s="125"/>
      <c r="U196" s="125"/>
      <c r="V196" s="125"/>
      <c r="W196" s="125"/>
      <c r="X196" s="125"/>
      <c r="Y196" s="125"/>
      <c r="Z196" s="1"/>
      <c r="AA196" s="1"/>
      <c r="AB196" s="1"/>
      <c r="AC196" s="1"/>
      <c r="AD196" s="1"/>
    </row>
    <row r="197" spans="1:30">
      <c r="A197" s="1"/>
      <c r="B197" s="125"/>
      <c r="C197" s="125"/>
      <c r="D197" s="125"/>
      <c r="E197" s="125"/>
      <c r="F197" s="125"/>
      <c r="G197" s="125"/>
      <c r="H197" s="125"/>
      <c r="I197" s="125"/>
      <c r="J197" s="2"/>
      <c r="K197" s="125"/>
      <c r="L197" s="125"/>
      <c r="M197" s="125"/>
      <c r="N197" s="125"/>
      <c r="O197" s="125"/>
      <c r="P197" s="125"/>
      <c r="Q197" s="125"/>
      <c r="R197" s="125"/>
      <c r="S197" s="125"/>
      <c r="T197" s="125"/>
      <c r="U197" s="125"/>
      <c r="V197" s="125"/>
      <c r="W197" s="125"/>
      <c r="X197" s="125"/>
      <c r="Y197" s="125"/>
      <c r="Z197" s="1"/>
      <c r="AA197" s="1"/>
      <c r="AB197" s="1"/>
      <c r="AC197" s="1"/>
      <c r="AD197" s="1"/>
    </row>
    <row r="198" spans="1:30">
      <c r="A198" s="1"/>
      <c r="B198" s="125"/>
      <c r="C198" s="125"/>
      <c r="D198" s="125"/>
      <c r="E198" s="125"/>
      <c r="F198" s="125"/>
      <c r="G198" s="125"/>
      <c r="H198" s="125"/>
      <c r="I198" s="125"/>
      <c r="J198" s="2"/>
      <c r="K198" s="125"/>
      <c r="L198" s="125"/>
      <c r="M198" s="125"/>
      <c r="N198" s="125"/>
      <c r="O198" s="125"/>
      <c r="P198" s="125"/>
      <c r="Q198" s="125"/>
      <c r="R198" s="125"/>
      <c r="S198" s="125"/>
      <c r="T198" s="125"/>
      <c r="U198" s="125"/>
      <c r="V198" s="125"/>
      <c r="W198" s="125"/>
      <c r="X198" s="125"/>
      <c r="Y198" s="125"/>
      <c r="Z198" s="1"/>
      <c r="AA198" s="1"/>
      <c r="AB198" s="1"/>
      <c r="AC198" s="1"/>
      <c r="AD198" s="1"/>
    </row>
    <row r="199" spans="1:30">
      <c r="A199" s="1"/>
      <c r="B199" s="125"/>
      <c r="C199" s="125"/>
      <c r="D199" s="125"/>
      <c r="E199" s="125"/>
      <c r="F199" s="125"/>
      <c r="G199" s="125"/>
      <c r="H199" s="125"/>
      <c r="I199" s="125"/>
      <c r="J199" s="2"/>
      <c r="K199" s="125"/>
      <c r="L199" s="125"/>
      <c r="M199" s="125"/>
      <c r="N199" s="125"/>
      <c r="O199" s="125"/>
      <c r="P199" s="125"/>
      <c r="Q199" s="125"/>
      <c r="R199" s="125"/>
      <c r="S199" s="125"/>
      <c r="T199" s="125"/>
      <c r="U199" s="125"/>
      <c r="V199" s="125"/>
      <c r="W199" s="125"/>
      <c r="X199" s="125"/>
      <c r="Y199" s="125"/>
      <c r="Z199" s="1"/>
      <c r="AA199" s="1"/>
      <c r="AB199" s="1"/>
      <c r="AC199" s="1"/>
      <c r="AD199" s="1"/>
    </row>
    <row r="200" spans="1:30">
      <c r="A200" s="1"/>
      <c r="B200" s="125"/>
      <c r="C200" s="125"/>
      <c r="D200" s="125"/>
      <c r="E200" s="125"/>
      <c r="F200" s="125"/>
      <c r="G200" s="125"/>
      <c r="H200" s="125"/>
      <c r="I200" s="125"/>
      <c r="J200" s="2"/>
      <c r="K200" s="125"/>
      <c r="L200" s="125"/>
      <c r="M200" s="125"/>
      <c r="N200" s="125"/>
      <c r="O200" s="125"/>
      <c r="P200" s="125"/>
      <c r="Q200" s="125"/>
      <c r="R200" s="125"/>
      <c r="S200" s="125"/>
      <c r="T200" s="125"/>
      <c r="U200" s="125"/>
      <c r="V200" s="125"/>
      <c r="W200" s="125"/>
      <c r="X200" s="125"/>
      <c r="Y200" s="125"/>
      <c r="Z200" s="1"/>
      <c r="AA200" s="1"/>
      <c r="AB200" s="1"/>
      <c r="AC200" s="1"/>
      <c r="AD200" s="1"/>
    </row>
    <row r="201" spans="1:30">
      <c r="A201" s="1"/>
      <c r="B201" s="125"/>
      <c r="C201" s="125"/>
      <c r="D201" s="125"/>
      <c r="E201" s="125"/>
      <c r="F201" s="125"/>
      <c r="G201" s="125"/>
      <c r="H201" s="125"/>
      <c r="I201" s="125"/>
      <c r="J201" s="2"/>
      <c r="K201" s="125"/>
      <c r="L201" s="125"/>
      <c r="M201" s="125"/>
      <c r="N201" s="125"/>
      <c r="O201" s="125"/>
      <c r="P201" s="125"/>
      <c r="Q201" s="125"/>
      <c r="R201" s="125"/>
      <c r="S201" s="125"/>
      <c r="T201" s="125"/>
      <c r="U201" s="125"/>
      <c r="V201" s="125"/>
      <c r="W201" s="125"/>
      <c r="X201" s="125"/>
      <c r="Y201" s="125"/>
      <c r="Z201" s="1"/>
      <c r="AA201" s="1"/>
      <c r="AB201" s="1"/>
      <c r="AC201" s="1"/>
      <c r="AD201" s="1"/>
    </row>
    <row r="202" spans="1:30">
      <c r="A202" s="1"/>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
      <c r="AA202" s="1"/>
      <c r="AB202" s="1"/>
      <c r="AC202" s="1"/>
      <c r="AD202" s="1"/>
    </row>
    <row r="203" spans="1:30">
      <c r="A203" s="1"/>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
      <c r="AA203" s="1"/>
      <c r="AB203" s="1"/>
      <c r="AC203" s="1"/>
      <c r="AD203" s="1"/>
    </row>
    <row r="204" spans="1:30">
      <c r="A204" s="1"/>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
      <c r="AA204" s="1"/>
      <c r="AB204" s="1"/>
      <c r="AC204" s="1"/>
      <c r="AD204" s="1"/>
    </row>
    <row r="205" spans="1:30">
      <c r="A205" s="1"/>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
      <c r="AA205" s="1"/>
      <c r="AB205" s="1"/>
      <c r="AC205" s="1"/>
      <c r="AD205" s="1"/>
    </row>
    <row r="206" spans="1:30">
      <c r="A206" s="1"/>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
      <c r="AA206" s="1"/>
      <c r="AB206" s="1"/>
      <c r="AC206" s="1"/>
      <c r="AD206" s="1"/>
    </row>
    <row r="207" spans="1:30">
      <c r="A207" s="1"/>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
      <c r="AA207" s="1"/>
      <c r="AB207" s="1"/>
      <c r="AC207" s="1"/>
      <c r="AD207" s="1"/>
    </row>
    <row r="208" spans="1:30">
      <c r="A208" s="1"/>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
      <c r="AA208" s="1"/>
      <c r="AB208" s="1"/>
      <c r="AC208" s="1"/>
      <c r="AD208" s="1"/>
    </row>
    <row r="209" spans="1:30">
      <c r="A209" s="1"/>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
      <c r="AA209" s="1"/>
      <c r="AB209" s="1"/>
      <c r="AC209" s="1"/>
      <c r="AD209" s="1"/>
    </row>
    <row r="210" spans="1:30">
      <c r="A210" s="1"/>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
      <c r="AA210" s="1"/>
      <c r="AB210" s="1"/>
      <c r="AC210" s="1"/>
      <c r="AD210" s="1"/>
    </row>
    <row r="211" spans="1:30">
      <c r="A211" s="1"/>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
      <c r="AA211" s="1"/>
      <c r="AB211" s="1"/>
      <c r="AC211" s="1"/>
      <c r="AD211" s="1"/>
    </row>
    <row r="212" spans="1:30">
      <c r="A212" s="1"/>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
      <c r="AA212" s="1"/>
      <c r="AB212" s="1"/>
      <c r="AC212" s="1"/>
      <c r="AD212" s="1"/>
    </row>
    <row r="213" spans="1:30">
      <c r="A213" s="1"/>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
      <c r="AA213" s="1"/>
      <c r="AB213" s="1"/>
      <c r="AC213" s="1"/>
      <c r="AD213" s="1"/>
    </row>
    <row r="214" spans="1:30">
      <c r="A214" s="1"/>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
      <c r="AA214" s="1"/>
      <c r="AB214" s="1"/>
      <c r="AC214" s="1"/>
      <c r="AD214" s="1"/>
    </row>
    <row r="215" spans="1:30">
      <c r="A215" s="1"/>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
      <c r="AA215" s="1"/>
      <c r="AB215" s="1"/>
      <c r="AC215" s="1"/>
      <c r="AD215" s="1"/>
    </row>
    <row r="216" spans="1:30">
      <c r="A216" s="1"/>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
      <c r="AA216" s="1"/>
      <c r="AB216" s="1"/>
      <c r="AC216" s="1"/>
      <c r="AD216" s="1"/>
    </row>
    <row r="217" spans="1:30">
      <c r="A217" s="1"/>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
      <c r="AA217" s="1"/>
      <c r="AB217" s="1"/>
      <c r="AC217" s="1"/>
      <c r="AD217" s="1"/>
    </row>
    <row r="218" spans="1:30">
      <c r="A218" s="1"/>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
      <c r="AA218" s="1"/>
      <c r="AB218" s="1"/>
      <c r="AC218" s="1"/>
      <c r="AD218" s="1"/>
    </row>
    <row r="219" spans="1:30">
      <c r="A219" s="1"/>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
      <c r="AA219" s="1"/>
      <c r="AB219" s="1"/>
      <c r="AC219" s="1"/>
      <c r="AD219" s="1"/>
    </row>
    <row r="220" spans="1:30">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
      <c r="AA220" s="1"/>
      <c r="AB220" s="1"/>
      <c r="AC220" s="1"/>
      <c r="AD220" s="1"/>
    </row>
    <row r="221" spans="1:30">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
      <c r="AA221" s="1"/>
      <c r="AB221" s="1"/>
      <c r="AC221" s="1"/>
      <c r="AD221" s="1"/>
    </row>
    <row r="222" spans="1:30">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
      <c r="AA222" s="1"/>
      <c r="AB222" s="1"/>
      <c r="AC222" s="1"/>
      <c r="AD222" s="1"/>
    </row>
    <row r="223" spans="1:30">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
      <c r="AA223" s="1"/>
      <c r="AB223" s="1"/>
      <c r="AC223" s="1"/>
      <c r="AD223" s="1"/>
    </row>
    <row r="224" spans="1:30">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
      <c r="AA224" s="1"/>
      <c r="AB224" s="1"/>
      <c r="AC224" s="1"/>
      <c r="AD224" s="1"/>
    </row>
    <row r="225" spans="2:30">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
      <c r="AA225" s="1"/>
      <c r="AB225" s="1"/>
      <c r="AC225" s="1"/>
      <c r="AD225" s="1"/>
    </row>
    <row r="226" spans="2:30">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
      <c r="AA226" s="1"/>
      <c r="AB226" s="1"/>
      <c r="AC226" s="1"/>
      <c r="AD226" s="1"/>
    </row>
    <row r="227" spans="2:30">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
      <c r="AA227" s="1"/>
      <c r="AB227" s="1"/>
      <c r="AC227" s="1"/>
      <c r="AD227" s="1"/>
    </row>
    <row r="228" spans="2:30">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
      <c r="AA228" s="1"/>
      <c r="AB228" s="1"/>
      <c r="AC228" s="1"/>
      <c r="AD228" s="1"/>
    </row>
    <row r="229" spans="2:30">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
      <c r="AA229" s="1"/>
      <c r="AB229" s="1"/>
      <c r="AC229" s="1"/>
      <c r="AD229" s="1"/>
    </row>
    <row r="230" spans="2:30">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
      <c r="AA230" s="1"/>
      <c r="AB230" s="1"/>
      <c r="AC230" s="1"/>
      <c r="AD230" s="1"/>
    </row>
    <row r="231" spans="2:30">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
      <c r="AA231" s="1"/>
      <c r="AB231" s="1"/>
      <c r="AC231" s="1"/>
      <c r="AD231" s="1"/>
    </row>
    <row r="232" spans="2:30">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
      <c r="AA232" s="1"/>
      <c r="AB232" s="1"/>
      <c r="AC232" s="1"/>
      <c r="AD232" s="1"/>
    </row>
    <row r="233" spans="2:30">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
      <c r="AA233" s="1"/>
      <c r="AB233" s="1"/>
      <c r="AC233" s="1"/>
      <c r="AD233" s="1"/>
    </row>
    <row r="234" spans="2:30">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
      <c r="AA234" s="1"/>
      <c r="AB234" s="1"/>
      <c r="AC234" s="1"/>
      <c r="AD234" s="1"/>
    </row>
    <row r="235" spans="2:30">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
      <c r="AA235" s="1"/>
      <c r="AB235" s="1"/>
      <c r="AC235" s="1"/>
      <c r="AD235" s="1"/>
    </row>
    <row r="236" spans="2:30">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
      <c r="AA236" s="1"/>
      <c r="AB236" s="1"/>
      <c r="AC236" s="1"/>
      <c r="AD236" s="1"/>
    </row>
    <row r="237" spans="2:30">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
      <c r="AA237" s="1"/>
      <c r="AB237" s="1"/>
      <c r="AC237" s="1"/>
      <c r="AD237" s="1"/>
    </row>
    <row r="238" spans="2:30">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
      <c r="AA238" s="1"/>
      <c r="AB238" s="1"/>
      <c r="AC238" s="1"/>
      <c r="AD238" s="1"/>
    </row>
    <row r="239" spans="2:30">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
      <c r="AA239" s="1"/>
      <c r="AB239" s="1"/>
      <c r="AC239" s="1"/>
      <c r="AD239" s="1"/>
    </row>
    <row r="240" spans="2:30">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
      <c r="AA240" s="1"/>
      <c r="AB240" s="1"/>
      <c r="AC240" s="1"/>
      <c r="AD240" s="1"/>
    </row>
    <row r="241" spans="2:30">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
      <c r="AA241" s="1"/>
      <c r="AB241" s="1"/>
      <c r="AC241" s="1"/>
      <c r="AD241" s="1"/>
    </row>
    <row r="242" spans="2:30">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
      <c r="AA242" s="1"/>
      <c r="AB242" s="1"/>
      <c r="AC242" s="1"/>
      <c r="AD242" s="1"/>
    </row>
    <row r="243" spans="2:30">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
      <c r="AA243" s="1"/>
      <c r="AB243" s="1"/>
      <c r="AC243" s="1"/>
      <c r="AD243" s="1"/>
    </row>
    <row r="244" spans="2:30">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
      <c r="AA244" s="1"/>
      <c r="AB244" s="1"/>
      <c r="AC244" s="1"/>
      <c r="AD244" s="1"/>
    </row>
    <row r="245" spans="2:30">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
      <c r="AA245" s="1"/>
      <c r="AB245" s="1"/>
      <c r="AC245" s="1"/>
      <c r="AD245" s="1"/>
    </row>
    <row r="246" spans="2:30">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
      <c r="AA246" s="1"/>
      <c r="AB246" s="1"/>
      <c r="AC246" s="1"/>
      <c r="AD246" s="1"/>
    </row>
    <row r="247" spans="2:30">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
      <c r="AA247" s="1"/>
      <c r="AB247" s="1"/>
      <c r="AC247" s="1"/>
      <c r="AD247" s="1"/>
    </row>
    <row r="248" spans="2:30">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
      <c r="AA248" s="1"/>
      <c r="AB248" s="1"/>
      <c r="AC248" s="1"/>
      <c r="AD248" s="1"/>
    </row>
    <row r="249" spans="2:30">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
      <c r="AA249" s="1"/>
      <c r="AB249" s="1"/>
      <c r="AC249" s="1"/>
      <c r="AD249" s="1"/>
    </row>
    <row r="250" spans="2:30">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
      <c r="AA250" s="1"/>
      <c r="AB250" s="1"/>
      <c r="AC250" s="1"/>
      <c r="AD250" s="1"/>
    </row>
    <row r="251" spans="2:30">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
      <c r="AA251" s="1"/>
      <c r="AB251" s="1"/>
      <c r="AC251" s="1"/>
      <c r="AD251" s="1"/>
    </row>
    <row r="252" spans="2:30">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
      <c r="AA252" s="1"/>
      <c r="AB252" s="1"/>
      <c r="AC252" s="1"/>
      <c r="AD252" s="1"/>
    </row>
    <row r="253" spans="2:30">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
      <c r="AA253" s="1"/>
      <c r="AB253" s="1"/>
      <c r="AC253" s="1"/>
      <c r="AD253" s="1"/>
    </row>
    <row r="254" spans="2:30">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
      <c r="AA254" s="1"/>
      <c r="AB254" s="1"/>
      <c r="AC254" s="1"/>
      <c r="AD254" s="1"/>
    </row>
    <row r="255" spans="2:30">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
      <c r="AA255" s="1"/>
      <c r="AB255" s="1"/>
      <c r="AC255" s="1"/>
      <c r="AD255" s="1"/>
    </row>
    <row r="256" spans="2:30">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
      <c r="AA256" s="1"/>
      <c r="AB256" s="1"/>
      <c r="AC256" s="1"/>
      <c r="AD256" s="1"/>
    </row>
    <row r="257" spans="2:30">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
      <c r="AA257" s="1"/>
      <c r="AB257" s="1"/>
      <c r="AC257" s="1"/>
      <c r="AD257" s="1"/>
    </row>
    <row r="258" spans="2:30">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
      <c r="AA258" s="1"/>
      <c r="AB258" s="1"/>
      <c r="AC258" s="1"/>
      <c r="AD258" s="1"/>
    </row>
    <row r="259" spans="2:30">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
      <c r="AA259" s="1"/>
      <c r="AB259" s="1"/>
      <c r="AC259" s="1"/>
      <c r="AD259" s="1"/>
    </row>
    <row r="260" spans="2:30">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
      <c r="AA260" s="1"/>
      <c r="AB260" s="1"/>
      <c r="AC260" s="1"/>
      <c r="AD260" s="1"/>
    </row>
    <row r="261" spans="2:30">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
      <c r="AA261" s="1"/>
      <c r="AB261" s="1"/>
      <c r="AC261" s="1"/>
      <c r="AD261" s="1"/>
    </row>
    <row r="262" spans="2:30">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
      <c r="AA262" s="1"/>
      <c r="AB262" s="1"/>
      <c r="AC262" s="1"/>
      <c r="AD262" s="1"/>
    </row>
    <row r="263" spans="2:30">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
      <c r="AA263" s="1"/>
      <c r="AB263" s="1"/>
      <c r="AC263" s="1"/>
      <c r="AD263" s="1"/>
    </row>
    <row r="264" spans="2:30">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
      <c r="AA264" s="1"/>
      <c r="AB264" s="1"/>
      <c r="AC264" s="1"/>
      <c r="AD264" s="1"/>
    </row>
    <row r="265" spans="2:30">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
      <c r="AA265" s="1"/>
      <c r="AB265" s="1"/>
      <c r="AC265" s="1"/>
      <c r="AD265" s="1"/>
    </row>
    <row r="266" spans="2:30">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
      <c r="AA266" s="1"/>
      <c r="AB266" s="1"/>
      <c r="AC266" s="1"/>
      <c r="AD266" s="1"/>
    </row>
    <row r="267" spans="2:30">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
      <c r="AA267" s="1"/>
      <c r="AB267" s="1"/>
      <c r="AC267" s="1"/>
      <c r="AD267" s="1"/>
    </row>
    <row r="268" spans="2:30">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
      <c r="AA268" s="1"/>
      <c r="AB268" s="1"/>
      <c r="AC268" s="1"/>
      <c r="AD268" s="1"/>
    </row>
    <row r="269" spans="2:30">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
      <c r="AA269" s="1"/>
      <c r="AB269" s="1"/>
      <c r="AC269" s="1"/>
      <c r="AD269" s="1"/>
    </row>
    <row r="270" spans="2:30">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
      <c r="AA270" s="1"/>
      <c r="AB270" s="1"/>
      <c r="AC270" s="1"/>
      <c r="AD270" s="1"/>
    </row>
    <row r="271" spans="2:30">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
      <c r="AA271" s="1"/>
      <c r="AB271" s="1"/>
      <c r="AC271" s="1"/>
      <c r="AD271" s="1"/>
    </row>
    <row r="272" spans="2:30">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
      <c r="AA272" s="1"/>
      <c r="AB272" s="1"/>
      <c r="AC272" s="1"/>
      <c r="AD272" s="1"/>
    </row>
    <row r="273" spans="2:30">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
      <c r="AA273" s="1"/>
      <c r="AB273" s="1"/>
      <c r="AC273" s="1"/>
      <c r="AD273" s="1"/>
    </row>
    <row r="274" spans="2:30">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
      <c r="AA274" s="1"/>
      <c r="AB274" s="1"/>
      <c r="AC274" s="1"/>
      <c r="AD274" s="1"/>
    </row>
    <row r="275" spans="2:30">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
      <c r="AA275" s="1"/>
      <c r="AB275" s="1"/>
      <c r="AC275" s="1"/>
      <c r="AD275" s="1"/>
    </row>
    <row r="276" spans="2:30">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
      <c r="AA276" s="1"/>
      <c r="AB276" s="1"/>
      <c r="AC276" s="1"/>
      <c r="AD276" s="1"/>
    </row>
    <row r="277" spans="2:30">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
      <c r="AA277" s="1"/>
      <c r="AB277" s="1"/>
      <c r="AC277" s="1"/>
      <c r="AD277" s="1"/>
    </row>
    <row r="278" spans="2:30">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
      <c r="AA278" s="1"/>
      <c r="AB278" s="1"/>
      <c r="AC278" s="1"/>
      <c r="AD278" s="1"/>
    </row>
    <row r="279" spans="2:30">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
      <c r="AA279" s="1"/>
      <c r="AB279" s="1"/>
      <c r="AC279" s="1"/>
      <c r="AD279" s="1"/>
    </row>
    <row r="280" spans="2:30">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row>
    <row r="281" spans="2:30">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row>
    <row r="282" spans="2:30">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row>
    <row r="283" spans="2:30">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row>
    <row r="284" spans="2:30">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row>
    <row r="285" spans="2:30">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row>
    <row r="286" spans="2:30">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row>
    <row r="287" spans="2:30">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row>
    <row r="288" spans="2:30">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row>
    <row r="289" spans="2: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row>
    <row r="290" spans="2: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row>
    <row r="291" spans="2: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row>
    <row r="292" spans="2: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row>
    <row r="293" spans="2: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row>
    <row r="294" spans="2: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row>
    <row r="295" spans="2: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row>
    <row r="296" spans="2: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row>
    <row r="297" spans="2: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row>
    <row r="298" spans="2: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row>
    <row r="299" spans="2: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row>
    <row r="300" spans="2: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row>
    <row r="301" spans="2: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row>
    <row r="302" spans="2: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row>
    <row r="303" spans="2: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row>
    <row r="304" spans="2: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row>
    <row r="305" spans="2: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row>
    <row r="306" spans="2: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row>
    <row r="307" spans="2: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row>
    <row r="308" spans="2: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row>
    <row r="309" spans="2: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row>
    <row r="310" spans="2: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row>
    <row r="311" spans="2: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row>
    <row r="312" spans="2: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row>
    <row r="313" spans="2: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row>
    <row r="314" spans="2: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row>
    <row r="315" spans="2: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row>
    <row r="316" spans="2: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row>
    <row r="317" spans="2: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row>
    <row r="318" spans="2: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row>
    <row r="319" spans="2: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row>
    <row r="320" spans="2: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row>
    <row r="321" spans="2: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row>
    <row r="322" spans="2: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row>
    <row r="323" spans="2: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row>
    <row r="324" spans="2: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row>
    <row r="325" spans="2: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row>
    <row r="326" spans="2: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row>
    <row r="327" spans="2: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row>
    <row r="328" spans="2: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row>
    <row r="329" spans="2: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row>
    <row r="330" spans="2: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row>
    <row r="331" spans="2: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row>
    <row r="332" spans="2: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row>
    <row r="333" spans="2: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row>
    <row r="334" spans="2: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row>
    <row r="335" spans="2: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row>
    <row r="336" spans="2: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row>
    <row r="337" spans="2: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row>
    <row r="338" spans="2: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row>
    <row r="339" spans="2: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row>
    <row r="340" spans="2: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row>
    <row r="341" spans="2: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row>
    <row r="342" spans="2: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row>
    <row r="343" spans="2: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row>
    <row r="344" spans="2: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row>
    <row r="345" spans="2: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row>
    <row r="346" spans="2: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row>
    <row r="347" spans="2: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row>
    <row r="348" spans="2: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row>
    <row r="349" spans="2: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row>
    <row r="350" spans="2: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row>
    <row r="351" spans="2: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row>
    <row r="352" spans="2: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row>
    <row r="353" spans="2: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row>
    <row r="354" spans="2: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row>
    <row r="355" spans="2: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row>
    <row r="356" spans="2: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row>
    <row r="357" spans="2: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row>
    <row r="358" spans="2: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row>
    <row r="359" spans="2: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row>
    <row r="360" spans="2: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row>
    <row r="361" spans="2: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row>
    <row r="362" spans="2: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row>
    <row r="363" spans="2: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row>
    <row r="364" spans="2: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row>
    <row r="365" spans="2: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row>
    <row r="366" spans="2: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row>
    <row r="367" spans="2: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row>
    <row r="368" spans="2: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row>
    <row r="369" spans="2: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row>
    <row r="370" spans="2: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row>
    <row r="371" spans="2: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row>
    <row r="372" spans="2: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row>
    <row r="373" spans="2: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row>
    <row r="374" spans="2: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row>
    <row r="375" spans="2: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row>
    <row r="376" spans="2: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row>
    <row r="377" spans="2: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row>
    <row r="378" spans="2: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row>
    <row r="379" spans="2: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row>
    <row r="380" spans="2: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row>
    <row r="381" spans="2: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row>
    <row r="382" spans="2: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row>
    <row r="383" spans="2: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row>
    <row r="384" spans="2: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row>
    <row r="385" spans="2: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row>
    <row r="386" spans="2: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row>
    <row r="387" spans="2: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row>
    <row r="388" spans="2: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row>
    <row r="389" spans="2: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row>
    <row r="390" spans="2: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row>
    <row r="391" spans="2: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row>
    <row r="392" spans="2: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row>
    <row r="393" spans="2: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row>
    <row r="394" spans="2: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row>
    <row r="395" spans="2: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row>
    <row r="396" spans="2: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row>
    <row r="397" spans="2: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row>
    <row r="398" spans="2: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row>
    <row r="399" spans="2: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row>
    <row r="400" spans="2: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row>
    <row r="401" spans="2: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row>
    <row r="402" spans="2: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row>
    <row r="403" spans="2: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row>
    <row r="404" spans="2: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row>
    <row r="405" spans="2: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row>
    <row r="406" spans="2: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row>
    <row r="407" spans="2: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row>
    <row r="408" spans="2: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row>
    <row r="409" spans="2: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row>
    <row r="410" spans="2: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row>
    <row r="411" spans="2: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row>
    <row r="412" spans="2: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row>
    <row r="413" spans="2: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row>
    <row r="414" spans="2: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row>
    <row r="415" spans="2: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row>
    <row r="416" spans="2: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row>
    <row r="417" spans="2: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row>
    <row r="418" spans="2: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row>
    <row r="419" spans="2: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row>
    <row r="420" spans="2:25">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2:25">
      <c r="B421" s="1"/>
      <c r="C421" s="1"/>
      <c r="D421" s="1"/>
      <c r="E421" s="1"/>
      <c r="F421" s="1"/>
      <c r="G421" s="1"/>
      <c r="H421" s="1"/>
      <c r="I421" s="1"/>
      <c r="J421" s="1"/>
      <c r="K421" s="1"/>
      <c r="L421" s="1"/>
      <c r="M421" s="1"/>
      <c r="N421" s="1"/>
      <c r="O421" s="1"/>
      <c r="P421" s="1"/>
      <c r="Q421" s="1"/>
      <c r="R421" s="1"/>
      <c r="S421" s="1"/>
      <c r="T421" s="1"/>
      <c r="U421" s="1"/>
      <c r="V421" s="1"/>
      <c r="W421" s="1"/>
      <c r="X421" s="1"/>
      <c r="Y421" s="1"/>
    </row>
  </sheetData>
  <mergeCells count="6">
    <mergeCell ref="E90:I90"/>
    <mergeCell ref="J90:N90"/>
    <mergeCell ref="E6:H6"/>
    <mergeCell ref="B10:M11"/>
    <mergeCell ref="F27:I27"/>
    <mergeCell ref="J27:N27"/>
  </mergeCells>
  <phoneticPr fontId="59" type="noConversion"/>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BC377"/>
  <sheetViews>
    <sheetView tabSelected="1" zoomScale="65" zoomScaleNormal="80" workbookViewId="0">
      <selection activeCell="S207" sqref="S207"/>
    </sheetView>
  </sheetViews>
  <sheetFormatPr defaultRowHeight="14.4"/>
  <cols>
    <col min="1" max="1" width="29.88671875" customWidth="1"/>
    <col min="2" max="4" width="14.33203125" bestFit="1" customWidth="1"/>
    <col min="5" max="5" width="10.44140625" customWidth="1"/>
    <col min="6" max="6" width="12.6640625" customWidth="1"/>
    <col min="7" max="7" width="10.109375" customWidth="1"/>
    <col min="8" max="8" width="14.33203125" bestFit="1" customWidth="1"/>
    <col min="9" max="9" width="10.33203125" customWidth="1"/>
    <col min="10" max="10" width="14.33203125" bestFit="1" customWidth="1"/>
    <col min="11" max="11" width="10.6640625" customWidth="1"/>
    <col min="12" max="12" width="12.44140625" bestFit="1" customWidth="1"/>
    <col min="13" max="13" width="12.6640625" bestFit="1" customWidth="1"/>
    <col min="15" max="15" width="12.6640625" bestFit="1" customWidth="1"/>
    <col min="16" max="16" width="12.6640625" customWidth="1"/>
    <col min="17" max="17" width="23.5546875" customWidth="1"/>
    <col min="18" max="18" width="12.6640625" bestFit="1" customWidth="1"/>
    <col min="19" max="19" width="35.33203125" customWidth="1"/>
    <col min="20" max="20" width="26" customWidth="1"/>
    <col min="21" max="21" width="10.44140625" bestFit="1" customWidth="1"/>
    <col min="22" max="22" width="11.44140625" customWidth="1"/>
    <col min="23" max="24" width="10.44140625" bestFit="1" customWidth="1"/>
  </cols>
  <sheetData>
    <row r="1" spans="1:55" ht="24.6">
      <c r="A1" s="909" t="s">
        <v>843</v>
      </c>
      <c r="B1" s="916"/>
      <c r="C1" s="916"/>
      <c r="D1" s="916"/>
      <c r="E1" s="916"/>
      <c r="F1" s="916"/>
      <c r="G1" s="916"/>
      <c r="H1" s="916"/>
      <c r="I1" s="916"/>
      <c r="J1" s="916"/>
      <c r="K1" s="917"/>
      <c r="L1" s="1"/>
      <c r="M1" s="943" t="s">
        <v>745</v>
      </c>
      <c r="N1" s="921"/>
      <c r="O1" s="916"/>
      <c r="P1" s="916"/>
      <c r="Q1" s="898"/>
      <c r="R1" s="1"/>
      <c r="S1" s="909" t="s">
        <v>844</v>
      </c>
      <c r="T1" s="897"/>
      <c r="U1" s="897"/>
      <c r="V1" s="898"/>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ht="18" thickBot="1">
      <c r="A2" s="918"/>
      <c r="B2" s="919"/>
      <c r="C2" s="919"/>
      <c r="D2" s="919"/>
      <c r="E2" s="919"/>
      <c r="F2" s="919"/>
      <c r="G2" s="919"/>
      <c r="H2" s="919"/>
      <c r="I2" s="919"/>
      <c r="J2" s="919"/>
      <c r="K2" s="920"/>
      <c r="L2" s="1"/>
      <c r="M2" s="899"/>
      <c r="N2" s="900"/>
      <c r="O2" s="900"/>
      <c r="P2" s="900"/>
      <c r="Q2" s="901"/>
      <c r="R2" s="1"/>
      <c r="S2" s="899"/>
      <c r="T2" s="900"/>
      <c r="U2" s="900"/>
      <c r="V2" s="90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5" thickBot="1">
      <c r="A3" s="922"/>
      <c r="B3" s="923"/>
      <c r="C3" s="923"/>
      <c r="D3" s="923"/>
      <c r="E3" s="923"/>
      <c r="F3" s="923"/>
      <c r="G3" s="923"/>
      <c r="H3" s="923"/>
      <c r="I3" s="923"/>
      <c r="J3" s="923"/>
      <c r="K3" s="924"/>
      <c r="L3" s="1"/>
      <c r="M3" s="922"/>
      <c r="N3" s="923"/>
      <c r="O3" s="923"/>
      <c r="P3" s="923"/>
      <c r="Q3" s="924"/>
      <c r="R3" s="1"/>
      <c r="S3" s="922"/>
      <c r="T3" s="923"/>
      <c r="U3" s="923"/>
      <c r="V3" s="924"/>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row>
    <row r="4" spans="1:55" ht="15" thickBot="1">
      <c r="A4" s="1"/>
      <c r="B4" s="1"/>
      <c r="C4" s="1"/>
      <c r="D4" s="421"/>
      <c r="E4" s="421"/>
      <c r="F4" s="1"/>
      <c r="G4" s="1"/>
      <c r="H4" s="1"/>
      <c r="I4" s="1"/>
      <c r="J4" s="1"/>
      <c r="K4" s="1"/>
      <c r="L4" s="1"/>
      <c r="M4" s="1"/>
      <c r="N4" s="1"/>
      <c r="O4" s="1"/>
      <c r="P4" s="1"/>
      <c r="Q4" s="1"/>
      <c r="R4" s="1"/>
      <c r="S4" s="331" t="s">
        <v>419</v>
      </c>
      <c r="T4" s="332">
        <v>2017</v>
      </c>
      <c r="U4" s="332">
        <v>2018</v>
      </c>
      <c r="V4" s="446">
        <v>2019</v>
      </c>
      <c r="W4" s="1"/>
      <c r="X4" s="1"/>
      <c r="Y4" s="1"/>
      <c r="Z4" s="1"/>
      <c r="AA4" s="1"/>
      <c r="AB4" s="421"/>
      <c r="AC4" s="1"/>
      <c r="AD4" s="1"/>
      <c r="AE4" s="1"/>
      <c r="AF4" s="1"/>
      <c r="AG4" s="1"/>
      <c r="AH4" s="1"/>
      <c r="AI4" s="1"/>
      <c r="AJ4" s="1"/>
      <c r="AK4" s="1"/>
      <c r="AL4" s="1"/>
      <c r="AM4" s="1"/>
      <c r="AN4" s="1"/>
      <c r="AO4" s="1"/>
      <c r="AP4" s="1"/>
      <c r="AQ4" s="1"/>
      <c r="AR4" s="1"/>
      <c r="AS4" s="1"/>
      <c r="AT4" s="1"/>
      <c r="AU4" s="1"/>
      <c r="AV4" s="1"/>
      <c r="AW4" s="1"/>
      <c r="AX4" s="1"/>
      <c r="AY4" s="1"/>
      <c r="AZ4" s="1"/>
      <c r="BA4" s="1"/>
      <c r="BB4" s="1"/>
      <c r="BC4" s="1"/>
    </row>
    <row r="5" spans="1:55" ht="15" thickBot="1">
      <c r="A5" s="781" t="s">
        <v>491</v>
      </c>
      <c r="B5" s="753" t="s">
        <v>471</v>
      </c>
      <c r="C5" s="754"/>
      <c r="D5" s="759"/>
      <c r="E5" s="759"/>
      <c r="F5" s="760"/>
      <c r="G5" s="754" t="s">
        <v>744</v>
      </c>
      <c r="H5" s="754"/>
      <c r="I5" s="754"/>
      <c r="J5" s="754"/>
      <c r="K5" s="760"/>
      <c r="L5" s="1"/>
      <c r="M5" s="1"/>
      <c r="N5" s="1"/>
      <c r="O5" s="1"/>
      <c r="P5" s="1"/>
      <c r="Q5" s="1"/>
      <c r="R5" s="362"/>
      <c r="S5" s="761" t="s">
        <v>545</v>
      </c>
      <c r="T5" s="361"/>
      <c r="U5" s="592">
        <f>E11/E10</f>
        <v>3.5560516664008932E-2</v>
      </c>
      <c r="V5" s="422">
        <f>F11/F10</f>
        <v>2.8362819432743613E-2</v>
      </c>
      <c r="W5" s="52"/>
      <c r="X5" s="52"/>
      <c r="Y5" s="52"/>
      <c r="Z5" s="52"/>
      <c r="AA5" s="1"/>
      <c r="AB5" s="421"/>
      <c r="AC5" s="1"/>
      <c r="AD5" s="1"/>
      <c r="AE5" s="1"/>
      <c r="AF5" s="1"/>
      <c r="AG5" s="1"/>
      <c r="AH5" s="1"/>
      <c r="AI5" s="1"/>
      <c r="AJ5" s="1"/>
      <c r="AK5" s="1"/>
      <c r="AL5" s="1"/>
      <c r="AM5" s="1"/>
      <c r="AN5" s="1"/>
      <c r="AO5" s="1"/>
      <c r="AP5" s="1"/>
      <c r="AQ5" s="1"/>
      <c r="AR5" s="1"/>
      <c r="AS5" s="1"/>
      <c r="AT5" s="1"/>
      <c r="AU5" s="1"/>
      <c r="AV5" s="1"/>
      <c r="AW5" s="1"/>
      <c r="AX5" s="1"/>
      <c r="AY5" s="1"/>
      <c r="AZ5" s="1"/>
      <c r="BA5" s="1"/>
      <c r="BB5" s="1"/>
      <c r="BC5" s="1"/>
    </row>
    <row r="6" spans="1:55">
      <c r="A6" s="757"/>
      <c r="B6" s="1">
        <v>2015</v>
      </c>
      <c r="C6" s="1">
        <v>2016</v>
      </c>
      <c r="D6" s="1">
        <v>2017</v>
      </c>
      <c r="E6" s="1">
        <v>2018</v>
      </c>
      <c r="F6" s="360">
        <v>2019</v>
      </c>
      <c r="G6" s="1">
        <v>2020</v>
      </c>
      <c r="H6" s="1">
        <v>2021</v>
      </c>
      <c r="I6" s="1">
        <v>2022</v>
      </c>
      <c r="J6" s="1">
        <v>2023</v>
      </c>
      <c r="K6" s="360">
        <v>2024</v>
      </c>
      <c r="L6" s="1"/>
      <c r="M6" s="1"/>
      <c r="N6" s="1"/>
      <c r="O6" s="1"/>
      <c r="P6" s="1"/>
      <c r="Q6" s="1"/>
      <c r="R6" s="402"/>
      <c r="S6" s="763" t="s">
        <v>746</v>
      </c>
      <c r="T6" s="592">
        <f>AVERAGE(U5:V5)</f>
        <v>3.1961668048376274E-2</v>
      </c>
      <c r="U6" s="592"/>
      <c r="V6" s="273"/>
      <c r="W6" s="52"/>
      <c r="X6" s="52"/>
      <c r="Y6" s="52"/>
      <c r="Z6" s="52"/>
      <c r="AA6" s="1"/>
      <c r="AB6" s="421"/>
      <c r="AC6" s="1"/>
      <c r="AD6" s="1"/>
      <c r="AE6" s="1"/>
      <c r="AF6" s="1"/>
      <c r="AG6" s="1"/>
      <c r="AH6" s="1"/>
      <c r="AI6" s="1"/>
      <c r="AJ6" s="1"/>
      <c r="AK6" s="1"/>
      <c r="AL6" s="1"/>
      <c r="AM6" s="1"/>
      <c r="AN6" s="1"/>
      <c r="AO6" s="1"/>
      <c r="AP6" s="1"/>
      <c r="AQ6" s="1"/>
      <c r="AR6" s="1"/>
      <c r="AS6" s="1"/>
      <c r="AT6" s="1"/>
      <c r="AU6" s="1"/>
      <c r="AV6" s="1"/>
      <c r="AW6" s="1"/>
      <c r="AX6" s="1"/>
      <c r="AY6" s="1"/>
      <c r="AZ6" s="1"/>
      <c r="BA6" s="1"/>
      <c r="BB6" s="1"/>
      <c r="BC6" s="1"/>
    </row>
    <row r="7" spans="1:55">
      <c r="A7" s="577"/>
      <c r="B7" s="1"/>
      <c r="C7" s="1"/>
      <c r="D7" s="421"/>
      <c r="E7" s="421"/>
      <c r="F7" s="360"/>
      <c r="G7" s="1"/>
      <c r="H7" s="1"/>
      <c r="I7" s="1"/>
      <c r="J7" s="1"/>
      <c r="K7" s="360"/>
      <c r="L7" s="1"/>
      <c r="M7" s="1"/>
      <c r="N7" s="1"/>
      <c r="O7" s="1"/>
      <c r="P7" s="1"/>
      <c r="Q7" s="1"/>
      <c r="R7" s="1"/>
      <c r="S7" s="762"/>
      <c r="T7" s="592"/>
      <c r="U7" s="592"/>
      <c r="V7" s="273"/>
      <c r="W7" s="52"/>
      <c r="X7" s="361"/>
      <c r="Y7" s="361"/>
      <c r="Z7" s="52"/>
      <c r="AA7" s="1"/>
      <c r="AB7" s="421"/>
      <c r="AC7" s="1"/>
      <c r="AD7" s="1"/>
      <c r="AE7" s="1"/>
      <c r="AF7" s="1"/>
      <c r="AG7" s="1"/>
      <c r="AH7" s="1"/>
      <c r="AI7" s="1"/>
      <c r="AJ7" s="1"/>
      <c r="AK7" s="1"/>
      <c r="AL7" s="1"/>
      <c r="AM7" s="1"/>
      <c r="AN7" s="1"/>
      <c r="AO7" s="1"/>
      <c r="AP7" s="1"/>
      <c r="AQ7" s="1"/>
      <c r="AR7" s="1"/>
      <c r="AS7" s="1"/>
      <c r="AT7" s="1"/>
      <c r="AU7" s="1"/>
      <c r="AV7" s="1"/>
      <c r="AW7" s="1"/>
      <c r="AX7" s="1"/>
      <c r="AY7" s="1"/>
      <c r="AZ7" s="1"/>
      <c r="BA7" s="1"/>
      <c r="BB7" s="1"/>
      <c r="BC7" s="1"/>
    </row>
    <row r="8" spans="1:55">
      <c r="A8" s="577" t="s">
        <v>492</v>
      </c>
      <c r="B8" s="1">
        <f>'Reorganised Statements'!C53</f>
        <v>3947</v>
      </c>
      <c r="C8" s="1">
        <f>'Reorganised Statements'!D53</f>
        <v>3734</v>
      </c>
      <c r="D8" s="1">
        <f>'Reorganised Statements'!E53</f>
        <v>4633</v>
      </c>
      <c r="E8" s="1">
        <f>'Reorganised Statements'!F53</f>
        <v>5268</v>
      </c>
      <c r="F8" s="360">
        <f>'Reorganised Statements'!G53</f>
        <v>6046</v>
      </c>
      <c r="G8" s="1"/>
      <c r="H8" s="1"/>
      <c r="I8" s="1"/>
      <c r="J8" s="1"/>
      <c r="K8" s="360"/>
      <c r="L8" s="1"/>
      <c r="M8" s="1"/>
      <c r="N8" s="1"/>
      <c r="O8" s="1"/>
      <c r="P8" s="1"/>
      <c r="Q8" s="1"/>
      <c r="R8" s="362"/>
      <c r="S8" s="763" t="s">
        <v>547</v>
      </c>
      <c r="T8" s="361">
        <f>-D15/D10</f>
        <v>0.50644007155635062</v>
      </c>
      <c r="U8" s="361">
        <f t="shared" ref="U8:V8" si="0">-E15/E10</f>
        <v>0.53356721416042097</v>
      </c>
      <c r="V8" s="422">
        <f t="shared" si="0"/>
        <v>0.56220162875596746</v>
      </c>
      <c r="W8" s="52"/>
      <c r="X8" s="592"/>
      <c r="Y8" s="52"/>
      <c r="Z8" s="52"/>
      <c r="AA8" s="1"/>
      <c r="AB8" s="421"/>
      <c r="AC8" s="1"/>
      <c r="AD8" s="1"/>
      <c r="AE8" s="1"/>
      <c r="AF8" s="1"/>
      <c r="AG8" s="1"/>
      <c r="AH8" s="1"/>
      <c r="AI8" s="1"/>
      <c r="AJ8" s="1"/>
      <c r="AK8" s="1"/>
      <c r="AL8" s="1"/>
      <c r="AM8" s="1"/>
      <c r="AN8" s="1"/>
      <c r="AO8" s="1"/>
      <c r="AP8" s="1"/>
      <c r="AQ8" s="1"/>
      <c r="AR8" s="1"/>
      <c r="AS8" s="1"/>
      <c r="AT8" s="1"/>
      <c r="AU8" s="1"/>
      <c r="AV8" s="1"/>
      <c r="AW8" s="1"/>
      <c r="AX8" s="1"/>
      <c r="AY8" s="1"/>
      <c r="AZ8" s="1"/>
      <c r="BA8" s="1"/>
      <c r="BB8" s="1"/>
      <c r="BC8" s="1"/>
    </row>
    <row r="9" spans="1:55">
      <c r="A9" s="577" t="s">
        <v>169</v>
      </c>
      <c r="B9" s="1">
        <f>'Reorganised Statements'!C54</f>
        <v>785</v>
      </c>
      <c r="C9" s="1">
        <f>'Reorganised Statements'!D54</f>
        <v>847</v>
      </c>
      <c r="D9" s="1">
        <f>'Reorganised Statements'!E54</f>
        <v>957</v>
      </c>
      <c r="E9" s="1">
        <f>'Reorganised Statements'!F54</f>
        <v>1003</v>
      </c>
      <c r="F9" s="360">
        <f>'Reorganised Statements'!G54</f>
        <v>1076</v>
      </c>
      <c r="G9" s="1"/>
      <c r="H9" s="1"/>
      <c r="I9" s="1"/>
      <c r="J9" s="1"/>
      <c r="K9" s="360"/>
      <c r="L9" s="1"/>
      <c r="M9" s="1"/>
      <c r="N9" s="1"/>
      <c r="O9" s="1"/>
      <c r="P9" s="1"/>
      <c r="Q9" s="1"/>
      <c r="R9" s="402"/>
      <c r="S9" s="763" t="s">
        <v>747</v>
      </c>
      <c r="T9" s="361">
        <f>AVERAGE(T8:V8)</f>
        <v>0.53406963815757968</v>
      </c>
      <c r="U9" s="361"/>
      <c r="V9" s="273"/>
      <c r="W9" s="52"/>
      <c r="X9" s="52"/>
      <c r="Y9" s="52"/>
      <c r="Z9" s="52"/>
      <c r="AA9" s="1"/>
      <c r="AB9" s="421"/>
      <c r="AC9" s="1"/>
      <c r="AD9" s="1"/>
      <c r="AE9" s="1"/>
      <c r="AF9" s="1"/>
      <c r="AG9" s="1"/>
      <c r="AH9" s="1"/>
      <c r="AI9" s="1"/>
      <c r="AJ9" s="1"/>
      <c r="AK9" s="1"/>
      <c r="AL9" s="1"/>
      <c r="AM9" s="1"/>
      <c r="AN9" s="1"/>
      <c r="AO9" s="1"/>
      <c r="AP9" s="1"/>
      <c r="AQ9" s="1"/>
      <c r="AR9" s="1"/>
      <c r="AS9" s="1"/>
      <c r="AT9" s="1"/>
      <c r="AU9" s="1"/>
      <c r="AV9" s="1"/>
      <c r="AW9" s="1"/>
      <c r="AX9" s="1"/>
      <c r="AY9" s="1"/>
      <c r="AZ9" s="1"/>
      <c r="BA9" s="1"/>
      <c r="BB9" s="1"/>
      <c r="BC9" s="1"/>
    </row>
    <row r="10" spans="1:55">
      <c r="A10" s="782" t="s">
        <v>546</v>
      </c>
      <c r="B10" s="493">
        <f>B8+B9</f>
        <v>4732</v>
      </c>
      <c r="C10" s="493">
        <f t="shared" ref="C10:F10" si="1">C8+C9</f>
        <v>4581</v>
      </c>
      <c r="D10" s="493">
        <f t="shared" si="1"/>
        <v>5590</v>
      </c>
      <c r="E10" s="493">
        <f t="shared" si="1"/>
        <v>6271</v>
      </c>
      <c r="F10" s="494">
        <f t="shared" si="1"/>
        <v>7122</v>
      </c>
      <c r="G10" s="493">
        <f>G25/G26</f>
        <v>7229.9878811512444</v>
      </c>
      <c r="H10" s="493">
        <f t="shared" ref="H10:J10" si="2">H25/H26</f>
        <v>7339.613136983131</v>
      </c>
      <c r="I10" s="493">
        <f t="shared" si="2"/>
        <v>7450.9005943171169</v>
      </c>
      <c r="J10" s="493">
        <f t="shared" si="2"/>
        <v>7563.8754564132787</v>
      </c>
      <c r="K10" s="494">
        <f>K25/K26</f>
        <v>7675.7218275645055</v>
      </c>
      <c r="L10" s="1"/>
      <c r="M10" s="1"/>
      <c r="N10" s="1"/>
      <c r="O10" s="1"/>
      <c r="P10" s="1"/>
      <c r="Q10" s="1"/>
      <c r="R10" s="402"/>
      <c r="S10" s="763"/>
      <c r="T10" s="361"/>
      <c r="U10" s="361"/>
      <c r="V10" s="273"/>
      <c r="W10" s="52"/>
      <c r="X10" s="361"/>
      <c r="Y10" s="361"/>
      <c r="Z10" s="361"/>
      <c r="AA10" s="362"/>
      <c r="AB10" s="362"/>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row>
    <row r="11" spans="1:55">
      <c r="A11" s="96" t="s">
        <v>173</v>
      </c>
      <c r="B11" s="443">
        <f>'Reorganised Statements'!C56</f>
        <v>189</v>
      </c>
      <c r="C11" s="443">
        <f>'Reorganised Statements'!D56</f>
        <v>279</v>
      </c>
      <c r="D11" s="443">
        <f>'Reorganised Statements'!E56</f>
        <v>206</v>
      </c>
      <c r="E11" s="443">
        <f>'Reorganised Statements'!F56</f>
        <v>223</v>
      </c>
      <c r="F11" s="444">
        <f>'Reorganised Statements'!G56</f>
        <v>202</v>
      </c>
      <c r="G11" s="443">
        <f>G10*T6</f>
        <v>231.0824726511394</v>
      </c>
      <c r="H11" s="443">
        <f>T6*H10</f>
        <v>234.58627868775648</v>
      </c>
      <c r="I11" s="443">
        <f>T6*I10</f>
        <v>238.14321145701319</v>
      </c>
      <c r="J11" s="443">
        <f>T6*J10</f>
        <v>241.7540764971418</v>
      </c>
      <c r="K11" s="444">
        <f>T6*K10</f>
        <v>245.32887308429278</v>
      </c>
      <c r="L11" s="1"/>
      <c r="M11" s="1"/>
      <c r="N11" s="1"/>
      <c r="O11" s="1"/>
      <c r="P11" s="1"/>
      <c r="Q11" s="1"/>
      <c r="R11" s="362"/>
      <c r="S11" s="763" t="s">
        <v>548</v>
      </c>
      <c r="T11" s="361">
        <f>-D16/D10</f>
        <v>0.15205724508050089</v>
      </c>
      <c r="U11" s="361">
        <f t="shared" ref="U11:V11" si="3">-E16/E10</f>
        <v>0.15723170148301707</v>
      </c>
      <c r="V11" s="422">
        <f t="shared" si="3"/>
        <v>0.16175231676495366</v>
      </c>
      <c r="W11" s="52"/>
      <c r="X11" s="592"/>
      <c r="Y11" s="52"/>
      <c r="Z11" s="52"/>
      <c r="AA11" s="1"/>
      <c r="AB11" s="42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row>
    <row r="12" spans="1:55">
      <c r="A12" s="71" t="s">
        <v>457</v>
      </c>
      <c r="B12" s="434">
        <f>B8+B9+B11</f>
        <v>4921</v>
      </c>
      <c r="C12" s="434">
        <f t="shared" ref="C12:F12" si="4">C8+C9+C11</f>
        <v>4860</v>
      </c>
      <c r="D12" s="434">
        <f t="shared" si="4"/>
        <v>5796</v>
      </c>
      <c r="E12" s="434">
        <f t="shared" si="4"/>
        <v>6494</v>
      </c>
      <c r="F12" s="435">
        <f t="shared" si="4"/>
        <v>7324</v>
      </c>
      <c r="G12" s="434">
        <f>G10+G11</f>
        <v>7461.0703538023836</v>
      </c>
      <c r="H12" s="434">
        <f t="shared" ref="H12:K12" si="5">H10+H11</f>
        <v>7574.1994156708879</v>
      </c>
      <c r="I12" s="434">
        <f t="shared" si="5"/>
        <v>7689.0438057741303</v>
      </c>
      <c r="J12" s="434">
        <f t="shared" si="5"/>
        <v>7805.6295329104205</v>
      </c>
      <c r="K12" s="435">
        <f t="shared" si="5"/>
        <v>7921.0507006487978</v>
      </c>
      <c r="L12" s="1"/>
      <c r="M12" s="1"/>
      <c r="N12" s="1"/>
      <c r="O12" s="1"/>
      <c r="P12" s="1"/>
      <c r="Q12" s="1"/>
      <c r="R12" s="402"/>
      <c r="S12" s="763" t="s">
        <v>747</v>
      </c>
      <c r="T12" s="361">
        <f>AVERAGE(T11:V11)</f>
        <v>0.15701375444282387</v>
      </c>
      <c r="U12" s="361"/>
      <c r="V12" s="273"/>
      <c r="W12" s="52"/>
      <c r="X12" s="52"/>
      <c r="Y12" s="52"/>
      <c r="Z12" s="52"/>
      <c r="AA12" s="1"/>
      <c r="AB12" s="42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row>
    <row r="13" spans="1:55">
      <c r="A13" s="577"/>
      <c r="B13" s="1"/>
      <c r="C13" s="1"/>
      <c r="D13" s="421"/>
      <c r="E13" s="421"/>
      <c r="F13" s="360"/>
      <c r="G13" s="1"/>
      <c r="H13" s="1"/>
      <c r="I13" s="1"/>
      <c r="J13" s="1"/>
      <c r="K13" s="360"/>
      <c r="L13" s="1"/>
      <c r="M13" s="1"/>
      <c r="N13" s="1"/>
      <c r="O13" s="1"/>
      <c r="P13" s="1"/>
      <c r="Q13" s="1"/>
      <c r="R13" s="402"/>
      <c r="S13" s="763"/>
      <c r="T13" s="361"/>
      <c r="U13" s="361"/>
      <c r="V13" s="273"/>
      <c r="W13" s="52"/>
      <c r="X13" s="361"/>
      <c r="Y13" s="361"/>
      <c r="Z13" s="361"/>
      <c r="AA13" s="1"/>
      <c r="AB13" s="42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row>
    <row r="14" spans="1:55">
      <c r="A14" s="96" t="s">
        <v>493</v>
      </c>
      <c r="B14" s="101"/>
      <c r="C14" s="101"/>
      <c r="D14" s="366"/>
      <c r="E14" s="366"/>
      <c r="F14" s="99"/>
      <c r="G14" s="101"/>
      <c r="H14" s="101"/>
      <c r="I14" s="101"/>
      <c r="J14" s="101"/>
      <c r="K14" s="99"/>
      <c r="L14" s="1"/>
      <c r="M14" s="1"/>
      <c r="N14" s="1"/>
      <c r="O14" s="1"/>
      <c r="P14" s="1"/>
      <c r="Q14" s="1"/>
      <c r="R14" s="362"/>
      <c r="S14" s="763" t="s">
        <v>549</v>
      </c>
      <c r="T14" s="361">
        <f>-D18/D10</f>
        <v>0.11359570661896243</v>
      </c>
      <c r="U14" s="361">
        <f t="shared" ref="U14:V14" si="6">-E18/E10</f>
        <v>0.10604369319087865</v>
      </c>
      <c r="V14" s="422">
        <f t="shared" si="6"/>
        <v>9.828699803426004E-2</v>
      </c>
      <c r="W14" s="52"/>
      <c r="X14" s="592"/>
      <c r="Y14" s="52"/>
      <c r="Z14" s="52"/>
      <c r="AA14" s="1"/>
      <c r="AB14" s="42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row>
    <row r="15" spans="1:55" ht="15" thickBot="1">
      <c r="A15" s="577" t="s">
        <v>177</v>
      </c>
      <c r="B15" s="1">
        <f xml:space="preserve"> 'Reorganised Statements'!C58</f>
        <v>-2286</v>
      </c>
      <c r="C15" s="1">
        <f xml:space="preserve"> 'Reorganised Statements'!D58</f>
        <v>-2101</v>
      </c>
      <c r="D15" s="1">
        <f xml:space="preserve"> 'Reorganised Statements'!E58</f>
        <v>-2831</v>
      </c>
      <c r="E15" s="1">
        <f xml:space="preserve"> 'Reorganised Statements'!F58</f>
        <v>-3346</v>
      </c>
      <c r="F15" s="360">
        <f xml:space="preserve"> 'Reorganised Statements'!G58</f>
        <v>-4004</v>
      </c>
      <c r="G15" s="433">
        <f>-G10*T9</f>
        <v>-3861.3170115701314</v>
      </c>
      <c r="H15" s="433">
        <f>-H10*T9</f>
        <v>-3919.8645322851989</v>
      </c>
      <c r="I15" s="433">
        <f>-I10*T9</f>
        <v>-3979.2997843550379</v>
      </c>
      <c r="J15" s="433">
        <f>-T9*J10</f>
        <v>-4039.6362280756375</v>
      </c>
      <c r="K15" s="445">
        <f>-T9*K10</f>
        <v>-4099.3699790456121</v>
      </c>
      <c r="L15" s="1"/>
      <c r="M15" s="1"/>
      <c r="N15" s="1"/>
      <c r="O15" s="1"/>
      <c r="P15" s="1"/>
      <c r="Q15" s="1"/>
      <c r="R15" s="402"/>
      <c r="S15" s="766" t="s">
        <v>747</v>
      </c>
      <c r="T15" s="481">
        <f>AVERAGE(T14:V14)</f>
        <v>0.10597546594803371</v>
      </c>
      <c r="U15" s="481"/>
      <c r="V15" s="276"/>
      <c r="W15" s="52"/>
      <c r="X15" s="52"/>
      <c r="Y15" s="52"/>
      <c r="Z15" s="52"/>
      <c r="AA15" s="1"/>
      <c r="AB15" s="42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row>
    <row r="16" spans="1:55">
      <c r="A16" s="577" t="s">
        <v>179</v>
      </c>
      <c r="B16" s="1">
        <f xml:space="preserve"> 'Reorganised Statements'!C59</f>
        <v>-706</v>
      </c>
      <c r="C16" s="1">
        <f xml:space="preserve"> 'Reorganised Statements'!D59</f>
        <v>-758</v>
      </c>
      <c r="D16" s="1">
        <f xml:space="preserve"> 'Reorganised Statements'!E59</f>
        <v>-850</v>
      </c>
      <c r="E16" s="1">
        <f xml:space="preserve"> 'Reorganised Statements'!F59</f>
        <v>-986</v>
      </c>
      <c r="F16" s="360">
        <f xml:space="preserve"> 'Reorganised Statements'!G59</f>
        <v>-1152</v>
      </c>
      <c r="G16" s="433">
        <f>-T12*G10</f>
        <v>-1135.2075417956739</v>
      </c>
      <c r="H16" s="433">
        <f>-T12*H10</f>
        <v>-1152.4202147955934</v>
      </c>
      <c r="I16" s="433">
        <f>-T12*I10</f>
        <v>-1169.8938762939981</v>
      </c>
      <c r="J16" s="433">
        <f>-T12*J10</f>
        <v>-1187.6324835493767</v>
      </c>
      <c r="K16" s="445">
        <f>-T12*K10</f>
        <v>-1205.1939022046365</v>
      </c>
      <c r="L16" s="1"/>
      <c r="M16" s="1"/>
      <c r="N16" s="1"/>
      <c r="O16" s="1"/>
      <c r="P16" s="1"/>
      <c r="Q16" s="1"/>
      <c r="R16" s="1"/>
      <c r="S16" s="1"/>
      <c r="T16" s="52"/>
      <c r="U16" s="52"/>
      <c r="V16" s="52"/>
      <c r="W16" s="52"/>
      <c r="X16" s="361"/>
      <c r="Y16" s="361"/>
      <c r="Z16" s="361"/>
      <c r="AA16" s="1"/>
      <c r="AB16" s="42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row>
    <row r="17" spans="1:55">
      <c r="A17" s="577" t="s">
        <v>183</v>
      </c>
      <c r="B17" s="1">
        <f xml:space="preserve"> 'Reorganised Statements'!C60</f>
        <v>-252</v>
      </c>
      <c r="C17" s="1">
        <f xml:space="preserve"> 'Reorganised Statements'!D60</f>
        <v>-243</v>
      </c>
      <c r="D17" s="1">
        <f xml:space="preserve"> 'Reorganised Statements'!E60</f>
        <v>-281</v>
      </c>
      <c r="E17" s="1">
        <f xml:space="preserve"> 'Reorganised Statements'!F60</f>
        <v>-266</v>
      </c>
      <c r="F17" s="360">
        <f xml:space="preserve"> 'Reorganised Statements'!G60</f>
        <v>-234</v>
      </c>
      <c r="G17" s="433">
        <f>(G19-G15-G16-G18)</f>
        <v>-394.3485356689381</v>
      </c>
      <c r="H17" s="433">
        <f t="shared" ref="H17:K17" si="7">(H19-H15-H16-H18)</f>
        <v>-346.13352111880317</v>
      </c>
      <c r="I17" s="433">
        <f t="shared" si="7"/>
        <v>-294.11338730152363</v>
      </c>
      <c r="J17" s="433">
        <f t="shared" si="7"/>
        <v>-238.05606978490357</v>
      </c>
      <c r="K17" s="445">
        <f t="shared" si="7"/>
        <v>-177.04862284693229</v>
      </c>
      <c r="L17" s="1"/>
      <c r="M17" s="1"/>
      <c r="N17" s="1"/>
      <c r="O17" s="1"/>
      <c r="P17" s="1"/>
      <c r="Q17" s="1"/>
      <c r="R17" s="1"/>
      <c r="S17" s="1"/>
      <c r="T17" s="52"/>
      <c r="U17" s="52"/>
      <c r="V17" s="52"/>
      <c r="W17" s="52"/>
      <c r="X17" s="592"/>
      <c r="Y17" s="52"/>
      <c r="Z17" s="52"/>
      <c r="AA17" s="1"/>
      <c r="AB17" s="42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row>
    <row r="18" spans="1:55">
      <c r="A18" s="96" t="s">
        <v>310</v>
      </c>
      <c r="B18" s="101">
        <f xml:space="preserve"> 'Reorganised Statements'!C61</f>
        <v>-629</v>
      </c>
      <c r="C18" s="101">
        <f xml:space="preserve"> 'Reorganised Statements'!D61</f>
        <v>-596</v>
      </c>
      <c r="D18" s="101">
        <f xml:space="preserve"> 'Reorganised Statements'!E61</f>
        <v>-635</v>
      </c>
      <c r="E18" s="101">
        <f xml:space="preserve"> 'Reorganised Statements'!F61</f>
        <v>-665</v>
      </c>
      <c r="F18" s="99">
        <f xml:space="preserve"> 'Reorganised Statements'!G61</f>
        <v>-700</v>
      </c>
      <c r="G18" s="443">
        <f>-T15*G10</f>
        <v>-766.20133450364017</v>
      </c>
      <c r="H18" s="443">
        <f>-T15*H10</f>
        <v>-777.81892207009673</v>
      </c>
      <c r="I18" s="443">
        <f>-T15*I10</f>
        <v>-789.61266221523772</v>
      </c>
      <c r="J18" s="443">
        <f>-T15*J10</f>
        <v>-801.5852258662934</v>
      </c>
      <c r="K18" s="444">
        <f>-T15*K10</f>
        <v>-813.43819716364135</v>
      </c>
      <c r="L18" s="1"/>
      <c r="M18" s="1"/>
      <c r="N18" s="1"/>
      <c r="O18" s="1"/>
      <c r="P18" s="1"/>
      <c r="Q18" s="1"/>
      <c r="R18" s="1"/>
      <c r="S18" s="1"/>
      <c r="T18" s="1"/>
      <c r="U18" s="1"/>
      <c r="V18" s="1"/>
      <c r="W18" s="1"/>
      <c r="X18" s="1"/>
      <c r="Y18" s="1"/>
      <c r="Z18" s="1"/>
      <c r="AA18" s="1"/>
      <c r="AB18" s="42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row>
    <row r="19" spans="1:55">
      <c r="A19" s="71" t="s">
        <v>494</v>
      </c>
      <c r="B19" s="421">
        <f>B15+B16+B17+B18</f>
        <v>-3873</v>
      </c>
      <c r="C19" s="421">
        <f t="shared" ref="C19:F19" si="8">C15+C16+C17+C18</f>
        <v>-3698</v>
      </c>
      <c r="D19" s="421">
        <f t="shared" si="8"/>
        <v>-4597</v>
      </c>
      <c r="E19" s="421">
        <f t="shared" si="8"/>
        <v>-5263</v>
      </c>
      <c r="F19" s="432">
        <f t="shared" si="8"/>
        <v>-6090</v>
      </c>
      <c r="G19" s="434">
        <f>-(G12-G25)</f>
        <v>-6157.0744235383836</v>
      </c>
      <c r="H19" s="434">
        <f t="shared" ref="H19:K19" si="9">-(H12-H25)</f>
        <v>-6196.2371902696923</v>
      </c>
      <c r="I19" s="434">
        <f t="shared" si="9"/>
        <v>-6232.9197101657974</v>
      </c>
      <c r="J19" s="434">
        <f t="shared" si="9"/>
        <v>-6266.9100072762112</v>
      </c>
      <c r="K19" s="435">
        <f t="shared" si="9"/>
        <v>-6295.0507012608223</v>
      </c>
      <c r="L19" s="1"/>
      <c r="M19" s="1"/>
      <c r="N19" s="1"/>
      <c r="O19" s="1"/>
      <c r="P19" s="1"/>
      <c r="Q19" s="1"/>
      <c r="R19" s="1"/>
      <c r="S19" s="1"/>
      <c r="T19" s="1"/>
      <c r="U19" s="1"/>
      <c r="V19" s="1"/>
      <c r="W19" s="1"/>
      <c r="X19" s="1"/>
      <c r="Y19" s="1"/>
      <c r="Z19" s="1"/>
      <c r="AA19" s="1"/>
      <c r="AB19" s="42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row>
    <row r="20" spans="1:55">
      <c r="A20" s="577"/>
      <c r="B20" s="1"/>
      <c r="C20" s="1"/>
      <c r="D20" s="421"/>
      <c r="E20" s="421"/>
      <c r="F20" s="360"/>
      <c r="G20" s="1"/>
      <c r="H20" s="1"/>
      <c r="I20" s="1"/>
      <c r="J20" s="1"/>
      <c r="K20" s="360"/>
      <c r="L20" s="1"/>
      <c r="M20" s="1"/>
      <c r="N20" s="1"/>
      <c r="O20" s="1"/>
      <c r="P20" s="1"/>
      <c r="Q20" s="1"/>
      <c r="R20" s="1"/>
      <c r="S20" s="1"/>
      <c r="T20" s="1"/>
      <c r="U20" s="1"/>
      <c r="V20" s="1"/>
      <c r="W20" s="1"/>
      <c r="X20" s="1"/>
      <c r="Y20" s="1"/>
      <c r="Z20" s="1"/>
      <c r="AA20" s="1"/>
      <c r="AB20" s="42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row>
    <row r="21" spans="1:55">
      <c r="A21" s="577" t="s">
        <v>761</v>
      </c>
      <c r="B21" s="362">
        <f>-(B19/B12)</f>
        <v>0.78703515545620806</v>
      </c>
      <c r="C21" s="362">
        <f t="shared" ref="C21:F21" si="10">-(C19/C12)</f>
        <v>0.76090534979423863</v>
      </c>
      <c r="D21" s="362">
        <f t="shared" si="10"/>
        <v>0.79313319530710835</v>
      </c>
      <c r="E21" s="362">
        <f t="shared" si="10"/>
        <v>0.81044040652910376</v>
      </c>
      <c r="F21" s="424">
        <f t="shared" si="10"/>
        <v>0.83151283451665758</v>
      </c>
      <c r="G21" s="362">
        <f>-(G19/G12)</f>
        <v>0.82522669423704809</v>
      </c>
      <c r="H21" s="362">
        <f t="shared" ref="H21:J21" si="11">-(H19/H12)</f>
        <v>0.81807156772896483</v>
      </c>
      <c r="I21" s="362">
        <f t="shared" si="11"/>
        <v>0.8106235141338578</v>
      </c>
      <c r="J21" s="362">
        <f t="shared" si="11"/>
        <v>0.80287054117203538</v>
      </c>
      <c r="K21" s="424">
        <f>-(K19/K12)</f>
        <v>0.79472420252848619</v>
      </c>
      <c r="L21" s="1"/>
      <c r="M21" s="1"/>
      <c r="N21" s="1"/>
      <c r="O21" s="1"/>
      <c r="P21" s="1"/>
      <c r="Q21" s="1"/>
      <c r="R21" s="1"/>
      <c r="S21" s="1"/>
      <c r="T21" s="1"/>
      <c r="U21" s="1"/>
      <c r="V21" s="1"/>
      <c r="W21" s="1"/>
      <c r="X21" s="1"/>
      <c r="Y21" s="1"/>
      <c r="Z21" s="1"/>
      <c r="AA21" s="1"/>
      <c r="AB21" s="42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row>
    <row r="22" spans="1:55">
      <c r="A22" s="577"/>
      <c r="B22" s="1"/>
      <c r="C22" s="1"/>
      <c r="D22" s="421"/>
      <c r="E22" s="421"/>
      <c r="F22" s="360"/>
      <c r="G22" s="1"/>
      <c r="H22" s="1"/>
      <c r="I22" s="1"/>
      <c r="J22" s="1"/>
      <c r="K22" s="360"/>
      <c r="L22" s="1"/>
      <c r="M22" s="1"/>
      <c r="N22" s="1"/>
      <c r="O22" s="1"/>
      <c r="P22" s="1"/>
      <c r="Q22" s="1"/>
      <c r="R22" s="1"/>
      <c r="S22" s="1"/>
      <c r="T22" s="1"/>
      <c r="U22" s="1"/>
      <c r="V22" s="1"/>
      <c r="W22" s="1"/>
      <c r="X22" s="1"/>
      <c r="Y22" s="1"/>
      <c r="Z22" s="1"/>
      <c r="AA22" s="1"/>
      <c r="AB22" s="42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row>
    <row r="23" spans="1:55">
      <c r="A23" s="577"/>
      <c r="B23" s="1"/>
      <c r="C23" s="1"/>
      <c r="D23" s="421"/>
      <c r="E23" s="421"/>
      <c r="F23" s="360"/>
      <c r="G23" s="1"/>
      <c r="H23" s="1"/>
      <c r="I23" s="1"/>
      <c r="J23" s="1"/>
      <c r="K23" s="360"/>
      <c r="L23" s="1"/>
      <c r="M23" s="1"/>
      <c r="N23" s="1"/>
      <c r="O23" s="1"/>
      <c r="P23" s="1"/>
      <c r="Q23" s="1"/>
      <c r="R23" s="1"/>
      <c r="S23" s="1"/>
      <c r="T23" s="1"/>
      <c r="U23" s="1"/>
      <c r="V23" s="1"/>
      <c r="W23" s="1"/>
      <c r="X23" s="1"/>
      <c r="Y23" s="1"/>
      <c r="Z23" s="1"/>
      <c r="AA23" s="1"/>
      <c r="AB23" s="42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row>
    <row r="24" spans="1:55" ht="15" thickBot="1">
      <c r="A24" s="96"/>
      <c r="B24" s="101"/>
      <c r="C24" s="101"/>
      <c r="D24" s="366"/>
      <c r="E24" s="366"/>
      <c r="F24" s="99"/>
      <c r="G24" s="101"/>
      <c r="H24" s="101"/>
      <c r="I24" s="101"/>
      <c r="J24" s="101"/>
      <c r="K24" s="360"/>
      <c r="L24" s="1"/>
      <c r="M24" s="1"/>
      <c r="N24" s="1"/>
      <c r="O24" s="1"/>
      <c r="P24" s="1"/>
      <c r="Q24" s="1"/>
      <c r="R24" s="1"/>
      <c r="S24" s="1"/>
      <c r="T24" s="1"/>
      <c r="U24" s="1"/>
      <c r="V24" s="1"/>
      <c r="W24" s="1"/>
      <c r="X24" s="1"/>
      <c r="Y24" s="1"/>
      <c r="Z24" s="1"/>
      <c r="AA24" s="1"/>
      <c r="AB24" s="42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row>
    <row r="25" spans="1:55" ht="15" thickBot="1">
      <c r="A25" s="436" t="s">
        <v>550</v>
      </c>
      <c r="B25" s="437">
        <f>B12+B19</f>
        <v>1048</v>
      </c>
      <c r="C25" s="437">
        <f t="shared" ref="C25:F25" si="12">C12+C19</f>
        <v>1162</v>
      </c>
      <c r="D25" s="437">
        <f t="shared" si="12"/>
        <v>1199</v>
      </c>
      <c r="E25" s="437">
        <f t="shared" si="12"/>
        <v>1231</v>
      </c>
      <c r="F25" s="438">
        <f t="shared" si="12"/>
        <v>1234</v>
      </c>
      <c r="G25" s="439">
        <f>(1+0.056722796)*F25</f>
        <v>1303.995930264</v>
      </c>
      <c r="H25" s="439">
        <f t="shared" ref="H25:K25" si="13">(1+0.056722796)*G25</f>
        <v>1377.9622254011952</v>
      </c>
      <c r="I25" s="439">
        <f t="shared" si="13"/>
        <v>1456.1240956083332</v>
      </c>
      <c r="J25" s="439">
        <f t="shared" si="13"/>
        <v>1538.7195256342093</v>
      </c>
      <c r="K25" s="806">
        <f t="shared" si="13"/>
        <v>1625.9999993879753</v>
      </c>
      <c r="L25" s="1"/>
      <c r="M25" s="1"/>
      <c r="N25" s="1"/>
      <c r="O25" s="1"/>
      <c r="P25" s="1"/>
      <c r="Q25" s="1"/>
      <c r="R25" s="1"/>
      <c r="S25" s="1"/>
      <c r="T25" s="1"/>
      <c r="U25" s="1"/>
      <c r="V25" s="1"/>
      <c r="W25" s="1"/>
      <c r="X25" s="1"/>
      <c r="Y25" s="1"/>
      <c r="Z25" s="1"/>
      <c r="AA25" s="1"/>
      <c r="AB25" s="42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row>
    <row r="26" spans="1:55">
      <c r="A26" s="96" t="s">
        <v>551</v>
      </c>
      <c r="B26" s="440">
        <f>B25/B10</f>
        <v>0.22147083685545224</v>
      </c>
      <c r="C26" s="440">
        <f t="shared" ref="C26:F26" si="14">C25/C10</f>
        <v>0.25365640689805719</v>
      </c>
      <c r="D26" s="440">
        <f t="shared" si="14"/>
        <v>0.21449016100178891</v>
      </c>
      <c r="E26" s="440">
        <f t="shared" si="14"/>
        <v>0.19630043055334079</v>
      </c>
      <c r="F26" s="441">
        <f t="shared" si="14"/>
        <v>0.17326593653468128</v>
      </c>
      <c r="G26" s="440">
        <f>(1+0.04093947)*F26</f>
        <v>0.18035935214546478</v>
      </c>
      <c r="H26" s="440">
        <f t="shared" ref="H26:J26" si="15">(1+0.04093947)*G26</f>
        <v>0.18774316843184349</v>
      </c>
      <c r="I26" s="440">
        <f t="shared" si="15"/>
        <v>0.19542927424356391</v>
      </c>
      <c r="J26" s="440">
        <f t="shared" si="15"/>
        <v>0.20343004515358007</v>
      </c>
      <c r="K26" s="441">
        <f>AVERAGE(B26,C26,D26,E26,F26)</f>
        <v>0.21183675436866406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row>
    <row r="27" spans="1:55" ht="15" thickBot="1">
      <c r="A27" s="1"/>
      <c r="B27" s="1"/>
      <c r="C27" s="1"/>
      <c r="D27" s="1"/>
      <c r="E27" s="1"/>
      <c r="F27" s="360"/>
      <c r="G27" s="1"/>
      <c r="H27" s="1"/>
      <c r="I27" s="1"/>
      <c r="J27" s="1"/>
      <c r="K27" s="360"/>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row>
    <row r="28" spans="1:55" ht="15" thickBot="1">
      <c r="A28" s="428" t="s">
        <v>552</v>
      </c>
      <c r="B28" s="1"/>
      <c r="C28" s="1"/>
      <c r="D28" s="1"/>
      <c r="E28" s="1"/>
      <c r="F28" s="360"/>
      <c r="G28" s="1"/>
      <c r="H28" s="1"/>
      <c r="I28" s="1"/>
      <c r="J28" s="1"/>
      <c r="K28" s="360"/>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row>
    <row r="29" spans="1:55">
      <c r="A29" s="442"/>
      <c r="B29" s="1"/>
      <c r="C29" s="1"/>
      <c r="D29" s="1"/>
      <c r="E29" s="1"/>
      <c r="F29" s="360"/>
      <c r="G29" s="1"/>
      <c r="H29" s="1"/>
      <c r="I29" s="1"/>
      <c r="J29" s="1"/>
      <c r="K29" s="360"/>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row>
    <row r="30" spans="1:55">
      <c r="A30" s="431" t="s">
        <v>553</v>
      </c>
      <c r="B30" s="101">
        <f xml:space="preserve"> 'Reorganised Statements'!C5+'Reorganised Statements'!C6</f>
        <v>6415</v>
      </c>
      <c r="C30" s="101">
        <f xml:space="preserve"> 'Reorganised Statements'!D5+'Reorganised Statements'!D6</f>
        <v>6833</v>
      </c>
      <c r="D30" s="101">
        <f xml:space="preserve"> 'Reorganised Statements'!E5+'Reorganised Statements'!E6</f>
        <v>6469</v>
      </c>
      <c r="E30" s="101">
        <f xml:space="preserve"> 'Reorganised Statements'!F5+'Reorganised Statements'!F6</f>
        <v>6922</v>
      </c>
      <c r="F30" s="99">
        <f xml:space="preserve"> 'Reorganised Statements'!G5+'Reorganised Statements'!G6</f>
        <v>7248</v>
      </c>
      <c r="G30" s="443">
        <f>G31+G32</f>
        <v>7509.2239672032174</v>
      </c>
      <c r="H30" s="443">
        <f t="shared" ref="H30:K30" si="16">H31+H32</f>
        <v>7765.5960602293999</v>
      </c>
      <c r="I30" s="443">
        <f t="shared" si="16"/>
        <v>8017.6005150802248</v>
      </c>
      <c r="J30" s="443">
        <f t="shared" si="16"/>
        <v>8265.6896991172107</v>
      </c>
      <c r="K30" s="444">
        <f t="shared" si="16"/>
        <v>8509.9453559661742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row>
    <row r="31" spans="1:55">
      <c r="A31" s="360" t="s">
        <v>554</v>
      </c>
      <c r="B31" s="1">
        <f>'Reorganised Statements'!C5</f>
        <v>5067</v>
      </c>
      <c r="C31" s="1">
        <f>'Reorganised Statements'!D5</f>
        <v>5129</v>
      </c>
      <c r="D31" s="1">
        <f>'Reorganised Statements'!E5</f>
        <v>4606</v>
      </c>
      <c r="E31" s="1">
        <f>'Reorganised Statements'!F5</f>
        <v>4620</v>
      </c>
      <c r="F31" s="360">
        <f>'Reorganised Statements'!G5</f>
        <v>4869</v>
      </c>
      <c r="G31" s="433">
        <f>G41</f>
        <v>4964.9255830968814</v>
      </c>
      <c r="H31" s="433">
        <f t="shared" ref="H31:K31" si="17">H41</f>
        <v>5060.1014455884615</v>
      </c>
      <c r="I31" s="433">
        <f t="shared" si="17"/>
        <v>5154.7360712934978</v>
      </c>
      <c r="J31" s="433">
        <f t="shared" si="17"/>
        <v>5249.0191767306296</v>
      </c>
      <c r="K31" s="445">
        <f t="shared" si="17"/>
        <v>5342.8950490737898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row>
    <row r="32" spans="1:55">
      <c r="A32" s="360" t="s">
        <v>555</v>
      </c>
      <c r="B32" s="1">
        <f>'Reorganised Statements'!C6</f>
        <v>1348</v>
      </c>
      <c r="C32" s="1">
        <f>'Reorganised Statements'!D6</f>
        <v>1704</v>
      </c>
      <c r="D32" s="1">
        <f>'Reorganised Statements'!E6</f>
        <v>1863</v>
      </c>
      <c r="E32" s="1">
        <f>'Reorganised Statements'!F6</f>
        <v>2302</v>
      </c>
      <c r="F32" s="360">
        <f>'Reorganised Statements'!G6</f>
        <v>2379</v>
      </c>
      <c r="G32" s="433">
        <f>G52</f>
        <v>2544.298384106336</v>
      </c>
      <c r="H32" s="433">
        <f t="shared" ref="H32:K32" si="18">H52</f>
        <v>2705.4946146409388</v>
      </c>
      <c r="I32" s="433">
        <f t="shared" si="18"/>
        <v>2862.864443786727</v>
      </c>
      <c r="J32" s="433">
        <f t="shared" si="18"/>
        <v>3016.670522386582</v>
      </c>
      <c r="K32" s="445">
        <f t="shared" si="18"/>
        <v>3167.050306892384</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row>
    <row r="33" spans="1:55">
      <c r="A33" s="360" t="s">
        <v>556</v>
      </c>
      <c r="B33" s="362">
        <f>B31/B30</f>
        <v>0.78986749805144196</v>
      </c>
      <c r="C33" s="362">
        <f t="shared" ref="C33:F33" si="19">C31/C30</f>
        <v>0.75062198156007609</v>
      </c>
      <c r="D33" s="362">
        <f t="shared" si="19"/>
        <v>0.71201113000463745</v>
      </c>
      <c r="E33" s="362">
        <f t="shared" si="19"/>
        <v>0.66743715689107197</v>
      </c>
      <c r="F33" s="424">
        <f t="shared" si="19"/>
        <v>0.67177152317880795</v>
      </c>
      <c r="G33" s="362">
        <f>G31/G30</f>
        <v>0.66117692118138405</v>
      </c>
      <c r="H33" s="362">
        <f t="shared" ref="H33:J33" si="20">H31/H30</f>
        <v>0.65160502894339101</v>
      </c>
      <c r="I33" s="362">
        <f t="shared" si="20"/>
        <v>0.6429275269574739</v>
      </c>
      <c r="J33" s="362">
        <f t="shared" si="20"/>
        <v>0.63503704685299689</v>
      </c>
      <c r="K33" s="424">
        <f>K31/K30</f>
        <v>0.62784128752694979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row>
    <row r="34" spans="1:55">
      <c r="A34" s="360" t="s">
        <v>557</v>
      </c>
      <c r="B34" s="362">
        <f>1-B33</f>
        <v>0.21013250194855804</v>
      </c>
      <c r="C34" s="362">
        <f t="shared" ref="C34:F34" si="21">1-C33</f>
        <v>0.24937801843992391</v>
      </c>
      <c r="D34" s="362">
        <f t="shared" si="21"/>
        <v>0.28798886999536255</v>
      </c>
      <c r="E34" s="362">
        <f t="shared" si="21"/>
        <v>0.33256284310892803</v>
      </c>
      <c r="F34" s="424">
        <f t="shared" si="21"/>
        <v>0.32822847682119205</v>
      </c>
      <c r="G34" s="362">
        <f>G32/G30</f>
        <v>0.33882307881861601</v>
      </c>
      <c r="H34" s="362">
        <f t="shared" ref="H34:J34" si="22">H32/H30</f>
        <v>0.34839497105660905</v>
      </c>
      <c r="I34" s="362">
        <f t="shared" si="22"/>
        <v>0.3570724730425261</v>
      </c>
      <c r="J34" s="362">
        <f t="shared" si="22"/>
        <v>0.36496295314700328</v>
      </c>
      <c r="K34" s="425">
        <f>1-K33</f>
        <v>0.37215871247305021</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row>
    <row r="35" spans="1:55" ht="15" thickBot="1">
      <c r="A35" s="360"/>
      <c r="B35" s="1"/>
      <c r="C35" s="1"/>
      <c r="D35" s="1"/>
      <c r="E35" s="1"/>
      <c r="F35" s="360"/>
      <c r="G35" s="1"/>
      <c r="H35" s="1"/>
      <c r="I35" s="1"/>
      <c r="J35" s="1"/>
      <c r="K35" s="360"/>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row>
    <row r="36" spans="1:55" ht="15" thickBot="1">
      <c r="A36" s="431" t="s">
        <v>558</v>
      </c>
      <c r="B36" s="101"/>
      <c r="C36" s="101"/>
      <c r="D36" s="101"/>
      <c r="E36" s="101"/>
      <c r="F36" s="99"/>
      <c r="G36" s="101"/>
      <c r="H36" s="101"/>
      <c r="I36" s="101"/>
      <c r="J36" s="101"/>
      <c r="K36" s="99"/>
      <c r="L36" s="1"/>
      <c r="M36" s="1"/>
      <c r="N36" s="1"/>
      <c r="O36" s="1"/>
      <c r="P36" s="1"/>
      <c r="Q36" s="1"/>
      <c r="R36" s="1"/>
      <c r="S36" s="331" t="s">
        <v>419</v>
      </c>
      <c r="T36" s="332"/>
      <c r="U36" s="332"/>
      <c r="V36" s="332"/>
      <c r="W36" s="332"/>
      <c r="X36" s="446"/>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c r="A37" s="360" t="s">
        <v>760</v>
      </c>
      <c r="B37" s="1"/>
      <c r="C37" s="1"/>
      <c r="D37" s="1"/>
      <c r="E37" s="1"/>
      <c r="F37" s="360"/>
      <c r="G37" s="1">
        <f>F41</f>
        <v>4869</v>
      </c>
      <c r="H37" s="433">
        <f>G37+G38+G39</f>
        <v>4964.9255830968814</v>
      </c>
      <c r="I37" s="433">
        <f>H37+H38+H39</f>
        <v>5060.1014455884615</v>
      </c>
      <c r="J37" s="433">
        <f>I41</f>
        <v>5154.7360712934978</v>
      </c>
      <c r="K37" s="445">
        <f>J41</f>
        <v>5249.0191767306296</v>
      </c>
      <c r="L37" s="1"/>
      <c r="M37" s="1"/>
      <c r="N37" s="1"/>
      <c r="O37" s="1"/>
      <c r="P37" s="1"/>
      <c r="Q37" s="1"/>
      <c r="R37" s="1"/>
      <c r="S37" s="429" t="s">
        <v>748</v>
      </c>
      <c r="T37" s="430">
        <v>4476</v>
      </c>
      <c r="U37" s="52" t="s">
        <v>559</v>
      </c>
      <c r="V37" s="52"/>
      <c r="W37" s="52"/>
      <c r="X37" s="273">
        <f>SUM(G10:K10)</f>
        <v>37260.098896429277</v>
      </c>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c r="A38" s="360" t="s">
        <v>560</v>
      </c>
      <c r="B38" s="1"/>
      <c r="C38" s="1"/>
      <c r="D38" s="1"/>
      <c r="E38" s="52"/>
      <c r="F38" s="360"/>
      <c r="G38" s="433">
        <f>X42*G10</f>
        <v>581.56987710074998</v>
      </c>
      <c r="H38" s="433">
        <f>X42*H10</f>
        <v>590.38797577661342</v>
      </c>
      <c r="I38" s="433">
        <f>X42*I10</f>
        <v>599.33977956224794</v>
      </c>
      <c r="J38" s="433">
        <f>X42*J10</f>
        <v>608.42731577182133</v>
      </c>
      <c r="K38" s="445">
        <f>X42*K10</f>
        <v>617.42407778495851</v>
      </c>
      <c r="L38" s="1"/>
      <c r="M38" s="1"/>
      <c r="N38" s="1"/>
      <c r="O38" s="1"/>
      <c r="P38" s="1"/>
      <c r="Q38" s="1"/>
      <c r="R38" s="1"/>
      <c r="S38" s="253" t="s">
        <v>561</v>
      </c>
      <c r="T38" s="360">
        <f>T37/5</f>
        <v>895.2</v>
      </c>
      <c r="U38" s="52" t="s">
        <v>562</v>
      </c>
      <c r="V38" s="52"/>
      <c r="W38" s="52"/>
      <c r="X38" s="273">
        <f>T37/X37</f>
        <v>0.12012850562854908</v>
      </c>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c r="A39" s="360" t="s">
        <v>563</v>
      </c>
      <c r="B39" s="1"/>
      <c r="C39" s="1"/>
      <c r="D39" s="1"/>
      <c r="E39" s="52"/>
      <c r="F39" s="360"/>
      <c r="G39" s="433">
        <f>-AVERAGE(E45,F45)*G37</f>
        <v>-485.64429400386848</v>
      </c>
      <c r="H39" s="433">
        <f>-AVERAGE(E45,F45)*H37</f>
        <v>-495.21211328503387</v>
      </c>
      <c r="I39" s="433">
        <f>-AVERAGE(E45,F45)*I37</f>
        <v>-504.70515385721149</v>
      </c>
      <c r="J39" s="433">
        <f>-AVERAGE(E45,F45)*J37</f>
        <v>-514.14421033469</v>
      </c>
      <c r="K39" s="445">
        <f>-AVERAGE(E45,F45)*K37</f>
        <v>-523.54820544179779</v>
      </c>
      <c r="L39" s="1"/>
      <c r="M39" s="1"/>
      <c r="N39" s="1"/>
      <c r="O39" s="1"/>
      <c r="P39" s="1"/>
      <c r="Q39" s="1"/>
      <c r="R39" s="1"/>
      <c r="S39" s="253"/>
      <c r="T39" s="360"/>
      <c r="U39" s="52"/>
      <c r="V39" s="52"/>
      <c r="W39" s="52"/>
      <c r="X39" s="273"/>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c r="A40" s="99"/>
      <c r="B40" s="101"/>
      <c r="C40" s="101"/>
      <c r="D40" s="101"/>
      <c r="E40" s="101"/>
      <c r="F40" s="99"/>
      <c r="G40" s="101"/>
      <c r="H40" s="101"/>
      <c r="I40" s="101"/>
      <c r="J40" s="101"/>
      <c r="K40" s="444"/>
      <c r="L40" s="1"/>
      <c r="M40" s="1"/>
      <c r="N40" s="1"/>
      <c r="O40" s="1"/>
      <c r="P40" s="1"/>
      <c r="Q40" s="1"/>
      <c r="R40" s="1"/>
      <c r="S40" s="253"/>
      <c r="T40" s="360"/>
      <c r="U40" s="52"/>
      <c r="V40" s="52"/>
      <c r="W40" s="52"/>
      <c r="X40" s="273"/>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c r="A41" s="360" t="s">
        <v>564</v>
      </c>
      <c r="B41" s="1">
        <f>B31</f>
        <v>5067</v>
      </c>
      <c r="C41" s="1">
        <f t="shared" ref="C41:F41" si="23">C31</f>
        <v>5129</v>
      </c>
      <c r="D41" s="1">
        <f t="shared" si="23"/>
        <v>4606</v>
      </c>
      <c r="E41" s="52">
        <f t="shared" si="23"/>
        <v>4620</v>
      </c>
      <c r="F41" s="360">
        <f t="shared" si="23"/>
        <v>4869</v>
      </c>
      <c r="G41" s="433">
        <f>G37+G38+G39</f>
        <v>4964.9255830968814</v>
      </c>
      <c r="H41" s="433">
        <f>H37+H38+H39</f>
        <v>5060.1014455884615</v>
      </c>
      <c r="I41" s="433">
        <f>I37+I38+I39</f>
        <v>5154.7360712934978</v>
      </c>
      <c r="J41" s="433">
        <f>J37+J38+J39</f>
        <v>5249.0191767306296</v>
      </c>
      <c r="K41" s="445">
        <f>K37+K38+K39</f>
        <v>5342.8950490737898</v>
      </c>
      <c r="L41" s="1"/>
      <c r="M41" s="1"/>
      <c r="N41" s="1"/>
      <c r="O41" s="1"/>
      <c r="P41" s="1"/>
      <c r="Q41" s="1"/>
      <c r="R41" s="1"/>
      <c r="S41" s="253" t="s">
        <v>749</v>
      </c>
      <c r="T41" s="360"/>
      <c r="U41" s="52"/>
      <c r="V41" s="52"/>
      <c r="W41" s="52"/>
      <c r="X41" s="273"/>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c r="A42" s="360" t="s">
        <v>565</v>
      </c>
      <c r="B42" s="1">
        <f>-('Reorganised Statements'!C74+'Reorganised Statements'!C75)</f>
        <v>-700</v>
      </c>
      <c r="C42" s="1">
        <f>-('Reorganised Statements'!D74+'Reorganised Statements'!D75)</f>
        <v>-593</v>
      </c>
      <c r="D42" s="1">
        <f>-('Reorganised Statements'!E74+'Reorganised Statements'!E75)</f>
        <v>-372</v>
      </c>
      <c r="E42" s="52">
        <f>-('Reorganised Statements'!F74+'Reorganised Statements'!F75)</f>
        <v>-532</v>
      </c>
      <c r="F42" s="360">
        <f>-('Reorganised Statements'!G74+'Reorganised Statements'!G75)</f>
        <v>-388</v>
      </c>
      <c r="G42" s="433">
        <f>G39</f>
        <v>-485.64429400386848</v>
      </c>
      <c r="H42" s="433">
        <f>H39</f>
        <v>-495.21211328503387</v>
      </c>
      <c r="I42" s="433">
        <f>I39</f>
        <v>-504.70515385721149</v>
      </c>
      <c r="J42" s="433">
        <f>J39</f>
        <v>-514.14421033469</v>
      </c>
      <c r="K42" s="445">
        <f>K39</f>
        <v>-523.54820544179779</v>
      </c>
      <c r="L42" s="1"/>
      <c r="M42" s="1"/>
      <c r="N42" s="1"/>
      <c r="O42" s="1"/>
      <c r="P42" s="1"/>
      <c r="Q42" s="1"/>
      <c r="R42" s="1"/>
      <c r="S42" s="253" t="s">
        <v>566</v>
      </c>
      <c r="T42" s="425">
        <f>AVERAGE(E33:F33)</f>
        <v>0.66960434003493996</v>
      </c>
      <c r="U42" s="52" t="s">
        <v>567</v>
      </c>
      <c r="V42" s="52"/>
      <c r="W42" s="52"/>
      <c r="X42" s="273">
        <f>T42*X38</f>
        <v>8.0438568730788182E-2</v>
      </c>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5" thickBot="1">
      <c r="A43" s="360"/>
      <c r="B43" s="1"/>
      <c r="C43" s="1"/>
      <c r="D43" s="1"/>
      <c r="E43" s="52"/>
      <c r="F43" s="360"/>
      <c r="G43" s="1"/>
      <c r="H43" s="1"/>
      <c r="I43" s="1"/>
      <c r="J43" s="1"/>
      <c r="K43" s="360"/>
      <c r="L43" s="1"/>
      <c r="M43" s="1"/>
      <c r="N43" s="1"/>
      <c r="O43" s="1"/>
      <c r="P43" s="1"/>
      <c r="Q43" s="1"/>
      <c r="R43" s="1"/>
      <c r="S43" s="265" t="s">
        <v>568</v>
      </c>
      <c r="T43" s="767">
        <f>1-T42</f>
        <v>0.33039565996506004</v>
      </c>
      <c r="U43" s="368" t="s">
        <v>568</v>
      </c>
      <c r="V43" s="368"/>
      <c r="W43" s="368"/>
      <c r="X43" s="276">
        <f>T43*X38</f>
        <v>3.9689936897760902E-2</v>
      </c>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c r="A44" s="360" t="s">
        <v>569</v>
      </c>
      <c r="B44" s="1"/>
      <c r="C44" s="1">
        <f>B41-C41+C42</f>
        <v>-655</v>
      </c>
      <c r="D44" s="1">
        <f t="shared" ref="D44:F44" si="24">C41-D41+D42</f>
        <v>151</v>
      </c>
      <c r="E44" s="52">
        <f t="shared" si="24"/>
        <v>-546</v>
      </c>
      <c r="F44" s="360">
        <f t="shared" si="24"/>
        <v>-637</v>
      </c>
      <c r="G44" s="433">
        <f>-T38*T42</f>
        <v>-599.42980519927823</v>
      </c>
      <c r="H44" s="433">
        <f>-T38*T42</f>
        <v>-599.42980519927823</v>
      </c>
      <c r="I44" s="433">
        <f>-T38*T42</f>
        <v>-599.42980519927823</v>
      </c>
      <c r="J44" s="433">
        <f>-T38*T42</f>
        <v>-599.42980519927823</v>
      </c>
      <c r="K44" s="445">
        <f>-T38*T42</f>
        <v>-599.42980519927823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row r="45" spans="1:55">
      <c r="A45" s="360" t="s">
        <v>570</v>
      </c>
      <c r="B45" s="1"/>
      <c r="C45" s="362">
        <f>-C42/B41</f>
        <v>0.11703177422537991</v>
      </c>
      <c r="D45" s="362">
        <f>-D42/C41</f>
        <v>7.2528758042503416E-2</v>
      </c>
      <c r="E45" s="361">
        <f>-E42/D41</f>
        <v>0.11550151975683891</v>
      </c>
      <c r="F45" s="424">
        <f>-F42/E41</f>
        <v>8.3982683982683978E-2</v>
      </c>
      <c r="G45" s="362">
        <f t="shared" ref="G45:K45" si="25">-G42/F41</f>
        <v>9.9742101869761443E-2</v>
      </c>
      <c r="H45" s="362">
        <f t="shared" si="25"/>
        <v>9.9742101869761443E-2</v>
      </c>
      <c r="I45" s="362">
        <f t="shared" si="25"/>
        <v>9.9742101869761443E-2</v>
      </c>
      <c r="J45" s="362">
        <f t="shared" si="25"/>
        <v>9.9742101869761457E-2</v>
      </c>
      <c r="K45" s="424">
        <f t="shared" si="25"/>
        <v>9.9742101869761443E-2</v>
      </c>
      <c r="L45" s="1"/>
      <c r="M45" s="402"/>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row>
    <row r="46" spans="1:55">
      <c r="A46" s="360"/>
      <c r="B46" s="1"/>
      <c r="C46" s="1"/>
      <c r="D46" s="1"/>
      <c r="E46" s="52"/>
      <c r="F46" s="360"/>
      <c r="G46" s="1"/>
      <c r="H46" s="1"/>
      <c r="I46" s="1"/>
      <c r="J46" s="1"/>
      <c r="K46" s="360"/>
      <c r="L46" s="1"/>
      <c r="M46" s="402"/>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row>
    <row r="47" spans="1:55">
      <c r="A47" s="431" t="s">
        <v>571</v>
      </c>
      <c r="B47" s="101"/>
      <c r="C47" s="101"/>
      <c r="D47" s="101"/>
      <c r="E47" s="101"/>
      <c r="F47" s="99"/>
      <c r="G47" s="101"/>
      <c r="H47" s="101"/>
      <c r="I47" s="101"/>
      <c r="J47" s="101"/>
      <c r="K47" s="99"/>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row>
    <row r="48" spans="1:55">
      <c r="A48" s="360" t="s">
        <v>760</v>
      </c>
      <c r="B48" s="1"/>
      <c r="C48" s="1"/>
      <c r="D48" s="1"/>
      <c r="E48" s="52"/>
      <c r="F48" s="360"/>
      <c r="G48" s="1">
        <f>F52</f>
        <v>2379</v>
      </c>
      <c r="H48" s="433">
        <f>G52</f>
        <v>2544.298384106336</v>
      </c>
      <c r="I48" s="433">
        <f>H52</f>
        <v>2705.4946146409388</v>
      </c>
      <c r="J48" s="433">
        <f>I52</f>
        <v>2862.864443786727</v>
      </c>
      <c r="K48" s="445">
        <f>J52</f>
        <v>3016.670522386582</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row>
    <row r="49" spans="1:55">
      <c r="A49" s="360" t="s">
        <v>560</v>
      </c>
      <c r="B49" s="1"/>
      <c r="C49" s="1"/>
      <c r="D49" s="1"/>
      <c r="E49" s="52"/>
      <c r="F49" s="360"/>
      <c r="G49" s="433">
        <f>X43*G10</f>
        <v>286.95776277446896</v>
      </c>
      <c r="H49" s="433">
        <f>X43*H10</f>
        <v>291.3087822608374</v>
      </c>
      <c r="I49" s="433">
        <f>X43*I10</f>
        <v>295.72577441993559</v>
      </c>
      <c r="J49" s="433">
        <f>X43*J10</f>
        <v>300.20973956756546</v>
      </c>
      <c r="K49" s="445">
        <f>X43*K10</f>
        <v>304.64891498080124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row>
    <row r="50" spans="1:55">
      <c r="A50" s="360" t="s">
        <v>572</v>
      </c>
      <c r="B50" s="1"/>
      <c r="C50" s="1"/>
      <c r="D50" s="1"/>
      <c r="E50" s="52"/>
      <c r="F50" s="360"/>
      <c r="G50" s="433">
        <f>-AVERAGE(E56,F56)*G48</f>
        <v>-121.65937866813286</v>
      </c>
      <c r="H50" s="433">
        <f>-AVERAGE(E56,F56)*H48</f>
        <v>-130.11255172623424</v>
      </c>
      <c r="I50" s="433">
        <f>-AVERAGE(E56,F56)*I48</f>
        <v>-138.35594527414719</v>
      </c>
      <c r="J50" s="433">
        <f>-AVERAGE(E56,F56)*J48</f>
        <v>-146.40366096771038</v>
      </c>
      <c r="K50" s="445">
        <f>-AVERAGE(E56,F56)*K48</f>
        <v>-154.26913047499932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row>
    <row r="51" spans="1:55">
      <c r="A51" s="99"/>
      <c r="B51" s="101"/>
      <c r="C51" s="101"/>
      <c r="D51" s="101"/>
      <c r="E51" s="101"/>
      <c r="F51" s="99"/>
      <c r="G51" s="101"/>
      <c r="H51" s="101"/>
      <c r="I51" s="101"/>
      <c r="J51" s="101"/>
      <c r="K51" s="99"/>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row>
    <row r="52" spans="1:55">
      <c r="A52" s="360" t="s">
        <v>573</v>
      </c>
      <c r="B52" s="1">
        <f>B32</f>
        <v>1348</v>
      </c>
      <c r="C52" s="1">
        <f t="shared" ref="C52:F52" si="26">C32</f>
        <v>1704</v>
      </c>
      <c r="D52" s="1">
        <f t="shared" si="26"/>
        <v>1863</v>
      </c>
      <c r="E52" s="52">
        <f t="shared" si="26"/>
        <v>2302</v>
      </c>
      <c r="F52" s="360">
        <f t="shared" si="26"/>
        <v>2379</v>
      </c>
      <c r="G52" s="433">
        <f>G48+G49+G50</f>
        <v>2544.298384106336</v>
      </c>
      <c r="H52" s="433">
        <f>H48+H49+H50</f>
        <v>2705.4946146409388</v>
      </c>
      <c r="I52" s="433">
        <f>I48+I49+I50</f>
        <v>2862.864443786727</v>
      </c>
      <c r="J52" s="433">
        <f>J48+J49+J50</f>
        <v>3016.670522386582</v>
      </c>
      <c r="K52" s="445">
        <f>K48+K49+K50</f>
        <v>3167.050306892384</v>
      </c>
      <c r="L52" s="1"/>
      <c r="M52" s="1" t="s">
        <v>689</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row>
    <row r="53" spans="1:55">
      <c r="A53" s="360" t="s">
        <v>525</v>
      </c>
      <c r="B53" s="1">
        <f>-'Reorganised Statements'!C73</f>
        <v>-54</v>
      </c>
      <c r="C53" s="1">
        <f>-'Reorganised Statements'!D73</f>
        <v>-55</v>
      </c>
      <c r="D53" s="1">
        <f>-'Reorganised Statements'!E73</f>
        <v>-72</v>
      </c>
      <c r="E53" s="52">
        <f>-'Reorganised Statements'!F73</f>
        <v>-91</v>
      </c>
      <c r="F53" s="360">
        <f>-'Reorganised Statements'!G73</f>
        <v>-123</v>
      </c>
      <c r="G53" s="433">
        <f>G50</f>
        <v>-121.65937866813286</v>
      </c>
      <c r="H53" s="433">
        <f>H50</f>
        <v>-130.11255172623424</v>
      </c>
      <c r="I53" s="433">
        <f>I50</f>
        <v>-138.35594527414719</v>
      </c>
      <c r="J53" s="433">
        <f>J50</f>
        <v>-146.40366096771038</v>
      </c>
      <c r="K53" s="445">
        <f>K50</f>
        <v>-154.26913047499932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row>
    <row r="54" spans="1:55">
      <c r="A54" s="360"/>
      <c r="B54" s="1"/>
      <c r="C54" s="1"/>
      <c r="D54" s="1"/>
      <c r="E54" s="52"/>
      <c r="F54" s="360"/>
      <c r="G54" s="1"/>
      <c r="H54" s="1"/>
      <c r="I54" s="1"/>
      <c r="J54" s="1"/>
      <c r="K54" s="360"/>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row>
    <row r="55" spans="1:55">
      <c r="A55" s="360" t="s">
        <v>574</v>
      </c>
      <c r="B55" s="1"/>
      <c r="C55" s="1">
        <f>B52-C52+C53</f>
        <v>-411</v>
      </c>
      <c r="D55" s="1">
        <f t="shared" ref="D55:F55" si="27">C52-D52+D53</f>
        <v>-231</v>
      </c>
      <c r="E55" s="52">
        <f t="shared" si="27"/>
        <v>-530</v>
      </c>
      <c r="F55" s="360">
        <f t="shared" si="27"/>
        <v>-200</v>
      </c>
      <c r="G55" s="433">
        <f>-G49</f>
        <v>-286.95776277446896</v>
      </c>
      <c r="H55" s="433">
        <f t="shared" ref="H55:K55" si="28">-H49</f>
        <v>-291.3087822608374</v>
      </c>
      <c r="I55" s="433">
        <f t="shared" si="28"/>
        <v>-295.72577441993559</v>
      </c>
      <c r="J55" s="433">
        <f t="shared" si="28"/>
        <v>-300.20973956756546</v>
      </c>
      <c r="K55" s="445">
        <f t="shared" si="28"/>
        <v>-304.64891498080124</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row>
    <row r="56" spans="1:55">
      <c r="A56" s="99" t="s">
        <v>570</v>
      </c>
      <c r="B56" s="101"/>
      <c r="C56" s="440">
        <f>-C53/B52</f>
        <v>4.0801186943620178E-2</v>
      </c>
      <c r="D56" s="440">
        <f t="shared" ref="D56:K56" si="29">-D53/C52</f>
        <v>4.2253521126760563E-2</v>
      </c>
      <c r="E56" s="440">
        <f t="shared" si="29"/>
        <v>4.8845947396672036E-2</v>
      </c>
      <c r="F56" s="441">
        <f t="shared" si="29"/>
        <v>5.3431798436142486E-2</v>
      </c>
      <c r="G56" s="440">
        <f t="shared" si="29"/>
        <v>5.1138872916407258E-2</v>
      </c>
      <c r="H56" s="440">
        <f t="shared" si="29"/>
        <v>5.1138872916407251E-2</v>
      </c>
      <c r="I56" s="440">
        <f t="shared" si="29"/>
        <v>5.1138872916407258E-2</v>
      </c>
      <c r="J56" s="440">
        <f t="shared" si="29"/>
        <v>5.1138872916407258E-2</v>
      </c>
      <c r="K56" s="441">
        <f t="shared" si="29"/>
        <v>5.1138872916407258E-2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row>
    <row r="57" spans="1:55">
      <c r="A57" s="360"/>
      <c r="B57" s="1"/>
      <c r="C57" s="1"/>
      <c r="D57" s="1"/>
      <c r="E57" s="52"/>
      <c r="F57" s="367"/>
      <c r="G57" s="1"/>
      <c r="H57" s="1"/>
      <c r="I57" s="1"/>
      <c r="J57" s="1"/>
      <c r="K57" s="360"/>
      <c r="L57" s="1"/>
      <c r="M57" s="1"/>
      <c r="N57" s="1"/>
      <c r="O57" s="1"/>
      <c r="P57" s="1"/>
      <c r="Q57" s="1"/>
      <c r="R57" s="1"/>
      <c r="S57" s="433"/>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row>
    <row r="58" spans="1:55">
      <c r="A58" s="360" t="s">
        <v>575</v>
      </c>
      <c r="B58" s="1">
        <f>'Reorganised Statements'!C76</f>
        <v>-79</v>
      </c>
      <c r="C58" s="1">
        <f>'Reorganised Statements'!D76</f>
        <v>-71</v>
      </c>
      <c r="D58" s="1">
        <f>'Reorganised Statements'!E76</f>
        <v>-45</v>
      </c>
      <c r="E58" s="52">
        <f>'Reorganised Statements'!F76</f>
        <v>-20</v>
      </c>
      <c r="F58" s="360">
        <f>'Reorganised Statements'!G76</f>
        <v>-36</v>
      </c>
      <c r="G58" s="1">
        <f>AVERAGE(B58,C58,D58,E58,F58)</f>
        <v>-50.2</v>
      </c>
      <c r="H58" s="1">
        <f>G58</f>
        <v>-50.2</v>
      </c>
      <c r="I58" s="1">
        <f>H58</f>
        <v>-50.2</v>
      </c>
      <c r="J58" s="1">
        <f>I58</f>
        <v>-50.2</v>
      </c>
      <c r="K58" s="360">
        <f>J58</f>
        <v>-50.2</v>
      </c>
      <c r="L58" s="1"/>
      <c r="M58" s="1"/>
      <c r="N58" s="1"/>
      <c r="O58" s="1"/>
      <c r="P58" s="1"/>
      <c r="Q58" s="1"/>
      <c r="R58" s="1"/>
      <c r="S58" s="433"/>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row>
    <row r="59" spans="1:55">
      <c r="A59" s="360"/>
      <c r="B59" s="1"/>
      <c r="C59" s="1"/>
      <c r="D59" s="1"/>
      <c r="E59" s="1"/>
      <c r="F59" s="360"/>
      <c r="G59" s="1"/>
      <c r="H59" s="1"/>
      <c r="I59" s="1"/>
      <c r="J59" s="1"/>
      <c r="K59" s="360"/>
      <c r="L59" s="1"/>
      <c r="M59" s="1"/>
      <c r="N59" s="1"/>
      <c r="O59" s="1"/>
      <c r="P59" s="1"/>
      <c r="Q59" s="1"/>
      <c r="R59" s="1"/>
      <c r="S59" s="433"/>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row>
    <row r="60" spans="1:55" ht="15" thickBot="1">
      <c r="A60" s="360"/>
      <c r="B60" s="1"/>
      <c r="C60" s="1"/>
      <c r="D60" s="1"/>
      <c r="E60" s="1"/>
      <c r="F60" s="360"/>
      <c r="G60" s="1"/>
      <c r="H60" s="1"/>
      <c r="I60" s="1"/>
      <c r="J60" s="1"/>
      <c r="K60" s="360"/>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row>
    <row r="61" spans="1:55" ht="15" thickBot="1">
      <c r="A61" s="450" t="s">
        <v>576</v>
      </c>
      <c r="B61" s="1"/>
      <c r="C61" s="1"/>
      <c r="D61" s="1"/>
      <c r="E61" s="1"/>
      <c r="F61" s="360"/>
      <c r="G61" s="1"/>
      <c r="H61" s="1"/>
      <c r="I61" s="1"/>
      <c r="J61" s="1"/>
      <c r="K61" s="360"/>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row>
    <row r="62" spans="1:55">
      <c r="A62" s="360"/>
      <c r="B62" s="1"/>
      <c r="C62" s="1"/>
      <c r="D62" s="1"/>
      <c r="E62" s="1"/>
      <c r="F62" s="360"/>
      <c r="G62" s="1"/>
      <c r="H62" s="1"/>
      <c r="I62" s="1"/>
      <c r="J62" s="1"/>
      <c r="K62" s="360"/>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row>
    <row r="63" spans="1:55">
      <c r="A63" s="360" t="s">
        <v>578</v>
      </c>
      <c r="B63" s="1">
        <f>'Reorganised Statements'!C10</f>
        <v>184</v>
      </c>
      <c r="C63" s="1">
        <f>'Reorganised Statements'!D10</f>
        <v>159</v>
      </c>
      <c r="D63" s="1">
        <f>'Reorganised Statements'!E10</f>
        <v>147</v>
      </c>
      <c r="E63" s="1">
        <f>'Reorganised Statements'!F10</f>
        <v>187</v>
      </c>
      <c r="F63" s="469">
        <f>'Reorganised Statements'!G10</f>
        <v>184</v>
      </c>
      <c r="G63" s="468">
        <f>-G67*G15/365</f>
        <v>177.44313939283322</v>
      </c>
      <c r="H63" s="468">
        <f t="shared" ref="H63:K63" si="30">-H67*H15/365</f>
        <v>180.13363485026889</v>
      </c>
      <c r="I63" s="468">
        <f t="shared" si="30"/>
        <v>182.86492515517656</v>
      </c>
      <c r="J63" s="468">
        <f t="shared" si="30"/>
        <v>185.63762886261671</v>
      </c>
      <c r="K63" s="469">
        <f t="shared" si="30"/>
        <v>188.38263639969844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row>
    <row r="64" spans="1:55">
      <c r="A64" s="360" t="s">
        <v>318</v>
      </c>
      <c r="B64" s="1">
        <f>'Reorganised Statements'!C11</f>
        <v>1485</v>
      </c>
      <c r="C64" s="1">
        <f>'Reorganised Statements'!D11</f>
        <v>1821</v>
      </c>
      <c r="D64" s="1">
        <f>'Reorganised Statements'!E11</f>
        <v>1671</v>
      </c>
      <c r="E64" s="1">
        <f>'Reorganised Statements'!F11</f>
        <v>1781</v>
      </c>
      <c r="F64" s="360">
        <f>'Reorganised Statements'!G11</f>
        <v>1852</v>
      </c>
      <c r="G64" s="468">
        <f xml:space="preserve"> G68*G10/365</f>
        <v>1880.0810946211886</v>
      </c>
      <c r="H64" s="468">
        <f t="shared" ref="H64:K64" si="31" xml:space="preserve"> H68*H10/365</f>
        <v>1908.5879710324009</v>
      </c>
      <c r="I64" s="468">
        <f t="shared" si="31"/>
        <v>1937.5270851832772</v>
      </c>
      <c r="J64" s="468">
        <f t="shared" si="31"/>
        <v>1966.9049909122989</v>
      </c>
      <c r="K64" s="469">
        <f t="shared" si="31"/>
        <v>1995.9894446292426</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row>
    <row r="65" spans="1:55">
      <c r="A65" s="360" t="s">
        <v>577</v>
      </c>
      <c r="B65" s="1">
        <f>'Reorganised Statements'!C12</f>
        <v>-1170</v>
      </c>
      <c r="C65" s="1">
        <f>'Reorganised Statements'!D12</f>
        <v>-1384</v>
      </c>
      <c r="D65" s="1">
        <f>'Reorganised Statements'!E12</f>
        <v>-1381</v>
      </c>
      <c r="E65" s="1">
        <f>'Reorganised Statements'!F12</f>
        <v>-1413</v>
      </c>
      <c r="F65" s="360">
        <f>'Reorganised Statements'!G12</f>
        <v>-1481</v>
      </c>
      <c r="G65" s="468">
        <f>G69*(G15+G16)/365</f>
        <v>-1435.1925646886652</v>
      </c>
      <c r="H65" s="468">
        <f t="shared" ref="H65:K65" si="32">H69*(H15+H16)/365</f>
        <v>-1456.9537840237883</v>
      </c>
      <c r="I65" s="468">
        <f t="shared" si="32"/>
        <v>-1479.044959546397</v>
      </c>
      <c r="J65" s="468">
        <f t="shared" si="32"/>
        <v>-1501.4710942429494</v>
      </c>
      <c r="K65" s="469">
        <f t="shared" si="32"/>
        <v>-1523.6732172481804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row>
    <row r="66" spans="1:55">
      <c r="A66" s="99" t="s">
        <v>690</v>
      </c>
      <c r="B66" s="101">
        <f>'Reorganised Statements'!C15+'Reorganised Statements'!C21</f>
        <v>-47</v>
      </c>
      <c r="C66" s="101">
        <f>'Reorganised Statements'!D15+'Reorganised Statements'!D21</f>
        <v>-198</v>
      </c>
      <c r="D66" s="101">
        <f>'Reorganised Statements'!E15+'Reorganised Statements'!E21</f>
        <v>-110</v>
      </c>
      <c r="E66" s="101">
        <f>'Reorganised Statements'!F15+'Reorganised Statements'!F21</f>
        <v>-253</v>
      </c>
      <c r="F66" s="99">
        <f>'Reorganised Statements'!G15+'Reorganised Statements'!G21</f>
        <v>-334</v>
      </c>
      <c r="G66" s="456">
        <f>-G70*G10/365</f>
        <v>-339.06430108179109</v>
      </c>
      <c r="H66" s="456">
        <f t="shared" ref="H66:K66" si="33">-H70*H10/365</f>
        <v>-344.2053900242019</v>
      </c>
      <c r="I66" s="456">
        <f t="shared" si="33"/>
        <v>-349.42443112916561</v>
      </c>
      <c r="J66" s="456">
        <f t="shared" si="33"/>
        <v>-354.72260635243407</v>
      </c>
      <c r="K66" s="457">
        <f t="shared" si="33"/>
        <v>-359.96785880462585</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row>
    <row r="67" spans="1:55">
      <c r="A67" s="360" t="s">
        <v>692</v>
      </c>
      <c r="B67" s="468">
        <f>-B63/(B15/365)</f>
        <v>29.378827646544181</v>
      </c>
      <c r="C67" s="468">
        <f t="shared" ref="C67:F67" si="34">-C63/(C15/365)</f>
        <v>27.62256068538791</v>
      </c>
      <c r="D67" s="468">
        <f t="shared" si="34"/>
        <v>18.952666902154714</v>
      </c>
      <c r="E67" s="468">
        <f t="shared" si="34"/>
        <v>20.398983861326958</v>
      </c>
      <c r="F67" s="469">
        <f t="shared" si="34"/>
        <v>16.773226773226774</v>
      </c>
      <c r="G67" s="468">
        <f>F67</f>
        <v>16.773226773226774</v>
      </c>
      <c r="H67" s="468">
        <f>G67</f>
        <v>16.773226773226774</v>
      </c>
      <c r="I67" s="468">
        <f t="shared" ref="I67:K67" si="35">H67</f>
        <v>16.773226773226774</v>
      </c>
      <c r="J67" s="468">
        <f t="shared" si="35"/>
        <v>16.773226773226774</v>
      </c>
      <c r="K67" s="469">
        <f t="shared" si="35"/>
        <v>16.773226773226774</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row>
    <row r="68" spans="1:55">
      <c r="A68" s="360" t="s">
        <v>693</v>
      </c>
      <c r="B68" s="468">
        <f>B64/(B10/365)</f>
        <v>114.54459002535926</v>
      </c>
      <c r="C68" s="468">
        <f t="shared" ref="C68:F68" si="36">C64/(C10/365)</f>
        <v>145.09168303863785</v>
      </c>
      <c r="D68" s="468">
        <f t="shared" si="36"/>
        <v>109.10822898032201</v>
      </c>
      <c r="E68" s="468">
        <f t="shared" si="36"/>
        <v>103.66209535959176</v>
      </c>
      <c r="F68" s="469">
        <f t="shared" si="36"/>
        <v>94.91434990171301</v>
      </c>
      <c r="G68" s="468">
        <f t="shared" ref="G68:H70" si="37">F68</f>
        <v>94.91434990171301</v>
      </c>
      <c r="H68" s="468">
        <f t="shared" si="37"/>
        <v>94.91434990171301</v>
      </c>
      <c r="I68" s="468">
        <f t="shared" ref="I68:K68" si="38">H68</f>
        <v>94.91434990171301</v>
      </c>
      <c r="J68" s="468">
        <f t="shared" si="38"/>
        <v>94.91434990171301</v>
      </c>
      <c r="K68" s="469">
        <f t="shared" si="38"/>
        <v>94.91434990171301</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row>
    <row r="69" spans="1:55">
      <c r="A69" s="360" t="s">
        <v>695</v>
      </c>
      <c r="B69" s="468">
        <f>B65/((B15+B16)/365)</f>
        <v>142.73061497326202</v>
      </c>
      <c r="C69" s="468">
        <f t="shared" ref="C69:F69" si="39">C65/((C15+C16)/365)</f>
        <v>176.6911507520112</v>
      </c>
      <c r="D69" s="468">
        <f t="shared" si="39"/>
        <v>136.93697364846508</v>
      </c>
      <c r="E69" s="468">
        <f t="shared" si="39"/>
        <v>119.05470914127423</v>
      </c>
      <c r="F69" s="469">
        <f t="shared" si="39"/>
        <v>104.84193173002328</v>
      </c>
      <c r="G69" s="468">
        <f t="shared" si="37"/>
        <v>104.84193173002328</v>
      </c>
      <c r="H69" s="468">
        <f t="shared" si="37"/>
        <v>104.84193173002328</v>
      </c>
      <c r="I69" s="468">
        <f t="shared" ref="I69:K69" si="40">H69</f>
        <v>104.84193173002328</v>
      </c>
      <c r="J69" s="468">
        <f t="shared" si="40"/>
        <v>104.84193173002328</v>
      </c>
      <c r="K69" s="469">
        <f t="shared" si="40"/>
        <v>104.84193173002328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row>
    <row r="70" spans="1:55">
      <c r="A70" s="360" t="s">
        <v>694</v>
      </c>
      <c r="B70" s="468">
        <f>-B66/(B10/365)</f>
        <v>3.6253169907016063</v>
      </c>
      <c r="C70" s="468">
        <f t="shared" ref="C70:F70" si="41">-C66/(C10/365)</f>
        <v>15.776031434184675</v>
      </c>
      <c r="D70" s="468">
        <f t="shared" si="41"/>
        <v>7.1824686940966007</v>
      </c>
      <c r="E70" s="468">
        <f t="shared" si="41"/>
        <v>14.725721575506297</v>
      </c>
      <c r="F70" s="469">
        <f t="shared" si="41"/>
        <v>17.117382757652347</v>
      </c>
      <c r="G70" s="468">
        <f t="shared" si="37"/>
        <v>17.117382757652347</v>
      </c>
      <c r="H70" s="468">
        <f t="shared" si="37"/>
        <v>17.117382757652347</v>
      </c>
      <c r="I70" s="468">
        <f t="shared" ref="I70:K70" si="42">H70</f>
        <v>17.117382757652347</v>
      </c>
      <c r="J70" s="468">
        <f t="shared" si="42"/>
        <v>17.117382757652347</v>
      </c>
      <c r="K70" s="469">
        <f t="shared" si="42"/>
        <v>17.117382757652347</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row>
    <row r="71" spans="1:55">
      <c r="A71" s="99"/>
      <c r="B71" s="101"/>
      <c r="C71" s="101"/>
      <c r="D71" s="101"/>
      <c r="E71" s="101"/>
      <c r="F71" s="99"/>
      <c r="G71" s="101"/>
      <c r="H71" s="101"/>
      <c r="I71" s="101"/>
      <c r="J71" s="101"/>
      <c r="K71" s="99"/>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row>
    <row r="72" spans="1:55">
      <c r="A72" s="360" t="s">
        <v>691</v>
      </c>
      <c r="B72" s="1"/>
      <c r="C72" s="1">
        <f>SUM(B63:B66) - SUM(C63:C66)</f>
        <v>54</v>
      </c>
      <c r="D72" s="1">
        <f t="shared" ref="D72:K72" si="43">SUM(C63:C66) - SUM(D63:D66)</f>
        <v>71</v>
      </c>
      <c r="E72" s="1">
        <f t="shared" si="43"/>
        <v>25</v>
      </c>
      <c r="F72" s="360">
        <f t="shared" si="43"/>
        <v>81</v>
      </c>
      <c r="G72" s="468">
        <f>SUM(F63:F66) - SUM(G63:G66)</f>
        <v>-62.267368243565329</v>
      </c>
      <c r="H72" s="468">
        <f t="shared" si="43"/>
        <v>-4.2950635911142285</v>
      </c>
      <c r="I72" s="468">
        <f t="shared" si="43"/>
        <v>-4.3601878282117923</v>
      </c>
      <c r="J72" s="468">
        <f t="shared" si="43"/>
        <v>-4.4262995166408245</v>
      </c>
      <c r="K72" s="469">
        <f t="shared" si="43"/>
        <v>-4.3820857966025528</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row>
    <row r="73" spans="1:55">
      <c r="A73" s="360"/>
      <c r="B73" s="1"/>
      <c r="C73" s="1"/>
      <c r="D73" s="1"/>
      <c r="E73" s="1"/>
      <c r="F73" s="360"/>
      <c r="G73" s="1"/>
      <c r="H73" s="1"/>
      <c r="I73" s="1"/>
      <c r="J73" s="1"/>
      <c r="K73" s="360"/>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row>
    <row r="74" spans="1:55" ht="15" thickBot="1">
      <c r="A74" s="360"/>
      <c r="B74" s="1"/>
      <c r="C74" s="1"/>
      <c r="D74" s="1"/>
      <c r="E74" s="1"/>
      <c r="F74" s="360"/>
      <c r="G74" s="1"/>
      <c r="H74" s="1"/>
      <c r="I74" s="1"/>
      <c r="J74" s="1"/>
      <c r="K74" s="360"/>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row>
    <row r="75" spans="1:55">
      <c r="A75" s="451" t="s">
        <v>579</v>
      </c>
      <c r="B75" s="1"/>
      <c r="C75" s="1"/>
      <c r="D75" s="1"/>
      <c r="E75" s="1"/>
      <c r="F75" s="360"/>
      <c r="G75" s="1"/>
      <c r="H75" s="1"/>
      <c r="I75" s="1"/>
      <c r="J75" s="1"/>
      <c r="K75" s="360"/>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row>
    <row r="76" spans="1:55">
      <c r="A76" s="452" t="s">
        <v>803</v>
      </c>
      <c r="B76" s="1">
        <f>'Reorganised Statements'!C26</f>
        <v>452</v>
      </c>
      <c r="C76" s="1">
        <f>'Reorganised Statements'!D26</f>
        <v>398</v>
      </c>
      <c r="D76" s="1">
        <f>'Reorganised Statements'!E26</f>
        <v>327</v>
      </c>
      <c r="E76" s="1">
        <f>'Reorganised Statements'!F26</f>
        <v>302</v>
      </c>
      <c r="F76" s="360">
        <f>'Reorganised Statements'!G26</f>
        <v>221</v>
      </c>
      <c r="G76" s="468">
        <f>G78*G10</f>
        <v>245.89629364354272</v>
      </c>
      <c r="H76" s="468">
        <f t="shared" ref="H76:K76" si="44">H78*H10</f>
        <v>271.49676254596619</v>
      </c>
      <c r="I76" s="468">
        <f t="shared" si="44"/>
        <v>297.81703718009788</v>
      </c>
      <c r="J76" s="468">
        <f t="shared" si="44"/>
        <v>324.87306012274536</v>
      </c>
      <c r="K76" s="469">
        <f t="shared" si="44"/>
        <v>352.28010481421336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row>
    <row r="77" spans="1:55">
      <c r="A77" s="452"/>
      <c r="B77" s="1"/>
      <c r="C77" s="1"/>
      <c r="D77" s="1"/>
      <c r="E77" s="1"/>
      <c r="F77" s="360"/>
      <c r="G77" s="1"/>
      <c r="H77" s="1"/>
      <c r="I77" s="1"/>
      <c r="J77" s="1"/>
      <c r="K77" s="360"/>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row>
    <row r="78" spans="1:55">
      <c r="A78" s="452" t="s">
        <v>580</v>
      </c>
      <c r="B78" s="362">
        <f>B76/B10</f>
        <v>9.5519864750633982E-2</v>
      </c>
      <c r="C78" s="362">
        <f t="shared" ref="C78:F78" si="45">C76/C10</f>
        <v>8.6880593756821653E-2</v>
      </c>
      <c r="D78" s="362">
        <f t="shared" si="45"/>
        <v>5.8497316636851523E-2</v>
      </c>
      <c r="E78" s="362">
        <f t="shared" si="45"/>
        <v>4.8158188486684739E-2</v>
      </c>
      <c r="F78" s="424">
        <f t="shared" si="45"/>
        <v>3.1030609379387813E-2</v>
      </c>
      <c r="G78" s="362">
        <f>F78+0.298%</f>
        <v>3.401060937938781E-2</v>
      </c>
      <c r="H78" s="402">
        <f>G78+0.298%</f>
        <v>3.6990609379387807E-2</v>
      </c>
      <c r="I78" s="402">
        <f>H78+0.298%</f>
        <v>3.9970609379387803E-2</v>
      </c>
      <c r="J78" s="402">
        <f>I78+0.298%</f>
        <v>4.29506093793878E-2</v>
      </c>
      <c r="K78" s="425">
        <f>AVERAGE(D78:F78)</f>
        <v>4.589537150097469E-2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1:55">
      <c r="A79" s="452"/>
      <c r="B79" s="1"/>
      <c r="C79" s="362"/>
      <c r="D79" s="362"/>
      <c r="E79" s="362"/>
      <c r="F79" s="424"/>
      <c r="G79" s="1"/>
      <c r="H79" s="1"/>
      <c r="I79" s="1"/>
      <c r="J79" s="1"/>
      <c r="K79" s="360"/>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c r="A80" s="452" t="s">
        <v>691</v>
      </c>
      <c r="B80" s="1"/>
      <c r="C80" s="1">
        <f>B76-C76</f>
        <v>54</v>
      </c>
      <c r="D80" s="1">
        <f t="shared" ref="D80:K80" si="46">C76-D76</f>
        <v>71</v>
      </c>
      <c r="E80" s="1">
        <f t="shared" si="46"/>
        <v>25</v>
      </c>
      <c r="F80" s="360">
        <f t="shared" si="46"/>
        <v>81</v>
      </c>
      <c r="G80" s="468">
        <f t="shared" si="46"/>
        <v>-24.89629364354272</v>
      </c>
      <c r="H80" s="468">
        <f t="shared" si="46"/>
        <v>-25.600468902423472</v>
      </c>
      <c r="I80" s="468">
        <f t="shared" si="46"/>
        <v>-26.320274634131692</v>
      </c>
      <c r="J80" s="468">
        <f t="shared" si="46"/>
        <v>-27.056022942647473</v>
      </c>
      <c r="K80" s="469">
        <f t="shared" si="46"/>
        <v>-27.407044691468002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1" spans="1:55" ht="15" thickBot="1">
      <c r="A81" s="360"/>
      <c r="B81" s="1"/>
      <c r="C81" s="1"/>
      <c r="D81" s="1"/>
      <c r="E81" s="1"/>
      <c r="F81" s="360"/>
      <c r="G81" s="1"/>
      <c r="H81" s="1"/>
      <c r="I81" s="1"/>
      <c r="J81" s="1"/>
      <c r="K81" s="360"/>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row>
    <row r="82" spans="1:55" ht="15" thickBot="1">
      <c r="A82" s="428" t="s">
        <v>581</v>
      </c>
      <c r="B82" s="1"/>
      <c r="C82" s="1"/>
      <c r="D82" s="1"/>
      <c r="E82" s="1"/>
      <c r="F82" s="360"/>
      <c r="G82" s="1"/>
      <c r="H82" s="1"/>
      <c r="I82" s="1"/>
      <c r="J82" s="1"/>
      <c r="K82" s="360"/>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row>
    <row r="83" spans="1:55">
      <c r="A83" s="360"/>
      <c r="B83" s="1"/>
      <c r="C83" s="1"/>
      <c r="D83" s="1"/>
      <c r="E83" s="1"/>
      <c r="F83" s="360"/>
      <c r="G83" s="1"/>
      <c r="H83" s="1"/>
      <c r="I83" s="1"/>
      <c r="J83" s="1"/>
      <c r="K83" s="360"/>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row>
    <row r="84" spans="1:55">
      <c r="A84" s="453" t="s">
        <v>582</v>
      </c>
      <c r="B84" s="1">
        <f>'Reorganised Statements'!C28</f>
        <v>308</v>
      </c>
      <c r="C84" s="1">
        <f>'Reorganised Statements'!D28</f>
        <v>341</v>
      </c>
      <c r="D84" s="1">
        <f>'Reorganised Statements'!E28</f>
        <v>301</v>
      </c>
      <c r="E84" s="1">
        <f>'Reorganised Statements'!F28</f>
        <v>264</v>
      </c>
      <c r="F84" s="360">
        <f>'Reorganised Statements'!G28</f>
        <v>277</v>
      </c>
      <c r="G84" s="1">
        <f>F84</f>
        <v>277</v>
      </c>
      <c r="H84" s="1">
        <f t="shared" ref="H84:K86" si="47">G84</f>
        <v>277</v>
      </c>
      <c r="I84" s="1">
        <f t="shared" si="47"/>
        <v>277</v>
      </c>
      <c r="J84" s="1">
        <f t="shared" si="47"/>
        <v>277</v>
      </c>
      <c r="K84" s="360">
        <f t="shared" si="47"/>
        <v>277</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row>
    <row r="85" spans="1:55">
      <c r="A85" s="453" t="s">
        <v>583</v>
      </c>
      <c r="B85" s="1">
        <f>'Reorganised Statements'!C29</f>
        <v>-332</v>
      </c>
      <c r="C85" s="1">
        <f>'Reorganised Statements'!D29</f>
        <v>-365</v>
      </c>
      <c r="D85" s="1">
        <f>'Reorganised Statements'!E29</f>
        <v>-319</v>
      </c>
      <c r="E85" s="1">
        <f>'Reorganised Statements'!F29</f>
        <v>-314</v>
      </c>
      <c r="F85" s="360">
        <f>'Reorganised Statements'!G29</f>
        <v>-307</v>
      </c>
      <c r="G85" s="1">
        <f>F85</f>
        <v>-307</v>
      </c>
      <c r="H85" s="1">
        <f t="shared" si="47"/>
        <v>-307</v>
      </c>
      <c r="I85" s="1">
        <f t="shared" si="47"/>
        <v>-307</v>
      </c>
      <c r="J85" s="1">
        <f t="shared" si="47"/>
        <v>-307</v>
      </c>
      <c r="K85" s="360">
        <f t="shared" si="47"/>
        <v>-307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row>
    <row r="86" spans="1:55">
      <c r="A86" s="453" t="s">
        <v>584</v>
      </c>
      <c r="B86" s="1">
        <f>'Reorganised Statements'!C30</f>
        <v>-576</v>
      </c>
      <c r="C86" s="1">
        <f>'Reorganised Statements'!D30</f>
        <v>-671</v>
      </c>
      <c r="D86" s="1">
        <f>'Reorganised Statements'!E30</f>
        <v>-625</v>
      </c>
      <c r="E86" s="1">
        <f>'Reorganised Statements'!F30</f>
        <v>-642</v>
      </c>
      <c r="F86" s="360">
        <f>'Reorganised Statements'!G30</f>
        <v>-676</v>
      </c>
      <c r="G86" s="1">
        <f>F86</f>
        <v>-676</v>
      </c>
      <c r="H86" s="1">
        <f t="shared" si="47"/>
        <v>-676</v>
      </c>
      <c r="I86" s="1">
        <f t="shared" si="47"/>
        <v>-676</v>
      </c>
      <c r="J86" s="1">
        <f t="shared" si="47"/>
        <v>-676</v>
      </c>
      <c r="K86" s="360">
        <f t="shared" si="47"/>
        <v>-676</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row>
    <row r="87" spans="1:55">
      <c r="A87" s="360"/>
      <c r="B87" s="1"/>
      <c r="C87" s="1"/>
      <c r="D87" s="1"/>
      <c r="E87" s="1"/>
      <c r="F87" s="360"/>
      <c r="G87" s="1"/>
      <c r="H87" s="1"/>
      <c r="I87" s="1"/>
      <c r="J87" s="1"/>
      <c r="K87" s="360"/>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ht="15" thickBot="1">
      <c r="A88" s="415"/>
      <c r="B88" s="1"/>
      <c r="C88" s="1"/>
      <c r="D88" s="1"/>
      <c r="E88" s="1"/>
      <c r="F88" s="360"/>
      <c r="G88" s="1"/>
      <c r="H88" s="1"/>
      <c r="I88" s="1"/>
      <c r="J88" s="1"/>
      <c r="K88" s="360"/>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row r="89" spans="1:55" ht="15" thickBot="1">
      <c r="A89" s="428" t="s">
        <v>585</v>
      </c>
      <c r="B89" s="1"/>
      <c r="C89" s="1"/>
      <c r="D89" s="1"/>
      <c r="E89" s="1"/>
      <c r="F89" s="360"/>
      <c r="G89" s="1"/>
      <c r="H89" s="1"/>
      <c r="I89" s="1"/>
      <c r="J89" s="1"/>
      <c r="K89" s="360"/>
      <c r="L89" s="1"/>
      <c r="M89" s="1"/>
      <c r="N89" s="1"/>
      <c r="O89" s="1"/>
      <c r="P89" s="1"/>
      <c r="Q89" s="1"/>
      <c r="R89" s="1"/>
      <c r="S89" s="331" t="s">
        <v>419</v>
      </c>
      <c r="T89" s="332"/>
      <c r="U89" s="332"/>
      <c r="V89" s="332"/>
      <c r="W89" s="332"/>
      <c r="X89" s="446"/>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row>
    <row r="90" spans="1:55">
      <c r="A90" s="430" t="s">
        <v>587</v>
      </c>
      <c r="B90" s="1">
        <f>'Reorganised Statements'!C38</f>
        <v>-692</v>
      </c>
      <c r="C90" s="1">
        <f>'Reorganised Statements'!D38</f>
        <v>-359</v>
      </c>
      <c r="D90" s="1">
        <f>'Reorganised Statements'!E38</f>
        <v>-437</v>
      </c>
      <c r="E90" s="1">
        <f>'Reorganised Statements'!F38</f>
        <v>-694</v>
      </c>
      <c r="F90" s="360">
        <f>'Reorganised Statements'!G38</f>
        <v>-304</v>
      </c>
      <c r="G90" s="1">
        <v>-465</v>
      </c>
      <c r="H90" s="1">
        <v>-598</v>
      </c>
      <c r="I90" s="1">
        <v>-394</v>
      </c>
      <c r="J90" s="1">
        <v>-372</v>
      </c>
      <c r="K90" s="360">
        <v>-372</v>
      </c>
      <c r="L90" s="1"/>
      <c r="M90" s="1"/>
      <c r="N90" s="1"/>
      <c r="O90" s="1"/>
      <c r="P90" s="1"/>
      <c r="Q90" s="1"/>
      <c r="R90" s="1"/>
      <c r="S90" s="769"/>
      <c r="T90" s="52"/>
      <c r="U90" s="52"/>
      <c r="V90" s="52"/>
      <c r="W90" s="52"/>
      <c r="X90" s="273"/>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row>
    <row r="91" spans="1:55">
      <c r="A91" s="360"/>
      <c r="B91" s="1"/>
      <c r="C91" s="1"/>
      <c r="D91" s="1"/>
      <c r="E91" s="1"/>
      <c r="F91" s="360"/>
      <c r="G91" s="1"/>
      <c r="H91" s="1"/>
      <c r="I91" s="1"/>
      <c r="J91" s="1"/>
      <c r="K91" s="360"/>
      <c r="L91" s="1"/>
      <c r="M91" s="1"/>
      <c r="N91" s="1"/>
      <c r="O91" s="1"/>
      <c r="P91" s="1"/>
      <c r="Q91" s="1"/>
      <c r="R91" s="1"/>
      <c r="S91" s="452" t="s">
        <v>750</v>
      </c>
      <c r="T91" s="768">
        <f>AVERAGE(B94:F94)</f>
        <v>0.73578288562725003</v>
      </c>
      <c r="U91" s="52"/>
      <c r="V91" s="52"/>
      <c r="W91" s="52"/>
      <c r="X91" s="273"/>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row>
    <row r="92" spans="1:55">
      <c r="A92" s="99" t="s">
        <v>588</v>
      </c>
      <c r="B92" s="101">
        <f>'Reorganised Statements'!C37</f>
        <v>-3089</v>
      </c>
      <c r="C92" s="101">
        <f>'Reorganised Statements'!D37</f>
        <v>-3436</v>
      </c>
      <c r="D92" s="101">
        <f>'Reorganised Statements'!E37</f>
        <v>-3501</v>
      </c>
      <c r="E92" s="101">
        <f>'Reorganised Statements'!F37</f>
        <v>-2984</v>
      </c>
      <c r="F92" s="99">
        <f>'Reorganised Statements'!G37</f>
        <v>-3307</v>
      </c>
      <c r="G92" s="456">
        <f>G99-G90</f>
        <v>-3386.4393811435498</v>
      </c>
      <c r="H92" s="456">
        <f t="shared" ref="H92:K92" si="48">H99-H90</f>
        <v>-3380.5442191171983</v>
      </c>
      <c r="I92" s="456">
        <f t="shared" si="48"/>
        <v>-3715.8437589250243</v>
      </c>
      <c r="J92" s="456">
        <f t="shared" si="48"/>
        <v>-3873.4764337199913</v>
      </c>
      <c r="K92" s="457">
        <f t="shared" si="48"/>
        <v>-4016.8739353367855</v>
      </c>
      <c r="L92" s="1"/>
      <c r="M92" s="1"/>
      <c r="N92" s="1"/>
      <c r="O92" s="1"/>
      <c r="P92" s="1"/>
      <c r="Q92" s="1"/>
      <c r="R92" s="1"/>
      <c r="S92" s="452" t="s">
        <v>751</v>
      </c>
      <c r="T92" s="768">
        <f>1-T91</f>
        <v>0.26421711437274997</v>
      </c>
      <c r="U92" s="52"/>
      <c r="V92" s="52"/>
      <c r="W92" s="52"/>
      <c r="X92" s="273"/>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row>
    <row r="93" spans="1:55">
      <c r="A93" s="360" t="s">
        <v>589</v>
      </c>
      <c r="B93" s="1"/>
      <c r="C93" s="1"/>
      <c r="D93" s="1"/>
      <c r="E93" s="1"/>
      <c r="F93" s="360"/>
      <c r="G93" s="1"/>
      <c r="H93" s="1"/>
      <c r="I93" s="1"/>
      <c r="J93" s="1"/>
      <c r="K93" s="360"/>
      <c r="L93" s="1"/>
      <c r="M93" s="1"/>
      <c r="N93" s="1"/>
      <c r="O93" s="1"/>
      <c r="P93" s="1"/>
      <c r="Q93" s="1"/>
      <c r="R93" s="1"/>
      <c r="S93" s="452"/>
      <c r="T93" s="52">
        <v>2020</v>
      </c>
      <c r="U93" s="52">
        <v>2021</v>
      </c>
      <c r="V93" s="52">
        <v>2022</v>
      </c>
      <c r="W93" s="52">
        <v>2023</v>
      </c>
      <c r="X93" s="273">
        <v>2024</v>
      </c>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row>
    <row r="94" spans="1:55" ht="15" thickBot="1">
      <c r="A94" s="360" t="s">
        <v>590</v>
      </c>
      <c r="B94" s="448">
        <v>0.79</v>
      </c>
      <c r="C94" s="448">
        <v>0.67</v>
      </c>
      <c r="D94" s="448">
        <v>0.76</v>
      </c>
      <c r="E94" s="448">
        <v>0.74</v>
      </c>
      <c r="F94" s="449">
        <f>-2596/F99</f>
        <v>0.71891442813625039</v>
      </c>
      <c r="G94" s="1"/>
      <c r="H94" s="1"/>
      <c r="I94" s="1"/>
      <c r="J94" s="1"/>
      <c r="K94" s="360"/>
      <c r="L94" s="1"/>
      <c r="M94" s="1"/>
      <c r="N94" s="1"/>
      <c r="O94" s="1"/>
      <c r="P94" s="1"/>
      <c r="Q94" s="1"/>
      <c r="R94" s="1"/>
      <c r="S94" s="770" t="s">
        <v>591</v>
      </c>
      <c r="T94" s="813">
        <f>-T91*G106</f>
        <v>400.58917890691527</v>
      </c>
      <c r="U94" s="813">
        <f>-T91*H106</f>
        <v>435.6606062781064</v>
      </c>
      <c r="V94" s="813">
        <f>-T91*I106</f>
        <v>536.60611988642768</v>
      </c>
      <c r="W94" s="813">
        <f>-T91*J106</f>
        <v>389.69465778311968</v>
      </c>
      <c r="X94" s="814">
        <f>-T91*K106</f>
        <v>379.22066098468014</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row>
    <row r="95" spans="1:55">
      <c r="A95" s="360" t="s">
        <v>592</v>
      </c>
      <c r="B95" s="448">
        <v>0.21</v>
      </c>
      <c r="C95" s="448">
        <v>0.33</v>
      </c>
      <c r="D95" s="448">
        <v>0.24</v>
      </c>
      <c r="E95" s="448">
        <v>0.26</v>
      </c>
      <c r="F95" s="449">
        <f>1-F94</f>
        <v>0.28108557186374961</v>
      </c>
      <c r="G95" s="1"/>
      <c r="H95" s="1"/>
      <c r="I95" s="1"/>
      <c r="J95" s="1"/>
      <c r="K95" s="360"/>
      <c r="L95" s="1"/>
      <c r="M95" s="1"/>
      <c r="N95" s="1"/>
      <c r="O95" s="1"/>
      <c r="P95" s="1"/>
      <c r="Q95" s="1"/>
      <c r="R95" s="52"/>
      <c r="S95" s="52"/>
      <c r="T95" s="52"/>
      <c r="U95" s="52"/>
      <c r="V95" s="52"/>
      <c r="W95" s="52"/>
      <c r="X95" s="52"/>
      <c r="Y95" s="52"/>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row>
    <row r="96" spans="1:55">
      <c r="A96" s="360" t="s">
        <v>593</v>
      </c>
      <c r="B96" s="459">
        <f>B94*B99</f>
        <v>-2986.9900000000002</v>
      </c>
      <c r="C96" s="459">
        <f t="shared" ref="C96:F96" si="49">C94*C99</f>
        <v>-2542.65</v>
      </c>
      <c r="D96" s="459">
        <f t="shared" si="49"/>
        <v>-2992.88</v>
      </c>
      <c r="E96" s="459">
        <f t="shared" si="49"/>
        <v>-2721.72</v>
      </c>
      <c r="F96" s="460">
        <f t="shared" si="49"/>
        <v>-2596</v>
      </c>
      <c r="G96" s="433">
        <f>T91*G99</f>
        <v>-2833.8231816762309</v>
      </c>
      <c r="H96" s="433">
        <f>T91*H99</f>
        <v>-2927.3447461376663</v>
      </c>
      <c r="I96" s="433">
        <f>T91*I99</f>
        <v>-3023.9527004189986</v>
      </c>
      <c r="J96" s="433">
        <f>T91*J99</f>
        <v>-3123.7489012649817</v>
      </c>
      <c r="K96" s="445">
        <f>T91*K99</f>
        <v>-3229.2583287963248</v>
      </c>
      <c r="L96" s="1"/>
      <c r="M96" s="1"/>
      <c r="N96" s="1"/>
      <c r="O96" s="1"/>
      <c r="P96" s="1"/>
      <c r="Q96" s="1"/>
      <c r="R96" s="1"/>
      <c r="S96" s="52"/>
      <c r="T96" s="52"/>
      <c r="U96" s="52"/>
      <c r="V96" s="52"/>
      <c r="W96" s="52"/>
      <c r="X96" s="52"/>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row>
    <row r="97" spans="1:55">
      <c r="A97" s="99" t="s">
        <v>594</v>
      </c>
      <c r="B97" s="461">
        <f>B95*B99</f>
        <v>-794.01</v>
      </c>
      <c r="C97" s="461">
        <f t="shared" ref="C97:F97" si="50">C95*C99</f>
        <v>-1252.3500000000001</v>
      </c>
      <c r="D97" s="461">
        <f t="shared" si="50"/>
        <v>-945.12</v>
      </c>
      <c r="E97" s="461">
        <f t="shared" si="50"/>
        <v>-956.28000000000009</v>
      </c>
      <c r="F97" s="462">
        <f t="shared" si="50"/>
        <v>-1014.9999999999998</v>
      </c>
      <c r="G97" s="456">
        <f>G99-G96</f>
        <v>-1017.6161994673189</v>
      </c>
      <c r="H97" s="456">
        <f t="shared" ref="H97:K97" si="51">H99-H96</f>
        <v>-1051.1994729795319</v>
      </c>
      <c r="I97" s="456">
        <f t="shared" si="51"/>
        <v>-1085.8910585060257</v>
      </c>
      <c r="J97" s="456">
        <f t="shared" si="51"/>
        <v>-1121.7275324550096</v>
      </c>
      <c r="K97" s="457">
        <f t="shared" si="51"/>
        <v>-1159.6156065404607</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row>
    <row r="98" spans="1:55">
      <c r="A98" s="360"/>
      <c r="B98" s="1"/>
      <c r="C98" s="1"/>
      <c r="D98" s="1"/>
      <c r="E98" s="1"/>
      <c r="F98" s="360"/>
      <c r="G98" s="1"/>
      <c r="H98" s="1"/>
      <c r="I98" s="1"/>
      <c r="J98" s="1"/>
      <c r="K98" s="367"/>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row>
    <row r="99" spans="1:55">
      <c r="A99" s="432" t="s">
        <v>427</v>
      </c>
      <c r="B99" s="463">
        <f>B90+B92</f>
        <v>-3781</v>
      </c>
      <c r="C99" s="463">
        <f>C90+C92</f>
        <v>-3795</v>
      </c>
      <c r="D99" s="463">
        <f>D90+D92</f>
        <v>-3938</v>
      </c>
      <c r="E99" s="463">
        <f>E90+E92</f>
        <v>-3678</v>
      </c>
      <c r="F99" s="464">
        <f>F90+F92</f>
        <v>-3611</v>
      </c>
      <c r="G99" s="463">
        <f>G101/G102</f>
        <v>-3851.4393811435498</v>
      </c>
      <c r="H99" s="463">
        <f t="shared" ref="H99:K99" si="52">H101/H102</f>
        <v>-3978.5442191171983</v>
      </c>
      <c r="I99" s="463">
        <f t="shared" si="52"/>
        <v>-4109.8437589250243</v>
      </c>
      <c r="J99" s="463">
        <f t="shared" si="52"/>
        <v>-4245.4764337199913</v>
      </c>
      <c r="K99" s="464">
        <f t="shared" si="52"/>
        <v>-4388.8739353367855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row>
    <row r="100" spans="1:55">
      <c r="A100" s="99"/>
      <c r="B100" s="101"/>
      <c r="C100" s="101"/>
      <c r="D100" s="101"/>
      <c r="E100" s="101"/>
      <c r="F100" s="99"/>
      <c r="G100" s="101"/>
      <c r="H100" s="101"/>
      <c r="I100" s="101"/>
      <c r="J100" s="101"/>
      <c r="K100" s="99"/>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row>
    <row r="101" spans="1:55">
      <c r="A101" s="465" t="s">
        <v>595</v>
      </c>
      <c r="B101" s="466">
        <f>'Reorganised Statements'!C42</f>
        <v>-3145</v>
      </c>
      <c r="C101" s="466">
        <f>'Reorganised Statements'!D42</f>
        <v>-3393</v>
      </c>
      <c r="D101" s="466">
        <f>'Reorganised Statements'!E42</f>
        <v>-3247</v>
      </c>
      <c r="E101" s="466">
        <f>'Reorganised Statements'!F42</f>
        <v>-3054</v>
      </c>
      <c r="F101" s="465">
        <f>'Reorganised Statements'!G42</f>
        <v>-3177</v>
      </c>
      <c r="G101" s="493">
        <f>-G25*G103</f>
        <v>-3281.8470533430491</v>
      </c>
      <c r="H101" s="493">
        <f t="shared" ref="H101:K101" si="53">-H25*H103</f>
        <v>-3390.1542592182741</v>
      </c>
      <c r="I101" s="493">
        <f t="shared" si="53"/>
        <v>-3502.0358092520873</v>
      </c>
      <c r="J101" s="493">
        <f t="shared" si="53"/>
        <v>-3617.6096636121511</v>
      </c>
      <c r="K101" s="494">
        <f t="shared" si="53"/>
        <v>-3739.7999985923429</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row>
    <row r="102" spans="1:55">
      <c r="A102" s="360" t="s">
        <v>596</v>
      </c>
      <c r="B102" s="362">
        <f>B101/B99</f>
        <v>0.8317905316053954</v>
      </c>
      <c r="C102" s="362">
        <f t="shared" ref="C102:F102" si="54">C101/C99</f>
        <v>0.89407114624505923</v>
      </c>
      <c r="D102" s="362">
        <f t="shared" si="54"/>
        <v>0.82453021838496698</v>
      </c>
      <c r="E102" s="362">
        <f t="shared" si="54"/>
        <v>0.83034257748776508</v>
      </c>
      <c r="F102" s="424">
        <f t="shared" si="54"/>
        <v>0.87981168651343122</v>
      </c>
      <c r="G102" s="402">
        <f>AVERAGE(B102:F102)</f>
        <v>0.85210923204732347</v>
      </c>
      <c r="H102" s="402">
        <f>G102</f>
        <v>0.85210923204732347</v>
      </c>
      <c r="I102" s="402">
        <f t="shared" ref="I102:K102" si="55">H102</f>
        <v>0.85210923204732347</v>
      </c>
      <c r="J102" s="402">
        <f t="shared" si="55"/>
        <v>0.85210923204732347</v>
      </c>
      <c r="K102" s="425">
        <f t="shared" si="55"/>
        <v>0.85210923204732347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row>
    <row r="103" spans="1:55">
      <c r="A103" s="99" t="s">
        <v>597</v>
      </c>
      <c r="B103" s="443">
        <f>-B101/B25</f>
        <v>3.0009541984732824</v>
      </c>
      <c r="C103" s="443">
        <f t="shared" ref="C103:F103" si="56">-C101/C25</f>
        <v>2.9199655765920824</v>
      </c>
      <c r="D103" s="443">
        <f t="shared" si="56"/>
        <v>2.7080900750625521</v>
      </c>
      <c r="E103" s="443">
        <f t="shared" si="56"/>
        <v>2.4809098294069862</v>
      </c>
      <c r="F103" s="444">
        <f t="shared" si="56"/>
        <v>2.5745542949756888</v>
      </c>
      <c r="G103" s="443">
        <f>F103*(1-0.0224476)</f>
        <v>2.5167617299837923</v>
      </c>
      <c r="H103" s="443">
        <f t="shared" ref="H103:J103" si="57">G103*(1-0.0224476)</f>
        <v>2.4602664693738081</v>
      </c>
      <c r="I103" s="443">
        <f t="shared" si="57"/>
        <v>2.4050393917758925</v>
      </c>
      <c r="J103" s="443">
        <f t="shared" si="57"/>
        <v>2.3510520295250639</v>
      </c>
      <c r="K103" s="467">
        <v>2.2999999999999998</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row>
    <row r="104" spans="1:55">
      <c r="A104" s="360"/>
      <c r="B104" s="1"/>
      <c r="C104" s="1"/>
      <c r="D104" s="1"/>
      <c r="E104" s="1"/>
      <c r="F104" s="360"/>
      <c r="G104" s="1"/>
      <c r="H104" s="1"/>
      <c r="I104" s="1"/>
      <c r="J104" s="1"/>
      <c r="K104" s="360"/>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row>
    <row r="105" spans="1:55">
      <c r="A105" s="360" t="s">
        <v>598</v>
      </c>
      <c r="B105" s="1"/>
      <c r="C105" s="1"/>
      <c r="D105" s="1"/>
      <c r="E105" s="1"/>
      <c r="F105" s="360"/>
      <c r="G105" s="1">
        <f>-F90</f>
        <v>304</v>
      </c>
      <c r="H105" s="1">
        <f t="shared" ref="H105:K105" si="58">-G90</f>
        <v>465</v>
      </c>
      <c r="I105" s="1">
        <f t="shared" si="58"/>
        <v>598</v>
      </c>
      <c r="J105" s="1">
        <f t="shared" si="58"/>
        <v>394</v>
      </c>
      <c r="K105" s="360">
        <f t="shared" si="58"/>
        <v>372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row>
    <row r="106" spans="1:55">
      <c r="A106" s="360" t="s">
        <v>599</v>
      </c>
      <c r="B106" s="1"/>
      <c r="C106" s="1"/>
      <c r="D106" s="1"/>
      <c r="E106" s="1"/>
      <c r="F106" s="360"/>
      <c r="G106" s="468">
        <f>G99-F99-G105</f>
        <v>-544.43938114354978</v>
      </c>
      <c r="H106" s="468">
        <f t="shared" ref="H106:K106" si="59">H99-G99-H105</f>
        <v>-592.1048379736485</v>
      </c>
      <c r="I106" s="468">
        <f t="shared" si="59"/>
        <v>-729.29953980782602</v>
      </c>
      <c r="J106" s="468">
        <f t="shared" si="59"/>
        <v>-529.63267479496699</v>
      </c>
      <c r="K106" s="469">
        <f t="shared" si="59"/>
        <v>-515.39750161679422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row>
    <row r="107" spans="1:55" ht="15" thickBot="1">
      <c r="A107" s="360"/>
      <c r="B107" s="1"/>
      <c r="C107" s="1"/>
      <c r="D107" s="1"/>
      <c r="E107" s="1"/>
      <c r="F107" s="360"/>
      <c r="G107" s="1"/>
      <c r="H107" s="1"/>
      <c r="I107" s="1"/>
      <c r="J107" s="1"/>
      <c r="K107" s="360"/>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row>
    <row r="108" spans="1:55" ht="15" thickBot="1">
      <c r="A108" s="470" t="s">
        <v>600</v>
      </c>
      <c r="B108" s="1"/>
      <c r="C108" s="1"/>
      <c r="D108" s="1"/>
      <c r="E108" s="1"/>
      <c r="F108" s="360"/>
      <c r="G108" s="1"/>
      <c r="H108" s="1"/>
      <c r="I108" s="1"/>
      <c r="J108" s="1"/>
      <c r="K108" s="360"/>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row>
    <row r="109" spans="1:55" ht="15" thickBot="1">
      <c r="A109" s="360"/>
      <c r="B109" s="1"/>
      <c r="C109" s="1"/>
      <c r="D109" s="1"/>
      <c r="E109" s="1"/>
      <c r="F109" s="360"/>
      <c r="G109" s="1"/>
      <c r="H109" s="1"/>
      <c r="I109" s="1"/>
      <c r="J109" s="1"/>
      <c r="K109" s="360"/>
      <c r="L109" s="1"/>
      <c r="M109" s="1"/>
      <c r="N109" s="1"/>
      <c r="O109" s="1"/>
      <c r="P109" s="1"/>
      <c r="Q109" s="1"/>
      <c r="R109" s="1"/>
      <c r="S109" s="331" t="s">
        <v>586</v>
      </c>
      <c r="T109" s="332"/>
      <c r="U109" s="332"/>
      <c r="V109" s="332"/>
      <c r="W109" s="332"/>
      <c r="X109" s="332"/>
      <c r="Y109" s="446"/>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row>
    <row r="110" spans="1:55">
      <c r="A110" s="471" t="s">
        <v>228</v>
      </c>
      <c r="B110" s="1">
        <f>-'Reorganised Statements'!C89</f>
        <v>-125</v>
      </c>
      <c r="C110" s="1">
        <f>-'Reorganised Statements'!D89</f>
        <v>-125</v>
      </c>
      <c r="D110" s="1">
        <f>-'Reorganised Statements'!E89</f>
        <v>-104</v>
      </c>
      <c r="E110" s="1">
        <f>-'Reorganised Statements'!F89</f>
        <v>-102</v>
      </c>
      <c r="F110" s="360">
        <f>-'Reorganised Statements'!G89</f>
        <v>-94</v>
      </c>
      <c r="G110" s="433">
        <f>-(S111+S112+S113+S114+S115+S116+S117+U122)*U119</f>
        <v>-74.929244775865939</v>
      </c>
      <c r="H110" s="433">
        <f>-(S111+S112+S113+S114+S115+S116+S117+U122+V122)*V119</f>
        <v>-84.408457460312206</v>
      </c>
      <c r="I110" s="433">
        <f>-(S112+S113+S114+S115+S116+S117+U122+V122+W122)*W119</f>
        <v>-80.705942935251173</v>
      </c>
      <c r="J110" s="433">
        <f>-(S113+S114+S115+S116+S117+U122+V122+W122+X122)*X119</f>
        <v>-70.745016989425835</v>
      </c>
      <c r="K110" s="445">
        <f>-(S114+S115+S116+S117+U122+V122+W122+X122+Y122)*Y119</f>
        <v>-66.825195195598937</v>
      </c>
      <c r="L110" s="1"/>
      <c r="M110" s="1"/>
      <c r="N110" s="1"/>
      <c r="O110" s="1"/>
      <c r="P110" s="1"/>
      <c r="Q110" s="1"/>
      <c r="R110" s="1"/>
      <c r="S110" s="769" t="s">
        <v>601</v>
      </c>
      <c r="T110" s="774" t="s">
        <v>602</v>
      </c>
      <c r="U110" s="52">
        <v>2020</v>
      </c>
      <c r="V110" s="52">
        <v>2021</v>
      </c>
      <c r="W110" s="52">
        <v>2022</v>
      </c>
      <c r="X110" s="52">
        <v>2023</v>
      </c>
      <c r="Y110" s="273">
        <v>2024</v>
      </c>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row>
    <row r="111" spans="1:55">
      <c r="A111" s="472" t="s">
        <v>230</v>
      </c>
      <c r="B111" s="101">
        <f>-'Reorganised Statements'!C90</f>
        <v>-15</v>
      </c>
      <c r="C111" s="101">
        <f>-'Reorganised Statements'!D90</f>
        <v>-9</v>
      </c>
      <c r="D111" s="101">
        <f>-'Reorganised Statements'!E90</f>
        <v>-9</v>
      </c>
      <c r="E111" s="101">
        <f>-'Reorganised Statements'!F90</f>
        <v>-6</v>
      </c>
      <c r="F111" s="99">
        <f>-'Reorganised Statements'!G90</f>
        <v>-4</v>
      </c>
      <c r="G111" s="443">
        <f>-(-0.0051*G97)</f>
        <v>-5.1898426172833263</v>
      </c>
      <c r="H111" s="443">
        <f>-(-0.0051*H97)</f>
        <v>-5.3611173121956135</v>
      </c>
      <c r="I111" s="443">
        <f>-(-0.0051*I97)</f>
        <v>-5.5380443983807313</v>
      </c>
      <c r="J111" s="443">
        <f>-(-0.0051*J97)</f>
        <v>-5.7208104155205497</v>
      </c>
      <c r="K111" s="444">
        <f>-(-0.0051*K97)</f>
        <v>-5.9140395933563497</v>
      </c>
      <c r="L111" s="1"/>
      <c r="M111" s="1"/>
      <c r="N111" s="1"/>
      <c r="O111" s="1"/>
      <c r="P111" s="1"/>
      <c r="Q111" s="1"/>
      <c r="R111" s="1"/>
      <c r="S111" s="452">
        <v>351.5</v>
      </c>
      <c r="T111" s="577">
        <v>2021</v>
      </c>
      <c r="U111" s="361">
        <v>4.3749999999999997E-2</v>
      </c>
      <c r="V111" s="361">
        <v>4.3749999999999997E-2</v>
      </c>
      <c r="W111" s="771">
        <v>0</v>
      </c>
      <c r="X111" s="771">
        <v>0</v>
      </c>
      <c r="Y111" s="473">
        <v>0</v>
      </c>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row>
    <row r="112" spans="1:55">
      <c r="A112" s="74" t="s">
        <v>603</v>
      </c>
      <c r="B112" s="102">
        <f>B110+B111</f>
        <v>-140</v>
      </c>
      <c r="C112" s="102">
        <f t="shared" ref="C112:F112" si="60">C110+C111</f>
        <v>-134</v>
      </c>
      <c r="D112" s="102">
        <f t="shared" si="60"/>
        <v>-113</v>
      </c>
      <c r="E112" s="102">
        <f t="shared" si="60"/>
        <v>-108</v>
      </c>
      <c r="F112" s="74">
        <f t="shared" si="60"/>
        <v>-98</v>
      </c>
      <c r="G112" s="474">
        <f>G110+G111</f>
        <v>-80.119087393149272</v>
      </c>
      <c r="H112" s="474">
        <f t="shared" ref="H112:K112" si="61">H110+H111</f>
        <v>-89.769574772507823</v>
      </c>
      <c r="I112" s="474">
        <f t="shared" si="61"/>
        <v>-86.243987333631907</v>
      </c>
      <c r="J112" s="474">
        <f t="shared" si="61"/>
        <v>-76.465827404946381</v>
      </c>
      <c r="K112" s="475">
        <f t="shared" si="61"/>
        <v>-72.739234788955287</v>
      </c>
      <c r="L112" s="1"/>
      <c r="M112" s="1"/>
      <c r="N112" s="1"/>
      <c r="O112" s="1"/>
      <c r="P112" s="1"/>
      <c r="Q112" s="1"/>
      <c r="R112" s="1"/>
      <c r="S112" s="452">
        <v>500</v>
      </c>
      <c r="T112" s="577">
        <v>2022</v>
      </c>
      <c r="U112" s="361">
        <v>3.6880000000000003E-2</v>
      </c>
      <c r="V112" s="361">
        <v>3.6880000000000003E-2</v>
      </c>
      <c r="W112" s="361">
        <v>3.6880000000000003E-2</v>
      </c>
      <c r="X112" s="771">
        <v>0</v>
      </c>
      <c r="Y112" s="473">
        <v>0</v>
      </c>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row>
    <row r="113" spans="1:55">
      <c r="A113" s="360" t="s">
        <v>242</v>
      </c>
      <c r="B113" s="1">
        <f>-'Reorganised Statements'!C96</f>
        <v>-162</v>
      </c>
      <c r="C113" s="1">
        <f>-'Reorganised Statements'!D96</f>
        <v>-192</v>
      </c>
      <c r="D113" s="1">
        <f>-'Reorganised Statements'!E96</f>
        <v>-158</v>
      </c>
      <c r="E113" s="1">
        <f>-'Reorganised Statements'!F96</f>
        <v>-132</v>
      </c>
      <c r="F113" s="367">
        <f>-'Reorganised Statements'!G96</f>
        <v>-130</v>
      </c>
      <c r="G113" s="433">
        <f>G112/G114</f>
        <v>-101.93086741299238</v>
      </c>
      <c r="H113" s="433">
        <f t="shared" ref="H113:K113" si="62">H112/H114</f>
        <v>-114.20862270879553</v>
      </c>
      <c r="I113" s="433">
        <f t="shared" si="62"/>
        <v>-109.72322231947831</v>
      </c>
      <c r="J113" s="433">
        <f t="shared" si="62"/>
        <v>-97.283036645083016</v>
      </c>
      <c r="K113" s="445">
        <f t="shared" si="62"/>
        <v>-92.541909028653066</v>
      </c>
      <c r="L113" s="1"/>
      <c r="M113" s="1"/>
      <c r="N113" s="1"/>
      <c r="O113" s="1"/>
      <c r="P113" s="1"/>
      <c r="Q113" s="1"/>
      <c r="R113" s="1"/>
      <c r="S113" s="452">
        <v>300</v>
      </c>
      <c r="T113" s="577">
        <v>2023</v>
      </c>
      <c r="U113" s="361">
        <v>4.0570000000000002E-2</v>
      </c>
      <c r="V113" s="361">
        <v>4.0570000000000002E-2</v>
      </c>
      <c r="W113" s="361">
        <v>4.0570000000000002E-2</v>
      </c>
      <c r="X113" s="361">
        <v>4.0570000000000002E-2</v>
      </c>
      <c r="Y113" s="473">
        <v>0</v>
      </c>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row>
    <row r="114" spans="1:55">
      <c r="A114" s="360" t="s">
        <v>604</v>
      </c>
      <c r="B114" s="362">
        <f>B112/B113</f>
        <v>0.86419753086419748</v>
      </c>
      <c r="C114" s="362">
        <f t="shared" ref="C114:F114" si="63">C112/C113</f>
        <v>0.69791666666666663</v>
      </c>
      <c r="D114" s="362">
        <f t="shared" si="63"/>
        <v>0.71518987341772156</v>
      </c>
      <c r="E114" s="362">
        <f t="shared" si="63"/>
        <v>0.81818181818181823</v>
      </c>
      <c r="F114" s="424">
        <f t="shared" si="63"/>
        <v>0.75384615384615383</v>
      </c>
      <c r="G114" s="402">
        <f>AVERAGE(E114,F114)</f>
        <v>0.78601398601398609</v>
      </c>
      <c r="H114" s="402">
        <f>G114</f>
        <v>0.78601398601398609</v>
      </c>
      <c r="I114" s="402">
        <f t="shared" ref="I114:K114" si="64">H114</f>
        <v>0.78601398601398609</v>
      </c>
      <c r="J114" s="402">
        <f t="shared" si="64"/>
        <v>0.78601398601398609</v>
      </c>
      <c r="K114" s="425">
        <f t="shared" si="64"/>
        <v>0.78601398601398609</v>
      </c>
      <c r="L114" s="1"/>
      <c r="M114" s="1"/>
      <c r="N114" s="1"/>
      <c r="O114" s="1"/>
      <c r="P114" s="1"/>
      <c r="Q114" s="1"/>
      <c r="R114" s="1"/>
      <c r="S114" s="452">
        <v>300</v>
      </c>
      <c r="T114" s="577">
        <v>2024</v>
      </c>
      <c r="U114" s="361">
        <v>1.2840000000000001E-2</v>
      </c>
      <c r="V114" s="361">
        <v>1.2840000000000001E-2</v>
      </c>
      <c r="W114" s="361">
        <v>1.2840000000000001E-2</v>
      </c>
      <c r="X114" s="361">
        <v>1.2840000000000001E-2</v>
      </c>
      <c r="Y114" s="422">
        <v>1.2840000000000001E-2</v>
      </c>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row>
    <row r="115" spans="1:55">
      <c r="A115" s="360"/>
      <c r="B115" s="362"/>
      <c r="C115" s="362"/>
      <c r="D115" s="362"/>
      <c r="E115" s="362"/>
      <c r="F115" s="424"/>
      <c r="G115" s="402"/>
      <c r="H115" s="402"/>
      <c r="I115" s="402"/>
      <c r="J115" s="402"/>
      <c r="K115" s="425"/>
      <c r="L115" s="1"/>
      <c r="M115" s="1"/>
      <c r="N115" s="1"/>
      <c r="O115" s="1"/>
      <c r="P115" s="1"/>
      <c r="Q115" s="1"/>
      <c r="R115" s="1"/>
      <c r="S115" s="452">
        <v>300</v>
      </c>
      <c r="T115" s="577">
        <v>2025</v>
      </c>
      <c r="U115" s="361">
        <v>1.8360000000000001E-2</v>
      </c>
      <c r="V115" s="361">
        <v>1.8360000000000001E-2</v>
      </c>
      <c r="W115" s="361">
        <v>1.8360000000000001E-2</v>
      </c>
      <c r="X115" s="361">
        <v>1.8360000000000001E-2</v>
      </c>
      <c r="Y115" s="422">
        <v>1.8360000000000001E-2</v>
      </c>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row>
    <row r="116" spans="1:55">
      <c r="A116" s="360"/>
      <c r="B116" s="1"/>
      <c r="C116" s="1"/>
      <c r="D116" s="1"/>
      <c r="E116" s="1"/>
      <c r="F116" s="360"/>
      <c r="G116" s="1"/>
      <c r="H116" s="1"/>
      <c r="I116" s="1"/>
      <c r="J116" s="1"/>
      <c r="K116" s="360"/>
      <c r="L116" s="1"/>
      <c r="M116" s="1"/>
      <c r="N116" s="1"/>
      <c r="O116" s="1"/>
      <c r="P116" s="1"/>
      <c r="Q116" s="1"/>
      <c r="R116" s="1"/>
      <c r="S116" s="452">
        <v>300</v>
      </c>
      <c r="T116" s="577">
        <v>2027</v>
      </c>
      <c r="U116" s="361">
        <v>1.7680000000000001E-2</v>
      </c>
      <c r="V116" s="361">
        <v>1.7680000000000001E-2</v>
      </c>
      <c r="W116" s="361">
        <v>1.7680000000000001E-2</v>
      </c>
      <c r="X116" s="361">
        <v>1.7680000000000001E-2</v>
      </c>
      <c r="Y116" s="422">
        <v>1.7680000000000001E-2</v>
      </c>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row>
    <row r="117" spans="1:55">
      <c r="A117" s="360" t="s">
        <v>605</v>
      </c>
      <c r="B117" s="1">
        <f>'Reorganised Statements'!C99</f>
        <v>-137</v>
      </c>
      <c r="C117" s="1">
        <f>'Reorganised Statements'!D99</f>
        <v>-109</v>
      </c>
      <c r="D117" s="1">
        <f>'Reorganised Statements'!E99</f>
        <v>-134</v>
      </c>
      <c r="E117" s="1">
        <f>'Reorganised Statements'!F99</f>
        <v>-98</v>
      </c>
      <c r="F117" s="360">
        <f>'Reorganised Statements'!G99</f>
        <v>-106</v>
      </c>
      <c r="G117" s="433">
        <f>G99*AVERAGE(E118:F118)</f>
        <v>-107.83965773302464</v>
      </c>
      <c r="H117" s="433">
        <f>H99*G118</f>
        <v>-111.39857191207112</v>
      </c>
      <c r="I117" s="433">
        <f t="shared" ref="I117:K117" si="65">I99*H118</f>
        <v>-115.07493704005491</v>
      </c>
      <c r="J117" s="433">
        <f t="shared" si="65"/>
        <v>-118.87262922207778</v>
      </c>
      <c r="K117" s="445">
        <f t="shared" si="65"/>
        <v>-122.88773525486037</v>
      </c>
      <c r="L117" s="1"/>
      <c r="M117" s="1"/>
      <c r="N117" s="1"/>
      <c r="O117" s="1"/>
      <c r="P117" s="1"/>
      <c r="Q117" s="1"/>
      <c r="R117" s="1"/>
      <c r="S117" s="452">
        <v>400</v>
      </c>
      <c r="T117" s="577">
        <v>2029</v>
      </c>
      <c r="U117" s="361">
        <v>1.3899999999999999E-2</v>
      </c>
      <c r="V117" s="361">
        <v>1.3899999999999999E-2</v>
      </c>
      <c r="W117" s="361">
        <v>1.3899999999999999E-2</v>
      </c>
      <c r="X117" s="361">
        <v>1.3899999999999999E-2</v>
      </c>
      <c r="Y117" s="422">
        <v>1.3899999999999999E-2</v>
      </c>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row>
    <row r="118" spans="1:55" ht="15" thickBot="1">
      <c r="A118" s="360" t="s">
        <v>762</v>
      </c>
      <c r="B118" s="1"/>
      <c r="C118" s="1"/>
      <c r="D118" s="1"/>
      <c r="E118" s="362">
        <f>E117/E99</f>
        <v>2.6644915715062535E-2</v>
      </c>
      <c r="F118" s="424">
        <f>F117/F99</f>
        <v>2.9354749376903903E-2</v>
      </c>
      <c r="G118" s="362">
        <f>G117/G99</f>
        <v>2.7999832545983219E-2</v>
      </c>
      <c r="H118" s="402">
        <f>G118</f>
        <v>2.7999832545983219E-2</v>
      </c>
      <c r="I118" s="402">
        <f t="shared" ref="I118:K118" si="66">H118</f>
        <v>2.7999832545983219E-2</v>
      </c>
      <c r="J118" s="402">
        <f t="shared" si="66"/>
        <v>2.7999832545983219E-2</v>
      </c>
      <c r="K118" s="425">
        <f t="shared" si="66"/>
        <v>2.7999832545983219E-2</v>
      </c>
      <c r="L118" s="1"/>
      <c r="M118" s="1"/>
      <c r="N118" s="1"/>
      <c r="O118" s="1"/>
      <c r="P118" s="1"/>
      <c r="Q118" s="1"/>
      <c r="R118" s="1"/>
      <c r="S118" s="452" t="s">
        <v>606</v>
      </c>
      <c r="T118" s="577"/>
      <c r="U118" s="361">
        <f>'[2]WACC '!C22</f>
        <v>2.1758250683779193E-2</v>
      </c>
      <c r="V118" s="361">
        <f>U118</f>
        <v>2.1758250683779193E-2</v>
      </c>
      <c r="W118" s="361">
        <f t="shared" ref="W118:Y118" si="67">V118</f>
        <v>2.1758250683779193E-2</v>
      </c>
      <c r="X118" s="361">
        <f t="shared" si="67"/>
        <v>2.1758250683779193E-2</v>
      </c>
      <c r="Y118" s="422">
        <f t="shared" si="67"/>
        <v>2.1758250683779193E-2</v>
      </c>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row>
    <row r="119" spans="1:55" ht="15" thickBot="1">
      <c r="A119" s="476" t="s">
        <v>451</v>
      </c>
      <c r="B119" s="1"/>
      <c r="C119" s="1"/>
      <c r="D119" s="1"/>
      <c r="E119" s="1"/>
      <c r="F119" s="360"/>
      <c r="G119" s="1"/>
      <c r="H119" s="1"/>
      <c r="I119" s="1"/>
      <c r="J119" s="1"/>
      <c r="K119" s="360"/>
      <c r="L119" s="1"/>
      <c r="M119" s="1"/>
      <c r="N119" s="1"/>
      <c r="O119" s="1"/>
      <c r="P119" s="1"/>
      <c r="Q119" s="1"/>
      <c r="R119" s="1"/>
      <c r="S119" s="773" t="s">
        <v>607</v>
      </c>
      <c r="T119" s="775"/>
      <c r="U119" s="772">
        <f>(SUM((U111*S111),(U112*S112),(U113*S113),(U114*S114),(U115*S115),(U116*S116),(U117*S117),U118*U122))/(SUM(S111:S117) +U122)</f>
        <v>2.6271704731400839E-2</v>
      </c>
      <c r="V119" s="772">
        <f>(SUM((U111*S111),(U112*S112),(U113*S113),(U114*S114),(U115*S115),(U116*S116),(U117*S117),(U118*V122),(U122*U118)))/(SUM(S111:S117) +V122+U122)</f>
        <v>2.5673625724398619E-2</v>
      </c>
      <c r="W119" s="772">
        <f>(SUM((U112*S112),(U113*S113),(U114*S114),(U115*S115),(U116*S116),(U117*S117),(U118*W122),(V122*U118),(U122*U118)))/(SUM(S112:S117)+W122+U122+V122)</f>
        <v>2.3239070419649548E-2</v>
      </c>
      <c r="X119" s="772">
        <f>(SUM((U113*S113),(U114*S114),(U115*S115),(U116*S116),(U117*S117),(U118*X122),(W122*U118),(V122*U118),(U122*U118)))/(SUM(S113:S117)+X122+W122+V122+U122)</f>
        <v>2.103909388632904E-2</v>
      </c>
      <c r="Y119" s="477">
        <f>SUM((S114*U114),(S115*U115),(S116*U116),(S117*U117),(Y118*Y122),(X122*U118),(W122*U118),(V122*U118),(U122*U118))/(S114+S115+S116+S117+U122+V122+W122+X122+Y122)</f>
        <v>1.9415931754190315E-2</v>
      </c>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row>
    <row r="120" spans="1:55">
      <c r="A120" s="360" t="s">
        <v>608</v>
      </c>
      <c r="B120" s="1"/>
      <c r="C120" s="1"/>
      <c r="D120" s="1"/>
      <c r="E120" s="1"/>
      <c r="F120" s="360"/>
      <c r="G120" s="468">
        <f>G176</f>
        <v>544.56139017900625</v>
      </c>
      <c r="H120" s="468">
        <f t="shared" ref="H120:K120" si="68">H176</f>
        <v>588.22893768113204</v>
      </c>
      <c r="I120" s="468">
        <f t="shared" si="68"/>
        <v>653.13977415749594</v>
      </c>
      <c r="J120" s="468">
        <f t="shared" si="68"/>
        <v>730.68861768672582</v>
      </c>
      <c r="K120" s="469">
        <f t="shared" si="68"/>
        <v>805.4407544425253</v>
      </c>
      <c r="L120" s="1"/>
      <c r="M120" s="1"/>
      <c r="N120" s="1"/>
      <c r="O120" s="1"/>
      <c r="P120" s="1"/>
      <c r="Q120" s="1"/>
      <c r="R120" s="1"/>
      <c r="S120" s="452"/>
      <c r="T120" s="577"/>
      <c r="U120" s="52"/>
      <c r="V120" s="52"/>
      <c r="W120" s="52"/>
      <c r="X120" s="52"/>
      <c r="Y120" s="273"/>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row>
    <row r="121" spans="1:55">
      <c r="A121" s="99" t="s">
        <v>609</v>
      </c>
      <c r="B121" s="101"/>
      <c r="C121" s="101"/>
      <c r="D121" s="101"/>
      <c r="E121" s="101"/>
      <c r="F121" s="99"/>
      <c r="G121" s="458">
        <v>0.24</v>
      </c>
      <c r="H121" s="458">
        <f>G121</f>
        <v>0.24</v>
      </c>
      <c r="I121" s="458">
        <f t="shared" ref="I121:K121" si="69">H121</f>
        <v>0.24</v>
      </c>
      <c r="J121" s="458">
        <f t="shared" si="69"/>
        <v>0.24</v>
      </c>
      <c r="K121" s="478">
        <f t="shared" si="69"/>
        <v>0.24</v>
      </c>
      <c r="L121" s="1"/>
      <c r="M121" s="1"/>
      <c r="N121" s="1"/>
      <c r="O121" s="1"/>
      <c r="P121" s="1"/>
      <c r="Q121" s="1"/>
      <c r="R121" s="1"/>
      <c r="S121" s="452"/>
      <c r="T121" s="577" t="s">
        <v>752</v>
      </c>
      <c r="U121" s="52">
        <v>2020</v>
      </c>
      <c r="V121" s="52">
        <v>2021</v>
      </c>
      <c r="W121" s="52">
        <v>2022</v>
      </c>
      <c r="X121" s="52">
        <v>2023</v>
      </c>
      <c r="Y121" s="273">
        <v>2024</v>
      </c>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row>
    <row r="122" spans="1:55" ht="15" thickBot="1">
      <c r="A122" s="360" t="s">
        <v>610</v>
      </c>
      <c r="B122" s="1"/>
      <c r="C122" s="1"/>
      <c r="D122" s="1"/>
      <c r="E122" s="1"/>
      <c r="F122" s="360"/>
      <c r="G122" s="433">
        <f>-G121*G120</f>
        <v>-130.69473364296149</v>
      </c>
      <c r="H122" s="433">
        <f t="shared" ref="H122:K122" si="70">-H121*H120</f>
        <v>-141.17494504347169</v>
      </c>
      <c r="I122" s="433">
        <f t="shared" si="70"/>
        <v>-156.75354579779901</v>
      </c>
      <c r="J122" s="433">
        <f t="shared" si="70"/>
        <v>-175.36526824481419</v>
      </c>
      <c r="K122" s="445">
        <f t="shared" si="70"/>
        <v>-193.30578106620607</v>
      </c>
      <c r="L122" s="1"/>
      <c r="M122" s="1"/>
      <c r="N122" s="1"/>
      <c r="O122" s="1"/>
      <c r="P122" s="1"/>
      <c r="Q122" s="1"/>
      <c r="R122" s="1"/>
      <c r="S122" s="770" t="s">
        <v>611</v>
      </c>
      <c r="T122" s="77"/>
      <c r="U122" s="776">
        <f>T94</f>
        <v>400.58917890691527</v>
      </c>
      <c r="V122" s="776">
        <f t="shared" ref="V122:Y122" si="71">U94</f>
        <v>435.6606062781064</v>
      </c>
      <c r="W122" s="776">
        <f t="shared" si="71"/>
        <v>536.60611988642768</v>
      </c>
      <c r="X122" s="776">
        <f t="shared" si="71"/>
        <v>389.69465778311968</v>
      </c>
      <c r="Y122" s="777">
        <f t="shared" si="71"/>
        <v>379.22066098468014</v>
      </c>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row>
    <row r="123" spans="1:55">
      <c r="A123" s="360"/>
      <c r="B123" s="1"/>
      <c r="C123" s="1"/>
      <c r="D123" s="1"/>
      <c r="E123" s="1"/>
      <c r="F123" s="360"/>
      <c r="G123" s="1"/>
      <c r="H123" s="1"/>
      <c r="I123" s="1"/>
      <c r="J123" s="1"/>
      <c r="K123" s="360"/>
      <c r="L123" s="1"/>
      <c r="M123" s="1"/>
      <c r="N123" s="1"/>
      <c r="O123" s="1"/>
      <c r="P123" s="1"/>
      <c r="Q123" s="1"/>
      <c r="R123" s="1"/>
      <c r="S123" s="1"/>
      <c r="T123" s="1"/>
      <c r="U123" s="433"/>
      <c r="V123" s="433"/>
      <c r="W123" s="433"/>
      <c r="X123" s="433"/>
      <c r="Y123" s="433"/>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row>
    <row r="124" spans="1:55" ht="15" thickBot="1">
      <c r="A124" s="360" t="s">
        <v>612</v>
      </c>
      <c r="B124" s="1"/>
      <c r="C124" s="1"/>
      <c r="D124" s="1"/>
      <c r="E124" s="1"/>
      <c r="F124" s="360"/>
      <c r="G124" s="468">
        <f>G172</f>
        <v>646.49225759199862</v>
      </c>
      <c r="H124" s="468">
        <f t="shared" ref="H124:K124" si="72">H172</f>
        <v>702.43756038992751</v>
      </c>
      <c r="I124" s="468">
        <f t="shared" si="72"/>
        <v>762.86299647697422</v>
      </c>
      <c r="J124" s="468">
        <f t="shared" si="72"/>
        <v>827.97165433180885</v>
      </c>
      <c r="K124" s="469">
        <f t="shared" si="72"/>
        <v>897.9826634711784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row>
    <row r="125" spans="1:55">
      <c r="A125" s="99" t="s">
        <v>613</v>
      </c>
      <c r="B125" s="101"/>
      <c r="C125" s="101"/>
      <c r="D125" s="101"/>
      <c r="E125" s="101"/>
      <c r="F125" s="99"/>
      <c r="G125" s="479">
        <v>3.9E-2</v>
      </c>
      <c r="H125" s="479">
        <f>G125</f>
        <v>3.9E-2</v>
      </c>
      <c r="I125" s="479">
        <f t="shared" ref="I125:K125" si="73">H125</f>
        <v>3.9E-2</v>
      </c>
      <c r="J125" s="479">
        <f t="shared" si="73"/>
        <v>3.9E-2</v>
      </c>
      <c r="K125" s="480">
        <f t="shared" si="73"/>
        <v>3.9E-2</v>
      </c>
      <c r="L125" s="1"/>
      <c r="M125" s="1"/>
      <c r="N125" s="1"/>
      <c r="O125" s="1"/>
      <c r="P125" s="1"/>
      <c r="Q125" s="1"/>
      <c r="R125" s="1"/>
      <c r="S125" s="429" t="s">
        <v>614</v>
      </c>
      <c r="T125" s="277"/>
      <c r="U125" s="277"/>
      <c r="V125" s="277"/>
      <c r="W125" s="277"/>
      <c r="X125" s="277"/>
      <c r="Y125" s="275"/>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row>
    <row r="126" spans="1:55">
      <c r="A126" s="360" t="s">
        <v>615</v>
      </c>
      <c r="B126" s="1"/>
      <c r="C126" s="1"/>
      <c r="D126" s="1"/>
      <c r="E126" s="1"/>
      <c r="F126" s="360"/>
      <c r="G126" s="433">
        <f>-G125*G124</f>
        <v>-25.213198046087946</v>
      </c>
      <c r="H126" s="433">
        <f t="shared" ref="H126:K126" si="74">-H125*H124</f>
        <v>-27.395064855207174</v>
      </c>
      <c r="I126" s="433">
        <f t="shared" si="74"/>
        <v>-29.751656862601994</v>
      </c>
      <c r="J126" s="433">
        <f t="shared" si="74"/>
        <v>-32.290894518940547</v>
      </c>
      <c r="K126" s="445">
        <f t="shared" si="74"/>
        <v>-35.021323875375955</v>
      </c>
      <c r="L126" s="1"/>
      <c r="M126" s="1"/>
      <c r="N126" s="1"/>
      <c r="O126" s="1"/>
      <c r="P126" s="1"/>
      <c r="Q126" s="1"/>
      <c r="R126" s="1"/>
      <c r="S126" s="253"/>
      <c r="T126" s="1"/>
      <c r="U126" s="1"/>
      <c r="V126" s="1"/>
      <c r="W126" s="1"/>
      <c r="X126" s="1"/>
      <c r="Y126" s="273"/>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row>
    <row r="127" spans="1:55" ht="15" thickBot="1">
      <c r="A127" s="360"/>
      <c r="B127" s="1"/>
      <c r="C127" s="1"/>
      <c r="D127" s="1"/>
      <c r="E127" s="1"/>
      <c r="F127" s="360"/>
      <c r="G127" s="1"/>
      <c r="H127" s="1"/>
      <c r="I127" s="1"/>
      <c r="J127" s="1"/>
      <c r="K127" s="360"/>
      <c r="L127" s="1"/>
      <c r="M127" s="1"/>
      <c r="N127" s="1"/>
      <c r="O127" s="1"/>
      <c r="P127" s="1"/>
      <c r="Q127" s="1"/>
      <c r="R127" s="1"/>
      <c r="S127" s="265"/>
      <c r="T127" s="368"/>
      <c r="U127" s="368"/>
      <c r="V127" s="481">
        <f>C111/C97</f>
        <v>7.1864893999281339E-3</v>
      </c>
      <c r="W127" s="481">
        <f>D111/D97</f>
        <v>9.5226003047232093E-3</v>
      </c>
      <c r="X127" s="481">
        <f>E111/E97</f>
        <v>6.2743129627305808E-3</v>
      </c>
      <c r="Y127" s="482">
        <f>F111/F97</f>
        <v>3.9408866995073897E-3</v>
      </c>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row>
    <row r="128" spans="1:55">
      <c r="A128" s="431" t="s">
        <v>616</v>
      </c>
      <c r="B128" s="366"/>
      <c r="C128" s="366"/>
      <c r="D128" s="366"/>
      <c r="E128" s="366"/>
      <c r="F128" s="431"/>
      <c r="G128" s="483">
        <f>G122+G126</f>
        <v>-155.90793168904943</v>
      </c>
      <c r="H128" s="483">
        <f t="shared" ref="H128:K128" si="75">H122+H126</f>
        <v>-168.57000989867888</v>
      </c>
      <c r="I128" s="483">
        <f t="shared" si="75"/>
        <v>-186.50520266040101</v>
      </c>
      <c r="J128" s="483">
        <f t="shared" si="75"/>
        <v>-207.65616276375474</v>
      </c>
      <c r="K128" s="484">
        <f t="shared" si="75"/>
        <v>-228.32710494158204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row>
    <row r="129" spans="1:55">
      <c r="A129" s="360"/>
      <c r="B129" s="1"/>
      <c r="C129" s="1"/>
      <c r="D129" s="1"/>
      <c r="E129" s="1"/>
      <c r="F129" s="360"/>
      <c r="G129" s="1"/>
      <c r="H129" s="1"/>
      <c r="I129" s="1"/>
      <c r="J129" s="1"/>
      <c r="K129" s="360"/>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row>
    <row r="130" spans="1:55">
      <c r="A130" s="360" t="s">
        <v>617</v>
      </c>
      <c r="B130" s="1"/>
      <c r="C130" s="1"/>
      <c r="D130" s="1"/>
      <c r="E130" s="1"/>
      <c r="F130" s="360"/>
      <c r="G130" s="468">
        <f>G120</f>
        <v>544.56139017900625</v>
      </c>
      <c r="H130" s="468">
        <f t="shared" ref="H130:K130" si="76">H120</f>
        <v>588.22893768113204</v>
      </c>
      <c r="I130" s="468">
        <f t="shared" si="76"/>
        <v>653.13977415749594</v>
      </c>
      <c r="J130" s="468">
        <f t="shared" si="76"/>
        <v>730.68861768672582</v>
      </c>
      <c r="K130" s="469">
        <f t="shared" si="76"/>
        <v>805.4407544425253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row>
    <row r="131" spans="1:55">
      <c r="A131" s="360" t="s">
        <v>618</v>
      </c>
      <c r="B131" s="1"/>
      <c r="C131" s="1"/>
      <c r="D131" s="1"/>
      <c r="E131" s="1"/>
      <c r="F131" s="360"/>
      <c r="G131" s="362">
        <f>-G128/G130</f>
        <v>0.28630001043188158</v>
      </c>
      <c r="H131" s="362">
        <f t="shared" ref="H131:K131" si="77">-H128/H130</f>
        <v>0.28657211350941314</v>
      </c>
      <c r="I131" s="362">
        <f t="shared" si="77"/>
        <v>0.28555174564430641</v>
      </c>
      <c r="J131" s="362">
        <f t="shared" si="77"/>
        <v>0.2841924148499394</v>
      </c>
      <c r="K131" s="424">
        <f t="shared" si="77"/>
        <v>0.28348094342409513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row>
    <row r="132" spans="1:55">
      <c r="A132" s="360"/>
      <c r="B132" s="1"/>
      <c r="C132" s="1"/>
      <c r="D132" s="1"/>
      <c r="E132" s="1"/>
      <c r="F132" s="360"/>
      <c r="G132" s="1"/>
      <c r="H132" s="1"/>
      <c r="I132" s="1"/>
      <c r="J132" s="1"/>
      <c r="K132" s="360"/>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row>
    <row r="133" spans="1:55" ht="15" thickBot="1">
      <c r="A133" s="360"/>
      <c r="B133" s="1"/>
      <c r="C133" s="1"/>
      <c r="D133" s="1"/>
      <c r="E133" s="1"/>
      <c r="F133" s="360"/>
      <c r="G133" s="1"/>
      <c r="H133" s="1"/>
      <c r="I133" s="1"/>
      <c r="J133" s="1"/>
      <c r="K133" s="360"/>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row>
    <row r="134" spans="1:55" ht="15" thickBot="1">
      <c r="A134" s="428" t="s">
        <v>619</v>
      </c>
      <c r="B134" s="1"/>
      <c r="C134" s="1"/>
      <c r="D134" s="1"/>
      <c r="E134" s="1"/>
      <c r="F134" s="360"/>
      <c r="G134" s="1"/>
      <c r="H134" s="1"/>
      <c r="I134" s="1"/>
      <c r="J134" s="1"/>
      <c r="K134" s="360"/>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row>
    <row r="135" spans="1:55">
      <c r="A135" s="430"/>
      <c r="B135" s="1"/>
      <c r="C135" s="1"/>
      <c r="D135" s="1"/>
      <c r="E135" s="1"/>
      <c r="F135" s="360"/>
      <c r="G135" s="1"/>
      <c r="H135" s="1"/>
      <c r="I135" s="1"/>
      <c r="J135" s="1"/>
      <c r="K135" s="360"/>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row>
    <row r="136" spans="1:55">
      <c r="A136" s="360" t="s">
        <v>620</v>
      </c>
      <c r="B136" s="1">
        <f>'[2]Reorganised Statements'!D114</f>
        <v>75</v>
      </c>
      <c r="C136" s="1">
        <f>'[2]Reorganised Statements'!E114</f>
        <v>232</v>
      </c>
      <c r="D136" s="1">
        <f>'[2]Reorganised Statements'!F114</f>
        <v>293</v>
      </c>
      <c r="E136" s="1">
        <f>'[2]Reorganised Statements'!G114</f>
        <v>344</v>
      </c>
      <c r="F136" s="360">
        <f>'[2]Reorganised Statements'!H114</f>
        <v>389</v>
      </c>
      <c r="G136" s="468">
        <f>'[2]Output forecasts simo '!G27</f>
        <v>384.67815390052436</v>
      </c>
      <c r="H136" s="468">
        <f>'[2]Output forecasts simo '!H27</f>
        <v>415.36648672688739</v>
      </c>
      <c r="I136" s="468">
        <f>'[2]Output forecasts simo '!I27</f>
        <v>461.8616445794558</v>
      </c>
      <c r="J136" s="468">
        <f>'[2]Output forecasts simo '!J27</f>
        <v>517.68266766890713</v>
      </c>
      <c r="K136" s="469">
        <f>'[2]Output forecasts simo '!K27</f>
        <v>571.2106979399332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row>
    <row r="137" spans="1:55">
      <c r="A137" s="360" t="s">
        <v>621</v>
      </c>
      <c r="B137" s="1">
        <f>B139*B138</f>
        <v>126</v>
      </c>
      <c r="C137" s="1">
        <f t="shared" ref="C137:F137" si="78">C139*C138</f>
        <v>153</v>
      </c>
      <c r="D137" s="1">
        <f t="shared" si="78"/>
        <v>180</v>
      </c>
      <c r="E137" s="1">
        <f t="shared" si="78"/>
        <v>218.00000000000003</v>
      </c>
      <c r="F137" s="360">
        <f t="shared" si="78"/>
        <v>240.99999999999997</v>
      </c>
      <c r="G137" s="433">
        <f>G138*G139</f>
        <v>248.73470848000002</v>
      </c>
      <c r="H137" s="433">
        <f t="shared" ref="H137:K137" si="79">H138*H139</f>
        <v>261.171443904</v>
      </c>
      <c r="I137" s="433">
        <f t="shared" si="79"/>
        <v>274.23001609920004</v>
      </c>
      <c r="J137" s="433">
        <f t="shared" si="79"/>
        <v>287.9415169041601</v>
      </c>
      <c r="K137" s="445">
        <f t="shared" si="79"/>
        <v>302.3385927493681</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row>
    <row r="138" spans="1:55">
      <c r="A138" s="360" t="s">
        <v>622</v>
      </c>
      <c r="B138" s="485">
        <f>'DCF Valuation Simone '!C12</f>
        <v>4.0566645202833228E-2</v>
      </c>
      <c r="C138" s="485">
        <f>'DCF Valuation Simone '!D12</f>
        <v>4.9209055201012208E-2</v>
      </c>
      <c r="D138" s="485">
        <f>'DCF Valuation Simone '!E12</f>
        <v>5.7893006118837895E-2</v>
      </c>
      <c r="E138" s="485">
        <f>'DCF Valuation Simone '!F12</f>
        <v>7.011486296614812E-2</v>
      </c>
      <c r="F138" s="486">
        <f>'DCF Valuation Simone '!G12</f>
        <v>7.7512302636888505E-2</v>
      </c>
      <c r="G138" s="786">
        <f>'DCF Valuation Simone '!H12</f>
        <v>0.08</v>
      </c>
      <c r="H138" s="786">
        <f>'DCF Valuation Simone '!I12</f>
        <v>8.4000000000000005E-2</v>
      </c>
      <c r="I138" s="786">
        <f>'DCF Valuation Simone '!J12</f>
        <v>8.8200000000000014E-2</v>
      </c>
      <c r="J138" s="786">
        <f>'DCF Valuation Simone '!K12</f>
        <v>9.2610000000000026E-2</v>
      </c>
      <c r="K138" s="423">
        <f>'DCF Valuation Simone '!L12</f>
        <v>9.7240500000000035E-2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row>
    <row r="139" spans="1:55">
      <c r="A139" s="99" t="s">
        <v>623</v>
      </c>
      <c r="B139" s="487">
        <f>'DCF Valuation Simone '!C9</f>
        <v>3106</v>
      </c>
      <c r="C139" s="443">
        <f>'DCF Valuation Simone '!D9</f>
        <v>3109.1838560000001</v>
      </c>
      <c r="D139" s="443">
        <f>'DCF Valuation Simone '!E9</f>
        <v>3109.1838560000001</v>
      </c>
      <c r="E139" s="443">
        <f>'DCF Valuation Simone '!F9</f>
        <v>3109.1838560000001</v>
      </c>
      <c r="F139" s="444">
        <f>'DCF Valuation Simone '!G9</f>
        <v>3109.1838560000001</v>
      </c>
      <c r="G139" s="443">
        <f>F139</f>
        <v>3109.1838560000001</v>
      </c>
      <c r="H139" s="443">
        <f t="shared" ref="H139:K139" si="80">G139</f>
        <v>3109.1838560000001</v>
      </c>
      <c r="I139" s="443">
        <f t="shared" si="80"/>
        <v>3109.1838560000001</v>
      </c>
      <c r="J139" s="443">
        <f t="shared" si="80"/>
        <v>3109.1838560000001</v>
      </c>
      <c r="K139" s="444">
        <f t="shared" si="80"/>
        <v>3109.1838560000001</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row>
    <row r="140" spans="1:55">
      <c r="A140" s="360" t="s">
        <v>624</v>
      </c>
      <c r="B140" s="362">
        <f>B137/B136</f>
        <v>1.68</v>
      </c>
      <c r="C140" s="362">
        <f t="shared" ref="C140:K140" si="81">C137/C136</f>
        <v>0.65948275862068961</v>
      </c>
      <c r="D140" s="362">
        <f t="shared" si="81"/>
        <v>0.61433447098976113</v>
      </c>
      <c r="E140" s="362">
        <f t="shared" si="81"/>
        <v>0.63372093023255827</v>
      </c>
      <c r="F140" s="424">
        <f t="shared" si="81"/>
        <v>0.61953727506426726</v>
      </c>
      <c r="G140" s="362">
        <f>G137/G136</f>
        <v>0.64660471606693171</v>
      </c>
      <c r="H140" s="362">
        <f t="shared" si="81"/>
        <v>0.62877351026089401</v>
      </c>
      <c r="I140" s="362">
        <f t="shared" si="81"/>
        <v>0.5937492738737763</v>
      </c>
      <c r="J140" s="362">
        <f t="shared" si="81"/>
        <v>0.55621239590798521</v>
      </c>
      <c r="K140" s="424">
        <f t="shared" si="81"/>
        <v>0.52929434592130331</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row>
    <row r="141" spans="1:55">
      <c r="A141" s="360"/>
      <c r="B141" s="1"/>
      <c r="C141" s="1"/>
      <c r="D141" s="1"/>
      <c r="E141" s="1"/>
      <c r="F141" s="360"/>
      <c r="G141" s="1"/>
      <c r="H141" s="1"/>
      <c r="I141" s="1"/>
      <c r="J141" s="1"/>
      <c r="K141" s="360"/>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row>
    <row r="142" spans="1:55">
      <c r="A142" s="431" t="s">
        <v>625</v>
      </c>
      <c r="B142" s="1"/>
      <c r="C142" s="1"/>
      <c r="D142" s="1"/>
      <c r="E142" s="1"/>
      <c r="F142" s="360"/>
      <c r="G142" s="1"/>
      <c r="H142" s="1"/>
      <c r="I142" s="1"/>
      <c r="J142" s="1"/>
      <c r="K142" s="360"/>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row>
    <row r="143" spans="1:55">
      <c r="A143" s="360" t="s">
        <v>626</v>
      </c>
      <c r="B143" s="1"/>
      <c r="C143" s="1"/>
      <c r="D143" s="1"/>
      <c r="E143" s="1"/>
      <c r="F143" s="360"/>
      <c r="G143" s="1">
        <f>-'[2]Reorganised Statements'!H35</f>
        <v>3651</v>
      </c>
      <c r="H143" s="433">
        <f>G147</f>
        <v>3786.9434454205243</v>
      </c>
      <c r="I143" s="433">
        <f>H147</f>
        <v>3941.1384882434118</v>
      </c>
      <c r="J143" s="433">
        <f>I147</f>
        <v>4128.7701167236673</v>
      </c>
      <c r="K143" s="445">
        <f>J147</f>
        <v>4358.511267488414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row>
    <row r="144" spans="1:55">
      <c r="A144" s="360" t="s">
        <v>627</v>
      </c>
      <c r="B144" s="1"/>
      <c r="C144" s="1"/>
      <c r="D144" s="1"/>
      <c r="E144" s="1"/>
      <c r="F144" s="360"/>
      <c r="G144" s="468">
        <f>G136</f>
        <v>384.67815390052436</v>
      </c>
      <c r="H144" s="468">
        <f>H136</f>
        <v>415.36648672688739</v>
      </c>
      <c r="I144" s="468">
        <f t="shared" ref="I144:K144" si="82">I136</f>
        <v>461.8616445794558</v>
      </c>
      <c r="J144" s="468">
        <f t="shared" si="82"/>
        <v>517.68266766890713</v>
      </c>
      <c r="K144" s="469">
        <f t="shared" si="82"/>
        <v>571.2106979399332</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row>
    <row r="145" spans="1:55">
      <c r="A145" s="360" t="s">
        <v>628</v>
      </c>
      <c r="B145" s="1"/>
      <c r="C145" s="1"/>
      <c r="D145" s="1"/>
      <c r="E145" s="1"/>
      <c r="F145" s="360"/>
      <c r="G145" s="433">
        <f>-G137</f>
        <v>-248.73470848000002</v>
      </c>
      <c r="H145" s="433">
        <f t="shared" ref="H145:K145" si="83">-H137</f>
        <v>-261.171443904</v>
      </c>
      <c r="I145" s="433">
        <f t="shared" si="83"/>
        <v>-274.23001609920004</v>
      </c>
      <c r="J145" s="433">
        <f t="shared" si="83"/>
        <v>-287.9415169041601</v>
      </c>
      <c r="K145" s="445">
        <f t="shared" si="83"/>
        <v>-302.3385927493681</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row>
    <row r="146" spans="1:55">
      <c r="A146" s="99" t="s">
        <v>453</v>
      </c>
      <c r="B146" s="101"/>
      <c r="C146" s="101"/>
      <c r="D146" s="101"/>
      <c r="E146" s="101"/>
      <c r="F146" s="99"/>
      <c r="G146" s="101"/>
      <c r="H146" s="101"/>
      <c r="I146" s="101"/>
      <c r="J146" s="101"/>
      <c r="K146" s="99"/>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row>
    <row r="147" spans="1:55">
      <c r="A147" s="432" t="s">
        <v>629</v>
      </c>
      <c r="B147" s="421"/>
      <c r="C147" s="421"/>
      <c r="D147" s="421"/>
      <c r="E147" s="421"/>
      <c r="F147" s="432"/>
      <c r="G147" s="434">
        <f>G143+G144+G145</f>
        <v>3786.9434454205243</v>
      </c>
      <c r="H147" s="434">
        <f>H143+H144+H145</f>
        <v>3941.1384882434118</v>
      </c>
      <c r="I147" s="434">
        <f>I143+I144+I145</f>
        <v>4128.7701167236673</v>
      </c>
      <c r="J147" s="434">
        <f>J143+J144+J145</f>
        <v>4358.511267488414</v>
      </c>
      <c r="K147" s="435">
        <f>K143+K144+K145</f>
        <v>4627.383372678979</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row>
    <row r="148" spans="1:5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row>
    <row r="149" spans="1:55" ht="1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row>
    <row r="150" spans="1:55" ht="24.6">
      <c r="A150" s="909" t="s">
        <v>753</v>
      </c>
      <c r="B150" s="897"/>
      <c r="C150" s="897"/>
      <c r="D150" s="897"/>
      <c r="E150" s="897"/>
      <c r="F150" s="897"/>
      <c r="G150" s="897"/>
      <c r="H150" s="897"/>
      <c r="I150" s="897"/>
      <c r="J150" s="897"/>
      <c r="K150" s="898"/>
      <c r="L150" s="805"/>
      <c r="M150" s="103"/>
      <c r="N150" s="103"/>
      <c r="O150" s="909" t="s">
        <v>845</v>
      </c>
      <c r="P150" s="897"/>
      <c r="Q150" s="897"/>
      <c r="R150" s="898"/>
      <c r="S150" s="103"/>
      <c r="T150" s="909" t="s">
        <v>759</v>
      </c>
      <c r="U150" s="897"/>
      <c r="V150" s="897"/>
      <c r="W150" s="897"/>
      <c r="X150" s="897"/>
      <c r="Y150" s="897"/>
      <c r="Z150" s="897"/>
      <c r="AA150" s="897"/>
      <c r="AB150" s="897"/>
      <c r="AC150" s="897"/>
      <c r="AD150" s="897"/>
      <c r="AE150" s="897"/>
      <c r="AF150" s="897"/>
      <c r="AG150" s="898"/>
      <c r="AH150" s="1"/>
      <c r="AI150" s="1"/>
      <c r="AJ150" s="1"/>
      <c r="AK150" s="1"/>
      <c r="AL150" s="1"/>
      <c r="AM150" s="1"/>
      <c r="AN150" s="1"/>
      <c r="AO150" s="1"/>
      <c r="AP150" s="1"/>
      <c r="AQ150" s="1"/>
      <c r="AR150" s="1"/>
      <c r="AS150" s="1"/>
      <c r="AT150" s="1"/>
      <c r="AU150" s="1"/>
      <c r="AV150" s="1"/>
      <c r="AW150" s="1"/>
      <c r="AX150" s="1"/>
      <c r="AY150" s="1"/>
      <c r="AZ150" s="1"/>
      <c r="BA150" s="1"/>
      <c r="BB150" s="1"/>
      <c r="BC150" s="1"/>
    </row>
    <row r="151" spans="1:55" ht="15" thickBot="1">
      <c r="A151" s="899"/>
      <c r="B151" s="900"/>
      <c r="C151" s="900"/>
      <c r="D151" s="900"/>
      <c r="E151" s="900"/>
      <c r="F151" s="900"/>
      <c r="G151" s="900"/>
      <c r="H151" s="900"/>
      <c r="I151" s="900"/>
      <c r="J151" s="900"/>
      <c r="K151" s="901"/>
      <c r="L151" s="52"/>
      <c r="M151" s="52"/>
      <c r="N151" s="52"/>
      <c r="O151" s="899"/>
      <c r="P151" s="900"/>
      <c r="Q151" s="900"/>
      <c r="R151" s="901"/>
      <c r="S151" s="52"/>
      <c r="T151" s="899"/>
      <c r="U151" s="900"/>
      <c r="V151" s="900"/>
      <c r="W151" s="900"/>
      <c r="X151" s="900"/>
      <c r="Y151" s="900"/>
      <c r="Z151" s="900"/>
      <c r="AA151" s="900"/>
      <c r="AB151" s="900"/>
      <c r="AC151" s="900"/>
      <c r="AD151" s="900"/>
      <c r="AE151" s="900"/>
      <c r="AF151" s="900"/>
      <c r="AG151" s="901"/>
      <c r="AH151" s="1"/>
      <c r="AI151" s="1"/>
      <c r="AJ151" s="1"/>
      <c r="AK151" s="1"/>
      <c r="AL151" s="1"/>
      <c r="AM151" s="1"/>
      <c r="AN151" s="1"/>
      <c r="AO151" s="1"/>
      <c r="AP151" s="1"/>
      <c r="AQ151" s="1"/>
      <c r="AR151" s="1"/>
      <c r="AS151" s="1"/>
      <c r="AT151" s="1"/>
      <c r="AU151" s="1"/>
      <c r="AV151" s="1"/>
      <c r="AW151" s="1"/>
      <c r="AX151" s="1"/>
      <c r="AY151" s="1"/>
      <c r="AZ151" s="1"/>
      <c r="BA151" s="1"/>
      <c r="BB151" s="1"/>
      <c r="BC151" s="1"/>
    </row>
    <row r="152" spans="1:55" ht="15" thickBot="1">
      <c r="A152" s="925"/>
      <c r="B152" s="925"/>
      <c r="C152" s="925"/>
      <c r="D152" s="925"/>
      <c r="E152" s="925"/>
      <c r="F152" s="925"/>
      <c r="G152" s="925"/>
      <c r="H152" s="925"/>
      <c r="I152" s="925"/>
      <c r="J152" s="925"/>
      <c r="K152" s="925"/>
      <c r="L152" s="1"/>
      <c r="M152" s="1"/>
      <c r="N152" s="1"/>
      <c r="O152" s="922"/>
      <c r="P152" s="923"/>
      <c r="Q152" s="923"/>
      <c r="R152" s="924"/>
      <c r="S152" s="1"/>
      <c r="T152" s="922"/>
      <c r="U152" s="923"/>
      <c r="V152" s="923"/>
      <c r="W152" s="923"/>
      <c r="X152" s="923"/>
      <c r="Y152" s="923"/>
      <c r="Z152" s="923"/>
      <c r="AA152" s="923"/>
      <c r="AB152" s="923"/>
      <c r="AC152" s="923"/>
      <c r="AD152" s="923"/>
      <c r="AE152" s="923"/>
      <c r="AF152" s="923"/>
      <c r="AG152" s="924"/>
      <c r="AH152" s="1"/>
      <c r="AI152" s="1"/>
      <c r="AJ152" s="1"/>
      <c r="AK152" s="1"/>
      <c r="AL152" s="1"/>
      <c r="AM152" s="1"/>
      <c r="AN152" s="1"/>
      <c r="AO152" s="1"/>
      <c r="AP152" s="1"/>
      <c r="AQ152" s="1"/>
      <c r="AR152" s="1"/>
      <c r="AS152" s="1"/>
      <c r="AT152" s="1"/>
      <c r="AU152" s="1"/>
      <c r="AV152" s="1"/>
      <c r="AW152" s="1"/>
      <c r="AX152" s="1"/>
      <c r="AY152" s="1"/>
      <c r="AZ152" s="1"/>
      <c r="BA152" s="1"/>
      <c r="BB152" s="1"/>
      <c r="BC152" s="1"/>
    </row>
    <row r="153" spans="1:55">
      <c r="A153" s="1"/>
      <c r="B153" s="1"/>
      <c r="C153" s="1"/>
      <c r="D153" s="1"/>
      <c r="E153" s="1"/>
      <c r="F153" s="1"/>
      <c r="G153" s="1"/>
      <c r="H153" s="1"/>
      <c r="I153" s="1"/>
      <c r="J153" s="1"/>
      <c r="K153" s="1"/>
      <c r="L153" s="1"/>
      <c r="M153" s="1"/>
      <c r="N153" s="1"/>
      <c r="O153" s="1"/>
      <c r="P153" s="1"/>
      <c r="Q153" s="1"/>
      <c r="R153" s="1"/>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c r="AP153" s="1"/>
      <c r="AQ153" s="1"/>
      <c r="AR153" s="1"/>
      <c r="AS153" s="1"/>
      <c r="AT153" s="1"/>
      <c r="AU153" s="1"/>
      <c r="AV153" s="1"/>
      <c r="AW153" s="1"/>
      <c r="AX153" s="1"/>
      <c r="AY153" s="1"/>
      <c r="AZ153" s="1"/>
      <c r="BA153" s="1"/>
      <c r="BB153" s="1"/>
      <c r="BC153" s="1"/>
    </row>
    <row r="154" spans="1:55" ht="15" thickBot="1">
      <c r="A154" s="1"/>
      <c r="B154" s="1"/>
      <c r="C154" s="1"/>
      <c r="D154" s="1"/>
      <c r="E154" s="1"/>
      <c r="F154" s="1"/>
      <c r="G154" s="1"/>
      <c r="H154" s="1"/>
      <c r="I154" s="1"/>
      <c r="J154" s="1"/>
      <c r="K154" s="1"/>
      <c r="L154" s="1"/>
      <c r="M154" s="1"/>
      <c r="N154" s="1"/>
      <c r="O154" s="1"/>
      <c r="P154" s="1"/>
      <c r="Q154" s="1"/>
      <c r="R154" s="1"/>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c r="AP154" s="1"/>
      <c r="AQ154" s="1"/>
      <c r="AR154" s="1"/>
      <c r="AS154" s="1"/>
      <c r="AT154" s="1"/>
      <c r="AU154" s="1"/>
      <c r="AV154" s="1"/>
      <c r="AW154" s="1"/>
      <c r="AX154" s="1"/>
      <c r="AY154" s="1"/>
      <c r="AZ154" s="1"/>
      <c r="BA154" s="1"/>
      <c r="BB154" s="1"/>
      <c r="BC154" s="1"/>
    </row>
    <row r="155" spans="1:55">
      <c r="A155" s="650" t="s">
        <v>713</v>
      </c>
      <c r="B155" s="644"/>
      <c r="C155" s="644"/>
      <c r="D155" s="644"/>
      <c r="E155" s="644"/>
      <c r="F155" s="645"/>
      <c r="G155" s="644" t="s">
        <v>714</v>
      </c>
      <c r="H155" s="644"/>
      <c r="I155" s="644"/>
      <c r="J155" s="644"/>
      <c r="K155" s="646"/>
      <c r="L155" s="52"/>
      <c r="M155" s="1"/>
      <c r="N155" s="1"/>
      <c r="O155" s="1"/>
      <c r="P155" s="1"/>
      <c r="Q155" s="1"/>
      <c r="R155" s="1"/>
      <c r="S155" s="52"/>
      <c r="T155" s="650" t="s">
        <v>713</v>
      </c>
      <c r="U155" s="644"/>
      <c r="V155" s="644"/>
      <c r="W155" s="644"/>
      <c r="X155" s="644"/>
      <c r="Y155" s="645"/>
      <c r="Z155" s="644" t="s">
        <v>714</v>
      </c>
      <c r="AA155" s="644"/>
      <c r="AB155" s="644"/>
      <c r="AC155" s="644"/>
      <c r="AD155" s="646"/>
      <c r="AE155" s="52"/>
      <c r="AF155" s="52"/>
      <c r="AG155" s="52"/>
      <c r="AH155" s="52"/>
      <c r="AI155" s="52"/>
      <c r="AJ155" s="52"/>
      <c r="AK155" s="52"/>
      <c r="AL155" s="52"/>
      <c r="AM155" s="52"/>
      <c r="AN155" s="52"/>
      <c r="AO155" s="52"/>
      <c r="AP155" s="1"/>
      <c r="AQ155" s="1"/>
      <c r="AR155" s="1"/>
      <c r="AS155" s="1"/>
      <c r="AT155" s="1"/>
      <c r="AU155" s="1"/>
      <c r="AV155" s="1"/>
      <c r="AW155" s="1"/>
      <c r="AX155" s="1"/>
      <c r="AY155" s="1"/>
      <c r="AZ155" s="1"/>
      <c r="BA155" s="1"/>
      <c r="BB155" s="1"/>
      <c r="BC155" s="1"/>
    </row>
    <row r="156" spans="1:55" ht="15" thickBot="1">
      <c r="A156" s="651"/>
      <c r="B156" s="647">
        <v>2015</v>
      </c>
      <c r="C156" s="647">
        <v>2016</v>
      </c>
      <c r="D156" s="647">
        <v>2017</v>
      </c>
      <c r="E156" s="647">
        <v>2018</v>
      </c>
      <c r="F156" s="649">
        <v>2019</v>
      </c>
      <c r="G156" s="647">
        <v>2020</v>
      </c>
      <c r="H156" s="647">
        <v>2021</v>
      </c>
      <c r="I156" s="647">
        <v>2022</v>
      </c>
      <c r="J156" s="647">
        <v>2023</v>
      </c>
      <c r="K156" s="648">
        <v>2024</v>
      </c>
      <c r="L156" s="52"/>
      <c r="M156" s="1"/>
      <c r="N156" s="1"/>
      <c r="O156" s="1"/>
      <c r="P156" s="1"/>
      <c r="Q156" s="1"/>
      <c r="R156" s="1"/>
      <c r="S156" s="592"/>
      <c r="T156" s="651"/>
      <c r="U156" s="647">
        <v>2015</v>
      </c>
      <c r="V156" s="647">
        <v>2016</v>
      </c>
      <c r="W156" s="647">
        <v>2017</v>
      </c>
      <c r="X156" s="647">
        <v>2018</v>
      </c>
      <c r="Y156" s="649">
        <v>2019</v>
      </c>
      <c r="Z156" s="647">
        <v>2020</v>
      </c>
      <c r="AA156" s="647">
        <v>2021</v>
      </c>
      <c r="AB156" s="647">
        <v>2022</v>
      </c>
      <c r="AC156" s="647">
        <v>2023</v>
      </c>
      <c r="AD156" s="648">
        <v>2024</v>
      </c>
      <c r="AE156" s="52"/>
      <c r="AF156" s="52"/>
      <c r="AG156" s="52"/>
      <c r="AH156" s="52"/>
      <c r="AI156" s="52"/>
      <c r="AJ156" s="52"/>
      <c r="AK156" s="52"/>
      <c r="AL156" s="52"/>
      <c r="AM156" s="52"/>
      <c r="AN156" s="52"/>
      <c r="AO156" s="52"/>
      <c r="AP156" s="1"/>
      <c r="AQ156" s="1"/>
      <c r="AR156" s="1"/>
      <c r="AS156" s="1"/>
      <c r="AT156" s="1"/>
      <c r="AU156" s="1"/>
      <c r="AV156" s="1"/>
      <c r="AW156" s="1"/>
      <c r="AX156" s="1"/>
      <c r="AY156" s="1"/>
      <c r="AZ156" s="1"/>
      <c r="BA156" s="1"/>
      <c r="BB156" s="1"/>
      <c r="BC156" s="1"/>
    </row>
    <row r="157" spans="1:55">
      <c r="A157" s="452"/>
      <c r="B157" s="52"/>
      <c r="C157" s="52"/>
      <c r="D157" s="52"/>
      <c r="E157" s="52"/>
      <c r="F157" s="430"/>
      <c r="G157" s="52"/>
      <c r="H157" s="52"/>
      <c r="I157" s="52"/>
      <c r="J157" s="52"/>
      <c r="K157" s="273"/>
      <c r="L157" s="52"/>
      <c r="M157" s="52"/>
      <c r="N157" s="52"/>
      <c r="O157" s="52"/>
      <c r="P157" s="52"/>
      <c r="Q157" s="52"/>
      <c r="R157" s="52"/>
      <c r="S157" s="52"/>
      <c r="T157" s="452"/>
      <c r="U157" s="52"/>
      <c r="V157" s="52"/>
      <c r="W157" s="52"/>
      <c r="X157" s="52"/>
      <c r="Y157" s="430"/>
      <c r="Z157" s="52"/>
      <c r="AA157" s="52"/>
      <c r="AB157" s="52"/>
      <c r="AC157" s="52"/>
      <c r="AD157" s="273"/>
      <c r="AE157" s="52"/>
      <c r="AF157" s="52"/>
      <c r="AG157" s="52"/>
      <c r="AH157" s="52"/>
      <c r="AI157" s="52"/>
      <c r="AJ157" s="52"/>
      <c r="AK157" s="52"/>
      <c r="AL157" s="52"/>
      <c r="AM157" s="52"/>
      <c r="AN157" s="52"/>
      <c r="AO157" s="52"/>
      <c r="AP157" s="1"/>
      <c r="AQ157" s="1"/>
      <c r="AR157" s="1"/>
      <c r="AS157" s="1"/>
      <c r="AT157" s="1"/>
      <c r="AU157" s="1"/>
      <c r="AV157" s="1"/>
      <c r="AW157" s="1"/>
      <c r="AX157" s="1"/>
      <c r="AY157" s="1"/>
      <c r="AZ157" s="1"/>
      <c r="BA157" s="1"/>
      <c r="BB157" s="1"/>
      <c r="BC157" s="1"/>
    </row>
    <row r="158" spans="1:55">
      <c r="A158" s="637" t="s">
        <v>630</v>
      </c>
      <c r="B158" s="638">
        <f>B10</f>
        <v>4732</v>
      </c>
      <c r="C158" s="638">
        <f t="shared" ref="C158:K158" si="84">C10</f>
        <v>4581</v>
      </c>
      <c r="D158" s="638">
        <f t="shared" si="84"/>
        <v>5590</v>
      </c>
      <c r="E158" s="638">
        <f t="shared" si="84"/>
        <v>6271</v>
      </c>
      <c r="F158" s="464">
        <f t="shared" si="84"/>
        <v>7122</v>
      </c>
      <c r="G158" s="638">
        <f t="shared" si="84"/>
        <v>7229.9878811512444</v>
      </c>
      <c r="H158" s="638">
        <f t="shared" si="84"/>
        <v>7339.613136983131</v>
      </c>
      <c r="I158" s="638">
        <f t="shared" si="84"/>
        <v>7450.9005943171169</v>
      </c>
      <c r="J158" s="638">
        <f t="shared" si="84"/>
        <v>7563.8754564132787</v>
      </c>
      <c r="K158" s="796">
        <f t="shared" si="84"/>
        <v>7675.7218275645055</v>
      </c>
      <c r="L158" s="52"/>
      <c r="M158" s="52"/>
      <c r="N158" s="52"/>
      <c r="O158" s="52"/>
      <c r="P158" s="52"/>
      <c r="Q158" s="52"/>
      <c r="R158" s="52"/>
      <c r="S158" s="52"/>
      <c r="T158" s="637" t="s">
        <v>630</v>
      </c>
      <c r="U158" s="638">
        <f>B158</f>
        <v>4732</v>
      </c>
      <c r="V158" s="638">
        <f t="shared" ref="V158:Y159" si="85">C158</f>
        <v>4581</v>
      </c>
      <c r="W158" s="638">
        <f t="shared" si="85"/>
        <v>5590</v>
      </c>
      <c r="X158" s="638">
        <f t="shared" si="85"/>
        <v>6271</v>
      </c>
      <c r="Y158" s="464">
        <f t="shared" si="85"/>
        <v>7122</v>
      </c>
      <c r="Z158" s="638">
        <v>7229.9878811512444</v>
      </c>
      <c r="AA158" s="638">
        <v>7339.613136983131</v>
      </c>
      <c r="AB158" s="638">
        <v>7450.9005943171169</v>
      </c>
      <c r="AC158" s="638">
        <v>7563.8754564132787</v>
      </c>
      <c r="AD158" s="796">
        <v>7675.7218275645055</v>
      </c>
      <c r="AE158" s="52"/>
      <c r="AF158" s="52"/>
      <c r="AG158" s="52"/>
      <c r="AH158" s="52"/>
      <c r="AI158" s="52"/>
      <c r="AJ158" s="52"/>
      <c r="AK158" s="52"/>
      <c r="AL158" s="52"/>
      <c r="AM158" s="52"/>
      <c r="AN158" s="52"/>
      <c r="AO158" s="52"/>
      <c r="AP158" s="1"/>
      <c r="AQ158" s="1"/>
      <c r="AR158" s="1"/>
      <c r="AS158" s="1"/>
      <c r="AT158" s="1"/>
      <c r="AU158" s="1"/>
      <c r="AV158" s="1"/>
      <c r="AW158" s="1"/>
      <c r="AX158" s="1"/>
      <c r="AY158" s="1"/>
      <c r="AZ158" s="1"/>
      <c r="BA158" s="1"/>
      <c r="BB158" s="1"/>
      <c r="BC158" s="1"/>
    </row>
    <row r="159" spans="1:55">
      <c r="A159" s="452" t="s">
        <v>631</v>
      </c>
      <c r="B159" s="639">
        <f>B11</f>
        <v>189</v>
      </c>
      <c r="C159" s="639">
        <f t="shared" ref="C159:K159" si="86">C11</f>
        <v>279</v>
      </c>
      <c r="D159" s="639">
        <f t="shared" si="86"/>
        <v>206</v>
      </c>
      <c r="E159" s="639">
        <f t="shared" si="86"/>
        <v>223</v>
      </c>
      <c r="F159" s="469">
        <f t="shared" si="86"/>
        <v>202</v>
      </c>
      <c r="G159" s="639">
        <f t="shared" si="86"/>
        <v>231.0824726511394</v>
      </c>
      <c r="H159" s="639">
        <f t="shared" si="86"/>
        <v>234.58627868775648</v>
      </c>
      <c r="I159" s="639">
        <f t="shared" si="86"/>
        <v>238.14321145701319</v>
      </c>
      <c r="J159" s="639">
        <f t="shared" si="86"/>
        <v>241.7540764971418</v>
      </c>
      <c r="K159" s="797">
        <f t="shared" si="86"/>
        <v>245.32887308429278</v>
      </c>
      <c r="L159" s="52"/>
      <c r="M159" s="52"/>
      <c r="N159" s="52"/>
      <c r="O159" s="52"/>
      <c r="P159" s="52"/>
      <c r="Q159" s="52"/>
      <c r="R159" s="52"/>
      <c r="S159" s="52"/>
      <c r="T159" s="452" t="s">
        <v>631</v>
      </c>
      <c r="U159" s="810">
        <f>B159</f>
        <v>189</v>
      </c>
      <c r="V159" s="810">
        <f t="shared" si="85"/>
        <v>279</v>
      </c>
      <c r="W159" s="810">
        <f t="shared" si="85"/>
        <v>206</v>
      </c>
      <c r="X159" s="810">
        <f t="shared" si="85"/>
        <v>223</v>
      </c>
      <c r="Y159" s="811">
        <f t="shared" si="85"/>
        <v>202</v>
      </c>
      <c r="Z159" s="810">
        <v>231.0824726511394</v>
      </c>
      <c r="AA159" s="810">
        <v>234.58627868775648</v>
      </c>
      <c r="AB159" s="810">
        <v>238.14321145701319</v>
      </c>
      <c r="AC159" s="810">
        <v>241.7540764971418</v>
      </c>
      <c r="AD159" s="816">
        <v>245.32887308429278</v>
      </c>
      <c r="AE159" s="52"/>
      <c r="AF159" s="52"/>
      <c r="AG159" s="52"/>
      <c r="AH159" s="52"/>
      <c r="AI159" s="52"/>
      <c r="AJ159" s="52"/>
      <c r="AK159" s="52"/>
      <c r="AL159" s="52"/>
      <c r="AM159" s="52"/>
      <c r="AN159" s="52"/>
      <c r="AO159" s="52"/>
      <c r="AP159" s="1"/>
      <c r="AQ159" s="1"/>
      <c r="AR159" s="1"/>
      <c r="AS159" s="1"/>
      <c r="AT159" s="1"/>
      <c r="AU159" s="1"/>
      <c r="AV159" s="1"/>
      <c r="AW159" s="1"/>
      <c r="AX159" s="1"/>
      <c r="AY159" s="1"/>
      <c r="AZ159" s="1"/>
      <c r="BA159" s="1"/>
      <c r="BB159" s="1"/>
      <c r="BC159" s="1"/>
    </row>
    <row r="160" spans="1:55">
      <c r="A160" s="640" t="s">
        <v>457</v>
      </c>
      <c r="B160" s="489">
        <f>SUM(B158:B159)</f>
        <v>4921</v>
      </c>
      <c r="C160" s="489">
        <f t="shared" ref="C160:K160" si="87">SUM(C158:C159)</f>
        <v>4860</v>
      </c>
      <c r="D160" s="489">
        <f t="shared" si="87"/>
        <v>5796</v>
      </c>
      <c r="E160" s="489">
        <f t="shared" si="87"/>
        <v>6494</v>
      </c>
      <c r="F160" s="490">
        <f t="shared" si="87"/>
        <v>7324</v>
      </c>
      <c r="G160" s="489">
        <f t="shared" si="87"/>
        <v>7461.0703538023836</v>
      </c>
      <c r="H160" s="489">
        <f t="shared" si="87"/>
        <v>7574.1994156708879</v>
      </c>
      <c r="I160" s="489">
        <f t="shared" si="87"/>
        <v>7689.0438057741303</v>
      </c>
      <c r="J160" s="489">
        <f t="shared" si="87"/>
        <v>7805.6295329104205</v>
      </c>
      <c r="K160" s="798">
        <f t="shared" si="87"/>
        <v>7921.0507006487978</v>
      </c>
      <c r="L160" s="52"/>
      <c r="M160" s="52"/>
      <c r="N160" s="52"/>
      <c r="O160" s="52"/>
      <c r="P160" s="52"/>
      <c r="Q160" s="52"/>
      <c r="R160" s="52"/>
      <c r="S160" s="52"/>
      <c r="T160" s="640" t="s">
        <v>457</v>
      </c>
      <c r="U160" s="489">
        <f>SUM(U158:U159)</f>
        <v>4921</v>
      </c>
      <c r="V160" s="489">
        <f t="shared" ref="V160:Y160" si="88">SUM(V158:V159)</f>
        <v>4860</v>
      </c>
      <c r="W160" s="489">
        <f t="shared" si="88"/>
        <v>5796</v>
      </c>
      <c r="X160" s="489">
        <f t="shared" si="88"/>
        <v>6494</v>
      </c>
      <c r="Y160" s="490">
        <f t="shared" si="88"/>
        <v>7324</v>
      </c>
      <c r="Z160" s="489">
        <v>7461.0703538023836</v>
      </c>
      <c r="AA160" s="489">
        <v>7574.1994156708879</v>
      </c>
      <c r="AB160" s="489">
        <v>7689.0438057741303</v>
      </c>
      <c r="AC160" s="489">
        <v>7805.6295329104205</v>
      </c>
      <c r="AD160" s="798">
        <v>7921.0507006487978</v>
      </c>
      <c r="AE160" s="52"/>
      <c r="AF160" s="52"/>
      <c r="AG160" s="52"/>
      <c r="AH160" s="52"/>
      <c r="AI160" s="52"/>
      <c r="AJ160" s="52"/>
      <c r="AK160" s="52"/>
      <c r="AL160" s="52"/>
      <c r="AM160" s="52"/>
      <c r="AN160" s="52"/>
      <c r="AO160" s="52"/>
      <c r="AP160" s="1"/>
      <c r="AQ160" s="1"/>
      <c r="AR160" s="1"/>
      <c r="AS160" s="1"/>
      <c r="AT160" s="1"/>
      <c r="AU160" s="1"/>
      <c r="AV160" s="1"/>
      <c r="AW160" s="1"/>
      <c r="AX160" s="1"/>
      <c r="AY160" s="1"/>
      <c r="AZ160" s="1"/>
      <c r="BA160" s="1"/>
      <c r="BB160" s="1"/>
      <c r="BC160" s="1"/>
    </row>
    <row r="161" spans="1:55">
      <c r="A161" s="452"/>
      <c r="B161" s="639"/>
      <c r="C161" s="639"/>
      <c r="D161" s="639"/>
      <c r="E161" s="639"/>
      <c r="F161" s="469"/>
      <c r="G161" s="639"/>
      <c r="H161" s="639"/>
      <c r="I161" s="639"/>
      <c r="J161" s="639"/>
      <c r="K161" s="797"/>
      <c r="L161" s="52"/>
      <c r="M161" s="52"/>
      <c r="N161" s="52"/>
      <c r="O161" s="52"/>
      <c r="P161" s="52"/>
      <c r="Q161" s="52"/>
      <c r="R161" s="52"/>
      <c r="S161" s="52"/>
      <c r="T161" s="452"/>
      <c r="U161" s="639"/>
      <c r="V161" s="639"/>
      <c r="W161" s="639"/>
      <c r="X161" s="639"/>
      <c r="Y161" s="469"/>
      <c r="Z161" s="639"/>
      <c r="AA161" s="639"/>
      <c r="AB161" s="639"/>
      <c r="AC161" s="639"/>
      <c r="AD161" s="797"/>
      <c r="AE161" s="52"/>
      <c r="AF161" s="52"/>
      <c r="AG161" s="52"/>
      <c r="AH161" s="52"/>
      <c r="AI161" s="52"/>
      <c r="AJ161" s="52"/>
      <c r="AK161" s="52"/>
      <c r="AL161" s="52"/>
      <c r="AM161" s="52"/>
      <c r="AN161" s="52"/>
      <c r="AO161" s="52"/>
      <c r="AP161" s="1"/>
      <c r="AQ161" s="1"/>
      <c r="AR161" s="1"/>
      <c r="AS161" s="1"/>
      <c r="AT161" s="1"/>
      <c r="AU161" s="1"/>
      <c r="AV161" s="1"/>
      <c r="AW161" s="1"/>
      <c r="AX161" s="1"/>
      <c r="AY161" s="1"/>
      <c r="AZ161" s="1"/>
      <c r="BA161" s="1"/>
      <c r="BB161" s="1"/>
      <c r="BC161" s="1"/>
    </row>
    <row r="162" spans="1:55">
      <c r="A162" s="452" t="s">
        <v>41</v>
      </c>
      <c r="B162" s="639">
        <f>B15</f>
        <v>-2286</v>
      </c>
      <c r="C162" s="639">
        <f t="shared" ref="C162:K162" si="89">C15</f>
        <v>-2101</v>
      </c>
      <c r="D162" s="639">
        <f t="shared" si="89"/>
        <v>-2831</v>
      </c>
      <c r="E162" s="639">
        <f t="shared" si="89"/>
        <v>-3346</v>
      </c>
      <c r="F162" s="469">
        <f t="shared" si="89"/>
        <v>-4004</v>
      </c>
      <c r="G162" s="639">
        <f t="shared" si="89"/>
        <v>-3861.3170115701314</v>
      </c>
      <c r="H162" s="639">
        <f t="shared" si="89"/>
        <v>-3919.8645322851989</v>
      </c>
      <c r="I162" s="639">
        <f t="shared" si="89"/>
        <v>-3979.2997843550379</v>
      </c>
      <c r="J162" s="639">
        <f t="shared" si="89"/>
        <v>-4039.6362280756375</v>
      </c>
      <c r="K162" s="797">
        <f t="shared" si="89"/>
        <v>-4099.3699790456121</v>
      </c>
      <c r="L162" s="52"/>
      <c r="M162" s="52"/>
      <c r="N162" s="52"/>
      <c r="O162" s="52"/>
      <c r="P162" s="52"/>
      <c r="Q162" s="52"/>
      <c r="R162" s="52"/>
      <c r="S162" s="52"/>
      <c r="T162" s="452" t="s">
        <v>41</v>
      </c>
      <c r="U162" s="639">
        <f>B162</f>
        <v>-2286</v>
      </c>
      <c r="V162" s="639">
        <f t="shared" ref="V162:Y162" si="90">C162</f>
        <v>-2101</v>
      </c>
      <c r="W162" s="639">
        <f t="shared" si="90"/>
        <v>-2831</v>
      </c>
      <c r="X162" s="639">
        <f t="shared" si="90"/>
        <v>-3346</v>
      </c>
      <c r="Y162" s="469">
        <f t="shared" si="90"/>
        <v>-4004</v>
      </c>
      <c r="Z162" s="639">
        <v>-3861.3170115701314</v>
      </c>
      <c r="AA162" s="639">
        <v>-3919.8645322851989</v>
      </c>
      <c r="AB162" s="639">
        <v>-3979.2997843550379</v>
      </c>
      <c r="AC162" s="639">
        <v>-4039.6362280756375</v>
      </c>
      <c r="AD162" s="797">
        <v>-4099.3699790456121</v>
      </c>
      <c r="AE162" s="52"/>
      <c r="AF162" s="52"/>
      <c r="AG162" s="52"/>
      <c r="AH162" s="52"/>
      <c r="AI162" s="52"/>
      <c r="AJ162" s="52"/>
      <c r="AK162" s="52"/>
      <c r="AL162" s="52"/>
      <c r="AM162" s="52"/>
      <c r="AN162" s="52"/>
      <c r="AO162" s="52"/>
      <c r="AP162" s="1"/>
      <c r="AQ162" s="1"/>
      <c r="AR162" s="1"/>
      <c r="AS162" s="1"/>
      <c r="AT162" s="1"/>
      <c r="AU162" s="1"/>
      <c r="AV162" s="1"/>
      <c r="AW162" s="1"/>
      <c r="AX162" s="1"/>
      <c r="AY162" s="1"/>
      <c r="AZ162" s="1"/>
      <c r="BA162" s="1"/>
      <c r="BB162" s="1"/>
      <c r="BC162" s="1"/>
    </row>
    <row r="163" spans="1:55">
      <c r="A163" s="452" t="s">
        <v>632</v>
      </c>
      <c r="B163" s="639">
        <f t="shared" ref="B163:K165" si="91">B16</f>
        <v>-706</v>
      </c>
      <c r="C163" s="639">
        <f t="shared" si="91"/>
        <v>-758</v>
      </c>
      <c r="D163" s="639">
        <f t="shared" si="91"/>
        <v>-850</v>
      </c>
      <c r="E163" s="639">
        <f t="shared" si="91"/>
        <v>-986</v>
      </c>
      <c r="F163" s="469">
        <f t="shared" si="91"/>
        <v>-1152</v>
      </c>
      <c r="G163" s="639">
        <f t="shared" si="91"/>
        <v>-1135.2075417956739</v>
      </c>
      <c r="H163" s="639">
        <f t="shared" si="91"/>
        <v>-1152.4202147955934</v>
      </c>
      <c r="I163" s="639">
        <f t="shared" si="91"/>
        <v>-1169.8938762939981</v>
      </c>
      <c r="J163" s="639">
        <f t="shared" si="91"/>
        <v>-1187.6324835493767</v>
      </c>
      <c r="K163" s="797">
        <f t="shared" si="91"/>
        <v>-1205.1939022046365</v>
      </c>
      <c r="L163" s="52"/>
      <c r="M163" s="100"/>
      <c r="N163" s="52"/>
      <c r="O163" s="100"/>
      <c r="P163" s="100"/>
      <c r="Q163" s="52"/>
      <c r="R163" s="100"/>
      <c r="S163" s="100"/>
      <c r="T163" s="452" t="s">
        <v>632</v>
      </c>
      <c r="U163" s="639">
        <f t="shared" ref="U163:U165" si="92">B163</f>
        <v>-706</v>
      </c>
      <c r="V163" s="639">
        <f t="shared" ref="V163:V165" si="93">C163</f>
        <v>-758</v>
      </c>
      <c r="W163" s="639">
        <f t="shared" ref="W163:W165" si="94">D163</f>
        <v>-850</v>
      </c>
      <c r="X163" s="639">
        <f t="shared" ref="X163:X165" si="95">E163</f>
        <v>-986</v>
      </c>
      <c r="Y163" s="469">
        <f t="shared" ref="Y163:Y165" si="96">F163</f>
        <v>-1152</v>
      </c>
      <c r="Z163" s="639">
        <v>-1135.2075417956739</v>
      </c>
      <c r="AA163" s="639">
        <v>-1152.4202147955934</v>
      </c>
      <c r="AB163" s="639">
        <v>-1169.8938762939981</v>
      </c>
      <c r="AC163" s="639">
        <v>-1187.6324835493767</v>
      </c>
      <c r="AD163" s="797">
        <v>-1205.1939022046365</v>
      </c>
      <c r="AE163" s="52"/>
      <c r="AF163" s="52"/>
      <c r="AG163" s="52"/>
      <c r="AH163" s="52"/>
      <c r="AI163" s="52"/>
      <c r="AJ163" s="52"/>
      <c r="AK163" s="52"/>
      <c r="AL163" s="52"/>
      <c r="AM163" s="52"/>
      <c r="AN163" s="52"/>
      <c r="AO163" s="52"/>
      <c r="AP163" s="1"/>
      <c r="AQ163" s="1"/>
      <c r="AR163" s="1"/>
      <c r="AS163" s="1"/>
      <c r="AT163" s="1"/>
      <c r="AU163" s="1"/>
      <c r="AV163" s="1"/>
      <c r="AW163" s="1"/>
      <c r="AX163" s="1"/>
      <c r="AY163" s="1"/>
      <c r="AZ163" s="1"/>
      <c r="BA163" s="1"/>
      <c r="BB163" s="1"/>
      <c r="BC163" s="1"/>
    </row>
    <row r="164" spans="1:55">
      <c r="A164" s="452" t="s">
        <v>633</v>
      </c>
      <c r="B164" s="639">
        <f t="shared" si="91"/>
        <v>-252</v>
      </c>
      <c r="C164" s="639">
        <f t="shared" si="91"/>
        <v>-243</v>
      </c>
      <c r="D164" s="639">
        <f t="shared" si="91"/>
        <v>-281</v>
      </c>
      <c r="E164" s="639">
        <f t="shared" si="91"/>
        <v>-266</v>
      </c>
      <c r="F164" s="469">
        <f t="shared" si="91"/>
        <v>-234</v>
      </c>
      <c r="G164" s="639">
        <f t="shared" si="91"/>
        <v>-394.3485356689381</v>
      </c>
      <c r="H164" s="639">
        <f t="shared" si="91"/>
        <v>-346.13352111880317</v>
      </c>
      <c r="I164" s="639">
        <f t="shared" si="91"/>
        <v>-294.11338730152363</v>
      </c>
      <c r="J164" s="639">
        <f t="shared" si="91"/>
        <v>-238.05606978490357</v>
      </c>
      <c r="K164" s="797">
        <f t="shared" si="91"/>
        <v>-177.04862284693229</v>
      </c>
      <c r="L164" s="52"/>
      <c r="M164" s="52"/>
      <c r="N164" s="52"/>
      <c r="O164" s="52"/>
      <c r="P164" s="52"/>
      <c r="Q164" s="52"/>
      <c r="R164" s="52"/>
      <c r="S164" s="52"/>
      <c r="T164" s="452" t="s">
        <v>633</v>
      </c>
      <c r="U164" s="639">
        <f t="shared" si="92"/>
        <v>-252</v>
      </c>
      <c r="V164" s="639">
        <f t="shared" si="93"/>
        <v>-243</v>
      </c>
      <c r="W164" s="639">
        <f t="shared" si="94"/>
        <v>-281</v>
      </c>
      <c r="X164" s="639">
        <f t="shared" si="95"/>
        <v>-266</v>
      </c>
      <c r="Y164" s="469">
        <f t="shared" si="96"/>
        <v>-234</v>
      </c>
      <c r="Z164" s="639">
        <v>-394.3485356689381</v>
      </c>
      <c r="AA164" s="639">
        <v>-346.13352111880317</v>
      </c>
      <c r="AB164" s="639">
        <v>-294.11338730152363</v>
      </c>
      <c r="AC164" s="639">
        <v>-238.05606978490357</v>
      </c>
      <c r="AD164" s="797">
        <v>-177.04862284693229</v>
      </c>
      <c r="AE164" s="52"/>
      <c r="AF164" s="52"/>
      <c r="AG164" s="52"/>
      <c r="AH164" s="52"/>
      <c r="AI164" s="52"/>
      <c r="AJ164" s="52"/>
      <c r="AK164" s="52"/>
      <c r="AL164" s="52"/>
      <c r="AM164" s="52"/>
      <c r="AN164" s="52"/>
      <c r="AO164" s="52"/>
      <c r="AP164" s="1"/>
      <c r="AQ164" s="1"/>
      <c r="AR164" s="1"/>
      <c r="AS164" s="1"/>
      <c r="AT164" s="1"/>
      <c r="AU164" s="1"/>
      <c r="AV164" s="1"/>
      <c r="AW164" s="1"/>
      <c r="AX164" s="1"/>
      <c r="AY164" s="1"/>
      <c r="AZ164" s="1"/>
      <c r="BA164" s="1"/>
      <c r="BB164" s="1"/>
      <c r="BC164" s="1"/>
    </row>
    <row r="165" spans="1:55">
      <c r="A165" s="452" t="s">
        <v>310</v>
      </c>
      <c r="B165" s="639">
        <f t="shared" si="91"/>
        <v>-629</v>
      </c>
      <c r="C165" s="639">
        <f t="shared" si="91"/>
        <v>-596</v>
      </c>
      <c r="D165" s="639">
        <f t="shared" si="91"/>
        <v>-635</v>
      </c>
      <c r="E165" s="639">
        <f t="shared" si="91"/>
        <v>-665</v>
      </c>
      <c r="F165" s="469">
        <f t="shared" si="91"/>
        <v>-700</v>
      </c>
      <c r="G165" s="639">
        <f t="shared" si="91"/>
        <v>-766.20133450364017</v>
      </c>
      <c r="H165" s="639">
        <f t="shared" si="91"/>
        <v>-777.81892207009673</v>
      </c>
      <c r="I165" s="639">
        <f t="shared" si="91"/>
        <v>-789.61266221523772</v>
      </c>
      <c r="J165" s="639">
        <f t="shared" si="91"/>
        <v>-801.5852258662934</v>
      </c>
      <c r="K165" s="797">
        <f t="shared" si="91"/>
        <v>-813.43819716364135</v>
      </c>
      <c r="L165" s="52"/>
      <c r="M165" s="52"/>
      <c r="N165" s="52"/>
      <c r="O165" s="52"/>
      <c r="P165" s="52"/>
      <c r="Q165" s="52"/>
      <c r="R165" s="52"/>
      <c r="S165" s="52"/>
      <c r="T165" s="452" t="s">
        <v>310</v>
      </c>
      <c r="U165" s="639">
        <f t="shared" si="92"/>
        <v>-629</v>
      </c>
      <c r="V165" s="639">
        <f t="shared" si="93"/>
        <v>-596</v>
      </c>
      <c r="W165" s="639">
        <f t="shared" si="94"/>
        <v>-635</v>
      </c>
      <c r="X165" s="639">
        <f t="shared" si="95"/>
        <v>-665</v>
      </c>
      <c r="Y165" s="469">
        <f t="shared" si="96"/>
        <v>-700</v>
      </c>
      <c r="Z165" s="639">
        <v>-766.20133450364017</v>
      </c>
      <c r="AA165" s="639">
        <v>-777.81892207009673</v>
      </c>
      <c r="AB165" s="639">
        <v>-789.61266221523772</v>
      </c>
      <c r="AC165" s="639">
        <v>-801.5852258662934</v>
      </c>
      <c r="AD165" s="797">
        <v>-813.43819716364135</v>
      </c>
      <c r="AE165" s="52"/>
      <c r="AF165" s="52"/>
      <c r="AG165" s="52"/>
      <c r="AH165" s="52"/>
      <c r="AI165" s="52"/>
      <c r="AJ165" s="52"/>
      <c r="AK165" s="52"/>
      <c r="AL165" s="52"/>
      <c r="AM165" s="52"/>
      <c r="AN165" s="52"/>
      <c r="AO165" s="52"/>
      <c r="AP165" s="1"/>
      <c r="AQ165" s="1"/>
      <c r="AR165" s="1"/>
      <c r="AS165" s="1"/>
      <c r="AT165" s="1"/>
      <c r="AU165" s="1"/>
      <c r="AV165" s="1"/>
      <c r="AW165" s="1"/>
      <c r="AX165" s="1"/>
      <c r="AY165" s="1"/>
      <c r="AZ165" s="1"/>
      <c r="BA165" s="1"/>
      <c r="BB165" s="1"/>
      <c r="BC165" s="1"/>
    </row>
    <row r="166" spans="1:55">
      <c r="A166" s="641"/>
      <c r="B166" s="101"/>
      <c r="C166" s="101"/>
      <c r="D166" s="101"/>
      <c r="E166" s="101"/>
      <c r="F166" s="99"/>
      <c r="G166" s="456"/>
      <c r="H166" s="456"/>
      <c r="I166" s="456"/>
      <c r="J166" s="456"/>
      <c r="K166" s="799"/>
      <c r="L166" s="52"/>
      <c r="M166" s="52"/>
      <c r="N166" s="52"/>
      <c r="O166" s="52"/>
      <c r="P166" s="52"/>
      <c r="Q166" s="52"/>
      <c r="R166" s="52"/>
      <c r="S166" s="52"/>
      <c r="T166" s="641"/>
      <c r="U166" s="101"/>
      <c r="V166" s="101"/>
      <c r="W166" s="101"/>
      <c r="X166" s="101"/>
      <c r="Y166" s="99"/>
      <c r="Z166" s="456"/>
      <c r="AA166" s="456"/>
      <c r="AB166" s="456"/>
      <c r="AC166" s="456"/>
      <c r="AD166" s="799"/>
      <c r="AE166" s="52"/>
      <c r="AF166" s="52"/>
      <c r="AG166" s="52"/>
      <c r="AH166" s="52"/>
      <c r="AI166" s="52"/>
      <c r="AJ166" s="52"/>
      <c r="AK166" s="52"/>
      <c r="AL166" s="52"/>
      <c r="AM166" s="52"/>
      <c r="AN166" s="52"/>
      <c r="AO166" s="52"/>
      <c r="AP166" s="1"/>
      <c r="AQ166" s="1"/>
      <c r="AR166" s="1"/>
      <c r="AS166" s="1"/>
      <c r="AT166" s="1"/>
      <c r="AU166" s="1"/>
      <c r="AV166" s="1"/>
      <c r="AW166" s="1"/>
      <c r="AX166" s="1"/>
      <c r="AY166" s="1"/>
      <c r="AZ166" s="1"/>
      <c r="BA166" s="1"/>
      <c r="BB166" s="1"/>
      <c r="BC166" s="1"/>
    </row>
    <row r="167" spans="1:55">
      <c r="A167" s="637" t="s">
        <v>550</v>
      </c>
      <c r="B167" s="100">
        <f>B160+SUM(B162:B165)</f>
        <v>1048</v>
      </c>
      <c r="C167" s="100">
        <f>C160+SUM(C162:C165)</f>
        <v>1162</v>
      </c>
      <c r="D167" s="100">
        <f>D160+SUM(D162:D165)</f>
        <v>1199</v>
      </c>
      <c r="E167" s="100">
        <f>E160+SUM(E162:E165)</f>
        <v>1231</v>
      </c>
      <c r="F167" s="432">
        <f>F160+SUM(F162:F165)</f>
        <v>1234</v>
      </c>
      <c r="G167" s="638">
        <f t="shared" ref="G167:K167" si="97">G160+SUM(G162:G165)</f>
        <v>1303.995930264</v>
      </c>
      <c r="H167" s="638">
        <f t="shared" si="97"/>
        <v>1377.9622254011956</v>
      </c>
      <c r="I167" s="638">
        <f t="shared" si="97"/>
        <v>1456.1240956083329</v>
      </c>
      <c r="J167" s="638">
        <f t="shared" si="97"/>
        <v>1538.7195256342093</v>
      </c>
      <c r="K167" s="796">
        <f t="shared" si="97"/>
        <v>1625.9999993879755</v>
      </c>
      <c r="L167" s="52"/>
      <c r="M167" s="52"/>
      <c r="N167" s="52"/>
      <c r="O167" s="52"/>
      <c r="P167" s="52"/>
      <c r="Q167" s="52"/>
      <c r="R167" s="52"/>
      <c r="S167" s="52"/>
      <c r="T167" s="637" t="s">
        <v>550</v>
      </c>
      <c r="U167" s="100">
        <f>U160+SUM(U162:U165)</f>
        <v>1048</v>
      </c>
      <c r="V167" s="100">
        <f>V160+SUM(V162:V165)</f>
        <v>1162</v>
      </c>
      <c r="W167" s="100">
        <f>W160+SUM(W162:W165)</f>
        <v>1199</v>
      </c>
      <c r="X167" s="100">
        <f>X160+SUM(X162:X165)</f>
        <v>1231</v>
      </c>
      <c r="Y167" s="432">
        <f>Y160+SUM(Y162:Y165)</f>
        <v>1234</v>
      </c>
      <c r="Z167" s="638">
        <v>1303.995930264</v>
      </c>
      <c r="AA167" s="638">
        <v>1377.9622254011956</v>
      </c>
      <c r="AB167" s="638">
        <v>1456.1240956083329</v>
      </c>
      <c r="AC167" s="638">
        <v>1538.7195256342093</v>
      </c>
      <c r="AD167" s="796">
        <v>1625.9999993879755</v>
      </c>
      <c r="AE167" s="52"/>
      <c r="AF167" s="52"/>
      <c r="AG167" s="52"/>
      <c r="AH167" s="52"/>
      <c r="AI167" s="52"/>
      <c r="AJ167" s="52"/>
      <c r="AK167" s="52"/>
      <c r="AL167" s="52"/>
      <c r="AM167" s="52"/>
      <c r="AN167" s="52"/>
      <c r="AO167" s="52"/>
      <c r="AP167" s="1"/>
      <c r="AQ167" s="1"/>
      <c r="AR167" s="1"/>
      <c r="AS167" s="1"/>
      <c r="AT167" s="1"/>
      <c r="AU167" s="1"/>
      <c r="AV167" s="1"/>
      <c r="AW167" s="1"/>
      <c r="AX167" s="1"/>
      <c r="AY167" s="1"/>
      <c r="AZ167" s="1"/>
      <c r="BA167" s="1"/>
      <c r="BB167" s="1"/>
      <c r="BC167" s="1"/>
    </row>
    <row r="168" spans="1:55">
      <c r="A168" s="452" t="s">
        <v>634</v>
      </c>
      <c r="B168" s="361">
        <f>B167/B160</f>
        <v>0.21296484454379191</v>
      </c>
      <c r="C168" s="361">
        <f>C167/C160</f>
        <v>0.23909465020576132</v>
      </c>
      <c r="D168" s="361">
        <f>D167/D160</f>
        <v>0.20686680469289165</v>
      </c>
      <c r="E168" s="361">
        <f>E167/E160</f>
        <v>0.18955959347089621</v>
      </c>
      <c r="F168" s="424">
        <f>F167/F160</f>
        <v>0.16848716548334244</v>
      </c>
      <c r="G168" s="815">
        <f>G167/G158</f>
        <v>0.18035935214546478</v>
      </c>
      <c r="H168" s="815">
        <f t="shared" ref="H168:K168" si="98">H167/H158</f>
        <v>0.18774316843184355</v>
      </c>
      <c r="I168" s="815">
        <f t="shared" si="98"/>
        <v>0.19542927424356388</v>
      </c>
      <c r="J168" s="815">
        <f t="shared" si="98"/>
        <v>0.20343004515358007</v>
      </c>
      <c r="K168" s="747">
        <f t="shared" si="98"/>
        <v>0.21183675436866409</v>
      </c>
      <c r="L168" s="52"/>
      <c r="M168" s="52"/>
      <c r="N168" s="52"/>
      <c r="O168" s="52"/>
      <c r="P168" s="52"/>
      <c r="Q168" s="52"/>
      <c r="R168" s="52"/>
      <c r="S168" s="52"/>
      <c r="T168" s="452" t="s">
        <v>634</v>
      </c>
      <c r="U168" s="361">
        <f>U167/U160</f>
        <v>0.21296484454379191</v>
      </c>
      <c r="V168" s="361">
        <f>V167/V160</f>
        <v>0.23909465020576132</v>
      </c>
      <c r="W168" s="361">
        <f>W167/W160</f>
        <v>0.20686680469289165</v>
      </c>
      <c r="X168" s="361">
        <f>X167/X160</f>
        <v>0.18955959347089621</v>
      </c>
      <c r="Y168" s="424">
        <f>Y167/Y160</f>
        <v>0.16848716548334244</v>
      </c>
      <c r="Z168" s="771">
        <v>0.18035935214546478</v>
      </c>
      <c r="AA168" s="771">
        <v>0.18774316843184355</v>
      </c>
      <c r="AB168" s="771">
        <v>0.19542927424356388</v>
      </c>
      <c r="AC168" s="771">
        <v>0.20343004515358007</v>
      </c>
      <c r="AD168" s="473">
        <v>0.21183675436866409</v>
      </c>
      <c r="AE168" s="52"/>
      <c r="AF168" s="52"/>
      <c r="AG168" s="52"/>
      <c r="AH168" s="52"/>
      <c r="AI168" s="52"/>
      <c r="AJ168" s="52"/>
      <c r="AK168" s="52"/>
      <c r="AL168" s="52"/>
      <c r="AM168" s="52"/>
      <c r="AN168" s="52"/>
      <c r="AO168" s="52"/>
      <c r="AP168" s="1"/>
      <c r="AQ168" s="1"/>
      <c r="AR168" s="1"/>
      <c r="AS168" s="1"/>
      <c r="AT168" s="1"/>
      <c r="AU168" s="1"/>
      <c r="AV168" s="1"/>
      <c r="AW168" s="1"/>
      <c r="AX168" s="1"/>
      <c r="AY168" s="1"/>
      <c r="AZ168" s="1"/>
      <c r="BA168" s="1"/>
      <c r="BB168" s="1"/>
      <c r="BC168" s="1"/>
    </row>
    <row r="169" spans="1:55">
      <c r="A169" s="452"/>
      <c r="B169" s="52"/>
      <c r="C169" s="52"/>
      <c r="D169" s="52"/>
      <c r="E169" s="52"/>
      <c r="F169" s="360"/>
      <c r="G169" s="639"/>
      <c r="H169" s="639"/>
      <c r="I169" s="639"/>
      <c r="J169" s="639"/>
      <c r="K169" s="797"/>
      <c r="L169" s="52"/>
      <c r="M169" s="52"/>
      <c r="N169" s="52"/>
      <c r="O169" s="52"/>
      <c r="P169" s="52"/>
      <c r="Q169" s="52"/>
      <c r="R169" s="52"/>
      <c r="S169" s="52"/>
      <c r="T169" s="452"/>
      <c r="U169" s="52"/>
      <c r="V169" s="52"/>
      <c r="W169" s="52"/>
      <c r="X169" s="52"/>
      <c r="Y169" s="360"/>
      <c r="Z169" s="639"/>
      <c r="AA169" s="639"/>
      <c r="AB169" s="639"/>
      <c r="AC169" s="639"/>
      <c r="AD169" s="797"/>
      <c r="AE169" s="52"/>
      <c r="AF169" s="52"/>
      <c r="AG169" s="52"/>
      <c r="AH169" s="52"/>
      <c r="AI169" s="52"/>
      <c r="AJ169" s="52"/>
      <c r="AK169" s="52"/>
      <c r="AL169" s="52"/>
      <c r="AM169" s="52"/>
      <c r="AN169" s="52"/>
      <c r="AO169" s="52"/>
      <c r="AP169" s="1"/>
      <c r="AQ169" s="1"/>
      <c r="AR169" s="1"/>
      <c r="AS169" s="1"/>
      <c r="AT169" s="1"/>
      <c r="AU169" s="1"/>
      <c r="AV169" s="1"/>
      <c r="AW169" s="1"/>
      <c r="AX169" s="1"/>
      <c r="AY169" s="1"/>
      <c r="AZ169" s="1"/>
      <c r="BA169" s="1"/>
      <c r="BB169" s="1"/>
      <c r="BC169" s="1"/>
    </row>
    <row r="170" spans="1:55">
      <c r="A170" s="452" t="s">
        <v>635</v>
      </c>
      <c r="B170" s="639">
        <f>B42+B53</f>
        <v>-754</v>
      </c>
      <c r="C170" s="639">
        <f t="shared" ref="C170:K170" si="99">C42+C53</f>
        <v>-648</v>
      </c>
      <c r="D170" s="639">
        <f t="shared" si="99"/>
        <v>-444</v>
      </c>
      <c r="E170" s="639">
        <f t="shared" si="99"/>
        <v>-623</v>
      </c>
      <c r="F170" s="469">
        <f t="shared" si="99"/>
        <v>-511</v>
      </c>
      <c r="G170" s="639">
        <f t="shared" si="99"/>
        <v>-607.30367267200131</v>
      </c>
      <c r="H170" s="639">
        <f t="shared" si="99"/>
        <v>-625.32466501126805</v>
      </c>
      <c r="I170" s="639">
        <f t="shared" si="99"/>
        <v>-643.06109913135867</v>
      </c>
      <c r="J170" s="639">
        <f t="shared" si="99"/>
        <v>-660.54787130240038</v>
      </c>
      <c r="K170" s="797">
        <f t="shared" si="99"/>
        <v>-677.81733591679711</v>
      </c>
      <c r="L170" s="52"/>
      <c r="M170" s="100"/>
      <c r="N170" s="52"/>
      <c r="O170" s="100"/>
      <c r="P170" s="100"/>
      <c r="Q170" s="52"/>
      <c r="R170" s="100"/>
      <c r="S170" s="100"/>
      <c r="T170" s="452" t="s">
        <v>635</v>
      </c>
      <c r="U170" s="639">
        <f>B170</f>
        <v>-754</v>
      </c>
      <c r="V170" s="639">
        <f t="shared" ref="V170:Y171" si="100">C170</f>
        <v>-648</v>
      </c>
      <c r="W170" s="639">
        <f t="shared" si="100"/>
        <v>-444</v>
      </c>
      <c r="X170" s="639">
        <f t="shared" si="100"/>
        <v>-623</v>
      </c>
      <c r="Y170" s="469">
        <f t="shared" si="100"/>
        <v>-511</v>
      </c>
      <c r="Z170" s="639">
        <v>-545.85972697982118</v>
      </c>
      <c r="AA170" s="639">
        <v>-583.80615608351354</v>
      </c>
      <c r="AB170" s="639">
        <v>-620.59997112771589</v>
      </c>
      <c r="AC170" s="639">
        <v>-656.16444581394455</v>
      </c>
      <c r="AD170" s="797">
        <v>-690.76455974331634</v>
      </c>
      <c r="AE170" s="52"/>
      <c r="AF170" s="52"/>
      <c r="AG170" s="52"/>
      <c r="AH170" s="52"/>
      <c r="AI170" s="52"/>
      <c r="AJ170" s="52"/>
      <c r="AK170" s="52"/>
      <c r="AL170" s="52"/>
      <c r="AM170" s="52"/>
      <c r="AN170" s="52"/>
      <c r="AO170" s="52"/>
      <c r="AP170" s="1"/>
      <c r="AQ170" s="1"/>
      <c r="AR170" s="1"/>
      <c r="AS170" s="1"/>
      <c r="AT170" s="1"/>
      <c r="AU170" s="1"/>
      <c r="AV170" s="1"/>
      <c r="AW170" s="1"/>
      <c r="AX170" s="1"/>
      <c r="AY170" s="1"/>
      <c r="AZ170" s="1"/>
      <c r="BA170" s="1"/>
      <c r="BB170" s="1"/>
      <c r="BC170" s="1"/>
    </row>
    <row r="171" spans="1:55">
      <c r="A171" s="452" t="s">
        <v>575</v>
      </c>
      <c r="B171" s="639">
        <f>B58</f>
        <v>-79</v>
      </c>
      <c r="C171" s="639">
        <f t="shared" ref="C171:K171" si="101">C58</f>
        <v>-71</v>
      </c>
      <c r="D171" s="639">
        <f t="shared" si="101"/>
        <v>-45</v>
      </c>
      <c r="E171" s="639">
        <f t="shared" si="101"/>
        <v>-20</v>
      </c>
      <c r="F171" s="469">
        <f t="shared" si="101"/>
        <v>-36</v>
      </c>
      <c r="G171" s="639">
        <f t="shared" si="101"/>
        <v>-50.2</v>
      </c>
      <c r="H171" s="639">
        <f t="shared" si="101"/>
        <v>-50.2</v>
      </c>
      <c r="I171" s="639">
        <f t="shared" si="101"/>
        <v>-50.2</v>
      </c>
      <c r="J171" s="639">
        <f t="shared" si="101"/>
        <v>-50.2</v>
      </c>
      <c r="K171" s="797">
        <f t="shared" si="101"/>
        <v>-50.2</v>
      </c>
      <c r="L171" s="52"/>
      <c r="M171" s="52"/>
      <c r="N171" s="52"/>
      <c r="O171" s="52"/>
      <c r="P171" s="52"/>
      <c r="Q171" s="52"/>
      <c r="R171" s="52"/>
      <c r="S171" s="52"/>
      <c r="T171" s="452" t="s">
        <v>575</v>
      </c>
      <c r="U171" s="639">
        <f>B171</f>
        <v>-79</v>
      </c>
      <c r="V171" s="639">
        <f t="shared" si="100"/>
        <v>-71</v>
      </c>
      <c r="W171" s="639">
        <f t="shared" si="100"/>
        <v>-45</v>
      </c>
      <c r="X171" s="639">
        <f t="shared" si="100"/>
        <v>-20</v>
      </c>
      <c r="Y171" s="469">
        <f t="shared" si="100"/>
        <v>-36</v>
      </c>
      <c r="Z171" s="639">
        <v>-50.2</v>
      </c>
      <c r="AA171" s="639">
        <v>-50.2</v>
      </c>
      <c r="AB171" s="639">
        <v>-50.2</v>
      </c>
      <c r="AC171" s="639">
        <v>-50.2</v>
      </c>
      <c r="AD171" s="797">
        <v>-50.2</v>
      </c>
      <c r="AE171" s="52"/>
      <c r="AF171" s="52"/>
      <c r="AG171" s="52"/>
      <c r="AH171" s="52"/>
      <c r="AI171" s="52"/>
      <c r="AJ171" s="52"/>
      <c r="AK171" s="52"/>
      <c r="AL171" s="52"/>
      <c r="AM171" s="52"/>
      <c r="AN171" s="52"/>
      <c r="AO171" s="52"/>
      <c r="AP171" s="1"/>
      <c r="AQ171" s="1"/>
      <c r="AR171" s="1"/>
      <c r="AS171" s="1"/>
      <c r="AT171" s="1"/>
      <c r="AU171" s="1"/>
      <c r="AV171" s="1"/>
      <c r="AW171" s="1"/>
      <c r="AX171" s="1"/>
      <c r="AY171" s="1"/>
      <c r="AZ171" s="1"/>
      <c r="BA171" s="1"/>
      <c r="BB171" s="1"/>
      <c r="BC171" s="1"/>
    </row>
    <row r="172" spans="1:55">
      <c r="A172" s="642" t="s">
        <v>636</v>
      </c>
      <c r="B172" s="491">
        <f>B167+B170+B171</f>
        <v>215</v>
      </c>
      <c r="C172" s="491">
        <f t="shared" ref="C172:F172" si="102">C167+C170+C171</f>
        <v>443</v>
      </c>
      <c r="D172" s="491">
        <f t="shared" si="102"/>
        <v>710</v>
      </c>
      <c r="E172" s="491">
        <f t="shared" si="102"/>
        <v>588</v>
      </c>
      <c r="F172" s="492">
        <f t="shared" si="102"/>
        <v>687</v>
      </c>
      <c r="G172" s="491">
        <f>G167+G170+G171</f>
        <v>646.49225759199862</v>
      </c>
      <c r="H172" s="491">
        <f t="shared" ref="H172:K172" si="103">H167+H170+H171</f>
        <v>702.43756038992751</v>
      </c>
      <c r="I172" s="491">
        <f t="shared" si="103"/>
        <v>762.86299647697422</v>
      </c>
      <c r="J172" s="491">
        <f t="shared" si="103"/>
        <v>827.97165433180885</v>
      </c>
      <c r="K172" s="800">
        <f t="shared" si="103"/>
        <v>897.9826634711784</v>
      </c>
      <c r="L172" s="52"/>
      <c r="M172" s="361"/>
      <c r="N172" s="52"/>
      <c r="O172" s="361"/>
      <c r="P172" s="361"/>
      <c r="Q172" s="52"/>
      <c r="R172" s="361"/>
      <c r="S172" s="361"/>
      <c r="T172" s="642" t="s">
        <v>636</v>
      </c>
      <c r="U172" s="491">
        <f>U167+U170+U171</f>
        <v>215</v>
      </c>
      <c r="V172" s="491">
        <f t="shared" ref="V172:Y172" si="104">V167+V170+V171</f>
        <v>443</v>
      </c>
      <c r="W172" s="491">
        <f t="shared" si="104"/>
        <v>710</v>
      </c>
      <c r="X172" s="491">
        <f t="shared" si="104"/>
        <v>588</v>
      </c>
      <c r="Y172" s="492">
        <f t="shared" si="104"/>
        <v>687</v>
      </c>
      <c r="Z172" s="491">
        <v>707.93620328417876</v>
      </c>
      <c r="AA172" s="491">
        <v>743.95606931768202</v>
      </c>
      <c r="AB172" s="491">
        <v>785.324124480617</v>
      </c>
      <c r="AC172" s="491">
        <v>832.35507982026468</v>
      </c>
      <c r="AD172" s="800">
        <v>885.03543964465916</v>
      </c>
      <c r="AE172" s="52"/>
      <c r="AF172" s="52"/>
      <c r="AG172" s="52"/>
      <c r="AH172" s="52"/>
      <c r="AI172" s="52"/>
      <c r="AJ172" s="52"/>
      <c r="AK172" s="52"/>
      <c r="AL172" s="52"/>
      <c r="AM172" s="52"/>
      <c r="AN172" s="52"/>
      <c r="AO172" s="52"/>
      <c r="AP172" s="1"/>
      <c r="AQ172" s="1"/>
      <c r="AR172" s="1"/>
      <c r="AS172" s="1"/>
      <c r="AT172" s="1"/>
      <c r="AU172" s="1"/>
      <c r="AV172" s="1"/>
      <c r="AW172" s="1"/>
      <c r="AX172" s="1"/>
      <c r="AY172" s="1"/>
      <c r="AZ172" s="1"/>
      <c r="BA172" s="1"/>
      <c r="BB172" s="1"/>
      <c r="BC172" s="1"/>
    </row>
    <row r="173" spans="1:55">
      <c r="A173" s="452" t="s">
        <v>634</v>
      </c>
      <c r="B173" s="815">
        <f>B172/B160</f>
        <v>4.3690306848201584E-2</v>
      </c>
      <c r="C173" s="815">
        <f t="shared" ref="C173:E173" si="105">C172/C160</f>
        <v>9.1152263374485593E-2</v>
      </c>
      <c r="D173" s="815">
        <f t="shared" si="105"/>
        <v>0.12249827467218771</v>
      </c>
      <c r="E173" s="815">
        <f t="shared" si="105"/>
        <v>9.0545118570988611E-2</v>
      </c>
      <c r="F173" s="449">
        <f t="shared" ref="F173:K173" si="106">F172/F160</f>
        <v>9.3801201529219003E-2</v>
      </c>
      <c r="G173" s="815">
        <f t="shared" si="106"/>
        <v>8.6648728256868257E-2</v>
      </c>
      <c r="H173" s="815">
        <f t="shared" si="106"/>
        <v>9.2740832639895424E-2</v>
      </c>
      <c r="I173" s="815">
        <f t="shared" si="106"/>
        <v>9.9214286684658759E-2</v>
      </c>
      <c r="J173" s="815">
        <f t="shared" si="106"/>
        <v>0.10607365502562993</v>
      </c>
      <c r="K173" s="747">
        <f t="shared" si="106"/>
        <v>0.11336660973494671</v>
      </c>
      <c r="L173" s="52"/>
      <c r="M173" s="52"/>
      <c r="N173" s="52"/>
      <c r="O173" s="52"/>
      <c r="P173" s="52"/>
      <c r="Q173" s="52"/>
      <c r="R173" s="52"/>
      <c r="S173" s="52"/>
      <c r="T173" s="452" t="s">
        <v>634</v>
      </c>
      <c r="U173" s="771">
        <f t="shared" ref="U173:Y173" si="107">U172/U160</f>
        <v>4.3690306848201584E-2</v>
      </c>
      <c r="V173" s="771">
        <f t="shared" si="107"/>
        <v>9.1152263374485593E-2</v>
      </c>
      <c r="W173" s="771">
        <f t="shared" si="107"/>
        <v>0.12249827467218771</v>
      </c>
      <c r="X173" s="771">
        <f t="shared" si="107"/>
        <v>9.0545118570988611E-2</v>
      </c>
      <c r="Y173" s="460">
        <f t="shared" si="107"/>
        <v>9.3801201529219003E-2</v>
      </c>
      <c r="Z173" s="771">
        <v>9.4884000513866404E-2</v>
      </c>
      <c r="AA173" s="771">
        <v>9.822240325207833E-2</v>
      </c>
      <c r="AB173" s="771">
        <v>0.10213547279973531</v>
      </c>
      <c r="AC173" s="771">
        <v>0.10663522734596287</v>
      </c>
      <c r="AD173" s="473">
        <v>0.11173207609593606</v>
      </c>
      <c r="AE173" s="52"/>
      <c r="AF173" s="52"/>
      <c r="AG173" s="52"/>
      <c r="AH173" s="52"/>
      <c r="AI173" s="52"/>
      <c r="AJ173" s="52"/>
      <c r="AK173" s="52"/>
      <c r="AL173" s="52"/>
      <c r="AM173" s="52"/>
      <c r="AN173" s="52"/>
      <c r="AO173" s="52"/>
      <c r="AP173" s="1"/>
      <c r="AQ173" s="1"/>
      <c r="AR173" s="1"/>
      <c r="AS173" s="1"/>
      <c r="AT173" s="1"/>
      <c r="AU173" s="1"/>
      <c r="AV173" s="1"/>
      <c r="AW173" s="1"/>
      <c r="AX173" s="1"/>
      <c r="AY173" s="1"/>
      <c r="AZ173" s="1"/>
      <c r="BA173" s="1"/>
      <c r="BB173" s="1"/>
      <c r="BC173" s="1"/>
    </row>
    <row r="174" spans="1:55">
      <c r="A174" s="452"/>
      <c r="B174" s="639"/>
      <c r="C174" s="639"/>
      <c r="D174" s="639"/>
      <c r="E174" s="639"/>
      <c r="F174" s="469"/>
      <c r="G174" s="639"/>
      <c r="H174" s="639"/>
      <c r="I174" s="639"/>
      <c r="J174" s="639"/>
      <c r="K174" s="797"/>
      <c r="L174" s="52"/>
      <c r="M174" s="52"/>
      <c r="N174" s="52"/>
      <c r="O174" s="52"/>
      <c r="P174" s="52"/>
      <c r="Q174" s="52"/>
      <c r="R174" s="52"/>
      <c r="S174" s="52"/>
      <c r="T174" s="452"/>
      <c r="U174" s="639"/>
      <c r="V174" s="639"/>
      <c r="W174" s="639"/>
      <c r="X174" s="639"/>
      <c r="Y174" s="469"/>
      <c r="Z174" s="639"/>
      <c r="AA174" s="639"/>
      <c r="AB174" s="639"/>
      <c r="AC174" s="639"/>
      <c r="AD174" s="797"/>
      <c r="AE174" s="52"/>
      <c r="AF174" s="52"/>
      <c r="AG174" s="52"/>
      <c r="AH174" s="52"/>
      <c r="AI174" s="52"/>
      <c r="AJ174" s="52"/>
      <c r="AK174" s="52"/>
      <c r="AL174" s="52"/>
      <c r="AM174" s="52"/>
      <c r="AN174" s="52"/>
      <c r="AO174" s="52"/>
      <c r="AP174" s="1"/>
      <c r="AQ174" s="1"/>
      <c r="AR174" s="1"/>
      <c r="AS174" s="1"/>
      <c r="AT174" s="1"/>
      <c r="AU174" s="1"/>
      <c r="AV174" s="1"/>
      <c r="AW174" s="1"/>
      <c r="AX174" s="1"/>
      <c r="AY174" s="1"/>
      <c r="AZ174" s="1"/>
      <c r="BA174" s="1"/>
      <c r="BB174" s="1"/>
      <c r="BC174" s="1"/>
    </row>
    <row r="175" spans="1:55">
      <c r="A175" s="641" t="s">
        <v>605</v>
      </c>
      <c r="B175" s="456">
        <f>B117</f>
        <v>-137</v>
      </c>
      <c r="C175" s="456">
        <f t="shared" ref="C175:F175" si="108">C117</f>
        <v>-109</v>
      </c>
      <c r="D175" s="456">
        <f t="shared" si="108"/>
        <v>-134</v>
      </c>
      <c r="E175" s="456">
        <f t="shared" si="108"/>
        <v>-98</v>
      </c>
      <c r="F175" s="457">
        <f t="shared" si="108"/>
        <v>-106</v>
      </c>
      <c r="G175" s="456">
        <f>G113</f>
        <v>-101.93086741299238</v>
      </c>
      <c r="H175" s="456">
        <f t="shared" ref="H175:K175" si="109">H113</f>
        <v>-114.20862270879553</v>
      </c>
      <c r="I175" s="456">
        <f t="shared" si="109"/>
        <v>-109.72322231947831</v>
      </c>
      <c r="J175" s="456">
        <f t="shared" si="109"/>
        <v>-97.283036645083016</v>
      </c>
      <c r="K175" s="799">
        <f t="shared" si="109"/>
        <v>-92.541909028653066</v>
      </c>
      <c r="L175" s="52"/>
      <c r="M175" s="52"/>
      <c r="N175" s="52"/>
      <c r="O175" s="52"/>
      <c r="P175" s="52"/>
      <c r="Q175" s="52"/>
      <c r="R175" s="52"/>
      <c r="S175" s="52"/>
      <c r="T175" s="641" t="s">
        <v>605</v>
      </c>
      <c r="U175" s="456">
        <f>B175</f>
        <v>-137</v>
      </c>
      <c r="V175" s="456">
        <f t="shared" ref="V175:Y175" si="110">C175</f>
        <v>-109</v>
      </c>
      <c r="W175" s="456">
        <f t="shared" si="110"/>
        <v>-134</v>
      </c>
      <c r="X175" s="456">
        <f t="shared" si="110"/>
        <v>-98</v>
      </c>
      <c r="Y175" s="457">
        <f t="shared" si="110"/>
        <v>-106</v>
      </c>
      <c r="Z175" s="456">
        <v>-107.83965773302464</v>
      </c>
      <c r="AA175" s="456">
        <v>-111.39857191207112</v>
      </c>
      <c r="AB175" s="456">
        <v>-115.07493704005491</v>
      </c>
      <c r="AC175" s="456">
        <v>-118.87262922207778</v>
      </c>
      <c r="AD175" s="799">
        <v>-122.88773525486037</v>
      </c>
      <c r="AE175" s="52"/>
      <c r="AF175" s="52"/>
      <c r="AG175" s="52"/>
      <c r="AH175" s="52"/>
      <c r="AI175" s="52"/>
      <c r="AJ175" s="52"/>
      <c r="AK175" s="52"/>
      <c r="AL175" s="52"/>
      <c r="AM175" s="52"/>
      <c r="AN175" s="52"/>
      <c r="AO175" s="52"/>
      <c r="AP175" s="1"/>
      <c r="AQ175" s="1"/>
      <c r="AR175" s="1"/>
      <c r="AS175" s="1"/>
      <c r="AT175" s="1"/>
      <c r="AU175" s="1"/>
      <c r="AV175" s="1"/>
      <c r="AW175" s="1"/>
      <c r="AX175" s="1"/>
      <c r="AY175" s="1"/>
      <c r="AZ175" s="1"/>
      <c r="BA175" s="1"/>
      <c r="BB175" s="1"/>
      <c r="BC175" s="1"/>
    </row>
    <row r="176" spans="1:55">
      <c r="A176" s="637" t="s">
        <v>637</v>
      </c>
      <c r="B176" s="638">
        <f>B172+B175</f>
        <v>78</v>
      </c>
      <c r="C176" s="638">
        <f>C172+C175</f>
        <v>334</v>
      </c>
      <c r="D176" s="638">
        <f t="shared" ref="D176:K176" si="111">D172+D175</f>
        <v>576</v>
      </c>
      <c r="E176" s="638">
        <f t="shared" si="111"/>
        <v>490</v>
      </c>
      <c r="F176" s="464">
        <f t="shared" si="111"/>
        <v>581</v>
      </c>
      <c r="G176" s="638">
        <f t="shared" si="111"/>
        <v>544.56139017900625</v>
      </c>
      <c r="H176" s="638">
        <f t="shared" si="111"/>
        <v>588.22893768113204</v>
      </c>
      <c r="I176" s="638">
        <f t="shared" si="111"/>
        <v>653.13977415749594</v>
      </c>
      <c r="J176" s="638">
        <f t="shared" si="111"/>
        <v>730.68861768672582</v>
      </c>
      <c r="K176" s="796">
        <f t="shared" si="111"/>
        <v>805.4407544425253</v>
      </c>
      <c r="L176" s="52"/>
      <c r="M176" s="100"/>
      <c r="N176" s="361"/>
      <c r="O176" s="100"/>
      <c r="P176" s="100"/>
      <c r="Q176" s="52"/>
      <c r="R176" s="100"/>
      <c r="S176" s="100"/>
      <c r="T176" s="637" t="s">
        <v>637</v>
      </c>
      <c r="U176" s="638">
        <f>U172+U175</f>
        <v>78</v>
      </c>
      <c r="V176" s="638">
        <f>V172+V175</f>
        <v>334</v>
      </c>
      <c r="W176" s="638">
        <f t="shared" ref="W176:Y176" si="112">W172+W175</f>
        <v>576</v>
      </c>
      <c r="X176" s="638">
        <f t="shared" si="112"/>
        <v>490</v>
      </c>
      <c r="Y176" s="464">
        <f t="shared" si="112"/>
        <v>581</v>
      </c>
      <c r="Z176" s="638">
        <v>600.09654555115412</v>
      </c>
      <c r="AA176" s="638">
        <v>632.55749740561089</v>
      </c>
      <c r="AB176" s="638">
        <v>670.24918744056208</v>
      </c>
      <c r="AC176" s="638">
        <v>713.48245059818692</v>
      </c>
      <c r="AD176" s="796">
        <v>762.14770438979883</v>
      </c>
      <c r="AE176" s="52"/>
      <c r="AF176" s="52"/>
      <c r="AG176" s="52"/>
      <c r="AH176" s="52"/>
      <c r="AI176" s="52"/>
      <c r="AJ176" s="52"/>
      <c r="AK176" s="52"/>
      <c r="AL176" s="52"/>
      <c r="AM176" s="52"/>
      <c r="AN176" s="52"/>
      <c r="AO176" s="52"/>
      <c r="AP176" s="1"/>
      <c r="AQ176" s="1"/>
      <c r="AR176" s="1"/>
      <c r="AS176" s="1"/>
      <c r="AT176" s="1"/>
      <c r="AU176" s="1"/>
      <c r="AV176" s="1"/>
      <c r="AW176" s="1"/>
      <c r="AX176" s="1"/>
      <c r="AY176" s="1"/>
      <c r="AZ176" s="1"/>
      <c r="BA176" s="1"/>
      <c r="BB176" s="1"/>
      <c r="BC176" s="1"/>
    </row>
    <row r="177" spans="1:55">
      <c r="A177" s="452"/>
      <c r="B177" s="639"/>
      <c r="C177" s="639"/>
      <c r="D177" s="639"/>
      <c r="E177" s="639"/>
      <c r="F177" s="469"/>
      <c r="G177" s="639"/>
      <c r="H177" s="639"/>
      <c r="I177" s="639"/>
      <c r="J177" s="639"/>
      <c r="K177" s="797"/>
      <c r="L177" s="52"/>
      <c r="M177" s="100"/>
      <c r="N177" s="361"/>
      <c r="O177" s="100"/>
      <c r="P177" s="100"/>
      <c r="Q177" s="361"/>
      <c r="R177" s="100"/>
      <c r="S177" s="100"/>
      <c r="T177" s="452"/>
      <c r="U177" s="639"/>
      <c r="V177" s="639"/>
      <c r="W177" s="639"/>
      <c r="X177" s="639"/>
      <c r="Y177" s="469"/>
      <c r="Z177" s="639"/>
      <c r="AA177" s="639"/>
      <c r="AB177" s="639"/>
      <c r="AC177" s="639"/>
      <c r="AD177" s="797"/>
      <c r="AE177" s="52"/>
      <c r="AF177" s="52"/>
      <c r="AG177" s="52"/>
      <c r="AH177" s="52"/>
      <c r="AI177" s="52"/>
      <c r="AJ177" s="52"/>
      <c r="AK177" s="52"/>
      <c r="AL177" s="52"/>
      <c r="AM177" s="52"/>
      <c r="AN177" s="52"/>
      <c r="AO177" s="52"/>
      <c r="AP177" s="1"/>
      <c r="AQ177" s="1"/>
      <c r="AR177" s="1"/>
      <c r="AS177" s="1"/>
      <c r="AT177" s="1"/>
      <c r="AU177" s="1"/>
      <c r="AV177" s="1"/>
      <c r="AW177" s="1"/>
      <c r="AX177" s="1"/>
      <c r="AY177" s="1"/>
      <c r="AZ177" s="1"/>
      <c r="BA177" s="1"/>
      <c r="BB177" s="1"/>
      <c r="BC177" s="1"/>
    </row>
    <row r="178" spans="1:55">
      <c r="A178" s="641" t="s">
        <v>638</v>
      </c>
      <c r="B178" s="456">
        <f>'Reorganised Statements'!C109</f>
        <v>-133</v>
      </c>
      <c r="C178" s="456">
        <f>'Reorganised Statements'!D109</f>
        <v>-122</v>
      </c>
      <c r="D178" s="456">
        <f>'Reorganised Statements'!E109</f>
        <v>-192</v>
      </c>
      <c r="E178" s="456">
        <f>'Reorganised Statements'!F109</f>
        <v>-157</v>
      </c>
      <c r="F178" s="457">
        <f>'Reorganised Statements'!G109</f>
        <v>-189</v>
      </c>
      <c r="G178" s="456">
        <f>G128</f>
        <v>-155.90793168904943</v>
      </c>
      <c r="H178" s="456">
        <f t="shared" ref="H178:K178" si="113">H128</f>
        <v>-168.57000989867888</v>
      </c>
      <c r="I178" s="456">
        <f t="shared" si="113"/>
        <v>-186.50520266040101</v>
      </c>
      <c r="J178" s="456">
        <f t="shared" si="113"/>
        <v>-207.65616276375474</v>
      </c>
      <c r="K178" s="799">
        <f t="shared" si="113"/>
        <v>-228.32710494158204</v>
      </c>
      <c r="L178" s="594"/>
      <c r="M178" s="100"/>
      <c r="N178" s="361"/>
      <c r="O178" s="100"/>
      <c r="P178" s="100"/>
      <c r="Q178" s="52"/>
      <c r="R178" s="100"/>
      <c r="S178" s="100"/>
      <c r="T178" s="641" t="s">
        <v>638</v>
      </c>
      <c r="U178" s="456">
        <f>B178</f>
        <v>-133</v>
      </c>
      <c r="V178" s="456">
        <f t="shared" ref="V178:Y180" si="114">C178</f>
        <v>-122</v>
      </c>
      <c r="W178" s="456">
        <f t="shared" si="114"/>
        <v>-192</v>
      </c>
      <c r="X178" s="456">
        <f t="shared" si="114"/>
        <v>-157</v>
      </c>
      <c r="Y178" s="457">
        <f t="shared" si="114"/>
        <v>-189</v>
      </c>
      <c r="Z178" s="456">
        <v>-171.63268286035998</v>
      </c>
      <c r="AA178" s="456">
        <v>-180.8280860807362</v>
      </c>
      <c r="AB178" s="456">
        <v>-191.48744584047896</v>
      </c>
      <c r="AC178" s="456">
        <v>-203.6976362565552</v>
      </c>
      <c r="AD178" s="799">
        <v>-217.43183119969342</v>
      </c>
      <c r="AE178" s="52"/>
      <c r="AF178" s="52"/>
      <c r="AG178" s="52"/>
      <c r="AH178" s="52"/>
      <c r="AI178" s="52"/>
      <c r="AJ178" s="52"/>
      <c r="AK178" s="52"/>
      <c r="AL178" s="52"/>
      <c r="AM178" s="52"/>
      <c r="AN178" s="52"/>
      <c r="AO178" s="52"/>
      <c r="AP178" s="1"/>
      <c r="AQ178" s="1"/>
      <c r="AR178" s="1"/>
      <c r="AS178" s="1"/>
      <c r="AT178" s="1"/>
      <c r="AU178" s="1"/>
      <c r="AV178" s="1"/>
      <c r="AW178" s="1"/>
      <c r="AX178" s="1"/>
      <c r="AY178" s="1"/>
      <c r="AZ178" s="1"/>
      <c r="BA178" s="1"/>
      <c r="BB178" s="1"/>
      <c r="BC178" s="1"/>
    </row>
    <row r="179" spans="1:55">
      <c r="A179" s="452" t="s">
        <v>639</v>
      </c>
      <c r="B179" s="639">
        <f>B176+B178</f>
        <v>-55</v>
      </c>
      <c r="C179" s="639">
        <f>C176+C178</f>
        <v>212</v>
      </c>
      <c r="D179" s="639">
        <f>D176+D178</f>
        <v>384</v>
      </c>
      <c r="E179" s="639">
        <f>E176+E178</f>
        <v>333</v>
      </c>
      <c r="F179" s="469">
        <f t="shared" ref="F179:K179" si="115">F176+F178</f>
        <v>392</v>
      </c>
      <c r="G179" s="639">
        <f t="shared" si="115"/>
        <v>388.65345848995685</v>
      </c>
      <c r="H179" s="639">
        <f t="shared" si="115"/>
        <v>419.65892778245313</v>
      </c>
      <c r="I179" s="639">
        <f t="shared" si="115"/>
        <v>466.63457149709495</v>
      </c>
      <c r="J179" s="639">
        <f t="shared" si="115"/>
        <v>523.03245492297106</v>
      </c>
      <c r="K179" s="797">
        <f t="shared" si="115"/>
        <v>577.11364950094321</v>
      </c>
      <c r="L179" s="594"/>
      <c r="M179" s="333"/>
      <c r="N179" s="333"/>
      <c r="O179" s="333"/>
      <c r="P179" s="333"/>
      <c r="Q179" s="333"/>
      <c r="R179" s="333"/>
      <c r="S179" s="333"/>
      <c r="T179" s="452" t="s">
        <v>639</v>
      </c>
      <c r="U179" s="639">
        <f>B179</f>
        <v>-55</v>
      </c>
      <c r="V179" s="639">
        <f t="shared" si="114"/>
        <v>212</v>
      </c>
      <c r="W179" s="639">
        <f t="shared" si="114"/>
        <v>384</v>
      </c>
      <c r="X179" s="639">
        <f t="shared" si="114"/>
        <v>333</v>
      </c>
      <c r="Y179" s="469">
        <f t="shared" si="114"/>
        <v>392</v>
      </c>
      <c r="Z179" s="639">
        <v>428.46386269079414</v>
      </c>
      <c r="AA179" s="639">
        <v>451.72941132487472</v>
      </c>
      <c r="AB179" s="639">
        <v>478.76174160008316</v>
      </c>
      <c r="AC179" s="639">
        <v>509.78481434163172</v>
      </c>
      <c r="AD179" s="797">
        <v>544.71587319010541</v>
      </c>
      <c r="AE179" s="52"/>
      <c r="AF179" s="52"/>
      <c r="AG179" s="52"/>
      <c r="AH179" s="52"/>
      <c r="AI179" s="52"/>
      <c r="AJ179" s="52"/>
      <c r="AK179" s="52"/>
      <c r="AL179" s="52"/>
      <c r="AM179" s="52"/>
      <c r="AN179" s="52"/>
      <c r="AO179" s="52"/>
      <c r="AP179" s="1"/>
      <c r="AQ179" s="1"/>
      <c r="AR179" s="1"/>
      <c r="AS179" s="1"/>
      <c r="AT179" s="1"/>
      <c r="AU179" s="1"/>
      <c r="AV179" s="1"/>
      <c r="AW179" s="1"/>
      <c r="AX179" s="1"/>
      <c r="AY179" s="1"/>
      <c r="AZ179" s="1"/>
      <c r="BA179" s="1"/>
      <c r="BB179" s="1"/>
      <c r="BC179" s="1"/>
    </row>
    <row r="180" spans="1:55">
      <c r="A180" s="641" t="s">
        <v>453</v>
      </c>
      <c r="B180" s="456">
        <f>'Reorganised Statements'!C110</f>
        <v>130</v>
      </c>
      <c r="C180" s="456">
        <f>'Reorganised Statements'!D110</f>
        <v>20</v>
      </c>
      <c r="D180" s="456">
        <f>'Reorganised Statements'!E110</f>
        <v>-91</v>
      </c>
      <c r="E180" s="456">
        <f>'Reorganised Statements'!F110</f>
        <v>11</v>
      </c>
      <c r="F180" s="457">
        <f>'Reorganised Statements'!G110</f>
        <v>-3</v>
      </c>
      <c r="G180" s="456">
        <f>G179*(-0.010228404)</f>
        <v>-3.9753045894325085</v>
      </c>
      <c r="H180" s="456">
        <f t="shared" ref="H180:K180" si="116">H179*(-0.010228404)</f>
        <v>-4.2924410555657548</v>
      </c>
      <c r="I180" s="456">
        <f t="shared" si="116"/>
        <v>-4.7729269176391718</v>
      </c>
      <c r="J180" s="456">
        <f t="shared" si="116"/>
        <v>-5.3497872540639371</v>
      </c>
      <c r="K180" s="799">
        <f t="shared" si="116"/>
        <v>-5.9029515610100454</v>
      </c>
      <c r="L180" s="52"/>
      <c r="M180" s="52"/>
      <c r="N180" s="52"/>
      <c r="O180" s="52"/>
      <c r="P180" s="52"/>
      <c r="Q180" s="52"/>
      <c r="R180" s="52"/>
      <c r="S180" s="52"/>
      <c r="T180" s="641" t="s">
        <v>453</v>
      </c>
      <c r="U180" s="456">
        <f>B180</f>
        <v>130</v>
      </c>
      <c r="V180" s="456">
        <f t="shared" si="114"/>
        <v>20</v>
      </c>
      <c r="W180" s="456">
        <f t="shared" si="114"/>
        <v>-91</v>
      </c>
      <c r="X180" s="456">
        <f t="shared" si="114"/>
        <v>11</v>
      </c>
      <c r="Y180" s="457">
        <f t="shared" si="114"/>
        <v>-3</v>
      </c>
      <c r="Z180" s="456">
        <v>-4.3825014870019698</v>
      </c>
      <c r="AA180" s="456">
        <v>-4.6204709177129937</v>
      </c>
      <c r="AB180" s="456">
        <v>-4.8969685128292566</v>
      </c>
      <c r="AC180" s="456">
        <v>-5.214285034151203</v>
      </c>
      <c r="AD180" s="799">
        <v>-5.5715740162011667</v>
      </c>
      <c r="AE180" s="52"/>
      <c r="AF180" s="52"/>
      <c r="AG180" s="52"/>
      <c r="AH180" s="52"/>
      <c r="AI180" s="52"/>
      <c r="AJ180" s="52"/>
      <c r="AK180" s="52"/>
      <c r="AL180" s="52"/>
      <c r="AM180" s="52"/>
      <c r="AN180" s="52"/>
      <c r="AO180" s="52"/>
      <c r="AP180" s="1"/>
      <c r="AQ180" s="1"/>
      <c r="AR180" s="1"/>
      <c r="AS180" s="1"/>
      <c r="AT180" s="1"/>
      <c r="AU180" s="1"/>
      <c r="AV180" s="1"/>
      <c r="AW180" s="1"/>
      <c r="AX180" s="1"/>
      <c r="AY180" s="1"/>
      <c r="AZ180" s="1"/>
      <c r="BA180" s="1"/>
      <c r="BB180" s="1"/>
      <c r="BC180" s="1"/>
    </row>
    <row r="181" spans="1:55">
      <c r="A181" s="637" t="s">
        <v>640</v>
      </c>
      <c r="B181" s="638">
        <f>B179+B180</f>
        <v>75</v>
      </c>
      <c r="C181" s="638">
        <f t="shared" ref="C181:F181" si="117">C179+C180</f>
        <v>232</v>
      </c>
      <c r="D181" s="638">
        <f t="shared" si="117"/>
        <v>293</v>
      </c>
      <c r="E181" s="638">
        <f t="shared" si="117"/>
        <v>344</v>
      </c>
      <c r="F181" s="464">
        <f t="shared" si="117"/>
        <v>389</v>
      </c>
      <c r="G181" s="638">
        <f>G176+G178+G180</f>
        <v>384.67815390052436</v>
      </c>
      <c r="H181" s="638">
        <f t="shared" ref="H181:K181" si="118">H176+H178+H180</f>
        <v>415.36648672688739</v>
      </c>
      <c r="I181" s="638">
        <f t="shared" si="118"/>
        <v>461.8616445794558</v>
      </c>
      <c r="J181" s="638">
        <f t="shared" si="118"/>
        <v>517.68266766890713</v>
      </c>
      <c r="K181" s="796">
        <f t="shared" si="118"/>
        <v>571.2106979399332</v>
      </c>
      <c r="L181" s="52"/>
      <c r="M181" s="52"/>
      <c r="N181" s="52"/>
      <c r="O181" s="52"/>
      <c r="P181" s="52"/>
      <c r="Q181" s="52"/>
      <c r="R181" s="52"/>
      <c r="S181" s="52"/>
      <c r="T181" s="637" t="s">
        <v>640</v>
      </c>
      <c r="U181" s="638">
        <v>75</v>
      </c>
      <c r="V181" s="638">
        <v>232</v>
      </c>
      <c r="W181" s="638">
        <v>293</v>
      </c>
      <c r="X181" s="638">
        <v>344</v>
      </c>
      <c r="Y181" s="464">
        <v>389</v>
      </c>
      <c r="Z181" s="638">
        <v>424.0813612037922</v>
      </c>
      <c r="AA181" s="638">
        <v>447.1089404071617</v>
      </c>
      <c r="AB181" s="638">
        <v>473.86477308725392</v>
      </c>
      <c r="AC181" s="638">
        <v>504.57052930748051</v>
      </c>
      <c r="AD181" s="796">
        <v>539.1442991739043</v>
      </c>
      <c r="AE181" s="52"/>
      <c r="AF181" s="52"/>
      <c r="AG181" s="52"/>
      <c r="AH181" s="52"/>
      <c r="AI181" s="52"/>
      <c r="AJ181" s="52"/>
      <c r="AK181" s="52"/>
      <c r="AL181" s="52"/>
      <c r="AM181" s="52"/>
      <c r="AN181" s="52"/>
      <c r="AO181" s="52"/>
      <c r="AP181" s="1"/>
      <c r="AQ181" s="1"/>
      <c r="AR181" s="1"/>
      <c r="AS181" s="1"/>
      <c r="AT181" s="1"/>
      <c r="AU181" s="1"/>
      <c r="AV181" s="1"/>
      <c r="AW181" s="1"/>
      <c r="AX181" s="1"/>
      <c r="AY181" s="1"/>
      <c r="AZ181" s="1"/>
      <c r="BA181" s="1"/>
      <c r="BB181" s="1"/>
      <c r="BC181" s="1"/>
    </row>
    <row r="182" spans="1:55" ht="15" thickBot="1">
      <c r="A182" s="643"/>
      <c r="B182" s="784"/>
      <c r="C182" s="784"/>
      <c r="D182" s="784"/>
      <c r="E182" s="784"/>
      <c r="F182" s="785"/>
      <c r="G182" s="784"/>
      <c r="H182" s="784"/>
      <c r="I182" s="784"/>
      <c r="J182" s="784"/>
      <c r="K182" s="794"/>
      <c r="L182" s="52"/>
      <c r="M182" s="333"/>
      <c r="N182" s="333"/>
      <c r="O182" s="333"/>
      <c r="P182" s="333"/>
      <c r="Q182" s="333"/>
      <c r="R182" s="333"/>
      <c r="S182" s="333"/>
      <c r="T182" s="643"/>
      <c r="U182" s="784"/>
      <c r="V182" s="784"/>
      <c r="W182" s="784"/>
      <c r="X182" s="784"/>
      <c r="Y182" s="785"/>
      <c r="Z182" s="784"/>
      <c r="AA182" s="784"/>
      <c r="AB182" s="784"/>
      <c r="AC182" s="784"/>
      <c r="AD182" s="794"/>
      <c r="AE182" s="52"/>
      <c r="AF182" s="52"/>
      <c r="AG182" s="52"/>
      <c r="AH182" s="52"/>
      <c r="AI182" s="52"/>
      <c r="AJ182" s="52"/>
      <c r="AK182" s="52"/>
      <c r="AL182" s="52"/>
      <c r="AM182" s="52"/>
      <c r="AN182" s="52"/>
      <c r="AO182" s="52"/>
      <c r="AP182" s="1"/>
      <c r="AQ182" s="1"/>
      <c r="AR182" s="1"/>
      <c r="AS182" s="1"/>
      <c r="AT182" s="1"/>
      <c r="AU182" s="1"/>
      <c r="AV182" s="1"/>
      <c r="AW182" s="1"/>
      <c r="AX182" s="1"/>
      <c r="AY182" s="1"/>
      <c r="AZ182" s="1"/>
      <c r="BA182" s="1"/>
      <c r="BB182" s="1"/>
      <c r="BC182" s="1"/>
    </row>
    <row r="183" spans="1:55">
      <c r="A183" s="591"/>
      <c r="B183" s="52"/>
      <c r="C183" s="333"/>
      <c r="D183" s="333"/>
      <c r="E183" s="333"/>
      <c r="F183" s="333"/>
      <c r="G183" s="333"/>
      <c r="H183" s="333"/>
      <c r="I183" s="333"/>
      <c r="J183" s="333"/>
      <c r="K183" s="333"/>
      <c r="L183" s="333"/>
      <c r="M183" s="333"/>
      <c r="N183" s="333"/>
      <c r="O183" s="333"/>
      <c r="P183" s="333"/>
      <c r="Q183" s="333"/>
      <c r="R183" s="333"/>
      <c r="S183" s="333"/>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1"/>
      <c r="AQ183" s="1"/>
      <c r="AR183" s="1"/>
      <c r="AS183" s="1"/>
      <c r="AT183" s="1"/>
      <c r="AU183" s="1"/>
      <c r="AV183" s="1"/>
      <c r="AW183" s="1"/>
      <c r="AX183" s="1"/>
      <c r="AY183" s="1"/>
      <c r="AZ183" s="1"/>
      <c r="BA183" s="1"/>
      <c r="BB183" s="1"/>
      <c r="BC183" s="1"/>
    </row>
    <row r="184" spans="1:55">
      <c r="A184" s="52"/>
      <c r="B184" s="52"/>
      <c r="C184" s="333"/>
      <c r="D184" s="333"/>
      <c r="E184" s="333"/>
      <c r="F184" s="333"/>
      <c r="G184" s="333"/>
      <c r="H184" s="333"/>
      <c r="I184" s="333"/>
      <c r="J184" s="333"/>
      <c r="K184" s="333"/>
      <c r="L184" s="333"/>
      <c r="M184" s="333"/>
      <c r="N184" s="333"/>
      <c r="O184" s="333"/>
      <c r="P184" s="333"/>
      <c r="Q184" s="333"/>
      <c r="R184" s="333"/>
      <c r="S184" s="333"/>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1"/>
      <c r="AQ184" s="1"/>
      <c r="AR184" s="1"/>
      <c r="AS184" s="1"/>
      <c r="AT184" s="1"/>
      <c r="AU184" s="1"/>
      <c r="AV184" s="1"/>
      <c r="AW184" s="1"/>
      <c r="AX184" s="1"/>
      <c r="AY184" s="1"/>
      <c r="AZ184" s="1"/>
      <c r="BA184" s="1"/>
      <c r="BB184" s="1"/>
      <c r="BC184" s="1"/>
    </row>
    <row r="185" spans="1:55" ht="15" thickBot="1">
      <c r="A185" s="52"/>
      <c r="B185" s="52"/>
      <c r="C185" s="593"/>
      <c r="D185" s="593"/>
      <c r="E185" s="593"/>
      <c r="F185" s="593"/>
      <c r="G185" s="593"/>
      <c r="H185" s="593"/>
      <c r="I185" s="593"/>
      <c r="J185" s="593"/>
      <c r="K185" s="593"/>
      <c r="L185" s="593"/>
      <c r="M185" s="593"/>
      <c r="N185" s="593"/>
      <c r="O185" s="593"/>
      <c r="P185" s="593"/>
      <c r="Q185" s="593"/>
      <c r="R185" s="593"/>
      <c r="S185" s="593"/>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1"/>
      <c r="AQ185" s="1"/>
      <c r="AR185" s="1"/>
      <c r="AS185" s="1"/>
      <c r="AT185" s="1"/>
      <c r="AU185" s="1"/>
      <c r="AV185" s="1"/>
      <c r="AW185" s="1"/>
      <c r="AX185" s="1"/>
      <c r="AY185" s="1"/>
      <c r="AZ185" s="1"/>
      <c r="BA185" s="1"/>
      <c r="BB185" s="1"/>
      <c r="BC185" s="1"/>
    </row>
    <row r="186" spans="1:55">
      <c r="A186" s="655" t="s">
        <v>641</v>
      </c>
      <c r="B186" s="644"/>
      <c r="C186" s="644"/>
      <c r="D186" s="644"/>
      <c r="E186" s="644"/>
      <c r="F186" s="645"/>
      <c r="G186" s="644" t="s">
        <v>714</v>
      </c>
      <c r="H186" s="644"/>
      <c r="I186" s="644"/>
      <c r="J186" s="644"/>
      <c r="K186" s="646"/>
      <c r="L186" s="52"/>
      <c r="M186" s="593"/>
      <c r="N186" s="593"/>
      <c r="O186" s="593"/>
      <c r="P186" s="593"/>
      <c r="Q186" s="593"/>
      <c r="R186" s="593"/>
      <c r="S186" s="593"/>
      <c r="T186" s="655" t="s">
        <v>641</v>
      </c>
      <c r="U186" s="644"/>
      <c r="V186" s="644"/>
      <c r="W186" s="644"/>
      <c r="X186" s="644"/>
      <c r="Y186" s="645"/>
      <c r="Z186" s="644" t="s">
        <v>714</v>
      </c>
      <c r="AA186" s="644"/>
      <c r="AB186" s="644"/>
      <c r="AC186" s="644"/>
      <c r="AD186" s="646"/>
      <c r="AE186" s="52"/>
      <c r="AF186" s="52"/>
      <c r="AG186" s="52"/>
      <c r="AH186" s="52"/>
      <c r="AI186" s="52"/>
      <c r="AJ186" s="52"/>
      <c r="AK186" s="52"/>
      <c r="AL186" s="52"/>
      <c r="AM186" s="52"/>
      <c r="AN186" s="52"/>
      <c r="AO186" s="52"/>
      <c r="AP186" s="1"/>
      <c r="AQ186" s="1"/>
      <c r="AR186" s="1"/>
      <c r="AS186" s="1"/>
      <c r="AT186" s="1"/>
      <c r="AU186" s="1"/>
      <c r="AV186" s="1"/>
      <c r="AW186" s="1"/>
      <c r="AX186" s="1"/>
      <c r="AY186" s="1"/>
      <c r="AZ186" s="1"/>
      <c r="BA186" s="1"/>
      <c r="BB186" s="1"/>
      <c r="BC186" s="1"/>
    </row>
    <row r="187" spans="1:55" ht="15" thickBot="1">
      <c r="A187" s="651"/>
      <c r="B187" s="647">
        <v>2015</v>
      </c>
      <c r="C187" s="647">
        <v>2016</v>
      </c>
      <c r="D187" s="647">
        <v>2017</v>
      </c>
      <c r="E187" s="647">
        <v>2018</v>
      </c>
      <c r="F187" s="649">
        <v>2019</v>
      </c>
      <c r="G187" s="647">
        <v>2020</v>
      </c>
      <c r="H187" s="647">
        <v>2021</v>
      </c>
      <c r="I187" s="647">
        <v>2022</v>
      </c>
      <c r="J187" s="647">
        <v>2023</v>
      </c>
      <c r="K187" s="648">
        <v>2024</v>
      </c>
      <c r="L187" s="52"/>
      <c r="M187" s="596"/>
      <c r="N187" s="593"/>
      <c r="O187" s="595"/>
      <c r="P187" s="595"/>
      <c r="Q187" s="593"/>
      <c r="R187" s="595"/>
      <c r="S187" s="595"/>
      <c r="T187" s="651"/>
      <c r="U187" s="647">
        <v>2015</v>
      </c>
      <c r="V187" s="647">
        <v>2016</v>
      </c>
      <c r="W187" s="647">
        <v>2017</v>
      </c>
      <c r="X187" s="647">
        <v>2018</v>
      </c>
      <c r="Y187" s="649">
        <v>2019</v>
      </c>
      <c r="Z187" s="647">
        <v>2020</v>
      </c>
      <c r="AA187" s="647">
        <v>2021</v>
      </c>
      <c r="AB187" s="647">
        <v>2022</v>
      </c>
      <c r="AC187" s="647">
        <v>2023</v>
      </c>
      <c r="AD187" s="648">
        <v>2024</v>
      </c>
      <c r="AE187" s="52"/>
      <c r="AF187" s="52"/>
      <c r="AG187" s="52"/>
      <c r="AH187" s="52"/>
      <c r="AI187" s="52"/>
      <c r="AJ187" s="52"/>
      <c r="AK187" s="52"/>
      <c r="AL187" s="52"/>
      <c r="AM187" s="52"/>
      <c r="AN187" s="52"/>
      <c r="AO187" s="52"/>
      <c r="AP187" s="1"/>
      <c r="AQ187" s="1"/>
      <c r="AR187" s="1"/>
      <c r="AS187" s="1"/>
      <c r="AT187" s="1"/>
      <c r="AU187" s="1"/>
      <c r="AV187" s="1"/>
      <c r="AW187" s="1"/>
      <c r="AX187" s="1"/>
      <c r="AY187" s="1"/>
      <c r="AZ187" s="1"/>
      <c r="BA187" s="1"/>
      <c r="BB187" s="1"/>
      <c r="BC187" s="1"/>
    </row>
    <row r="188" spans="1:55">
      <c r="A188" s="452" t="s">
        <v>642</v>
      </c>
      <c r="B188" s="52">
        <f t="shared" ref="B188:K188" si="119">B41</f>
        <v>5067</v>
      </c>
      <c r="C188" s="52">
        <f t="shared" si="119"/>
        <v>5129</v>
      </c>
      <c r="D188" s="52">
        <f t="shared" si="119"/>
        <v>4606</v>
      </c>
      <c r="E188" s="52">
        <f t="shared" si="119"/>
        <v>4620</v>
      </c>
      <c r="F188" s="430">
        <f t="shared" si="119"/>
        <v>4869</v>
      </c>
      <c r="G188" s="639">
        <f t="shared" si="119"/>
        <v>4964.9255830968814</v>
      </c>
      <c r="H188" s="639">
        <f t="shared" si="119"/>
        <v>5060.1014455884615</v>
      </c>
      <c r="I188" s="639">
        <f t="shared" si="119"/>
        <v>5154.7360712934978</v>
      </c>
      <c r="J188" s="639">
        <f t="shared" si="119"/>
        <v>5249.0191767306296</v>
      </c>
      <c r="K188" s="793">
        <f t="shared" si="119"/>
        <v>5342.8950490737898</v>
      </c>
      <c r="L188" s="52"/>
      <c r="M188" s="593"/>
      <c r="N188" s="333"/>
      <c r="O188" s="593"/>
      <c r="P188" s="593"/>
      <c r="Q188" s="333"/>
      <c r="R188" s="593"/>
      <c r="S188" s="593"/>
      <c r="T188" s="769" t="s">
        <v>642</v>
      </c>
      <c r="U188" s="277">
        <f>B188</f>
        <v>5067</v>
      </c>
      <c r="V188" s="277">
        <f t="shared" ref="V188:Y188" si="120">C188</f>
        <v>5129</v>
      </c>
      <c r="W188" s="277">
        <f t="shared" si="120"/>
        <v>4606</v>
      </c>
      <c r="X188" s="277">
        <f t="shared" si="120"/>
        <v>4620</v>
      </c>
      <c r="Y188" s="430">
        <f t="shared" si="120"/>
        <v>4869</v>
      </c>
      <c r="Z188" s="809">
        <v>5026.3695287890614</v>
      </c>
      <c r="AA188" s="809">
        <v>5163.0639002083954</v>
      </c>
      <c r="AB188" s="809">
        <v>5280.1596539170741</v>
      </c>
      <c r="AC188" s="809">
        <v>5378.8261848426619</v>
      </c>
      <c r="AD188" s="793">
        <v>5459.7548333593031</v>
      </c>
      <c r="AE188" s="52"/>
      <c r="AF188" s="52"/>
      <c r="AG188" s="52"/>
      <c r="AH188" s="52"/>
      <c r="AI188" s="52"/>
      <c r="AJ188" s="52"/>
      <c r="AK188" s="52"/>
      <c r="AL188" s="52"/>
      <c r="AM188" s="52"/>
      <c r="AN188" s="52"/>
      <c r="AO188" s="52"/>
      <c r="AP188" s="1"/>
      <c r="AQ188" s="1"/>
      <c r="AR188" s="1"/>
      <c r="AS188" s="1"/>
      <c r="AT188" s="1"/>
      <c r="AU188" s="1"/>
      <c r="AV188" s="1"/>
      <c r="AW188" s="1"/>
      <c r="AX188" s="1"/>
      <c r="AY188" s="1"/>
      <c r="AZ188" s="1"/>
      <c r="BA188" s="1"/>
      <c r="BB188" s="1"/>
      <c r="BC188" s="1"/>
    </row>
    <row r="189" spans="1:55">
      <c r="A189" s="452" t="s">
        <v>643</v>
      </c>
      <c r="B189" s="52">
        <f t="shared" ref="B189:K189" si="121">B52</f>
        <v>1348</v>
      </c>
      <c r="C189" s="52">
        <f t="shared" si="121"/>
        <v>1704</v>
      </c>
      <c r="D189" s="52">
        <f t="shared" si="121"/>
        <v>1863</v>
      </c>
      <c r="E189" s="52">
        <f t="shared" si="121"/>
        <v>2302</v>
      </c>
      <c r="F189" s="360">
        <f t="shared" si="121"/>
        <v>2379</v>
      </c>
      <c r="G189" s="639">
        <f t="shared" si="121"/>
        <v>2544.298384106336</v>
      </c>
      <c r="H189" s="639">
        <f t="shared" si="121"/>
        <v>2705.4946146409388</v>
      </c>
      <c r="I189" s="639">
        <f t="shared" si="121"/>
        <v>2862.864443786727</v>
      </c>
      <c r="J189" s="639">
        <f t="shared" si="121"/>
        <v>3016.670522386582</v>
      </c>
      <c r="K189" s="797">
        <f t="shared" si="121"/>
        <v>3167.050306892384</v>
      </c>
      <c r="L189" s="52"/>
      <c r="M189" s="333"/>
      <c r="N189" s="333"/>
      <c r="O189" s="333"/>
      <c r="P189" s="333"/>
      <c r="Q189" s="333"/>
      <c r="R189" s="333"/>
      <c r="S189" s="333"/>
      <c r="T189" s="452" t="s">
        <v>643</v>
      </c>
      <c r="U189" s="52">
        <f t="shared" ref="U189:U190" si="122">B189</f>
        <v>1348</v>
      </c>
      <c r="V189" s="52">
        <f t="shared" ref="V189:V190" si="123">C189</f>
        <v>1704</v>
      </c>
      <c r="W189" s="52">
        <f t="shared" ref="W189:W190" si="124">D189</f>
        <v>1863</v>
      </c>
      <c r="X189" s="52">
        <f t="shared" ref="X189:X190" si="125">E189</f>
        <v>2302</v>
      </c>
      <c r="Y189" s="360">
        <f t="shared" ref="Y189:Y190" si="126">F189</f>
        <v>2379</v>
      </c>
      <c r="Z189" s="639">
        <v>2544.298384106336</v>
      </c>
      <c r="AA189" s="639">
        <v>2705.4946146409388</v>
      </c>
      <c r="AB189" s="639">
        <v>2862.864443786727</v>
      </c>
      <c r="AC189" s="639">
        <v>3016.670522386582</v>
      </c>
      <c r="AD189" s="797">
        <v>3167.050306892384</v>
      </c>
      <c r="AE189" s="52"/>
      <c r="AF189" s="52"/>
      <c r="AG189" s="52"/>
      <c r="AH189" s="52"/>
      <c r="AI189" s="52"/>
      <c r="AJ189" s="52"/>
      <c r="AK189" s="52"/>
      <c r="AL189" s="52"/>
      <c r="AM189" s="52"/>
      <c r="AN189" s="52"/>
      <c r="AO189" s="52"/>
      <c r="AP189" s="1"/>
      <c r="AQ189" s="1"/>
      <c r="AR189" s="1"/>
      <c r="AS189" s="1"/>
      <c r="AT189" s="1"/>
      <c r="AU189" s="1"/>
      <c r="AV189" s="1"/>
      <c r="AW189" s="1"/>
      <c r="AX189" s="1"/>
      <c r="AY189" s="1"/>
      <c r="AZ189" s="1"/>
      <c r="BA189" s="1"/>
      <c r="BB189" s="1"/>
      <c r="BC189" s="1"/>
    </row>
    <row r="190" spans="1:55">
      <c r="A190" s="641" t="s">
        <v>644</v>
      </c>
      <c r="B190" s="101">
        <f>'Reorganised Statements'!C7</f>
        <v>137</v>
      </c>
      <c r="C190" s="101">
        <f>'Reorganised Statements'!D7</f>
        <v>136</v>
      </c>
      <c r="D190" s="101">
        <f>'Reorganised Statements'!E7</f>
        <v>107</v>
      </c>
      <c r="E190" s="101">
        <f>'Reorganised Statements'!F7</f>
        <v>45</v>
      </c>
      <c r="F190" s="99">
        <f>'Reorganised Statements'!G7</f>
        <v>65</v>
      </c>
      <c r="G190" s="456">
        <f>F190</f>
        <v>65</v>
      </c>
      <c r="H190" s="456">
        <f t="shared" ref="H190:K190" si="127">G190</f>
        <v>65</v>
      </c>
      <c r="I190" s="456">
        <f t="shared" si="127"/>
        <v>65</v>
      </c>
      <c r="J190" s="456">
        <f t="shared" si="127"/>
        <v>65</v>
      </c>
      <c r="K190" s="799">
        <f t="shared" si="127"/>
        <v>65</v>
      </c>
      <c r="L190" s="52"/>
      <c r="M190" s="333"/>
      <c r="N190" s="333"/>
      <c r="O190" s="333"/>
      <c r="P190" s="333"/>
      <c r="Q190" s="333"/>
      <c r="R190" s="333"/>
      <c r="S190" s="333"/>
      <c r="T190" s="641" t="s">
        <v>644</v>
      </c>
      <c r="U190" s="101">
        <f t="shared" si="122"/>
        <v>137</v>
      </c>
      <c r="V190" s="101">
        <f t="shared" si="123"/>
        <v>136</v>
      </c>
      <c r="W190" s="101">
        <f t="shared" si="124"/>
        <v>107</v>
      </c>
      <c r="X190" s="101">
        <f t="shared" si="125"/>
        <v>45</v>
      </c>
      <c r="Y190" s="99">
        <f t="shared" si="126"/>
        <v>65</v>
      </c>
      <c r="Z190" s="456">
        <v>65</v>
      </c>
      <c r="AA190" s="456">
        <v>65</v>
      </c>
      <c r="AB190" s="456">
        <v>65</v>
      </c>
      <c r="AC190" s="456">
        <v>65</v>
      </c>
      <c r="AD190" s="799">
        <v>65</v>
      </c>
      <c r="AE190" s="52"/>
      <c r="AF190" s="52"/>
      <c r="AG190" s="52"/>
      <c r="AH190" s="52"/>
      <c r="AI190" s="52"/>
      <c r="AJ190" s="52"/>
      <c r="AK190" s="52"/>
      <c r="AL190" s="52"/>
      <c r="AM190" s="52"/>
      <c r="AN190" s="52"/>
      <c r="AO190" s="52"/>
      <c r="AP190" s="1"/>
      <c r="AQ190" s="1"/>
      <c r="AR190" s="1"/>
      <c r="AS190" s="1"/>
      <c r="AT190" s="1"/>
      <c r="AU190" s="1"/>
      <c r="AV190" s="1"/>
      <c r="AW190" s="1"/>
      <c r="AX190" s="1"/>
      <c r="AY190" s="1"/>
      <c r="AZ190" s="1"/>
      <c r="BA190" s="1"/>
      <c r="BB190" s="1"/>
      <c r="BC190" s="1"/>
    </row>
    <row r="191" spans="1:55">
      <c r="A191" s="637" t="s">
        <v>553</v>
      </c>
      <c r="B191" s="100">
        <f>SUM(B188:B190)</f>
        <v>6552</v>
      </c>
      <c r="C191" s="100">
        <f t="shared" ref="C191:F191" si="128">SUM(C188:C190)</f>
        <v>6969</v>
      </c>
      <c r="D191" s="100">
        <f t="shared" si="128"/>
        <v>6576</v>
      </c>
      <c r="E191" s="100">
        <f t="shared" si="128"/>
        <v>6967</v>
      </c>
      <c r="F191" s="100">
        <f t="shared" si="128"/>
        <v>7313</v>
      </c>
      <c r="G191" s="638">
        <f>G188+G189+G190</f>
        <v>7574.2239672032174</v>
      </c>
      <c r="H191" s="638">
        <f t="shared" ref="H191:K191" si="129">H188+H189+H190</f>
        <v>7830.5960602293999</v>
      </c>
      <c r="I191" s="638">
        <f t="shared" si="129"/>
        <v>8082.6005150802248</v>
      </c>
      <c r="J191" s="638">
        <f t="shared" si="129"/>
        <v>8330.6896991172107</v>
      </c>
      <c r="K191" s="796">
        <f t="shared" si="129"/>
        <v>8574.9453559661742</v>
      </c>
      <c r="L191" s="52"/>
      <c r="M191" s="593"/>
      <c r="N191" s="593"/>
      <c r="O191" s="593"/>
      <c r="P191" s="593"/>
      <c r="Q191" s="593"/>
      <c r="R191" s="593"/>
      <c r="S191" s="593"/>
      <c r="T191" s="637" t="s">
        <v>553</v>
      </c>
      <c r="U191" s="100">
        <v>6552</v>
      </c>
      <c r="V191" s="100">
        <v>6969</v>
      </c>
      <c r="W191" s="100">
        <v>6576</v>
      </c>
      <c r="X191" s="100">
        <v>6967</v>
      </c>
      <c r="Y191" s="432">
        <v>7313</v>
      </c>
      <c r="Z191" s="638">
        <v>7635.6679128953974</v>
      </c>
      <c r="AA191" s="638">
        <v>7933.5585148493337</v>
      </c>
      <c r="AB191" s="638">
        <v>8208.0240977038011</v>
      </c>
      <c r="AC191" s="638">
        <v>8460.4967072292438</v>
      </c>
      <c r="AD191" s="796">
        <v>8691.8051402516867</v>
      </c>
      <c r="AE191" s="52"/>
      <c r="AF191" s="52"/>
      <c r="AG191" s="52"/>
      <c r="AH191" s="52"/>
      <c r="AI191" s="52"/>
      <c r="AJ191" s="52"/>
      <c r="AK191" s="52"/>
      <c r="AL191" s="52"/>
      <c r="AM191" s="52"/>
      <c r="AN191" s="52"/>
      <c r="AO191" s="52"/>
      <c r="AP191" s="1"/>
      <c r="AQ191" s="1"/>
      <c r="AR191" s="1"/>
      <c r="AS191" s="1"/>
      <c r="AT191" s="1"/>
      <c r="AU191" s="1"/>
      <c r="AV191" s="1"/>
      <c r="AW191" s="1"/>
      <c r="AX191" s="1"/>
      <c r="AY191" s="1"/>
      <c r="AZ191" s="1"/>
      <c r="BA191" s="1"/>
      <c r="BB191" s="1"/>
      <c r="BC191" s="1"/>
    </row>
    <row r="192" spans="1:55">
      <c r="A192" s="452"/>
      <c r="B192" s="52"/>
      <c r="C192" s="52"/>
      <c r="D192" s="52"/>
      <c r="E192" s="52"/>
      <c r="F192" s="360"/>
      <c r="G192" s="639"/>
      <c r="H192" s="639"/>
      <c r="I192" s="639"/>
      <c r="J192" s="639"/>
      <c r="K192" s="797"/>
      <c r="L192" s="52"/>
      <c r="M192" s="593"/>
      <c r="N192" s="593"/>
      <c r="O192" s="593"/>
      <c r="P192" s="593"/>
      <c r="Q192" s="593"/>
      <c r="R192" s="593"/>
      <c r="S192" s="593"/>
      <c r="T192" s="452"/>
      <c r="U192" s="52"/>
      <c r="V192" s="52"/>
      <c r="W192" s="52"/>
      <c r="X192" s="52"/>
      <c r="Y192" s="360"/>
      <c r="Z192" s="639"/>
      <c r="AA192" s="639"/>
      <c r="AB192" s="639"/>
      <c r="AC192" s="639"/>
      <c r="AD192" s="797"/>
      <c r="AE192" s="52"/>
      <c r="AF192" s="52"/>
      <c r="AG192" s="52"/>
      <c r="AH192" s="52"/>
      <c r="AI192" s="52"/>
      <c r="AJ192" s="52"/>
      <c r="AK192" s="52"/>
      <c r="AL192" s="52"/>
      <c r="AM192" s="52"/>
      <c r="AN192" s="52"/>
      <c r="AO192" s="52"/>
      <c r="AP192" s="1"/>
      <c r="AQ192" s="1"/>
      <c r="AR192" s="1"/>
      <c r="AS192" s="1"/>
      <c r="AT192" s="1"/>
      <c r="AU192" s="1"/>
      <c r="AV192" s="1"/>
      <c r="AW192" s="1"/>
      <c r="AX192" s="1"/>
      <c r="AY192" s="1"/>
      <c r="AZ192" s="1"/>
      <c r="BA192" s="1"/>
      <c r="BB192" s="1"/>
      <c r="BC192" s="1"/>
    </row>
    <row r="193" spans="1:55">
      <c r="A193" s="452" t="s">
        <v>578</v>
      </c>
      <c r="B193" s="454">
        <f t="shared" ref="B193:F195" si="130">B63</f>
        <v>184</v>
      </c>
      <c r="C193" s="52">
        <f t="shared" si="130"/>
        <v>159</v>
      </c>
      <c r="D193" s="52">
        <f t="shared" si="130"/>
        <v>147</v>
      </c>
      <c r="E193" s="52">
        <f t="shared" si="130"/>
        <v>187</v>
      </c>
      <c r="F193" s="360">
        <f t="shared" si="130"/>
        <v>184</v>
      </c>
      <c r="G193" s="639"/>
      <c r="H193" s="639"/>
      <c r="I193" s="639"/>
      <c r="J193" s="639"/>
      <c r="K193" s="797"/>
      <c r="L193" s="52"/>
      <c r="M193" s="593"/>
      <c r="N193" s="593"/>
      <c r="O193" s="593"/>
      <c r="P193" s="593"/>
      <c r="Q193" s="593"/>
      <c r="R193" s="593"/>
      <c r="S193" s="593"/>
      <c r="T193" s="452" t="s">
        <v>578</v>
      </c>
      <c r="U193" s="52">
        <f>B193</f>
        <v>184</v>
      </c>
      <c r="V193" s="52">
        <f t="shared" ref="V193:Y193" si="131">C193</f>
        <v>159</v>
      </c>
      <c r="W193" s="52">
        <f t="shared" si="131"/>
        <v>147</v>
      </c>
      <c r="X193" s="52">
        <f t="shared" si="131"/>
        <v>187</v>
      </c>
      <c r="Y193" s="360">
        <f t="shared" si="131"/>
        <v>184</v>
      </c>
      <c r="Z193" s="639"/>
      <c r="AA193" s="639"/>
      <c r="AB193" s="639"/>
      <c r="AC193" s="639"/>
      <c r="AD193" s="797"/>
      <c r="AE193" s="52"/>
      <c r="AF193" s="52"/>
      <c r="AG193" s="52"/>
      <c r="AH193" s="52"/>
      <c r="AI193" s="52"/>
      <c r="AJ193" s="52"/>
      <c r="AK193" s="52"/>
      <c r="AL193" s="52"/>
      <c r="AM193" s="52"/>
      <c r="AN193" s="52"/>
      <c r="AO193" s="52"/>
      <c r="AP193" s="1"/>
      <c r="AQ193" s="1"/>
      <c r="AR193" s="1"/>
      <c r="AS193" s="1"/>
      <c r="AT193" s="1"/>
      <c r="AU193" s="1"/>
      <c r="AV193" s="1"/>
      <c r="AW193" s="1"/>
      <c r="AX193" s="1"/>
      <c r="AY193" s="1"/>
      <c r="AZ193" s="1"/>
      <c r="BA193" s="1"/>
      <c r="BB193" s="1"/>
      <c r="BC193" s="1"/>
    </row>
    <row r="194" spans="1:55">
      <c r="A194" s="452" t="s">
        <v>645</v>
      </c>
      <c r="B194" s="454">
        <f t="shared" si="130"/>
        <v>1485</v>
      </c>
      <c r="C194" s="52">
        <f t="shared" si="130"/>
        <v>1821</v>
      </c>
      <c r="D194" s="52">
        <f t="shared" si="130"/>
        <v>1671</v>
      </c>
      <c r="E194" s="52">
        <f t="shared" si="130"/>
        <v>1781</v>
      </c>
      <c r="F194" s="360">
        <f t="shared" si="130"/>
        <v>1852</v>
      </c>
      <c r="G194" s="639"/>
      <c r="H194" s="639"/>
      <c r="I194" s="639"/>
      <c r="J194" s="639"/>
      <c r="K194" s="797"/>
      <c r="L194" s="52"/>
      <c r="M194" s="593"/>
      <c r="N194" s="593"/>
      <c r="O194" s="593"/>
      <c r="P194" s="593"/>
      <c r="Q194" s="593"/>
      <c r="R194" s="593"/>
      <c r="S194" s="593"/>
      <c r="T194" s="452" t="s">
        <v>645</v>
      </c>
      <c r="U194" s="52">
        <f t="shared" ref="U194:U195" si="132">B194</f>
        <v>1485</v>
      </c>
      <c r="V194" s="52">
        <f t="shared" ref="V194:V195" si="133">C194</f>
        <v>1821</v>
      </c>
      <c r="W194" s="52">
        <f t="shared" ref="W194:W195" si="134">D194</f>
        <v>1671</v>
      </c>
      <c r="X194" s="52">
        <f t="shared" ref="X194:X195" si="135">E194</f>
        <v>1781</v>
      </c>
      <c r="Y194" s="360">
        <f t="shared" ref="Y194:Y195" si="136">F194</f>
        <v>1852</v>
      </c>
      <c r="Z194" s="639"/>
      <c r="AA194" s="639"/>
      <c r="AB194" s="639"/>
      <c r="AC194" s="639"/>
      <c r="AD194" s="797"/>
      <c r="AE194" s="52"/>
      <c r="AF194" s="52"/>
      <c r="AG194" s="52"/>
      <c r="AH194" s="52"/>
      <c r="AI194" s="52"/>
      <c r="AJ194" s="52"/>
      <c r="AK194" s="52"/>
      <c r="AL194" s="52"/>
      <c r="AM194" s="52"/>
      <c r="AN194" s="52"/>
      <c r="AO194" s="52"/>
      <c r="AP194" s="1"/>
      <c r="AQ194" s="1"/>
      <c r="AR194" s="1"/>
      <c r="AS194" s="1"/>
      <c r="AT194" s="1"/>
      <c r="AU194" s="1"/>
      <c r="AV194" s="1"/>
      <c r="AW194" s="1"/>
      <c r="AX194" s="1"/>
      <c r="AY194" s="1"/>
      <c r="AZ194" s="1"/>
      <c r="BA194" s="1"/>
      <c r="BB194" s="1"/>
      <c r="BC194" s="1"/>
    </row>
    <row r="195" spans="1:55">
      <c r="A195" s="641" t="s">
        <v>577</v>
      </c>
      <c r="B195" s="365">
        <f t="shared" si="130"/>
        <v>-1170</v>
      </c>
      <c r="C195" s="101">
        <f t="shared" si="130"/>
        <v>-1384</v>
      </c>
      <c r="D195" s="101">
        <f t="shared" si="130"/>
        <v>-1381</v>
      </c>
      <c r="E195" s="101">
        <f t="shared" si="130"/>
        <v>-1413</v>
      </c>
      <c r="F195" s="99">
        <f t="shared" si="130"/>
        <v>-1481</v>
      </c>
      <c r="G195" s="456"/>
      <c r="H195" s="456"/>
      <c r="I195" s="456"/>
      <c r="J195" s="456"/>
      <c r="K195" s="799"/>
      <c r="L195" s="52"/>
      <c r="M195" s="593"/>
      <c r="N195" s="593"/>
      <c r="O195" s="593"/>
      <c r="P195" s="593"/>
      <c r="Q195" s="593"/>
      <c r="R195" s="593"/>
      <c r="S195" s="593"/>
      <c r="T195" s="641" t="s">
        <v>577</v>
      </c>
      <c r="U195" s="101">
        <f t="shared" si="132"/>
        <v>-1170</v>
      </c>
      <c r="V195" s="101">
        <f t="shared" si="133"/>
        <v>-1384</v>
      </c>
      <c r="W195" s="101">
        <f t="shared" si="134"/>
        <v>-1381</v>
      </c>
      <c r="X195" s="101">
        <f t="shared" si="135"/>
        <v>-1413</v>
      </c>
      <c r="Y195" s="99">
        <f t="shared" si="136"/>
        <v>-1481</v>
      </c>
      <c r="Z195" s="456"/>
      <c r="AA195" s="456"/>
      <c r="AB195" s="456"/>
      <c r="AC195" s="456"/>
      <c r="AD195" s="799"/>
      <c r="AE195" s="52"/>
      <c r="AF195" s="52"/>
      <c r="AG195" s="52"/>
      <c r="AH195" s="52"/>
      <c r="AI195" s="52"/>
      <c r="AJ195" s="52"/>
      <c r="AK195" s="52"/>
      <c r="AL195" s="52"/>
      <c r="AM195" s="52"/>
      <c r="AN195" s="52"/>
      <c r="AO195" s="52"/>
      <c r="AP195" s="1"/>
      <c r="AQ195" s="1"/>
      <c r="AR195" s="1"/>
      <c r="AS195" s="1"/>
      <c r="AT195" s="1"/>
      <c r="AU195" s="1"/>
      <c r="AV195" s="1"/>
      <c r="AW195" s="1"/>
      <c r="AX195" s="1"/>
      <c r="AY195" s="1"/>
      <c r="AZ195" s="1"/>
      <c r="BA195" s="1"/>
      <c r="BB195" s="1"/>
      <c r="BC195" s="1"/>
    </row>
    <row r="196" spans="1:55">
      <c r="A196" s="452" t="s">
        <v>646</v>
      </c>
      <c r="B196" s="52">
        <f>SUM(B193:B195)</f>
        <v>499</v>
      </c>
      <c r="C196" s="52">
        <f t="shared" ref="C196:F196" si="137">SUM(C193:C195)</f>
        <v>596</v>
      </c>
      <c r="D196" s="52">
        <f t="shared" si="137"/>
        <v>437</v>
      </c>
      <c r="E196" s="52">
        <f t="shared" si="137"/>
        <v>555</v>
      </c>
      <c r="F196" s="360">
        <f t="shared" si="137"/>
        <v>555</v>
      </c>
      <c r="G196" s="639"/>
      <c r="H196" s="639"/>
      <c r="I196" s="639"/>
      <c r="J196" s="639"/>
      <c r="K196" s="797"/>
      <c r="L196" s="52"/>
      <c r="M196" s="593"/>
      <c r="N196" s="593"/>
      <c r="O196" s="593"/>
      <c r="P196" s="593"/>
      <c r="Q196" s="593"/>
      <c r="R196" s="593"/>
      <c r="S196" s="593"/>
      <c r="T196" s="452" t="s">
        <v>646</v>
      </c>
      <c r="U196" s="52">
        <f>SUM(U193:U195)</f>
        <v>499</v>
      </c>
      <c r="V196" s="52">
        <f t="shared" ref="V196:Y196" si="138">SUM(V193:V195)</f>
        <v>596</v>
      </c>
      <c r="W196" s="52">
        <f t="shared" si="138"/>
        <v>437</v>
      </c>
      <c r="X196" s="52">
        <f t="shared" si="138"/>
        <v>555</v>
      </c>
      <c r="Y196" s="360">
        <f t="shared" si="138"/>
        <v>555</v>
      </c>
      <c r="Z196" s="639"/>
      <c r="AA196" s="639"/>
      <c r="AB196" s="639"/>
      <c r="AC196" s="639"/>
      <c r="AD196" s="797"/>
      <c r="AE196" s="52"/>
      <c r="AF196" s="52"/>
      <c r="AG196" s="52"/>
      <c r="AH196" s="52"/>
      <c r="AI196" s="52"/>
      <c r="AJ196" s="52"/>
      <c r="AK196" s="52"/>
      <c r="AL196" s="52"/>
      <c r="AM196" s="52"/>
      <c r="AN196" s="52"/>
      <c r="AO196" s="52"/>
      <c r="AP196" s="1"/>
      <c r="AQ196" s="1"/>
      <c r="AR196" s="1"/>
      <c r="AS196" s="1"/>
      <c r="AT196" s="1"/>
      <c r="AU196" s="1"/>
      <c r="AV196" s="1"/>
      <c r="AW196" s="1"/>
      <c r="AX196" s="1"/>
      <c r="AY196" s="1"/>
      <c r="AZ196" s="1"/>
      <c r="BA196" s="1"/>
      <c r="BB196" s="1"/>
      <c r="BC196" s="1"/>
    </row>
    <row r="197" spans="1:55">
      <c r="A197" s="452"/>
      <c r="B197" s="52"/>
      <c r="C197" s="52"/>
      <c r="D197" s="52"/>
      <c r="E197" s="52"/>
      <c r="F197" s="360"/>
      <c r="G197" s="639"/>
      <c r="H197" s="639"/>
      <c r="I197" s="639"/>
      <c r="J197" s="639"/>
      <c r="K197" s="797"/>
      <c r="L197" s="52"/>
      <c r="M197" s="593"/>
      <c r="N197" s="593"/>
      <c r="O197" s="593"/>
      <c r="P197" s="593"/>
      <c r="Q197" s="593"/>
      <c r="R197" s="593"/>
      <c r="S197" s="593"/>
      <c r="T197" s="452"/>
      <c r="U197" s="52"/>
      <c r="V197" s="52"/>
      <c r="W197" s="52"/>
      <c r="X197" s="52"/>
      <c r="Y197" s="360"/>
      <c r="Z197" s="639"/>
      <c r="AA197" s="639"/>
      <c r="AB197" s="639"/>
      <c r="AC197" s="639"/>
      <c r="AD197" s="797"/>
      <c r="AE197" s="52"/>
      <c r="AF197" s="52"/>
      <c r="AG197" s="52"/>
      <c r="AH197" s="52"/>
      <c r="AI197" s="52"/>
      <c r="AJ197" s="52"/>
      <c r="AK197" s="52"/>
      <c r="AL197" s="52"/>
      <c r="AM197" s="52"/>
      <c r="AN197" s="52"/>
      <c r="AO197" s="52"/>
      <c r="AP197" s="1"/>
      <c r="AQ197" s="1"/>
      <c r="AR197" s="1"/>
      <c r="AS197" s="1"/>
      <c r="AT197" s="1"/>
      <c r="AU197" s="1"/>
      <c r="AV197" s="1"/>
      <c r="AW197" s="1"/>
      <c r="AX197" s="1"/>
      <c r="AY197" s="1"/>
      <c r="AZ197" s="1"/>
      <c r="BA197" s="1"/>
      <c r="BB197" s="1"/>
      <c r="BC197" s="1"/>
    </row>
    <row r="198" spans="1:55">
      <c r="A198" s="452" t="s">
        <v>11</v>
      </c>
      <c r="B198" s="52">
        <f>'Reorganised Statements'!C15</f>
        <v>636</v>
      </c>
      <c r="C198" s="52">
        <f>'Reorganised Statements'!D15</f>
        <v>695</v>
      </c>
      <c r="D198" s="52">
        <f>'Reorganised Statements'!E15</f>
        <v>563</v>
      </c>
      <c r="E198" s="52">
        <f>'Reorganised Statements'!F15</f>
        <v>510</v>
      </c>
      <c r="F198" s="360">
        <f>'Reorganised Statements'!G15</f>
        <v>665</v>
      </c>
      <c r="G198" s="639"/>
      <c r="H198" s="639"/>
      <c r="I198" s="639"/>
      <c r="J198" s="639"/>
      <c r="K198" s="797"/>
      <c r="L198" s="52"/>
      <c r="M198" s="594"/>
      <c r="N198" s="594"/>
      <c r="O198" s="594"/>
      <c r="P198" s="594"/>
      <c r="Q198" s="594"/>
      <c r="R198" s="594"/>
      <c r="S198" s="594"/>
      <c r="T198" s="452" t="s">
        <v>11</v>
      </c>
      <c r="U198" s="52">
        <f>B198</f>
        <v>636</v>
      </c>
      <c r="V198" s="52">
        <f t="shared" ref="V198:Y199" si="139">C198</f>
        <v>695</v>
      </c>
      <c r="W198" s="52">
        <f t="shared" si="139"/>
        <v>563</v>
      </c>
      <c r="X198" s="52">
        <f t="shared" si="139"/>
        <v>510</v>
      </c>
      <c r="Y198" s="360">
        <f t="shared" si="139"/>
        <v>665</v>
      </c>
      <c r="Z198" s="639"/>
      <c r="AA198" s="639"/>
      <c r="AB198" s="639"/>
      <c r="AC198" s="639"/>
      <c r="AD198" s="797"/>
      <c r="AE198" s="52"/>
      <c r="AF198" s="52"/>
      <c r="AG198" s="52"/>
      <c r="AH198" s="52"/>
      <c r="AI198" s="52"/>
      <c r="AJ198" s="52"/>
      <c r="AK198" s="52"/>
      <c r="AL198" s="52"/>
      <c r="AM198" s="52"/>
      <c r="AN198" s="52"/>
      <c r="AO198" s="52"/>
      <c r="AP198" s="1"/>
      <c r="AQ198" s="1"/>
      <c r="AR198" s="1"/>
      <c r="AS198" s="1"/>
      <c r="AT198" s="1"/>
      <c r="AU198" s="1"/>
      <c r="AV198" s="1"/>
      <c r="AW198" s="1"/>
      <c r="AX198" s="1"/>
      <c r="AY198" s="1"/>
      <c r="AZ198" s="1"/>
      <c r="BA198" s="1"/>
      <c r="BB198" s="1"/>
      <c r="BC198" s="1"/>
    </row>
    <row r="199" spans="1:55">
      <c r="A199" s="452" t="s">
        <v>647</v>
      </c>
      <c r="B199" s="52">
        <f>'Reorganised Statements'!C21</f>
        <v>-683</v>
      </c>
      <c r="C199" s="52">
        <f>'Reorganised Statements'!D21</f>
        <v>-893</v>
      </c>
      <c r="D199" s="52">
        <f>'Reorganised Statements'!E21</f>
        <v>-673</v>
      </c>
      <c r="E199" s="52">
        <f>'Reorganised Statements'!F21</f>
        <v>-763</v>
      </c>
      <c r="F199" s="360">
        <f>'Reorganised Statements'!G21</f>
        <v>-999</v>
      </c>
      <c r="G199" s="639"/>
      <c r="H199" s="639"/>
      <c r="I199" s="639"/>
      <c r="J199" s="639"/>
      <c r="K199" s="797"/>
      <c r="L199" s="52"/>
      <c r="M199" s="52"/>
      <c r="N199" s="52"/>
      <c r="O199" s="52"/>
      <c r="P199" s="52"/>
      <c r="Q199" s="52"/>
      <c r="R199" s="52"/>
      <c r="S199" s="52"/>
      <c r="T199" s="452" t="s">
        <v>647</v>
      </c>
      <c r="U199" s="52">
        <f>B199</f>
        <v>-683</v>
      </c>
      <c r="V199" s="52">
        <f t="shared" si="139"/>
        <v>-893</v>
      </c>
      <c r="W199" s="52">
        <f t="shared" si="139"/>
        <v>-673</v>
      </c>
      <c r="X199" s="52">
        <f t="shared" si="139"/>
        <v>-763</v>
      </c>
      <c r="Y199" s="360">
        <f t="shared" si="139"/>
        <v>-999</v>
      </c>
      <c r="Z199" s="639"/>
      <c r="AA199" s="639"/>
      <c r="AB199" s="639"/>
      <c r="AC199" s="639"/>
      <c r="AD199" s="797"/>
      <c r="AE199" s="52"/>
      <c r="AF199" s="52"/>
      <c r="AG199" s="52"/>
      <c r="AH199" s="52"/>
      <c r="AI199" s="52"/>
      <c r="AJ199" s="52"/>
      <c r="AK199" s="52"/>
      <c r="AL199" s="52"/>
      <c r="AM199" s="52"/>
      <c r="AN199" s="52"/>
      <c r="AO199" s="52"/>
      <c r="AP199" s="1"/>
      <c r="AQ199" s="1"/>
      <c r="AR199" s="1"/>
      <c r="AS199" s="1"/>
      <c r="AT199" s="1"/>
      <c r="AU199" s="1"/>
      <c r="AV199" s="1"/>
      <c r="AW199" s="1"/>
      <c r="AX199" s="1"/>
      <c r="AY199" s="1"/>
      <c r="AZ199" s="1"/>
      <c r="BA199" s="1"/>
      <c r="BB199" s="1"/>
      <c r="BC199" s="1"/>
    </row>
    <row r="200" spans="1:55">
      <c r="A200" s="642" t="s">
        <v>648</v>
      </c>
      <c r="B200" s="466">
        <f>B196+B198+B199</f>
        <v>452</v>
      </c>
      <c r="C200" s="466">
        <f t="shared" ref="C200:F200" si="140">C196+C198+C199</f>
        <v>398</v>
      </c>
      <c r="D200" s="466">
        <f t="shared" si="140"/>
        <v>327</v>
      </c>
      <c r="E200" s="466">
        <f t="shared" si="140"/>
        <v>302</v>
      </c>
      <c r="F200" s="465">
        <f t="shared" si="140"/>
        <v>221</v>
      </c>
      <c r="G200" s="491">
        <f>G76</f>
        <v>245.89629364354272</v>
      </c>
      <c r="H200" s="491">
        <f>H76</f>
        <v>271.49676254596619</v>
      </c>
      <c r="I200" s="491">
        <f>I76</f>
        <v>297.81703718009788</v>
      </c>
      <c r="J200" s="491">
        <f>J76</f>
        <v>324.87306012274536</v>
      </c>
      <c r="K200" s="800">
        <f>K76</f>
        <v>352.28010481421336</v>
      </c>
      <c r="L200" s="52"/>
      <c r="M200" s="52"/>
      <c r="N200" s="52"/>
      <c r="O200" s="52"/>
      <c r="P200" s="52"/>
      <c r="Q200" s="52"/>
      <c r="R200" s="52"/>
      <c r="S200" s="52"/>
      <c r="T200" s="642" t="s">
        <v>648</v>
      </c>
      <c r="U200" s="466">
        <f>U196+U198+U199</f>
        <v>452</v>
      </c>
      <c r="V200" s="466">
        <f t="shared" ref="V200:Y200" si="141">V196+V198+V199</f>
        <v>398</v>
      </c>
      <c r="W200" s="466">
        <f t="shared" si="141"/>
        <v>327</v>
      </c>
      <c r="X200" s="466">
        <f t="shared" si="141"/>
        <v>302</v>
      </c>
      <c r="Y200" s="465">
        <f t="shared" si="141"/>
        <v>221</v>
      </c>
      <c r="Z200" s="491">
        <v>245.89629364354272</v>
      </c>
      <c r="AA200" s="491">
        <v>271.49676254596619</v>
      </c>
      <c r="AB200" s="491">
        <v>297.81703718009788</v>
      </c>
      <c r="AC200" s="491">
        <v>324.87306012274536</v>
      </c>
      <c r="AD200" s="800">
        <v>352.28010481421336</v>
      </c>
      <c r="AE200" s="52"/>
      <c r="AF200" s="52"/>
      <c r="AG200" s="52"/>
      <c r="AH200" s="52"/>
      <c r="AI200" s="52"/>
      <c r="AJ200" s="52"/>
      <c r="AK200" s="52"/>
      <c r="AL200" s="52"/>
      <c r="AM200" s="52"/>
      <c r="AN200" s="52"/>
      <c r="AO200" s="52"/>
      <c r="AP200" s="1"/>
      <c r="AQ200" s="1"/>
      <c r="AR200" s="1"/>
      <c r="AS200" s="1"/>
      <c r="AT200" s="1"/>
      <c r="AU200" s="1"/>
      <c r="AV200" s="1"/>
      <c r="AW200" s="1"/>
      <c r="AX200" s="1"/>
      <c r="AY200" s="1"/>
      <c r="AZ200" s="1"/>
      <c r="BA200" s="1"/>
      <c r="BB200" s="1"/>
      <c r="BC200" s="1"/>
    </row>
    <row r="201" spans="1:55">
      <c r="A201" s="452"/>
      <c r="B201" s="52"/>
      <c r="C201" s="52"/>
      <c r="D201" s="52"/>
      <c r="E201" s="52"/>
      <c r="F201" s="360"/>
      <c r="G201" s="639"/>
      <c r="H201" s="639"/>
      <c r="I201" s="639"/>
      <c r="J201" s="639"/>
      <c r="K201" s="797"/>
      <c r="L201" s="52"/>
      <c r="M201" s="52"/>
      <c r="N201" s="52"/>
      <c r="O201" s="52"/>
      <c r="P201" s="52"/>
      <c r="Q201" s="52"/>
      <c r="R201" s="52"/>
      <c r="S201" s="52"/>
      <c r="T201" s="452"/>
      <c r="U201" s="52"/>
      <c r="V201" s="52"/>
      <c r="W201" s="52"/>
      <c r="X201" s="52"/>
      <c r="Y201" s="360"/>
      <c r="Z201" s="639"/>
      <c r="AA201" s="639"/>
      <c r="AB201" s="639"/>
      <c r="AC201" s="639"/>
      <c r="AD201" s="797"/>
      <c r="AE201" s="52"/>
      <c r="AF201" s="52"/>
      <c r="AG201" s="52"/>
      <c r="AH201" s="52"/>
      <c r="AI201" s="52"/>
      <c r="AJ201" s="52"/>
      <c r="AK201" s="52"/>
      <c r="AL201" s="52"/>
      <c r="AM201" s="52"/>
      <c r="AN201" s="52"/>
      <c r="AO201" s="52"/>
      <c r="AP201" s="1"/>
      <c r="AQ201" s="1"/>
      <c r="AR201" s="1"/>
      <c r="AS201" s="1"/>
      <c r="AT201" s="1"/>
      <c r="AU201" s="1"/>
      <c r="AV201" s="1"/>
      <c r="AW201" s="1"/>
      <c r="AX201" s="1"/>
      <c r="AY201" s="1"/>
      <c r="AZ201" s="1"/>
      <c r="BA201" s="1"/>
      <c r="BB201" s="1"/>
      <c r="BC201" s="1"/>
    </row>
    <row r="202" spans="1:55">
      <c r="A202" s="452" t="s">
        <v>649</v>
      </c>
      <c r="B202" s="52">
        <f t="shared" ref="B202:K202" si="142">B84</f>
        <v>308</v>
      </c>
      <c r="C202" s="52">
        <f t="shared" si="142"/>
        <v>341</v>
      </c>
      <c r="D202" s="52">
        <f t="shared" si="142"/>
        <v>301</v>
      </c>
      <c r="E202" s="52">
        <f t="shared" si="142"/>
        <v>264</v>
      </c>
      <c r="F202" s="360">
        <f t="shared" si="142"/>
        <v>277</v>
      </c>
      <c r="G202" s="639">
        <f t="shared" si="142"/>
        <v>277</v>
      </c>
      <c r="H202" s="639">
        <f t="shared" si="142"/>
        <v>277</v>
      </c>
      <c r="I202" s="639">
        <f t="shared" si="142"/>
        <v>277</v>
      </c>
      <c r="J202" s="639">
        <f t="shared" si="142"/>
        <v>277</v>
      </c>
      <c r="K202" s="797">
        <f t="shared" si="142"/>
        <v>277</v>
      </c>
      <c r="L202" s="52"/>
      <c r="M202" s="52"/>
      <c r="N202" s="52"/>
      <c r="O202" s="52"/>
      <c r="P202" s="52"/>
      <c r="Q202" s="52"/>
      <c r="R202" s="52"/>
      <c r="S202" s="52"/>
      <c r="T202" s="452" t="s">
        <v>649</v>
      </c>
      <c r="U202" s="52">
        <f>B202</f>
        <v>308</v>
      </c>
      <c r="V202" s="52">
        <f t="shared" ref="V202:Y204" si="143">C202</f>
        <v>341</v>
      </c>
      <c r="W202" s="52">
        <f t="shared" si="143"/>
        <v>301</v>
      </c>
      <c r="X202" s="52">
        <f t="shared" si="143"/>
        <v>264</v>
      </c>
      <c r="Y202" s="360">
        <f t="shared" si="143"/>
        <v>277</v>
      </c>
      <c r="Z202" s="639">
        <v>277</v>
      </c>
      <c r="AA202" s="639">
        <v>277</v>
      </c>
      <c r="AB202" s="639">
        <v>277</v>
      </c>
      <c r="AC202" s="639">
        <v>277</v>
      </c>
      <c r="AD202" s="797">
        <v>277</v>
      </c>
      <c r="AE202" s="52"/>
      <c r="AF202" s="52"/>
      <c r="AG202" s="52"/>
      <c r="AH202" s="52"/>
      <c r="AI202" s="52"/>
      <c r="AJ202" s="52"/>
      <c r="AK202" s="52"/>
      <c r="AL202" s="52"/>
      <c r="AM202" s="52"/>
      <c r="AN202" s="52"/>
      <c r="AO202" s="52"/>
      <c r="AP202" s="1"/>
      <c r="AQ202" s="1"/>
      <c r="AR202" s="1"/>
      <c r="AS202" s="1"/>
      <c r="AT202" s="1"/>
      <c r="AU202" s="1"/>
      <c r="AV202" s="1"/>
      <c r="AW202" s="1"/>
      <c r="AX202" s="1"/>
      <c r="AY202" s="1"/>
      <c r="AZ202" s="1"/>
      <c r="BA202" s="1"/>
      <c r="BB202" s="1"/>
      <c r="BC202" s="1"/>
    </row>
    <row r="203" spans="1:55">
      <c r="A203" s="452" t="s">
        <v>650</v>
      </c>
      <c r="B203" s="52">
        <f t="shared" ref="B203:K203" si="144">B85</f>
        <v>-332</v>
      </c>
      <c r="C203" s="52">
        <f t="shared" si="144"/>
        <v>-365</v>
      </c>
      <c r="D203" s="52">
        <f t="shared" si="144"/>
        <v>-319</v>
      </c>
      <c r="E203" s="52">
        <f t="shared" si="144"/>
        <v>-314</v>
      </c>
      <c r="F203" s="360">
        <f t="shared" si="144"/>
        <v>-307</v>
      </c>
      <c r="G203" s="639">
        <f t="shared" si="144"/>
        <v>-307</v>
      </c>
      <c r="H203" s="639">
        <f t="shared" si="144"/>
        <v>-307</v>
      </c>
      <c r="I203" s="639">
        <f t="shared" si="144"/>
        <v>-307</v>
      </c>
      <c r="J203" s="639">
        <f t="shared" si="144"/>
        <v>-307</v>
      </c>
      <c r="K203" s="797">
        <f t="shared" si="144"/>
        <v>-307</v>
      </c>
      <c r="L203" s="52"/>
      <c r="M203" s="52"/>
      <c r="N203" s="52"/>
      <c r="O203" s="52"/>
      <c r="P203" s="52"/>
      <c r="Q203" s="52"/>
      <c r="R203" s="52"/>
      <c r="S203" s="52"/>
      <c r="T203" s="452" t="s">
        <v>650</v>
      </c>
      <c r="U203" s="52">
        <f t="shared" ref="U203:U204" si="145">B203</f>
        <v>-332</v>
      </c>
      <c r="V203" s="52">
        <f t="shared" si="143"/>
        <v>-365</v>
      </c>
      <c r="W203" s="52">
        <f t="shared" si="143"/>
        <v>-319</v>
      </c>
      <c r="X203" s="52">
        <f t="shared" si="143"/>
        <v>-314</v>
      </c>
      <c r="Y203" s="360">
        <f t="shared" si="143"/>
        <v>-307</v>
      </c>
      <c r="Z203" s="639">
        <v>-307</v>
      </c>
      <c r="AA203" s="639">
        <v>-307</v>
      </c>
      <c r="AB203" s="639">
        <v>-307</v>
      </c>
      <c r="AC203" s="639">
        <v>-307</v>
      </c>
      <c r="AD203" s="797">
        <v>-307</v>
      </c>
      <c r="AE203" s="52"/>
      <c r="AF203" s="52"/>
      <c r="AG203" s="52"/>
      <c r="AH203" s="52"/>
      <c r="AI203" s="52"/>
      <c r="AJ203" s="52"/>
      <c r="AK203" s="52"/>
      <c r="AL203" s="52"/>
      <c r="AM203" s="52"/>
      <c r="AN203" s="52"/>
      <c r="AO203" s="52"/>
      <c r="AP203" s="1"/>
      <c r="AQ203" s="1"/>
      <c r="AR203" s="1"/>
      <c r="AS203" s="1"/>
      <c r="AT203" s="1"/>
      <c r="AU203" s="1"/>
      <c r="AV203" s="1"/>
      <c r="AW203" s="1"/>
      <c r="AX203" s="1"/>
      <c r="AY203" s="1"/>
      <c r="AZ203" s="1"/>
      <c r="BA203" s="1"/>
      <c r="BB203" s="1"/>
      <c r="BC203" s="1"/>
    </row>
    <row r="204" spans="1:55">
      <c r="A204" s="641" t="s">
        <v>651</v>
      </c>
      <c r="B204" s="365">
        <f t="shared" ref="B204:K204" si="146">B86</f>
        <v>-576</v>
      </c>
      <c r="C204" s="101">
        <f t="shared" si="146"/>
        <v>-671</v>
      </c>
      <c r="D204" s="101">
        <f t="shared" si="146"/>
        <v>-625</v>
      </c>
      <c r="E204" s="101">
        <f t="shared" si="146"/>
        <v>-642</v>
      </c>
      <c r="F204" s="99">
        <f t="shared" si="146"/>
        <v>-676</v>
      </c>
      <c r="G204" s="456">
        <f t="shared" si="146"/>
        <v>-676</v>
      </c>
      <c r="H204" s="456">
        <f t="shared" si="146"/>
        <v>-676</v>
      </c>
      <c r="I204" s="456">
        <f t="shared" si="146"/>
        <v>-676</v>
      </c>
      <c r="J204" s="456">
        <f t="shared" si="146"/>
        <v>-676</v>
      </c>
      <c r="K204" s="799">
        <f t="shared" si="146"/>
        <v>-676</v>
      </c>
      <c r="L204" s="52"/>
      <c r="M204" s="52"/>
      <c r="N204" s="52"/>
      <c r="O204" s="52"/>
      <c r="P204" s="52"/>
      <c r="Q204" s="52"/>
      <c r="R204" s="52"/>
      <c r="S204" s="52"/>
      <c r="T204" s="641" t="s">
        <v>651</v>
      </c>
      <c r="U204" s="101">
        <f t="shared" si="145"/>
        <v>-576</v>
      </c>
      <c r="V204" s="101">
        <f t="shared" si="143"/>
        <v>-671</v>
      </c>
      <c r="W204" s="101">
        <f t="shared" si="143"/>
        <v>-625</v>
      </c>
      <c r="X204" s="101">
        <f t="shared" si="143"/>
        <v>-642</v>
      </c>
      <c r="Y204" s="99">
        <f t="shared" si="143"/>
        <v>-676</v>
      </c>
      <c r="Z204" s="456">
        <v>-676</v>
      </c>
      <c r="AA204" s="456">
        <v>-676</v>
      </c>
      <c r="AB204" s="456">
        <v>-676</v>
      </c>
      <c r="AC204" s="456">
        <v>-676</v>
      </c>
      <c r="AD204" s="799">
        <v>-676</v>
      </c>
      <c r="AE204" s="52"/>
      <c r="AF204" s="52"/>
      <c r="AG204" s="52"/>
      <c r="AH204" s="52"/>
      <c r="AI204" s="52"/>
      <c r="AJ204" s="52"/>
      <c r="AK204" s="52"/>
      <c r="AL204" s="52"/>
      <c r="AM204" s="52"/>
      <c r="AN204" s="52"/>
      <c r="AO204" s="52"/>
      <c r="AP204" s="1"/>
      <c r="AQ204" s="1"/>
      <c r="AR204" s="1"/>
      <c r="AS204" s="1"/>
      <c r="AT204" s="1"/>
      <c r="AU204" s="1"/>
      <c r="AV204" s="1"/>
      <c r="AW204" s="1"/>
      <c r="AX204" s="1"/>
      <c r="AY204" s="1"/>
      <c r="AZ204" s="1"/>
      <c r="BA204" s="1"/>
      <c r="BB204" s="1"/>
      <c r="BC204" s="1"/>
    </row>
    <row r="205" spans="1:55">
      <c r="A205" s="637" t="s">
        <v>652</v>
      </c>
      <c r="B205" s="100">
        <f>B191+B200+B202+B203+B204</f>
        <v>6404</v>
      </c>
      <c r="C205" s="100">
        <f t="shared" ref="C205:F205" si="147">C191+C200+C202+C203+C204</f>
        <v>6672</v>
      </c>
      <c r="D205" s="100">
        <f t="shared" si="147"/>
        <v>6260</v>
      </c>
      <c r="E205" s="100">
        <f t="shared" si="147"/>
        <v>6577</v>
      </c>
      <c r="F205" s="432">
        <f t="shared" si="147"/>
        <v>6828</v>
      </c>
      <c r="G205" s="638">
        <f>G191+G200+G202+G203+G204</f>
        <v>7114.1202608467602</v>
      </c>
      <c r="H205" s="638">
        <f t="shared" ref="H205:K205" si="148">H191+H200+H202+H203+H204</f>
        <v>7396.0928227753648</v>
      </c>
      <c r="I205" s="638">
        <f t="shared" si="148"/>
        <v>7674.4175522603218</v>
      </c>
      <c r="J205" s="638">
        <f t="shared" si="148"/>
        <v>7949.562759239956</v>
      </c>
      <c r="K205" s="796">
        <f t="shared" si="148"/>
        <v>8221.2254607803879</v>
      </c>
      <c r="L205" s="100"/>
      <c r="M205" s="52"/>
      <c r="N205" s="52"/>
      <c r="O205" s="52"/>
      <c r="P205" s="52"/>
      <c r="Q205" s="52"/>
      <c r="R205" s="52"/>
      <c r="S205" s="52"/>
      <c r="T205" s="637" t="s">
        <v>652</v>
      </c>
      <c r="U205" s="100">
        <f>U191+U200+U202+U203+U204</f>
        <v>6404</v>
      </c>
      <c r="V205" s="100">
        <f t="shared" ref="V205:Y205" si="149">V191+V200+V202+V203+V204</f>
        <v>6672</v>
      </c>
      <c r="W205" s="100">
        <f t="shared" si="149"/>
        <v>6260</v>
      </c>
      <c r="X205" s="100">
        <f t="shared" si="149"/>
        <v>6577</v>
      </c>
      <c r="Y205" s="432">
        <f t="shared" si="149"/>
        <v>6828</v>
      </c>
      <c r="Z205" s="638">
        <v>7175.5642065389402</v>
      </c>
      <c r="AA205" s="638">
        <v>7499.0552773953004</v>
      </c>
      <c r="AB205" s="638">
        <v>7799.8411348838981</v>
      </c>
      <c r="AC205" s="638">
        <v>8079.3697673519891</v>
      </c>
      <c r="AD205" s="796">
        <v>8338.0852450659004</v>
      </c>
      <c r="AE205" s="52"/>
      <c r="AF205" s="52"/>
      <c r="AG205" s="52"/>
      <c r="AH205" s="52"/>
      <c r="AI205" s="52"/>
      <c r="AJ205" s="52"/>
      <c r="AK205" s="52"/>
      <c r="AL205" s="52"/>
      <c r="AM205" s="52"/>
      <c r="AN205" s="52"/>
      <c r="AO205" s="52"/>
      <c r="AP205" s="1"/>
      <c r="AQ205" s="1"/>
      <c r="AR205" s="1"/>
      <c r="AS205" s="1"/>
      <c r="AT205" s="1"/>
      <c r="AU205" s="1"/>
      <c r="AV205" s="1"/>
      <c r="AW205" s="1"/>
      <c r="AX205" s="1"/>
      <c r="AY205" s="1"/>
      <c r="AZ205" s="1"/>
      <c r="BA205" s="1"/>
      <c r="BB205" s="1"/>
      <c r="BC205" s="1"/>
    </row>
    <row r="206" spans="1:55">
      <c r="A206" s="452"/>
      <c r="B206" s="52"/>
      <c r="C206" s="52"/>
      <c r="D206" s="52"/>
      <c r="E206" s="52"/>
      <c r="F206" s="360"/>
      <c r="G206" s="639"/>
      <c r="H206" s="639"/>
      <c r="I206" s="639"/>
      <c r="J206" s="639"/>
      <c r="K206" s="797"/>
      <c r="L206" s="52"/>
      <c r="M206" s="361"/>
      <c r="N206" s="361"/>
      <c r="O206" s="361"/>
      <c r="P206" s="361"/>
      <c r="Q206" s="361"/>
      <c r="R206" s="361"/>
      <c r="S206" s="361"/>
      <c r="T206" s="452"/>
      <c r="U206" s="52"/>
      <c r="V206" s="52"/>
      <c r="W206" s="52"/>
      <c r="X206" s="52"/>
      <c r="Y206" s="360"/>
      <c r="Z206" s="639"/>
      <c r="AA206" s="639"/>
      <c r="AB206" s="639"/>
      <c r="AC206" s="639"/>
      <c r="AD206" s="797"/>
      <c r="AE206" s="52"/>
      <c r="AF206" s="52"/>
      <c r="AG206" s="52"/>
      <c r="AH206" s="52"/>
      <c r="AI206" s="52"/>
      <c r="AJ206" s="52"/>
      <c r="AK206" s="52"/>
      <c r="AL206" s="52"/>
      <c r="AM206" s="52"/>
      <c r="AN206" s="52"/>
      <c r="AO206" s="52"/>
      <c r="AP206" s="1"/>
      <c r="AQ206" s="1"/>
      <c r="AR206" s="1"/>
      <c r="AS206" s="1"/>
      <c r="AT206" s="1"/>
      <c r="AU206" s="1"/>
      <c r="AV206" s="1"/>
      <c r="AW206" s="1"/>
      <c r="AX206" s="1"/>
      <c r="AY206" s="1"/>
      <c r="AZ206" s="1"/>
      <c r="BA206" s="1"/>
      <c r="BB206" s="1"/>
      <c r="BC206" s="1"/>
    </row>
    <row r="207" spans="1:55">
      <c r="A207" s="640" t="s">
        <v>338</v>
      </c>
      <c r="B207" s="366">
        <f>'Reorganised Statements'!C35</f>
        <v>-3259</v>
      </c>
      <c r="C207" s="366">
        <f>'Reorganised Statements'!D35</f>
        <v>-3279</v>
      </c>
      <c r="D207" s="366">
        <f>'Reorganised Statements'!E35</f>
        <v>-3013</v>
      </c>
      <c r="E207" s="366">
        <f>'Reorganised Statements'!F35</f>
        <v>-3523</v>
      </c>
      <c r="F207" s="431">
        <f>'Reorganised Statements'!G35</f>
        <v>-3651</v>
      </c>
      <c r="G207" s="489">
        <f>-G147</f>
        <v>-3786.9434454205243</v>
      </c>
      <c r="H207" s="489">
        <f>-H147</f>
        <v>-3941.1384882434118</v>
      </c>
      <c r="I207" s="489">
        <f>-I147</f>
        <v>-4128.7701167236673</v>
      </c>
      <c r="J207" s="489">
        <f>-J147</f>
        <v>-4358.511267488414</v>
      </c>
      <c r="K207" s="798">
        <f>-K147</f>
        <v>-4627.383372678979</v>
      </c>
      <c r="L207" s="100"/>
      <c r="M207" s="361"/>
      <c r="N207" s="361"/>
      <c r="O207" s="361"/>
      <c r="P207" s="361"/>
      <c r="Q207" s="361"/>
      <c r="R207" s="361"/>
      <c r="S207" s="361"/>
      <c r="T207" s="640" t="s">
        <v>338</v>
      </c>
      <c r="U207" s="366">
        <f>B207</f>
        <v>-3259</v>
      </c>
      <c r="V207" s="366">
        <f t="shared" ref="V207:Y207" si="150">C207</f>
        <v>-3279</v>
      </c>
      <c r="W207" s="366">
        <f t="shared" si="150"/>
        <v>-3013</v>
      </c>
      <c r="X207" s="366">
        <f t="shared" si="150"/>
        <v>-3523</v>
      </c>
      <c r="Y207" s="431">
        <f t="shared" si="150"/>
        <v>-3651</v>
      </c>
      <c r="Z207" s="489">
        <v>-3786.9434454205243</v>
      </c>
      <c r="AA207" s="489">
        <v>-3941.1384882434118</v>
      </c>
      <c r="AB207" s="489">
        <v>-4128.7701167236673</v>
      </c>
      <c r="AC207" s="489">
        <v>-4358.511267488414</v>
      </c>
      <c r="AD207" s="798">
        <v>-4627.383372678979</v>
      </c>
      <c r="AE207" s="52"/>
      <c r="AF207" s="52"/>
      <c r="AG207" s="52"/>
      <c r="AH207" s="52"/>
      <c r="AI207" s="52"/>
      <c r="AJ207" s="52"/>
      <c r="AK207" s="52"/>
      <c r="AL207" s="52"/>
      <c r="AM207" s="52"/>
      <c r="AN207" s="52"/>
      <c r="AO207" s="52"/>
      <c r="AP207" s="1"/>
      <c r="AQ207" s="1"/>
      <c r="AR207" s="1"/>
      <c r="AS207" s="1"/>
      <c r="AT207" s="1"/>
      <c r="AU207" s="1"/>
      <c r="AV207" s="1"/>
      <c r="AW207" s="1"/>
      <c r="AX207" s="1"/>
      <c r="AY207" s="1"/>
      <c r="AZ207" s="1"/>
      <c r="BA207" s="1"/>
      <c r="BB207" s="1"/>
      <c r="BC207" s="1"/>
    </row>
    <row r="208" spans="1:55">
      <c r="A208" s="452"/>
      <c r="B208" s="52"/>
      <c r="C208" s="52"/>
      <c r="D208" s="52"/>
      <c r="E208" s="52"/>
      <c r="F208" s="360"/>
      <c r="G208" s="639"/>
      <c r="H208" s="639"/>
      <c r="I208" s="639"/>
      <c r="J208" s="639"/>
      <c r="K208" s="797"/>
      <c r="L208" s="52"/>
      <c r="M208" s="594"/>
      <c r="N208" s="594"/>
      <c r="O208" s="594"/>
      <c r="P208" s="594"/>
      <c r="Q208" s="594"/>
      <c r="R208" s="594"/>
      <c r="S208" s="594"/>
      <c r="T208" s="452"/>
      <c r="U208" s="52"/>
      <c r="V208" s="52"/>
      <c r="W208" s="52"/>
      <c r="X208" s="52"/>
      <c r="Y208" s="360"/>
      <c r="Z208" s="639"/>
      <c r="AA208" s="639"/>
      <c r="AB208" s="639"/>
      <c r="AC208" s="639"/>
      <c r="AD208" s="797"/>
      <c r="AE208" s="52"/>
      <c r="AF208" s="52"/>
      <c r="AG208" s="52"/>
      <c r="AH208" s="52"/>
      <c r="AI208" s="52"/>
      <c r="AJ208" s="52"/>
      <c r="AK208" s="52"/>
      <c r="AL208" s="52"/>
      <c r="AM208" s="52"/>
      <c r="AN208" s="52"/>
      <c r="AO208" s="52"/>
      <c r="AP208" s="1"/>
      <c r="AQ208" s="1"/>
      <c r="AR208" s="1"/>
      <c r="AS208" s="1"/>
      <c r="AT208" s="1"/>
      <c r="AU208" s="1"/>
      <c r="AV208" s="1"/>
      <c r="AW208" s="1"/>
      <c r="AX208" s="1"/>
      <c r="AY208" s="1"/>
      <c r="AZ208" s="1"/>
      <c r="BA208" s="1"/>
      <c r="BB208" s="1"/>
      <c r="BC208" s="1"/>
    </row>
    <row r="209" spans="1:55">
      <c r="A209" s="452" t="s">
        <v>653</v>
      </c>
      <c r="B209" s="639">
        <f t="shared" ref="B209:K209" si="151">B99</f>
        <v>-3781</v>
      </c>
      <c r="C209" s="639">
        <f t="shared" si="151"/>
        <v>-3795</v>
      </c>
      <c r="D209" s="639">
        <f t="shared" si="151"/>
        <v>-3938</v>
      </c>
      <c r="E209" s="639">
        <f t="shared" si="151"/>
        <v>-3678</v>
      </c>
      <c r="F209" s="469">
        <f t="shared" si="151"/>
        <v>-3611</v>
      </c>
      <c r="G209" s="639">
        <f t="shared" si="151"/>
        <v>-3851.4393811435498</v>
      </c>
      <c r="H209" s="639">
        <f t="shared" si="151"/>
        <v>-3978.5442191171983</v>
      </c>
      <c r="I209" s="639">
        <f t="shared" si="151"/>
        <v>-4109.8437589250243</v>
      </c>
      <c r="J209" s="639">
        <f t="shared" si="151"/>
        <v>-4245.4764337199913</v>
      </c>
      <c r="K209" s="797">
        <f t="shared" si="151"/>
        <v>-4388.8739353367855</v>
      </c>
      <c r="L209" s="52"/>
      <c r="M209" s="594"/>
      <c r="N209" s="594"/>
      <c r="O209" s="594"/>
      <c r="P209" s="594"/>
      <c r="Q209" s="594"/>
      <c r="R209" s="594"/>
      <c r="S209" s="594"/>
      <c r="T209" s="452" t="s">
        <v>653</v>
      </c>
      <c r="U209" s="639">
        <f>B209</f>
        <v>-3781</v>
      </c>
      <c r="V209" s="639">
        <f t="shared" ref="V209:Y210" si="152">C209</f>
        <v>-3795</v>
      </c>
      <c r="W209" s="639">
        <f t="shared" si="152"/>
        <v>-3938</v>
      </c>
      <c r="X209" s="639">
        <f t="shared" si="152"/>
        <v>-3678</v>
      </c>
      <c r="Y209" s="469">
        <f t="shared" si="152"/>
        <v>-3611</v>
      </c>
      <c r="Z209" s="639">
        <v>-3851.4393811435498</v>
      </c>
      <c r="AA209" s="639">
        <v>-3978.5442191171983</v>
      </c>
      <c r="AB209" s="639">
        <v>-4109.8437589250243</v>
      </c>
      <c r="AC209" s="639">
        <v>-4245.4764337199913</v>
      </c>
      <c r="AD209" s="797">
        <v>-4388.8739353367855</v>
      </c>
      <c r="AE209" s="52"/>
      <c r="AF209" s="52"/>
      <c r="AG209" s="52"/>
      <c r="AH209" s="52"/>
      <c r="AI209" s="52"/>
      <c r="AJ209" s="52"/>
      <c r="AK209" s="52"/>
      <c r="AL209" s="52"/>
      <c r="AM209" s="52"/>
      <c r="AN209" s="52"/>
      <c r="AO209" s="52"/>
      <c r="AP209" s="1"/>
      <c r="AQ209" s="1"/>
      <c r="AR209" s="1"/>
      <c r="AS209" s="1"/>
      <c r="AT209" s="1"/>
      <c r="AU209" s="1"/>
      <c r="AV209" s="1"/>
      <c r="AW209" s="1"/>
      <c r="AX209" s="1"/>
      <c r="AY209" s="1"/>
      <c r="AZ209" s="1"/>
      <c r="BA209" s="1"/>
      <c r="BB209" s="1"/>
      <c r="BC209" s="1"/>
    </row>
    <row r="210" spans="1:55">
      <c r="A210" s="641" t="s">
        <v>654</v>
      </c>
      <c r="B210" s="101">
        <f>'Reorganised Statements'!C41</f>
        <v>636</v>
      </c>
      <c r="C210" s="101">
        <f>'Reorganised Statements'!D41</f>
        <v>402</v>
      </c>
      <c r="D210" s="101">
        <f>'Reorganised Statements'!E41</f>
        <v>691</v>
      </c>
      <c r="E210" s="101">
        <f>'Reorganised Statements'!F41</f>
        <v>624</v>
      </c>
      <c r="F210" s="99">
        <f>'Reorganised Statements'!G41</f>
        <v>434</v>
      </c>
      <c r="G210" s="456">
        <f>G252</f>
        <v>524.26256571731392</v>
      </c>
      <c r="H210" s="456">
        <f t="shared" ref="H210:K210" si="153">H252</f>
        <v>523.58988458524345</v>
      </c>
      <c r="I210" s="456">
        <f t="shared" si="153"/>
        <v>564.19632338836846</v>
      </c>
      <c r="J210" s="456">
        <f t="shared" si="153"/>
        <v>654.4249419684478</v>
      </c>
      <c r="K210" s="799">
        <f t="shared" si="153"/>
        <v>795.03184723537606</v>
      </c>
      <c r="L210" s="52"/>
      <c r="M210" s="52"/>
      <c r="N210" s="52"/>
      <c r="O210" s="52"/>
      <c r="P210" s="52"/>
      <c r="Q210" s="52"/>
      <c r="R210" s="52"/>
      <c r="S210" s="52"/>
      <c r="T210" s="641" t="s">
        <v>654</v>
      </c>
      <c r="U210" s="101">
        <f>B210</f>
        <v>636</v>
      </c>
      <c r="V210" s="101">
        <f t="shared" si="152"/>
        <v>402</v>
      </c>
      <c r="W210" s="101">
        <f t="shared" si="152"/>
        <v>691</v>
      </c>
      <c r="X210" s="101">
        <f t="shared" si="152"/>
        <v>624</v>
      </c>
      <c r="Y210" s="99">
        <f t="shared" si="152"/>
        <v>434</v>
      </c>
      <c r="Z210" s="456">
        <v>463.22581692270336</v>
      </c>
      <c r="AA210" s="456">
        <v>421.36265672502634</v>
      </c>
      <c r="AB210" s="456">
        <v>439.63200911969892</v>
      </c>
      <c r="AC210" s="456">
        <v>525.34169999140954</v>
      </c>
      <c r="AD210" s="799">
        <v>678.56445154004837</v>
      </c>
      <c r="AE210" s="52"/>
      <c r="AF210" s="52"/>
      <c r="AG210" s="52"/>
      <c r="AH210" s="52"/>
      <c r="AI210" s="52"/>
      <c r="AJ210" s="52"/>
      <c r="AK210" s="52"/>
      <c r="AL210" s="52"/>
      <c r="AM210" s="52"/>
      <c r="AN210" s="52"/>
      <c r="AO210" s="52"/>
      <c r="AP210" s="1"/>
      <c r="AQ210" s="1"/>
      <c r="AR210" s="1"/>
      <c r="AS210" s="1"/>
      <c r="AT210" s="1"/>
      <c r="AU210" s="1"/>
      <c r="AV210" s="1"/>
      <c r="AW210" s="1"/>
      <c r="AX210" s="1"/>
      <c r="AY210" s="1"/>
      <c r="AZ210" s="1"/>
      <c r="BA210" s="1"/>
      <c r="BB210" s="1"/>
      <c r="BC210" s="1"/>
    </row>
    <row r="211" spans="1:55">
      <c r="A211" s="637" t="s">
        <v>655</v>
      </c>
      <c r="B211" s="100">
        <f t="shared" ref="B211:G211" si="154">B209+B210</f>
        <v>-3145</v>
      </c>
      <c r="C211" s="100">
        <f t="shared" si="154"/>
        <v>-3393</v>
      </c>
      <c r="D211" s="100">
        <f t="shared" si="154"/>
        <v>-3247</v>
      </c>
      <c r="E211" s="100">
        <f t="shared" si="154"/>
        <v>-3054</v>
      </c>
      <c r="F211" s="432">
        <f t="shared" si="154"/>
        <v>-3177</v>
      </c>
      <c r="G211" s="638">
        <f t="shared" si="154"/>
        <v>-3327.1768154262359</v>
      </c>
      <c r="H211" s="638">
        <f t="shared" ref="H211:K211" si="155">H209+H210</f>
        <v>-3454.9543345319548</v>
      </c>
      <c r="I211" s="638">
        <f t="shared" si="155"/>
        <v>-3545.6474355366558</v>
      </c>
      <c r="J211" s="638">
        <f t="shared" si="155"/>
        <v>-3591.0514917515434</v>
      </c>
      <c r="K211" s="796">
        <f t="shared" si="155"/>
        <v>-3593.8420881014094</v>
      </c>
      <c r="L211" s="100"/>
      <c r="M211" s="52"/>
      <c r="N211" s="52"/>
      <c r="O211" s="594"/>
      <c r="P211" s="52"/>
      <c r="Q211" s="52"/>
      <c r="R211" s="52"/>
      <c r="S211" s="52"/>
      <c r="T211" s="637" t="s">
        <v>655</v>
      </c>
      <c r="U211" s="100">
        <f t="shared" ref="U211:Y211" si="156">U209+U210</f>
        <v>-3145</v>
      </c>
      <c r="V211" s="100">
        <f t="shared" si="156"/>
        <v>-3393</v>
      </c>
      <c r="W211" s="100">
        <f t="shared" si="156"/>
        <v>-3247</v>
      </c>
      <c r="X211" s="100">
        <f t="shared" si="156"/>
        <v>-3054</v>
      </c>
      <c r="Y211" s="432">
        <f t="shared" si="156"/>
        <v>-3177</v>
      </c>
      <c r="Z211" s="638">
        <v>-3388.2135642208464</v>
      </c>
      <c r="AA211" s="638">
        <v>-3557.1815623921721</v>
      </c>
      <c r="AB211" s="638">
        <v>-3670.2117498053253</v>
      </c>
      <c r="AC211" s="638">
        <v>-3720.1347337285815</v>
      </c>
      <c r="AD211" s="796">
        <v>-3710.3094837967374</v>
      </c>
      <c r="AE211" s="52"/>
      <c r="AF211" s="52"/>
      <c r="AG211" s="52"/>
      <c r="AH211" s="52"/>
      <c r="AI211" s="52"/>
      <c r="AJ211" s="52"/>
      <c r="AK211" s="52"/>
      <c r="AL211" s="52"/>
      <c r="AM211" s="52"/>
      <c r="AN211" s="52"/>
      <c r="AO211" s="52"/>
      <c r="AP211" s="1"/>
      <c r="AQ211" s="1"/>
      <c r="AR211" s="1"/>
      <c r="AS211" s="1"/>
      <c r="AT211" s="1"/>
      <c r="AU211" s="1"/>
      <c r="AV211" s="1"/>
      <c r="AW211" s="1"/>
      <c r="AX211" s="1"/>
      <c r="AY211" s="1"/>
      <c r="AZ211" s="1"/>
      <c r="BA211" s="1"/>
      <c r="BB211" s="1"/>
      <c r="BC211" s="1"/>
    </row>
    <row r="212" spans="1:55">
      <c r="A212" s="452"/>
      <c r="B212" s="52"/>
      <c r="C212" s="52"/>
      <c r="D212" s="52"/>
      <c r="E212" s="52"/>
      <c r="F212" s="360"/>
      <c r="G212" s="639"/>
      <c r="H212" s="639"/>
      <c r="I212" s="639"/>
      <c r="J212" s="639"/>
      <c r="K212" s="797"/>
      <c r="L212" s="52"/>
      <c r="M212" s="52"/>
      <c r="N212" s="52"/>
      <c r="O212" s="52"/>
      <c r="P212" s="52"/>
      <c r="Q212" s="52"/>
      <c r="R212" s="52"/>
      <c r="S212" s="52"/>
      <c r="T212" s="452"/>
      <c r="U212" s="52"/>
      <c r="V212" s="52"/>
      <c r="W212" s="52"/>
      <c r="X212" s="52"/>
      <c r="Y212" s="360"/>
      <c r="Z212" s="639"/>
      <c r="AA212" s="639"/>
      <c r="AB212" s="639"/>
      <c r="AC212" s="639"/>
      <c r="AD212" s="797"/>
      <c r="AE212" s="52"/>
      <c r="AF212" s="52"/>
      <c r="AG212" s="52"/>
      <c r="AH212" s="52"/>
      <c r="AI212" s="52"/>
      <c r="AJ212" s="52"/>
      <c r="AK212" s="52"/>
      <c r="AL212" s="52"/>
      <c r="AM212" s="52"/>
      <c r="AN212" s="52"/>
      <c r="AO212" s="52"/>
      <c r="AP212" s="1"/>
      <c r="AQ212" s="1"/>
      <c r="AR212" s="1"/>
      <c r="AS212" s="1"/>
      <c r="AT212" s="1"/>
      <c r="AU212" s="1"/>
      <c r="AV212" s="1"/>
      <c r="AW212" s="1"/>
      <c r="AX212" s="1"/>
      <c r="AY212" s="1"/>
      <c r="AZ212" s="1"/>
      <c r="BA212" s="1"/>
      <c r="BB212" s="1"/>
      <c r="BC212" s="1"/>
    </row>
    <row r="213" spans="1:55" ht="15" thickBot="1">
      <c r="A213" s="652" t="s">
        <v>656</v>
      </c>
      <c r="B213" s="653">
        <f>B207+B211</f>
        <v>-6404</v>
      </c>
      <c r="C213" s="653">
        <f t="shared" ref="C213:F213" si="157">C207+C211</f>
        <v>-6672</v>
      </c>
      <c r="D213" s="653">
        <f t="shared" si="157"/>
        <v>-6260</v>
      </c>
      <c r="E213" s="653">
        <f t="shared" si="157"/>
        <v>-6577</v>
      </c>
      <c r="F213" s="654">
        <f t="shared" si="157"/>
        <v>-6828</v>
      </c>
      <c r="G213" s="783">
        <f>G207+G211</f>
        <v>-7114.1202608467602</v>
      </c>
      <c r="H213" s="783">
        <f t="shared" ref="H213:K213" si="158">H207+H211</f>
        <v>-7396.0928227753666</v>
      </c>
      <c r="I213" s="783">
        <f t="shared" si="158"/>
        <v>-7674.4175522603236</v>
      </c>
      <c r="J213" s="783">
        <f t="shared" si="158"/>
        <v>-7949.5627592399578</v>
      </c>
      <c r="K213" s="801">
        <f t="shared" si="158"/>
        <v>-8221.2254607803879</v>
      </c>
      <c r="L213" s="52"/>
      <c r="M213" s="52"/>
      <c r="N213" s="52"/>
      <c r="O213" s="52"/>
      <c r="P213" s="52"/>
      <c r="Q213" s="52"/>
      <c r="R213" s="52"/>
      <c r="S213" s="52"/>
      <c r="T213" s="652" t="s">
        <v>656</v>
      </c>
      <c r="U213" s="653">
        <f>U207+U211</f>
        <v>-6404</v>
      </c>
      <c r="V213" s="653">
        <f t="shared" ref="V213:Y213" si="159">V207+V211</f>
        <v>-6672</v>
      </c>
      <c r="W213" s="653">
        <f t="shared" si="159"/>
        <v>-6260</v>
      </c>
      <c r="X213" s="653">
        <f t="shared" si="159"/>
        <v>-6577</v>
      </c>
      <c r="Y213" s="654">
        <f t="shared" si="159"/>
        <v>-6828</v>
      </c>
      <c r="Z213" s="783">
        <v>-7175.1570096413707</v>
      </c>
      <c r="AA213" s="783">
        <v>-7498.3200506355843</v>
      </c>
      <c r="AB213" s="783">
        <v>-7798.9818665289931</v>
      </c>
      <c r="AC213" s="783">
        <v>-8078.6460012169955</v>
      </c>
      <c r="AD213" s="801">
        <v>-8337.6928564757163</v>
      </c>
      <c r="AE213" s="52"/>
      <c r="AF213" s="52"/>
      <c r="AG213" s="52"/>
      <c r="AH213" s="52"/>
      <c r="AI213" s="52"/>
      <c r="AJ213" s="52"/>
      <c r="AK213" s="52"/>
      <c r="AL213" s="52"/>
      <c r="AM213" s="52"/>
      <c r="AN213" s="52"/>
      <c r="AO213" s="52"/>
      <c r="AP213" s="1"/>
      <c r="AQ213" s="1"/>
      <c r="AR213" s="1"/>
      <c r="AS213" s="1"/>
      <c r="AT213" s="1"/>
      <c r="AU213" s="1"/>
      <c r="AV213" s="1"/>
      <c r="AW213" s="1"/>
      <c r="AX213" s="1"/>
      <c r="AY213" s="1"/>
      <c r="AZ213" s="1"/>
      <c r="BA213" s="1"/>
      <c r="BB213" s="1"/>
      <c r="BC213" s="1"/>
    </row>
    <row r="214" spans="1:5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778"/>
      <c r="AB214" s="778"/>
      <c r="AC214" s="779"/>
      <c r="AD214" s="779"/>
      <c r="AE214" s="52"/>
      <c r="AF214" s="52"/>
      <c r="AG214" s="52"/>
      <c r="AH214" s="52"/>
      <c r="AI214" s="52"/>
      <c r="AJ214" s="52"/>
      <c r="AK214" s="52"/>
      <c r="AL214" s="52"/>
      <c r="AM214" s="52"/>
      <c r="AN214" s="52"/>
      <c r="AO214" s="52"/>
      <c r="AP214" s="1"/>
      <c r="AQ214" s="1"/>
      <c r="AR214" s="1"/>
      <c r="AS214" s="1"/>
      <c r="AT214" s="1"/>
      <c r="AU214" s="1"/>
      <c r="AV214" s="1"/>
      <c r="AW214" s="1"/>
      <c r="AX214" s="1"/>
      <c r="AY214" s="1"/>
      <c r="AZ214" s="1"/>
      <c r="BA214" s="1"/>
      <c r="BB214" s="1"/>
      <c r="BC214" s="1"/>
    </row>
    <row r="215" spans="1:55" ht="15" thickBot="1">
      <c r="A215" s="52"/>
      <c r="B215" s="52"/>
      <c r="C215" s="593"/>
      <c r="D215" s="593"/>
      <c r="E215" s="593"/>
      <c r="F215" s="593"/>
      <c r="G215" s="593"/>
      <c r="H215" s="593"/>
      <c r="I215" s="593"/>
      <c r="J215" s="593"/>
      <c r="K215" s="593"/>
      <c r="L215" s="52"/>
      <c r="M215" s="52"/>
      <c r="N215" s="52"/>
      <c r="O215" s="52"/>
      <c r="P215" s="52"/>
      <c r="Q215" s="52"/>
      <c r="R215" s="52"/>
      <c r="S215" s="52"/>
      <c r="T215" s="52"/>
      <c r="U215" s="52"/>
      <c r="V215" s="52"/>
      <c r="W215" s="52"/>
      <c r="X215" s="52"/>
      <c r="Y215" s="52"/>
      <c r="Z215" s="52"/>
      <c r="AA215" s="780"/>
      <c r="AB215" s="780"/>
      <c r="AC215" s="779"/>
      <c r="AD215" s="779"/>
      <c r="AE215" s="52"/>
      <c r="AF215" s="52"/>
      <c r="AG215" s="52"/>
      <c r="AH215" s="52"/>
      <c r="AI215" s="52"/>
      <c r="AJ215" s="52"/>
      <c r="AK215" s="52"/>
      <c r="AL215" s="52"/>
      <c r="AM215" s="52"/>
      <c r="AN215" s="52"/>
      <c r="AO215" s="52"/>
      <c r="AP215" s="1"/>
      <c r="AQ215" s="1"/>
      <c r="AR215" s="1"/>
      <c r="AS215" s="1"/>
      <c r="AT215" s="1"/>
      <c r="AU215" s="1"/>
      <c r="AV215" s="1"/>
      <c r="AW215" s="1"/>
      <c r="AX215" s="1"/>
      <c r="AY215" s="1"/>
      <c r="AZ215" s="1"/>
      <c r="BA215" s="1"/>
      <c r="BB215" s="1"/>
      <c r="BC215" s="1"/>
    </row>
    <row r="216" spans="1:55">
      <c r="A216" s="655" t="s">
        <v>657</v>
      </c>
      <c r="B216" s="644"/>
      <c r="C216" s="787"/>
      <c r="D216" s="787"/>
      <c r="E216" s="787"/>
      <c r="F216" s="789"/>
      <c r="G216" s="787" t="s">
        <v>714</v>
      </c>
      <c r="H216" s="787"/>
      <c r="I216" s="787"/>
      <c r="J216" s="787"/>
      <c r="K216" s="788"/>
      <c r="L216" s="361"/>
      <c r="M216" s="361"/>
      <c r="N216" s="361"/>
      <c r="O216" s="361"/>
      <c r="P216" s="361"/>
      <c r="Q216" s="361"/>
      <c r="R216" s="361"/>
      <c r="S216" s="361"/>
      <c r="T216" s="655" t="s">
        <v>657</v>
      </c>
      <c r="U216" s="644"/>
      <c r="V216" s="787"/>
      <c r="W216" s="787"/>
      <c r="X216" s="787"/>
      <c r="Y216" s="789"/>
      <c r="Z216" s="787" t="s">
        <v>714</v>
      </c>
      <c r="AA216" s="787"/>
      <c r="AB216" s="787"/>
      <c r="AC216" s="787"/>
      <c r="AD216" s="788"/>
      <c r="AE216" s="52"/>
      <c r="AF216" s="52"/>
      <c r="AG216" s="52"/>
      <c r="AH216" s="52"/>
      <c r="AI216" s="52"/>
      <c r="AJ216" s="52"/>
      <c r="AK216" s="52"/>
      <c r="AL216" s="52"/>
      <c r="AM216" s="52"/>
      <c r="AN216" s="52"/>
      <c r="AO216" s="52"/>
      <c r="AP216" s="1"/>
      <c r="AQ216" s="1"/>
      <c r="AR216" s="1"/>
      <c r="AS216" s="1"/>
      <c r="AT216" s="1"/>
      <c r="AU216" s="1"/>
      <c r="AV216" s="1"/>
      <c r="AW216" s="1"/>
      <c r="AX216" s="1"/>
      <c r="AY216" s="1"/>
      <c r="AZ216" s="1"/>
      <c r="BA216" s="1"/>
      <c r="BB216" s="1"/>
      <c r="BC216" s="1"/>
    </row>
    <row r="217" spans="1:55" ht="15" thickBot="1">
      <c r="A217" s="651"/>
      <c r="B217" s="647">
        <v>2015</v>
      </c>
      <c r="C217" s="790">
        <v>2016</v>
      </c>
      <c r="D217" s="790">
        <v>2017</v>
      </c>
      <c r="E217" s="790">
        <v>2018</v>
      </c>
      <c r="F217" s="791">
        <v>2019</v>
      </c>
      <c r="G217" s="790">
        <v>2020</v>
      </c>
      <c r="H217" s="790">
        <v>2021</v>
      </c>
      <c r="I217" s="790">
        <v>2022</v>
      </c>
      <c r="J217" s="790">
        <v>2023</v>
      </c>
      <c r="K217" s="802">
        <v>2024</v>
      </c>
      <c r="L217" s="52"/>
      <c r="M217" s="52"/>
      <c r="N217" s="52"/>
      <c r="O217" s="52"/>
      <c r="P217" s="52"/>
      <c r="Q217" s="52"/>
      <c r="R217" s="52"/>
      <c r="S217" s="52"/>
      <c r="T217" s="651"/>
      <c r="U217" s="647">
        <v>2015</v>
      </c>
      <c r="V217" s="790">
        <v>2016</v>
      </c>
      <c r="W217" s="790">
        <v>2017</v>
      </c>
      <c r="X217" s="790">
        <v>2018</v>
      </c>
      <c r="Y217" s="791">
        <v>2019</v>
      </c>
      <c r="Z217" s="790">
        <v>2020</v>
      </c>
      <c r="AA217" s="790">
        <v>2021</v>
      </c>
      <c r="AB217" s="790">
        <v>2022</v>
      </c>
      <c r="AC217" s="790">
        <v>2023</v>
      </c>
      <c r="AD217" s="802">
        <v>2024</v>
      </c>
      <c r="AE217" s="52"/>
      <c r="AF217" s="52"/>
      <c r="AG217" s="52"/>
      <c r="AH217" s="52"/>
      <c r="AI217" s="52"/>
      <c r="AJ217" s="52"/>
      <c r="AK217" s="52"/>
      <c r="AL217" s="52"/>
      <c r="AM217" s="52"/>
      <c r="AN217" s="52"/>
      <c r="AO217" s="52"/>
      <c r="AP217" s="1"/>
      <c r="AQ217" s="1"/>
      <c r="AR217" s="1"/>
      <c r="AS217" s="1"/>
      <c r="AT217" s="1"/>
      <c r="AU217" s="1"/>
      <c r="AV217" s="1"/>
      <c r="AW217" s="1"/>
      <c r="AX217" s="1"/>
      <c r="AY217" s="1"/>
      <c r="AZ217" s="1"/>
      <c r="BA217" s="1"/>
      <c r="BB217" s="1"/>
      <c r="BC217" s="1"/>
    </row>
    <row r="218" spans="1:55">
      <c r="A218" s="452"/>
      <c r="B218" s="52"/>
      <c r="C218" s="52"/>
      <c r="D218" s="52"/>
      <c r="E218" s="52"/>
      <c r="F218" s="430"/>
      <c r="G218" s="52"/>
      <c r="H218" s="52"/>
      <c r="I218" s="52"/>
      <c r="J218" s="52"/>
      <c r="K218" s="275"/>
      <c r="L218" s="52"/>
      <c r="M218" s="52"/>
      <c r="N218" s="52"/>
      <c r="O218" s="52"/>
      <c r="P218" s="52"/>
      <c r="Q218" s="52"/>
      <c r="R218" s="52"/>
      <c r="S218" s="52"/>
      <c r="T218" s="452"/>
      <c r="U218" s="812"/>
      <c r="V218" s="277"/>
      <c r="W218" s="277"/>
      <c r="X218" s="277"/>
      <c r="Y218" s="430"/>
      <c r="Z218" s="52"/>
      <c r="AA218" s="52"/>
      <c r="AB218" s="52"/>
      <c r="AC218" s="52"/>
      <c r="AD218" s="275"/>
      <c r="AE218" s="52"/>
      <c r="AF218" s="52"/>
      <c r="AG218" s="52"/>
      <c r="AH218" s="52"/>
      <c r="AI218" s="52"/>
      <c r="AJ218" s="52"/>
      <c r="AK218" s="52"/>
      <c r="AL218" s="52"/>
      <c r="AM218" s="52"/>
      <c r="AN218" s="52"/>
      <c r="AO218" s="52"/>
      <c r="AP218" s="1"/>
      <c r="AQ218" s="1"/>
      <c r="AR218" s="1"/>
      <c r="AS218" s="1"/>
      <c r="AT218" s="1"/>
      <c r="AU218" s="1"/>
      <c r="AV218" s="1"/>
      <c r="AW218" s="1"/>
      <c r="AX218" s="1"/>
      <c r="AY218" s="1"/>
      <c r="AZ218" s="1"/>
      <c r="BA218" s="1"/>
      <c r="BB218" s="1"/>
      <c r="BC218" s="1"/>
    </row>
    <row r="219" spans="1:55">
      <c r="A219" s="452" t="s">
        <v>303</v>
      </c>
      <c r="B219" s="52"/>
      <c r="C219" s="639">
        <f t="shared" ref="C219:K219" si="160">C172</f>
        <v>443</v>
      </c>
      <c r="D219" s="639">
        <f t="shared" si="160"/>
        <v>710</v>
      </c>
      <c r="E219" s="639">
        <f t="shared" si="160"/>
        <v>588</v>
      </c>
      <c r="F219" s="469">
        <f t="shared" si="160"/>
        <v>687</v>
      </c>
      <c r="G219" s="639">
        <f t="shared" si="160"/>
        <v>646.49225759199862</v>
      </c>
      <c r="H219" s="639">
        <f t="shared" si="160"/>
        <v>702.43756038992751</v>
      </c>
      <c r="I219" s="639">
        <f t="shared" si="160"/>
        <v>762.86299647697422</v>
      </c>
      <c r="J219" s="639">
        <f t="shared" si="160"/>
        <v>827.97165433180885</v>
      </c>
      <c r="K219" s="797">
        <f t="shared" si="160"/>
        <v>897.9826634711784</v>
      </c>
      <c r="L219" s="52"/>
      <c r="M219" s="52"/>
      <c r="N219" s="52"/>
      <c r="O219" s="52"/>
      <c r="P219" s="52"/>
      <c r="Q219" s="52"/>
      <c r="R219" s="52"/>
      <c r="S219" s="52"/>
      <c r="T219" s="452" t="s">
        <v>303</v>
      </c>
      <c r="U219" s="454"/>
      <c r="V219" s="639">
        <f>C219</f>
        <v>443</v>
      </c>
      <c r="W219" s="639">
        <f t="shared" ref="W219:Y219" si="161">D219</f>
        <v>710</v>
      </c>
      <c r="X219" s="639">
        <f t="shared" si="161"/>
        <v>588</v>
      </c>
      <c r="Y219" s="469">
        <f t="shared" si="161"/>
        <v>687</v>
      </c>
      <c r="Z219" s="639">
        <v>707.93620328417876</v>
      </c>
      <c r="AA219" s="639">
        <v>743.95606931768202</v>
      </c>
      <c r="AB219" s="639">
        <v>785.324124480617</v>
      </c>
      <c r="AC219" s="639">
        <v>832.35507982026468</v>
      </c>
      <c r="AD219" s="797">
        <v>885.03543964465916</v>
      </c>
      <c r="AE219" s="52"/>
      <c r="AF219" s="52"/>
      <c r="AG219" s="52"/>
      <c r="AH219" s="52"/>
      <c r="AI219" s="52"/>
      <c r="AJ219" s="52"/>
      <c r="AK219" s="52"/>
      <c r="AL219" s="52"/>
      <c r="AM219" s="52"/>
      <c r="AN219" s="52"/>
      <c r="AO219" s="52"/>
      <c r="AP219" s="1"/>
      <c r="AQ219" s="1"/>
      <c r="AR219" s="1"/>
      <c r="AS219" s="1"/>
      <c r="AT219" s="1"/>
      <c r="AU219" s="1"/>
      <c r="AV219" s="1"/>
      <c r="AW219" s="1"/>
      <c r="AX219" s="1"/>
      <c r="AY219" s="1"/>
      <c r="AZ219" s="1"/>
      <c r="BA219" s="1"/>
      <c r="BB219" s="1"/>
      <c r="BC219" s="1"/>
    </row>
    <row r="220" spans="1:55">
      <c r="A220" s="803" t="s">
        <v>252</v>
      </c>
      <c r="B220" s="52"/>
      <c r="C220" s="639">
        <f t="shared" ref="C220:K220" si="162">C178</f>
        <v>-122</v>
      </c>
      <c r="D220" s="639">
        <f t="shared" si="162"/>
        <v>-192</v>
      </c>
      <c r="E220" s="639">
        <f t="shared" si="162"/>
        <v>-157</v>
      </c>
      <c r="F220" s="469">
        <f t="shared" si="162"/>
        <v>-189</v>
      </c>
      <c r="G220" s="639">
        <f t="shared" si="162"/>
        <v>-155.90793168904943</v>
      </c>
      <c r="H220" s="639">
        <f t="shared" si="162"/>
        <v>-168.57000989867888</v>
      </c>
      <c r="I220" s="639">
        <f t="shared" si="162"/>
        <v>-186.50520266040101</v>
      </c>
      <c r="J220" s="639">
        <f t="shared" si="162"/>
        <v>-207.65616276375474</v>
      </c>
      <c r="K220" s="797">
        <f t="shared" si="162"/>
        <v>-228.32710494158204</v>
      </c>
      <c r="L220" s="52"/>
      <c r="M220" s="52"/>
      <c r="N220" s="52"/>
      <c r="O220" s="52"/>
      <c r="P220" s="52"/>
      <c r="Q220" s="52"/>
      <c r="R220" s="52"/>
      <c r="S220" s="52"/>
      <c r="T220" s="803" t="s">
        <v>252</v>
      </c>
      <c r="U220" s="454"/>
      <c r="V220" s="639">
        <f t="shared" ref="V220:V221" si="163">C220</f>
        <v>-122</v>
      </c>
      <c r="W220" s="639">
        <f t="shared" ref="W220:W221" si="164">D220</f>
        <v>-192</v>
      </c>
      <c r="X220" s="639">
        <f t="shared" ref="X220:X221" si="165">E220</f>
        <v>-157</v>
      </c>
      <c r="Y220" s="469">
        <f t="shared" ref="Y220:Y221" si="166">F220</f>
        <v>-189</v>
      </c>
      <c r="Z220" s="639">
        <v>-171.63268286035998</v>
      </c>
      <c r="AA220" s="639">
        <v>-180.8280860807362</v>
      </c>
      <c r="AB220" s="639">
        <v>-191.48744584047896</v>
      </c>
      <c r="AC220" s="639">
        <v>-203.6976362565552</v>
      </c>
      <c r="AD220" s="797">
        <v>-217.43183119969342</v>
      </c>
      <c r="AE220" s="52"/>
      <c r="AF220" s="52"/>
      <c r="AG220" s="52"/>
      <c r="AH220" s="52"/>
      <c r="AI220" s="52"/>
      <c r="AJ220" s="52"/>
      <c r="AK220" s="52"/>
      <c r="AL220" s="52"/>
      <c r="AM220" s="52"/>
      <c r="AN220" s="52"/>
      <c r="AO220" s="52"/>
      <c r="AP220" s="1"/>
      <c r="AQ220" s="1"/>
      <c r="AR220" s="1"/>
      <c r="AS220" s="1"/>
      <c r="AT220" s="1"/>
      <c r="AU220" s="1"/>
      <c r="AV220" s="1"/>
      <c r="AW220" s="1"/>
      <c r="AX220" s="1"/>
      <c r="AY220" s="1"/>
      <c r="AZ220" s="1"/>
      <c r="BA220" s="1"/>
      <c r="BB220" s="1"/>
      <c r="BC220" s="1"/>
    </row>
    <row r="221" spans="1:55">
      <c r="A221" s="641" t="s">
        <v>376</v>
      </c>
      <c r="B221" s="101"/>
      <c r="C221" s="456">
        <f t="shared" ref="C221:K221" si="167">-(C220/C176)*C175</f>
        <v>-39.814371257485028</v>
      </c>
      <c r="D221" s="456">
        <f t="shared" si="167"/>
        <v>-44.666666666666664</v>
      </c>
      <c r="E221" s="456">
        <f t="shared" si="167"/>
        <v>-31.400000000000002</v>
      </c>
      <c r="F221" s="457">
        <f t="shared" si="167"/>
        <v>-34.481927710843372</v>
      </c>
      <c r="G221" s="456">
        <f t="shared" si="167"/>
        <v>-29.182808403670457</v>
      </c>
      <c r="H221" s="456">
        <f t="shared" si="167"/>
        <v>-32.729006390658689</v>
      </c>
      <c r="I221" s="456">
        <f t="shared" si="167"/>
        <v>-31.331657671045356</v>
      </c>
      <c r="J221" s="456">
        <f t="shared" si="167"/>
        <v>-27.647101108101289</v>
      </c>
      <c r="K221" s="799">
        <f t="shared" si="167"/>
        <v>-26.233867677709359</v>
      </c>
      <c r="L221" s="52"/>
      <c r="M221" s="52"/>
      <c r="N221" s="52"/>
      <c r="O221" s="52"/>
      <c r="P221" s="52"/>
      <c r="Q221" s="52"/>
      <c r="R221" s="52"/>
      <c r="S221" s="52"/>
      <c r="T221" s="641" t="s">
        <v>376</v>
      </c>
      <c r="U221" s="365"/>
      <c r="V221" s="456">
        <f t="shared" si="163"/>
        <v>-39.814371257485028</v>
      </c>
      <c r="W221" s="456">
        <f t="shared" si="164"/>
        <v>-44.666666666666664</v>
      </c>
      <c r="X221" s="456">
        <f t="shared" si="165"/>
        <v>-31.400000000000002</v>
      </c>
      <c r="Y221" s="457">
        <f t="shared" si="166"/>
        <v>-34.481927710843372</v>
      </c>
      <c r="Z221" s="456">
        <v>-30.84305335979348</v>
      </c>
      <c r="AA221" s="456">
        <v>-31.84531150702696</v>
      </c>
      <c r="AB221" s="456">
        <v>-32.876437878573547</v>
      </c>
      <c r="AC221" s="456">
        <v>-33.93786850375642</v>
      </c>
      <c r="AD221" s="799">
        <v>-35.05843441441592</v>
      </c>
      <c r="AE221" s="52"/>
      <c r="AF221" s="52"/>
      <c r="AG221" s="52"/>
      <c r="AH221" s="52"/>
      <c r="AI221" s="52"/>
      <c r="AJ221" s="52"/>
      <c r="AK221" s="52"/>
      <c r="AL221" s="52"/>
      <c r="AM221" s="52"/>
      <c r="AN221" s="52"/>
      <c r="AO221" s="52"/>
      <c r="AP221" s="1"/>
      <c r="AQ221" s="1"/>
      <c r="AR221" s="1"/>
      <c r="AS221" s="1"/>
      <c r="AT221" s="1"/>
      <c r="AU221" s="1"/>
      <c r="AV221" s="1"/>
      <c r="AW221" s="1"/>
      <c r="AX221" s="1"/>
      <c r="AY221" s="1"/>
      <c r="AZ221" s="1"/>
      <c r="BA221" s="1"/>
      <c r="BB221" s="1"/>
      <c r="BC221" s="1"/>
    </row>
    <row r="222" spans="1:55">
      <c r="A222" s="471" t="s">
        <v>348</v>
      </c>
      <c r="B222" s="52"/>
      <c r="C222" s="639">
        <f>C219+C220+C221</f>
        <v>281.18562874251495</v>
      </c>
      <c r="D222" s="639">
        <f t="shared" ref="D222:K222" si="168">D219+D220+D221</f>
        <v>473.33333333333331</v>
      </c>
      <c r="E222" s="639">
        <f t="shared" si="168"/>
        <v>399.6</v>
      </c>
      <c r="F222" s="792">
        <f t="shared" si="168"/>
        <v>463.51807228915663</v>
      </c>
      <c r="G222" s="639">
        <f t="shared" si="168"/>
        <v>461.40151749927878</v>
      </c>
      <c r="H222" s="639">
        <f t="shared" si="168"/>
        <v>501.13854410058991</v>
      </c>
      <c r="I222" s="639">
        <f t="shared" si="168"/>
        <v>545.02613614552786</v>
      </c>
      <c r="J222" s="639">
        <f t="shared" si="168"/>
        <v>592.66839045995278</v>
      </c>
      <c r="K222" s="797">
        <f t="shared" si="168"/>
        <v>643.42169085188709</v>
      </c>
      <c r="L222" s="52"/>
      <c r="M222" s="52"/>
      <c r="N222" s="52"/>
      <c r="O222" s="52"/>
      <c r="P222" s="52"/>
      <c r="Q222" s="52"/>
      <c r="R222" s="52"/>
      <c r="S222" s="52"/>
      <c r="T222" s="471" t="s">
        <v>348</v>
      </c>
      <c r="U222" s="52"/>
      <c r="V222" s="639">
        <f>V219+V220+V221</f>
        <v>281.18562874251495</v>
      </c>
      <c r="W222" s="639">
        <f t="shared" ref="W222:Y222" si="169">W219+W220+W221</f>
        <v>473.33333333333331</v>
      </c>
      <c r="X222" s="639">
        <f t="shared" si="169"/>
        <v>399.6</v>
      </c>
      <c r="Y222" s="469">
        <f t="shared" si="169"/>
        <v>463.51807228915663</v>
      </c>
      <c r="Z222" s="639">
        <v>505.46046706402529</v>
      </c>
      <c r="AA222" s="639">
        <v>531.28267172991889</v>
      </c>
      <c r="AB222" s="639">
        <v>560.96024076156448</v>
      </c>
      <c r="AC222" s="639">
        <v>594.71957505995306</v>
      </c>
      <c r="AD222" s="797">
        <v>632.54517403054979</v>
      </c>
      <c r="AE222" s="52"/>
      <c r="AF222" s="52"/>
      <c r="AG222" s="52"/>
      <c r="AH222" s="52"/>
      <c r="AI222" s="52"/>
      <c r="AJ222" s="52"/>
      <c r="AK222" s="52"/>
      <c r="AL222" s="52"/>
      <c r="AM222" s="52"/>
      <c r="AN222" s="52"/>
      <c r="AO222" s="52"/>
      <c r="AP222" s="1"/>
      <c r="AQ222" s="1"/>
      <c r="AR222" s="1"/>
      <c r="AS222" s="1"/>
      <c r="AT222" s="1"/>
      <c r="AU222" s="1"/>
      <c r="AV222" s="1"/>
      <c r="AW222" s="1"/>
      <c r="AX222" s="1"/>
      <c r="AY222" s="1"/>
      <c r="AZ222" s="1"/>
      <c r="BA222" s="1"/>
      <c r="BB222" s="1"/>
      <c r="BC222" s="1"/>
    </row>
    <row r="223" spans="1:55">
      <c r="A223" s="471"/>
      <c r="B223" s="52"/>
      <c r="C223" s="52"/>
      <c r="D223" s="52"/>
      <c r="E223" s="52"/>
      <c r="F223" s="360"/>
      <c r="G223" s="52"/>
      <c r="H223" s="52"/>
      <c r="I223" s="52"/>
      <c r="J223" s="52"/>
      <c r="K223" s="273"/>
      <c r="L223" s="594"/>
      <c r="M223" s="594"/>
      <c r="N223" s="594"/>
      <c r="O223" s="594"/>
      <c r="P223" s="594"/>
      <c r="Q223" s="594"/>
      <c r="R223" s="594"/>
      <c r="S223" s="594"/>
      <c r="T223" s="471"/>
      <c r="U223" s="52"/>
      <c r="V223" s="52"/>
      <c r="W223" s="52"/>
      <c r="X223" s="52"/>
      <c r="Y223" s="360"/>
      <c r="Z223" s="52"/>
      <c r="AA223" s="52"/>
      <c r="AB223" s="52"/>
      <c r="AC223" s="52"/>
      <c r="AD223" s="273"/>
      <c r="AE223" s="52"/>
      <c r="AF223" s="52"/>
      <c r="AG223" s="52"/>
      <c r="AH223" s="52"/>
      <c r="AI223" s="52"/>
      <c r="AJ223" s="52"/>
      <c r="AK223" s="52"/>
      <c r="AL223" s="52"/>
      <c r="AM223" s="52"/>
      <c r="AN223" s="52"/>
      <c r="AO223" s="52"/>
      <c r="AP223" s="1"/>
      <c r="AQ223" s="1"/>
      <c r="AR223" s="1"/>
      <c r="AS223" s="1"/>
      <c r="AT223" s="1"/>
      <c r="AU223" s="1"/>
      <c r="AV223" s="1"/>
      <c r="AW223" s="1"/>
      <c r="AX223" s="1"/>
      <c r="AY223" s="1"/>
      <c r="AZ223" s="1"/>
      <c r="BA223" s="1"/>
      <c r="BB223" s="1"/>
      <c r="BC223" s="1"/>
    </row>
    <row r="224" spans="1:55">
      <c r="A224" s="452" t="s">
        <v>370</v>
      </c>
      <c r="B224" s="52"/>
      <c r="C224" s="52">
        <f>B193-C193</f>
        <v>25</v>
      </c>
      <c r="D224" s="52">
        <f t="shared" ref="D224:F224" si="170">C193-D193</f>
        <v>12</v>
      </c>
      <c r="E224" s="52">
        <f t="shared" si="170"/>
        <v>-40</v>
      </c>
      <c r="F224" s="360">
        <f t="shared" si="170"/>
        <v>3</v>
      </c>
      <c r="G224" s="52"/>
      <c r="H224" s="52"/>
      <c r="I224" s="52"/>
      <c r="J224" s="52"/>
      <c r="K224" s="273"/>
      <c r="L224" s="52"/>
      <c r="M224" s="594"/>
      <c r="N224" s="52"/>
      <c r="O224" s="594"/>
      <c r="P224" s="594"/>
      <c r="Q224" s="52"/>
      <c r="R224" s="594"/>
      <c r="S224" s="594"/>
      <c r="T224" s="452" t="s">
        <v>370</v>
      </c>
      <c r="U224" s="52"/>
      <c r="V224" s="52">
        <f>C224</f>
        <v>25</v>
      </c>
      <c r="W224" s="52">
        <f t="shared" ref="W224:Y227" si="171">D224</f>
        <v>12</v>
      </c>
      <c r="X224" s="52">
        <f t="shared" si="171"/>
        <v>-40</v>
      </c>
      <c r="Y224" s="360">
        <f t="shared" si="171"/>
        <v>3</v>
      </c>
      <c r="Z224" s="52"/>
      <c r="AA224" s="52"/>
      <c r="AB224" s="52"/>
      <c r="AC224" s="52"/>
      <c r="AD224" s="273"/>
      <c r="AE224" s="52"/>
      <c r="AF224" s="52"/>
      <c r="AG224" s="52"/>
      <c r="AH224" s="52"/>
      <c r="AI224" s="52"/>
      <c r="AJ224" s="52"/>
      <c r="AK224" s="52"/>
      <c r="AL224" s="52"/>
      <c r="AM224" s="52"/>
      <c r="AN224" s="52"/>
      <c r="AO224" s="52"/>
      <c r="AP224" s="1"/>
      <c r="AQ224" s="1"/>
      <c r="AR224" s="1"/>
      <c r="AS224" s="1"/>
      <c r="AT224" s="1"/>
      <c r="AU224" s="1"/>
      <c r="AV224" s="1"/>
      <c r="AW224" s="1"/>
      <c r="AX224" s="1"/>
      <c r="AY224" s="1"/>
      <c r="AZ224" s="1"/>
      <c r="BA224" s="1"/>
      <c r="BB224" s="1"/>
      <c r="BC224" s="1"/>
    </row>
    <row r="225" spans="1:55">
      <c r="A225" s="452" t="s">
        <v>349</v>
      </c>
      <c r="B225" s="52"/>
      <c r="C225" s="52">
        <f>B194-C194</f>
        <v>-336</v>
      </c>
      <c r="D225" s="52">
        <f t="shared" ref="D225:F225" si="172">C194-D194</f>
        <v>150</v>
      </c>
      <c r="E225" s="52">
        <f t="shared" si="172"/>
        <v>-110</v>
      </c>
      <c r="F225" s="360">
        <f t="shared" si="172"/>
        <v>-71</v>
      </c>
      <c r="G225" s="52"/>
      <c r="H225" s="52"/>
      <c r="I225" s="52"/>
      <c r="J225" s="52"/>
      <c r="K225" s="273"/>
      <c r="L225" s="52"/>
      <c r="M225" s="52"/>
      <c r="N225" s="52"/>
      <c r="O225" s="52"/>
      <c r="P225" s="52"/>
      <c r="Q225" s="52"/>
      <c r="R225" s="52"/>
      <c r="S225" s="52"/>
      <c r="T225" s="452" t="s">
        <v>349</v>
      </c>
      <c r="U225" s="52"/>
      <c r="V225" s="52">
        <f t="shared" ref="V225:V230" si="173">C225</f>
        <v>-336</v>
      </c>
      <c r="W225" s="52">
        <f t="shared" si="171"/>
        <v>150</v>
      </c>
      <c r="X225" s="52">
        <f t="shared" si="171"/>
        <v>-110</v>
      </c>
      <c r="Y225" s="360">
        <f t="shared" si="171"/>
        <v>-71</v>
      </c>
      <c r="Z225" s="52"/>
      <c r="AA225" s="52"/>
      <c r="AB225" s="52"/>
      <c r="AC225" s="52"/>
      <c r="AD225" s="273"/>
      <c r="AE225" s="52"/>
      <c r="AF225" s="52"/>
      <c r="AG225" s="52"/>
      <c r="AH225" s="52"/>
      <c r="AI225" s="52"/>
      <c r="AJ225" s="52"/>
      <c r="AK225" s="52"/>
      <c r="AL225" s="52"/>
      <c r="AM225" s="52"/>
      <c r="AN225" s="52"/>
      <c r="AO225" s="52"/>
      <c r="AP225" s="1"/>
      <c r="AQ225" s="1"/>
      <c r="AR225" s="1"/>
      <c r="AS225" s="1"/>
      <c r="AT225" s="1"/>
      <c r="AU225" s="1"/>
      <c r="AV225" s="1"/>
      <c r="AW225" s="1"/>
      <c r="AX225" s="1"/>
      <c r="AY225" s="1"/>
      <c r="AZ225" s="1"/>
      <c r="BA225" s="1"/>
      <c r="BB225" s="1"/>
      <c r="BC225" s="1"/>
    </row>
    <row r="226" spans="1:55">
      <c r="A226" s="452" t="s">
        <v>369</v>
      </c>
      <c r="B226" s="52"/>
      <c r="C226" s="52">
        <f>B195-C195</f>
        <v>214</v>
      </c>
      <c r="D226" s="52">
        <f t="shared" ref="D226:F226" si="174">C195-D195</f>
        <v>-3</v>
      </c>
      <c r="E226" s="52">
        <f t="shared" si="174"/>
        <v>32</v>
      </c>
      <c r="F226" s="360">
        <f t="shared" si="174"/>
        <v>68</v>
      </c>
      <c r="G226" s="52"/>
      <c r="H226" s="52"/>
      <c r="I226" s="52"/>
      <c r="J226" s="52"/>
      <c r="K226" s="273"/>
      <c r="L226" s="52"/>
      <c r="M226" s="594"/>
      <c r="N226" s="52"/>
      <c r="O226" s="594"/>
      <c r="P226" s="594"/>
      <c r="Q226" s="52"/>
      <c r="R226" s="594"/>
      <c r="S226" s="594"/>
      <c r="T226" s="452" t="s">
        <v>369</v>
      </c>
      <c r="U226" s="52"/>
      <c r="V226" s="52">
        <f t="shared" si="173"/>
        <v>214</v>
      </c>
      <c r="W226" s="52">
        <f t="shared" si="171"/>
        <v>-3</v>
      </c>
      <c r="X226" s="52">
        <f t="shared" si="171"/>
        <v>32</v>
      </c>
      <c r="Y226" s="360">
        <f t="shared" si="171"/>
        <v>68</v>
      </c>
      <c r="Z226" s="52"/>
      <c r="AA226" s="52"/>
      <c r="AB226" s="52"/>
      <c r="AC226" s="52"/>
      <c r="AD226" s="273"/>
      <c r="AE226" s="52"/>
      <c r="AF226" s="52"/>
      <c r="AG226" s="52"/>
      <c r="AH226" s="52"/>
      <c r="AI226" s="52"/>
      <c r="AJ226" s="52"/>
      <c r="AK226" s="52"/>
      <c r="AL226" s="52"/>
      <c r="AM226" s="52"/>
      <c r="AN226" s="52"/>
      <c r="AO226" s="52"/>
      <c r="AP226" s="1"/>
      <c r="AQ226" s="1"/>
      <c r="AR226" s="1"/>
      <c r="AS226" s="1"/>
      <c r="AT226" s="1"/>
      <c r="AU226" s="1"/>
      <c r="AV226" s="1"/>
      <c r="AW226" s="1"/>
      <c r="AX226" s="1"/>
      <c r="AY226" s="1"/>
      <c r="AZ226" s="1"/>
      <c r="BA226" s="1"/>
      <c r="BB226" s="1"/>
      <c r="BC226" s="1"/>
    </row>
    <row r="227" spans="1:55">
      <c r="A227" s="452" t="s">
        <v>371</v>
      </c>
      <c r="B227" s="52"/>
      <c r="C227" s="52">
        <f>SUM(C224:C226)</f>
        <v>-97</v>
      </c>
      <c r="D227" s="52">
        <f t="shared" ref="D227:F227" si="175">SUM(D224:D226)</f>
        <v>159</v>
      </c>
      <c r="E227" s="52">
        <f t="shared" si="175"/>
        <v>-118</v>
      </c>
      <c r="F227" s="360">
        <f t="shared" si="175"/>
        <v>0</v>
      </c>
      <c r="G227" s="52"/>
      <c r="H227" s="52"/>
      <c r="I227" s="52"/>
      <c r="J227" s="52"/>
      <c r="K227" s="273"/>
      <c r="L227" s="52"/>
      <c r="M227" s="52"/>
      <c r="N227" s="52"/>
      <c r="O227" s="52"/>
      <c r="P227" s="52"/>
      <c r="Q227" s="52"/>
      <c r="R227" s="52"/>
      <c r="S227" s="52"/>
      <c r="T227" s="452" t="s">
        <v>371</v>
      </c>
      <c r="U227" s="52"/>
      <c r="V227" s="52">
        <f t="shared" si="173"/>
        <v>-97</v>
      </c>
      <c r="W227" s="52">
        <f t="shared" si="171"/>
        <v>159</v>
      </c>
      <c r="X227" s="52">
        <f t="shared" si="171"/>
        <v>-118</v>
      </c>
      <c r="Y227" s="360">
        <f t="shared" si="171"/>
        <v>0</v>
      </c>
      <c r="Z227" s="52"/>
      <c r="AA227" s="52"/>
      <c r="AB227" s="52"/>
      <c r="AC227" s="52"/>
      <c r="AD227" s="273"/>
      <c r="AE227" s="52"/>
      <c r="AF227" s="52"/>
      <c r="AG227" s="52"/>
      <c r="AH227" s="52"/>
      <c r="AI227" s="52"/>
      <c r="AJ227" s="52"/>
      <c r="AK227" s="52"/>
      <c r="AL227" s="52"/>
      <c r="AM227" s="52"/>
      <c r="AN227" s="52"/>
      <c r="AO227" s="52"/>
      <c r="AP227" s="1"/>
      <c r="AQ227" s="1"/>
      <c r="AR227" s="1"/>
      <c r="AS227" s="1"/>
      <c r="AT227" s="1"/>
      <c r="AU227" s="1"/>
      <c r="AV227" s="1"/>
      <c r="AW227" s="1"/>
      <c r="AX227" s="1"/>
      <c r="AY227" s="1"/>
      <c r="AZ227" s="1"/>
      <c r="BA227" s="1"/>
      <c r="BB227" s="1"/>
      <c r="BC227" s="1"/>
    </row>
    <row r="228" spans="1:55">
      <c r="A228" s="452"/>
      <c r="B228" s="52"/>
      <c r="C228" s="52"/>
      <c r="D228" s="52"/>
      <c r="E228" s="52"/>
      <c r="F228" s="360"/>
      <c r="G228" s="52"/>
      <c r="H228" s="52"/>
      <c r="I228" s="52"/>
      <c r="J228" s="52"/>
      <c r="K228" s="273"/>
      <c r="L228" s="52"/>
      <c r="M228" s="52"/>
      <c r="N228" s="52"/>
      <c r="O228" s="52"/>
      <c r="P228" s="52"/>
      <c r="Q228" s="52"/>
      <c r="R228" s="52"/>
      <c r="S228" s="52"/>
      <c r="T228" s="452"/>
      <c r="U228" s="52"/>
      <c r="V228" s="52"/>
      <c r="W228" s="52"/>
      <c r="X228" s="52"/>
      <c r="Y228" s="360"/>
      <c r="Z228" s="52"/>
      <c r="AA228" s="52"/>
      <c r="AB228" s="52"/>
      <c r="AC228" s="52"/>
      <c r="AD228" s="273"/>
      <c r="AE228" s="52"/>
      <c r="AF228" s="52"/>
      <c r="AG228" s="52"/>
      <c r="AH228" s="52"/>
      <c r="AI228" s="52"/>
      <c r="AJ228" s="52"/>
      <c r="AK228" s="52"/>
      <c r="AL228" s="52"/>
      <c r="AM228" s="52"/>
      <c r="AN228" s="52"/>
      <c r="AO228" s="52"/>
      <c r="AP228" s="1"/>
      <c r="AQ228" s="1"/>
      <c r="AR228" s="1"/>
      <c r="AS228" s="1"/>
      <c r="AT228" s="1"/>
      <c r="AU228" s="1"/>
      <c r="AV228" s="1"/>
      <c r="AW228" s="1"/>
      <c r="AX228" s="1"/>
      <c r="AY228" s="1"/>
      <c r="AZ228" s="1"/>
      <c r="BA228" s="1"/>
      <c r="BB228" s="1"/>
      <c r="BC228" s="1"/>
    </row>
    <row r="229" spans="1:55">
      <c r="A229" s="452" t="s">
        <v>756</v>
      </c>
      <c r="B229" s="591"/>
      <c r="C229" s="52">
        <f>'Reorganised Statements'!C15-'Reorganised Statements'!D15</f>
        <v>-59</v>
      </c>
      <c r="D229" s="52">
        <f>'Reorganised Statements'!D15-'Reorganised Statements'!E15</f>
        <v>132</v>
      </c>
      <c r="E229" s="52">
        <f>'Reorganised Statements'!E15-'Reorganised Statements'!F15</f>
        <v>53</v>
      </c>
      <c r="F229" s="360">
        <f>'Reorganised Statements'!F15-'Reorganised Statements'!G15</f>
        <v>-155</v>
      </c>
      <c r="G229" s="52"/>
      <c r="H229" s="52"/>
      <c r="I229" s="52"/>
      <c r="J229" s="52"/>
      <c r="K229" s="273"/>
      <c r="L229" s="52"/>
      <c r="M229" s="1"/>
      <c r="N229" s="1"/>
      <c r="O229" s="1"/>
      <c r="P229" s="1"/>
      <c r="Q229" s="1"/>
      <c r="R229" s="1"/>
      <c r="S229" s="52"/>
      <c r="T229" s="452" t="s">
        <v>756</v>
      </c>
      <c r="U229" s="591"/>
      <c r="V229" s="52">
        <f t="shared" si="173"/>
        <v>-59</v>
      </c>
      <c r="W229" s="52">
        <f t="shared" ref="W229:W230" si="176">D229</f>
        <v>132</v>
      </c>
      <c r="X229" s="52">
        <f t="shared" ref="X229:X230" si="177">E229</f>
        <v>53</v>
      </c>
      <c r="Y229" s="360">
        <f t="shared" ref="Y229:Y230" si="178">F229</f>
        <v>-155</v>
      </c>
      <c r="Z229" s="52"/>
      <c r="AA229" s="52"/>
      <c r="AB229" s="52"/>
      <c r="AC229" s="52"/>
      <c r="AD229" s="273"/>
      <c r="AE229" s="52"/>
      <c r="AF229" s="52"/>
      <c r="AG229" s="52"/>
      <c r="AH229" s="52"/>
      <c r="AI229" s="52"/>
      <c r="AJ229" s="52"/>
      <c r="AK229" s="52"/>
      <c r="AL229" s="52"/>
      <c r="AM229" s="52"/>
      <c r="AN229" s="52"/>
      <c r="AO229" s="52"/>
      <c r="AP229" s="1"/>
      <c r="AQ229" s="1"/>
      <c r="AR229" s="1"/>
      <c r="AS229" s="1"/>
      <c r="AT229" s="1"/>
      <c r="AU229" s="1"/>
      <c r="AV229" s="1"/>
      <c r="AW229" s="1"/>
      <c r="AX229" s="1"/>
      <c r="AY229" s="1"/>
      <c r="AZ229" s="1"/>
      <c r="BA229" s="1"/>
      <c r="BB229" s="1"/>
      <c r="BC229" s="1"/>
    </row>
    <row r="230" spans="1:55">
      <c r="A230" s="641" t="s">
        <v>351</v>
      </c>
      <c r="B230" s="101"/>
      <c r="C230" s="101">
        <f>'Reorganised Statements'!C21-'Reorganised Statements'!D21</f>
        <v>210</v>
      </c>
      <c r="D230" s="101">
        <f>'Reorganised Statements'!D21-'Reorganised Statements'!E21</f>
        <v>-220</v>
      </c>
      <c r="E230" s="101">
        <f>'Reorganised Statements'!E21-'Reorganised Statements'!F21</f>
        <v>90</v>
      </c>
      <c r="F230" s="99">
        <f>'Reorganised Statements'!F21-'Reorganised Statements'!G21</f>
        <v>236</v>
      </c>
      <c r="G230" s="101"/>
      <c r="H230" s="101"/>
      <c r="I230" s="101"/>
      <c r="J230" s="101"/>
      <c r="K230" s="274"/>
      <c r="L230" s="52"/>
      <c r="M230" s="468"/>
      <c r="N230" s="1"/>
      <c r="O230" s="468"/>
      <c r="P230" s="468"/>
      <c r="Q230" s="1"/>
      <c r="R230" s="468"/>
      <c r="S230" s="639"/>
      <c r="T230" s="641" t="s">
        <v>351</v>
      </c>
      <c r="U230" s="365"/>
      <c r="V230" s="101">
        <f t="shared" si="173"/>
        <v>210</v>
      </c>
      <c r="W230" s="101">
        <f t="shared" si="176"/>
        <v>-220</v>
      </c>
      <c r="X230" s="101">
        <f t="shared" si="177"/>
        <v>90</v>
      </c>
      <c r="Y230" s="99">
        <f t="shared" si="178"/>
        <v>236</v>
      </c>
      <c r="Z230" s="101"/>
      <c r="AA230" s="101"/>
      <c r="AB230" s="101"/>
      <c r="AC230" s="101"/>
      <c r="AD230" s="274"/>
      <c r="AE230" s="52"/>
      <c r="AF230" s="52"/>
      <c r="AG230" s="52"/>
      <c r="AH230" s="52"/>
      <c r="AI230" s="52"/>
      <c r="AJ230" s="52"/>
      <c r="AK230" s="52"/>
      <c r="AL230" s="52"/>
      <c r="AM230" s="52"/>
      <c r="AN230" s="52"/>
      <c r="AO230" s="52"/>
      <c r="AP230" s="1"/>
      <c r="AQ230" s="1"/>
      <c r="AR230" s="1"/>
      <c r="AS230" s="1"/>
      <c r="AT230" s="1"/>
      <c r="AU230" s="1"/>
      <c r="AV230" s="1"/>
      <c r="AW230" s="1"/>
      <c r="AX230" s="1"/>
      <c r="AY230" s="1"/>
      <c r="AZ230" s="1"/>
      <c r="BA230" s="1"/>
      <c r="BB230" s="1"/>
      <c r="BC230" s="1"/>
    </row>
    <row r="231" spans="1:55">
      <c r="A231" s="452" t="s">
        <v>372</v>
      </c>
      <c r="B231" s="52"/>
      <c r="C231" s="639">
        <f>C227+C229+C230</f>
        <v>54</v>
      </c>
      <c r="D231" s="639">
        <f t="shared" ref="D231:F231" si="179">D227+D229+D230</f>
        <v>71</v>
      </c>
      <c r="E231" s="639">
        <f t="shared" si="179"/>
        <v>25</v>
      </c>
      <c r="F231" s="792">
        <f t="shared" si="179"/>
        <v>81</v>
      </c>
      <c r="G231" s="639">
        <f>F200-G200</f>
        <v>-24.89629364354272</v>
      </c>
      <c r="H231" s="639">
        <f t="shared" ref="H231:K231" si="180">G200-H200</f>
        <v>-25.600468902423472</v>
      </c>
      <c r="I231" s="639">
        <f t="shared" si="180"/>
        <v>-26.320274634131692</v>
      </c>
      <c r="J231" s="639">
        <f t="shared" si="180"/>
        <v>-27.056022942647473</v>
      </c>
      <c r="K231" s="804">
        <f t="shared" si="180"/>
        <v>-27.407044691468002</v>
      </c>
      <c r="L231" s="52"/>
      <c r="M231" s="455"/>
      <c r="N231" s="1"/>
      <c r="O231" s="455"/>
      <c r="P231" s="455"/>
      <c r="Q231" s="1"/>
      <c r="R231" s="455"/>
      <c r="S231" s="768"/>
      <c r="T231" s="452" t="s">
        <v>372</v>
      </c>
      <c r="U231" s="52"/>
      <c r="V231" s="639">
        <f>V227+V229+V230</f>
        <v>54</v>
      </c>
      <c r="W231" s="639">
        <f t="shared" ref="W231:Y231" si="181">W227+W229+W230</f>
        <v>71</v>
      </c>
      <c r="X231" s="639">
        <f t="shared" si="181"/>
        <v>25</v>
      </c>
      <c r="Y231" s="469">
        <f t="shared" si="181"/>
        <v>81</v>
      </c>
      <c r="Z231" s="639">
        <v>-24.89629364354272</v>
      </c>
      <c r="AA231" s="639">
        <v>-25.600468902423472</v>
      </c>
      <c r="AB231" s="639">
        <v>-26.320274634131692</v>
      </c>
      <c r="AC231" s="639">
        <v>-27.056022942647473</v>
      </c>
      <c r="AD231" s="804">
        <v>-27.407044691468002</v>
      </c>
      <c r="AE231" s="52"/>
      <c r="AF231" s="52"/>
      <c r="AG231" s="52"/>
      <c r="AH231" s="52"/>
      <c r="AI231" s="52"/>
      <c r="AJ231" s="52"/>
      <c r="AK231" s="52"/>
      <c r="AL231" s="52"/>
      <c r="AM231" s="52"/>
      <c r="AN231" s="52"/>
      <c r="AO231" s="52"/>
      <c r="AP231" s="1"/>
      <c r="AQ231" s="1"/>
      <c r="AR231" s="1"/>
      <c r="AS231" s="1"/>
      <c r="AT231" s="1"/>
      <c r="AU231" s="1"/>
      <c r="AV231" s="1"/>
      <c r="AW231" s="1"/>
      <c r="AX231" s="1"/>
      <c r="AY231" s="1"/>
      <c r="AZ231" s="1"/>
      <c r="BA231" s="1"/>
      <c r="BB231" s="1"/>
      <c r="BC231" s="1"/>
    </row>
    <row r="232" spans="1:55">
      <c r="A232" s="452"/>
      <c r="B232" s="52"/>
      <c r="C232" s="639"/>
      <c r="D232" s="639"/>
      <c r="E232" s="639"/>
      <c r="F232" s="469"/>
      <c r="G232" s="639"/>
      <c r="H232" s="639"/>
      <c r="I232" s="639"/>
      <c r="J232" s="639"/>
      <c r="K232" s="797"/>
      <c r="L232" s="52"/>
      <c r="M232" s="1"/>
      <c r="N232" s="1"/>
      <c r="O232" s="1"/>
      <c r="P232" s="1"/>
      <c r="Q232" s="1"/>
      <c r="R232" s="1"/>
      <c r="S232" s="52"/>
      <c r="T232" s="452"/>
      <c r="U232" s="52"/>
      <c r="V232" s="639"/>
      <c r="W232" s="639"/>
      <c r="X232" s="639"/>
      <c r="Y232" s="469"/>
      <c r="Z232" s="639"/>
      <c r="AA232" s="639"/>
      <c r="AB232" s="639"/>
      <c r="AC232" s="639"/>
      <c r="AD232" s="797"/>
      <c r="AE232" s="594"/>
      <c r="AF232" s="52"/>
      <c r="AG232" s="52"/>
      <c r="AH232" s="52"/>
      <c r="AI232" s="52"/>
      <c r="AJ232" s="52"/>
      <c r="AK232" s="52"/>
      <c r="AL232" s="52"/>
      <c r="AM232" s="52"/>
      <c r="AN232" s="52"/>
      <c r="AO232" s="52"/>
      <c r="AP232" s="1"/>
      <c r="AQ232" s="1"/>
      <c r="AR232" s="1"/>
      <c r="AS232" s="1"/>
      <c r="AT232" s="1"/>
      <c r="AU232" s="1"/>
      <c r="AV232" s="1"/>
      <c r="AW232" s="1"/>
      <c r="AX232" s="1"/>
      <c r="AY232" s="1"/>
      <c r="AZ232" s="1"/>
      <c r="BA232" s="1"/>
      <c r="BB232" s="1"/>
      <c r="BC232" s="1"/>
    </row>
    <row r="233" spans="1:55">
      <c r="A233" s="452" t="s">
        <v>352</v>
      </c>
      <c r="B233" s="52"/>
      <c r="C233" s="639">
        <f t="shared" ref="C233:K233" si="182">B188+B189-C188-C189 +C170</f>
        <v>-1066</v>
      </c>
      <c r="D233" s="639">
        <f t="shared" si="182"/>
        <v>-80</v>
      </c>
      <c r="E233" s="639">
        <f t="shared" si="182"/>
        <v>-1076</v>
      </c>
      <c r="F233" s="469">
        <f t="shared" si="182"/>
        <v>-837</v>
      </c>
      <c r="G233" s="639">
        <f t="shared" si="182"/>
        <v>-868.52763987521871</v>
      </c>
      <c r="H233" s="639">
        <f t="shared" si="182"/>
        <v>-881.69675803745099</v>
      </c>
      <c r="I233" s="639">
        <f t="shared" si="182"/>
        <v>-895.06555398218359</v>
      </c>
      <c r="J233" s="639">
        <f t="shared" si="182"/>
        <v>-908.63705533938719</v>
      </c>
      <c r="K233" s="797">
        <f t="shared" si="182"/>
        <v>-922.0729927657602</v>
      </c>
      <c r="L233" s="52"/>
      <c r="M233" s="1"/>
      <c r="N233" s="1"/>
      <c r="O233" s="1"/>
      <c r="P233" s="1"/>
      <c r="Q233" s="1"/>
      <c r="R233" s="1"/>
      <c r="S233" s="52"/>
      <c r="T233" s="452" t="s">
        <v>352</v>
      </c>
      <c r="U233" s="52"/>
      <c r="V233" s="639">
        <f>C233</f>
        <v>-1066</v>
      </c>
      <c r="W233" s="639">
        <f t="shared" ref="W233:Y238" si="183">D233</f>
        <v>-80</v>
      </c>
      <c r="X233" s="639">
        <f t="shared" si="183"/>
        <v>-1076</v>
      </c>
      <c r="Y233" s="469">
        <f t="shared" si="183"/>
        <v>-837</v>
      </c>
      <c r="Z233" s="639">
        <v>-868.5276398752186</v>
      </c>
      <c r="AA233" s="639">
        <v>-881.69675803745031</v>
      </c>
      <c r="AB233" s="639">
        <v>-895.06555398218325</v>
      </c>
      <c r="AC233" s="639">
        <v>-908.6370553393873</v>
      </c>
      <c r="AD233" s="797">
        <v>-922.07299276575964</v>
      </c>
      <c r="AE233" s="52"/>
      <c r="AF233" s="52"/>
      <c r="AG233" s="52"/>
      <c r="AH233" s="52"/>
      <c r="AI233" s="52"/>
      <c r="AJ233" s="52"/>
      <c r="AK233" s="52"/>
      <c r="AL233" s="52"/>
      <c r="AM233" s="52"/>
      <c r="AN233" s="52"/>
      <c r="AO233" s="52"/>
      <c r="AP233" s="1"/>
      <c r="AQ233" s="1"/>
      <c r="AR233" s="1"/>
      <c r="AS233" s="1"/>
      <c r="AT233" s="1"/>
      <c r="AU233" s="1"/>
      <c r="AV233" s="1"/>
      <c r="AW233" s="1"/>
      <c r="AX233" s="1"/>
      <c r="AY233" s="1"/>
      <c r="AZ233" s="1"/>
      <c r="BA233" s="1"/>
      <c r="BB233" s="1"/>
      <c r="BC233" s="1"/>
    </row>
    <row r="234" spans="1:55">
      <c r="A234" s="452" t="s">
        <v>353</v>
      </c>
      <c r="B234" s="52"/>
      <c r="C234" s="639">
        <f t="shared" ref="C234:K234" si="184">-C170</f>
        <v>648</v>
      </c>
      <c r="D234" s="639">
        <f t="shared" si="184"/>
        <v>444</v>
      </c>
      <c r="E234" s="639">
        <f t="shared" si="184"/>
        <v>623</v>
      </c>
      <c r="F234" s="469">
        <f t="shared" si="184"/>
        <v>511</v>
      </c>
      <c r="G234" s="639">
        <f t="shared" si="184"/>
        <v>607.30367267200131</v>
      </c>
      <c r="H234" s="639">
        <f t="shared" si="184"/>
        <v>625.32466501126805</v>
      </c>
      <c r="I234" s="639">
        <f t="shared" si="184"/>
        <v>643.06109913135867</v>
      </c>
      <c r="J234" s="639">
        <f t="shared" si="184"/>
        <v>660.54787130240038</v>
      </c>
      <c r="K234" s="797">
        <f t="shared" si="184"/>
        <v>677.81733591679711</v>
      </c>
      <c r="L234" s="52"/>
      <c r="M234" s="468"/>
      <c r="N234" s="1"/>
      <c r="O234" s="468"/>
      <c r="P234" s="468"/>
      <c r="Q234" s="1"/>
      <c r="R234" s="468"/>
      <c r="S234" s="639"/>
      <c r="T234" s="452" t="s">
        <v>353</v>
      </c>
      <c r="U234" s="52"/>
      <c r="V234" s="639">
        <f t="shared" ref="V234:V238" si="185">C234</f>
        <v>648</v>
      </c>
      <c r="W234" s="639">
        <f t="shared" si="183"/>
        <v>444</v>
      </c>
      <c r="X234" s="639">
        <f t="shared" si="183"/>
        <v>623</v>
      </c>
      <c r="Y234" s="469">
        <f t="shared" si="183"/>
        <v>511</v>
      </c>
      <c r="Z234" s="639">
        <v>545.85972697982118</v>
      </c>
      <c r="AA234" s="639">
        <v>583.80615608351354</v>
      </c>
      <c r="AB234" s="639">
        <v>620.59997112771589</v>
      </c>
      <c r="AC234" s="639">
        <v>656.16444581394455</v>
      </c>
      <c r="AD234" s="797">
        <v>690.76455974331634</v>
      </c>
      <c r="AE234" s="52"/>
      <c r="AF234" s="52"/>
      <c r="AG234" s="52"/>
      <c r="AH234" s="52"/>
      <c r="AI234" s="52"/>
      <c r="AJ234" s="52"/>
      <c r="AK234" s="52"/>
      <c r="AL234" s="52"/>
      <c r="AM234" s="52"/>
      <c r="AN234" s="52"/>
      <c r="AO234" s="52"/>
      <c r="AP234" s="1"/>
      <c r="AQ234" s="1"/>
      <c r="AR234" s="1"/>
      <c r="AS234" s="1"/>
      <c r="AT234" s="1"/>
      <c r="AU234" s="1"/>
      <c r="AV234" s="1"/>
      <c r="AW234" s="1"/>
      <c r="AX234" s="1"/>
      <c r="AY234" s="1"/>
      <c r="AZ234" s="1"/>
      <c r="BA234" s="1"/>
      <c r="BB234" s="1"/>
      <c r="BC234" s="1"/>
    </row>
    <row r="235" spans="1:55">
      <c r="A235" s="452" t="s">
        <v>354</v>
      </c>
      <c r="B235" s="52"/>
      <c r="C235" s="639">
        <f t="shared" ref="C235:K235" si="186">B86-C86</f>
        <v>95</v>
      </c>
      <c r="D235" s="639">
        <f t="shared" si="186"/>
        <v>-46</v>
      </c>
      <c r="E235" s="639">
        <f t="shared" si="186"/>
        <v>17</v>
      </c>
      <c r="F235" s="469">
        <f t="shared" si="186"/>
        <v>34</v>
      </c>
      <c r="G235" s="639">
        <f t="shared" si="186"/>
        <v>0</v>
      </c>
      <c r="H235" s="639">
        <f t="shared" si="186"/>
        <v>0</v>
      </c>
      <c r="I235" s="639">
        <f t="shared" si="186"/>
        <v>0</v>
      </c>
      <c r="J235" s="639">
        <f t="shared" si="186"/>
        <v>0</v>
      </c>
      <c r="K235" s="797">
        <f t="shared" si="186"/>
        <v>0</v>
      </c>
      <c r="L235" s="52"/>
      <c r="M235" s="402"/>
      <c r="N235" s="1"/>
      <c r="O235" s="402"/>
      <c r="P235" s="402"/>
      <c r="Q235" s="1"/>
      <c r="R235" s="402"/>
      <c r="S235" s="592"/>
      <c r="T235" s="452" t="s">
        <v>354</v>
      </c>
      <c r="U235" s="52"/>
      <c r="V235" s="639">
        <f t="shared" si="185"/>
        <v>95</v>
      </c>
      <c r="W235" s="639">
        <f t="shared" si="183"/>
        <v>-46</v>
      </c>
      <c r="X235" s="639">
        <f t="shared" si="183"/>
        <v>17</v>
      </c>
      <c r="Y235" s="469">
        <f t="shared" si="183"/>
        <v>34</v>
      </c>
      <c r="Z235" s="639">
        <v>0</v>
      </c>
      <c r="AA235" s="639">
        <v>0</v>
      </c>
      <c r="AB235" s="639">
        <v>0</v>
      </c>
      <c r="AC235" s="639">
        <v>0</v>
      </c>
      <c r="AD235" s="797">
        <v>0</v>
      </c>
      <c r="AE235" s="52"/>
      <c r="AF235" s="52"/>
      <c r="AG235" s="52"/>
      <c r="AH235" s="52"/>
      <c r="AI235" s="52"/>
      <c r="AJ235" s="52"/>
      <c r="AK235" s="52"/>
      <c r="AL235" s="52"/>
      <c r="AM235" s="52"/>
      <c r="AN235" s="52"/>
      <c r="AO235" s="52"/>
      <c r="AP235" s="1"/>
      <c r="AQ235" s="1"/>
      <c r="AR235" s="1"/>
      <c r="AS235" s="1"/>
      <c r="AT235" s="1"/>
      <c r="AU235" s="1"/>
      <c r="AV235" s="1"/>
      <c r="AW235" s="1"/>
      <c r="AX235" s="1"/>
      <c r="AY235" s="1"/>
      <c r="AZ235" s="1"/>
      <c r="BA235" s="1"/>
      <c r="BB235" s="1"/>
      <c r="BC235" s="1"/>
    </row>
    <row r="236" spans="1:55">
      <c r="A236" s="452" t="s">
        <v>355</v>
      </c>
      <c r="B236" s="52"/>
      <c r="C236" s="639">
        <f>B203-C203</f>
        <v>33</v>
      </c>
      <c r="D236" s="639">
        <f t="shared" ref="D236:F236" si="187">C203-D203</f>
        <v>-46</v>
      </c>
      <c r="E236" s="639">
        <f t="shared" si="187"/>
        <v>-5</v>
      </c>
      <c r="F236" s="469">
        <f t="shared" si="187"/>
        <v>-7</v>
      </c>
      <c r="G236" s="639">
        <f t="shared" ref="G236:K236" si="188">F203-G203</f>
        <v>0</v>
      </c>
      <c r="H236" s="639">
        <f t="shared" si="188"/>
        <v>0</v>
      </c>
      <c r="I236" s="639">
        <f t="shared" si="188"/>
        <v>0</v>
      </c>
      <c r="J236" s="639">
        <f t="shared" si="188"/>
        <v>0</v>
      </c>
      <c r="K236" s="797">
        <f t="shared" si="188"/>
        <v>0</v>
      </c>
      <c r="L236" s="52"/>
      <c r="M236" s="1"/>
      <c r="N236" s="1"/>
      <c r="O236" s="1"/>
      <c r="P236" s="1"/>
      <c r="Q236" s="1"/>
      <c r="R236" s="1"/>
      <c r="S236" s="52"/>
      <c r="T236" s="452" t="s">
        <v>355</v>
      </c>
      <c r="U236" s="52"/>
      <c r="V236" s="639">
        <f t="shared" si="185"/>
        <v>33</v>
      </c>
      <c r="W236" s="639">
        <f t="shared" si="183"/>
        <v>-46</v>
      </c>
      <c r="X236" s="639">
        <f t="shared" si="183"/>
        <v>-5</v>
      </c>
      <c r="Y236" s="469">
        <f t="shared" si="183"/>
        <v>-7</v>
      </c>
      <c r="Z236" s="639">
        <v>0</v>
      </c>
      <c r="AA236" s="639">
        <v>0</v>
      </c>
      <c r="AB236" s="639">
        <v>0</v>
      </c>
      <c r="AC236" s="639">
        <v>0</v>
      </c>
      <c r="AD236" s="797">
        <v>0</v>
      </c>
      <c r="AE236" s="52"/>
      <c r="AF236" s="52"/>
      <c r="AG236" s="52"/>
      <c r="AH236" s="52"/>
      <c r="AI236" s="52"/>
      <c r="AJ236" s="52"/>
      <c r="AK236" s="52"/>
      <c r="AL236" s="52"/>
      <c r="AM236" s="52"/>
      <c r="AN236" s="52"/>
      <c r="AO236" s="52"/>
      <c r="AP236" s="1"/>
      <c r="AQ236" s="1"/>
      <c r="AR236" s="1"/>
      <c r="AS236" s="1"/>
      <c r="AT236" s="1"/>
      <c r="AU236" s="1"/>
      <c r="AV236" s="1"/>
      <c r="AW236" s="1"/>
      <c r="AX236" s="1"/>
      <c r="AY236" s="1"/>
      <c r="AZ236" s="1"/>
      <c r="BA236" s="1"/>
      <c r="BB236" s="1"/>
      <c r="BC236" s="1"/>
    </row>
    <row r="237" spans="1:55">
      <c r="A237" s="452" t="s">
        <v>368</v>
      </c>
      <c r="B237" s="52"/>
      <c r="C237" s="639">
        <f>B202-C202</f>
        <v>-33</v>
      </c>
      <c r="D237" s="639">
        <f t="shared" ref="D237:F237" si="189">C202-D202</f>
        <v>40</v>
      </c>
      <c r="E237" s="639">
        <f t="shared" si="189"/>
        <v>37</v>
      </c>
      <c r="F237" s="469">
        <f t="shared" si="189"/>
        <v>-13</v>
      </c>
      <c r="G237" s="639">
        <f t="shared" ref="G237:K237" si="190">F202-G202</f>
        <v>0</v>
      </c>
      <c r="H237" s="639">
        <f t="shared" si="190"/>
        <v>0</v>
      </c>
      <c r="I237" s="639">
        <f t="shared" si="190"/>
        <v>0</v>
      </c>
      <c r="J237" s="639">
        <f t="shared" si="190"/>
        <v>0</v>
      </c>
      <c r="K237" s="797">
        <f t="shared" si="190"/>
        <v>0</v>
      </c>
      <c r="L237" s="52"/>
      <c r="M237" s="1"/>
      <c r="N237" s="1"/>
      <c r="O237" s="1"/>
      <c r="P237" s="1"/>
      <c r="Q237" s="1"/>
      <c r="R237" s="1"/>
      <c r="S237" s="52"/>
      <c r="T237" s="452" t="s">
        <v>368</v>
      </c>
      <c r="U237" s="52"/>
      <c r="V237" s="639">
        <f t="shared" si="185"/>
        <v>-33</v>
      </c>
      <c r="W237" s="639">
        <f t="shared" si="183"/>
        <v>40</v>
      </c>
      <c r="X237" s="639">
        <f t="shared" si="183"/>
        <v>37</v>
      </c>
      <c r="Y237" s="469">
        <f t="shared" si="183"/>
        <v>-13</v>
      </c>
      <c r="Z237" s="639">
        <v>0</v>
      </c>
      <c r="AA237" s="639">
        <v>0</v>
      </c>
      <c r="AB237" s="639">
        <v>0</v>
      </c>
      <c r="AC237" s="639">
        <v>0</v>
      </c>
      <c r="AD237" s="797">
        <v>0</v>
      </c>
      <c r="AE237" s="52"/>
      <c r="AF237" s="52"/>
      <c r="AG237" s="52"/>
      <c r="AH237" s="52"/>
      <c r="AI237" s="52"/>
      <c r="AJ237" s="52"/>
      <c r="AK237" s="52"/>
      <c r="AL237" s="52"/>
      <c r="AM237" s="52"/>
      <c r="AN237" s="52"/>
      <c r="AO237" s="52"/>
      <c r="AP237" s="1"/>
      <c r="AQ237" s="1"/>
      <c r="AR237" s="1"/>
      <c r="AS237" s="1"/>
      <c r="AT237" s="1"/>
      <c r="AU237" s="1"/>
      <c r="AV237" s="1"/>
      <c r="AW237" s="1"/>
      <c r="AX237" s="1"/>
      <c r="AY237" s="1"/>
      <c r="AZ237" s="1"/>
      <c r="BA237" s="1"/>
      <c r="BB237" s="1"/>
      <c r="BC237" s="1"/>
    </row>
    <row r="238" spans="1:55">
      <c r="A238" s="641" t="s">
        <v>356</v>
      </c>
      <c r="B238" s="101"/>
      <c r="C238" s="456">
        <f>'Reorganised Statements'!C140</f>
        <v>20</v>
      </c>
      <c r="D238" s="456">
        <f>'Reorganised Statements'!D140</f>
        <v>-91</v>
      </c>
      <c r="E238" s="456">
        <f>'Reorganised Statements'!E140</f>
        <v>11</v>
      </c>
      <c r="F238" s="457">
        <f>'Reorganised Statements'!F140</f>
        <v>-3</v>
      </c>
      <c r="G238" s="456">
        <v>-3.9753045894325085</v>
      </c>
      <c r="H238" s="456">
        <v>-4.2924410555657548</v>
      </c>
      <c r="I238" s="456">
        <v>-4.7729269176391718</v>
      </c>
      <c r="J238" s="456">
        <v>-5.3497872540639371</v>
      </c>
      <c r="K238" s="799">
        <v>-5.9029515610100454</v>
      </c>
      <c r="L238" s="594"/>
      <c r="M238" s="433"/>
      <c r="N238" s="433"/>
      <c r="O238" s="433"/>
      <c r="P238" s="433"/>
      <c r="Q238" s="433"/>
      <c r="R238" s="433"/>
      <c r="S238" s="594"/>
      <c r="T238" s="641" t="s">
        <v>356</v>
      </c>
      <c r="U238" s="365"/>
      <c r="V238" s="456">
        <f t="shared" si="185"/>
        <v>20</v>
      </c>
      <c r="W238" s="456">
        <f t="shared" si="183"/>
        <v>-91</v>
      </c>
      <c r="X238" s="456">
        <f t="shared" si="183"/>
        <v>11</v>
      </c>
      <c r="Y238" s="457">
        <f t="shared" si="183"/>
        <v>-3</v>
      </c>
      <c r="Z238" s="456">
        <v>-3.9753045894325085</v>
      </c>
      <c r="AA238" s="456">
        <v>-4.2924410555657548</v>
      </c>
      <c r="AB238" s="456">
        <v>-4.7729269176391718</v>
      </c>
      <c r="AC238" s="456">
        <v>-5.3497872540639371</v>
      </c>
      <c r="AD238" s="799">
        <v>-5.9029515610100454</v>
      </c>
      <c r="AE238" s="52"/>
      <c r="AF238" s="52"/>
      <c r="AG238" s="52"/>
      <c r="AH238" s="52"/>
      <c r="AI238" s="52"/>
      <c r="AJ238" s="52"/>
      <c r="AK238" s="52"/>
      <c r="AL238" s="52"/>
      <c r="AM238" s="52"/>
      <c r="AN238" s="52"/>
      <c r="AO238" s="52"/>
      <c r="AP238" s="1"/>
      <c r="AQ238" s="1"/>
      <c r="AR238" s="1"/>
      <c r="AS238" s="1"/>
      <c r="AT238" s="1"/>
      <c r="AU238" s="1"/>
      <c r="AV238" s="1"/>
      <c r="AW238" s="1"/>
      <c r="AX238" s="1"/>
      <c r="AY238" s="1"/>
      <c r="AZ238" s="1"/>
      <c r="BA238" s="1"/>
      <c r="BB238" s="1"/>
      <c r="BC238" s="1"/>
    </row>
    <row r="239" spans="1:55">
      <c r="A239" s="452" t="s">
        <v>357</v>
      </c>
      <c r="B239" s="52"/>
      <c r="C239" s="639">
        <f>C222+C231+C233+C234+C235+C236+C237+C238</f>
        <v>32.18562874251495</v>
      </c>
      <c r="D239" s="639">
        <f t="shared" ref="D239:K239" si="191">D222+D231+D233+D234+D235+D236+D237+D238</f>
        <v>765.33333333333326</v>
      </c>
      <c r="E239" s="639">
        <f t="shared" si="191"/>
        <v>31.600000000000023</v>
      </c>
      <c r="F239" s="469">
        <f t="shared" si="191"/>
        <v>229.51807228915663</v>
      </c>
      <c r="G239" s="639">
        <f t="shared" si="191"/>
        <v>171.30595206308615</v>
      </c>
      <c r="H239" s="639">
        <f t="shared" si="191"/>
        <v>214.87354111641775</v>
      </c>
      <c r="I239" s="639">
        <f t="shared" si="191"/>
        <v>261.9284797429321</v>
      </c>
      <c r="J239" s="639">
        <f t="shared" si="191"/>
        <v>312.17339622625457</v>
      </c>
      <c r="K239" s="804">
        <f t="shared" si="191"/>
        <v>365.85603775044586</v>
      </c>
      <c r="L239" s="52"/>
      <c r="M239" s="1"/>
      <c r="N239" s="1"/>
      <c r="O239" s="1"/>
      <c r="P239" s="1"/>
      <c r="Q239" s="1"/>
      <c r="R239" s="1"/>
      <c r="S239" s="52"/>
      <c r="T239" s="637" t="s">
        <v>357</v>
      </c>
      <c r="U239" s="100"/>
      <c r="V239" s="638">
        <f>V222+V231+V233+V234+V235+V236+V237+V238</f>
        <v>32.18562874251495</v>
      </c>
      <c r="W239" s="638">
        <f t="shared" ref="W239:Y239" si="192">W222+W231+W233+W234+W235+W236+W237+W238</f>
        <v>765.33333333333326</v>
      </c>
      <c r="X239" s="638">
        <f t="shared" si="192"/>
        <v>31.600000000000023</v>
      </c>
      <c r="Y239" s="464">
        <f t="shared" si="192"/>
        <v>229.51807228915663</v>
      </c>
      <c r="Z239" s="638">
        <v>153.92095593565264</v>
      </c>
      <c r="AA239" s="638">
        <v>203.4991598179929</v>
      </c>
      <c r="AB239" s="638">
        <v>255.40145635532625</v>
      </c>
      <c r="AC239" s="638">
        <v>309.84115533779891</v>
      </c>
      <c r="AD239" s="800">
        <v>367.92674475562848</v>
      </c>
      <c r="AE239" s="52"/>
      <c r="AF239" s="52"/>
      <c r="AG239" s="52"/>
      <c r="AH239" s="52"/>
      <c r="AI239" s="52"/>
      <c r="AJ239" s="52"/>
      <c r="AK239" s="52"/>
      <c r="AL239" s="52"/>
      <c r="AM239" s="52"/>
      <c r="AN239" s="52"/>
      <c r="AO239" s="52"/>
      <c r="AP239" s="1"/>
      <c r="AQ239" s="1"/>
      <c r="AR239" s="1"/>
      <c r="AS239" s="1"/>
      <c r="AT239" s="1"/>
      <c r="AU239" s="1"/>
      <c r="AV239" s="1"/>
      <c r="AW239" s="1"/>
      <c r="AX239" s="1"/>
      <c r="AY239" s="1"/>
      <c r="AZ239" s="1"/>
      <c r="BA239" s="1"/>
      <c r="BB239" s="1"/>
      <c r="BC239" s="1"/>
    </row>
    <row r="240" spans="1:55">
      <c r="A240" s="452"/>
      <c r="B240" s="52"/>
      <c r="C240" s="639"/>
      <c r="D240" s="639"/>
      <c r="E240" s="639"/>
      <c r="F240" s="469"/>
      <c r="G240" s="639"/>
      <c r="H240" s="639"/>
      <c r="I240" s="639"/>
      <c r="J240" s="639"/>
      <c r="K240" s="797"/>
      <c r="L240" s="361"/>
      <c r="M240" s="362"/>
      <c r="N240" s="362"/>
      <c r="O240" s="362"/>
      <c r="P240" s="362"/>
      <c r="Q240" s="362"/>
      <c r="R240" s="362"/>
      <c r="S240" s="361"/>
      <c r="T240" s="452"/>
      <c r="U240" s="52"/>
      <c r="V240" s="639"/>
      <c r="W240" s="639"/>
      <c r="X240" s="639"/>
      <c r="Y240" s="469"/>
      <c r="Z240" s="639"/>
      <c r="AA240" s="639"/>
      <c r="AB240" s="639"/>
      <c r="AC240" s="639"/>
      <c r="AD240" s="797"/>
      <c r="AE240" s="52"/>
      <c r="AF240" s="52"/>
      <c r="AG240" s="52"/>
      <c r="AH240" s="52"/>
      <c r="AI240" s="52"/>
      <c r="AJ240" s="52"/>
      <c r="AK240" s="52"/>
      <c r="AL240" s="52"/>
      <c r="AM240" s="52"/>
      <c r="AN240" s="52"/>
      <c r="AO240" s="52"/>
      <c r="AP240" s="1"/>
      <c r="AQ240" s="1"/>
      <c r="AR240" s="1"/>
      <c r="AS240" s="1"/>
      <c r="AT240" s="1"/>
      <c r="AU240" s="1"/>
      <c r="AV240" s="1"/>
      <c r="AW240" s="1"/>
      <c r="AX240" s="1"/>
      <c r="AY240" s="1"/>
      <c r="AZ240" s="1"/>
      <c r="BA240" s="1"/>
      <c r="BB240" s="1"/>
      <c r="BC240" s="1"/>
    </row>
    <row r="241" spans="1:55">
      <c r="A241" s="452" t="s">
        <v>359</v>
      </c>
      <c r="B241" s="52"/>
      <c r="C241" s="639">
        <f>C175 + B190-C190</f>
        <v>-108</v>
      </c>
      <c r="D241" s="639">
        <f>D175 + C190-D190</f>
        <v>-105</v>
      </c>
      <c r="E241" s="639">
        <f>E175 + D190-E190</f>
        <v>-36</v>
      </c>
      <c r="F241" s="469">
        <f>F175 + E190-F190</f>
        <v>-126</v>
      </c>
      <c r="G241" s="639">
        <f>G175+F190-G190</f>
        <v>-101.93086741299238</v>
      </c>
      <c r="H241" s="639">
        <f>H175+G190-H190</f>
        <v>-114.20862270879553</v>
      </c>
      <c r="I241" s="639">
        <f>I175+H190-I190</f>
        <v>-109.72322231947831</v>
      </c>
      <c r="J241" s="639">
        <f>J175+I190-J190</f>
        <v>-97.283036645083016</v>
      </c>
      <c r="K241" s="797">
        <f>K175+J190-K190</f>
        <v>-92.541909028653066</v>
      </c>
      <c r="L241" s="52"/>
      <c r="M241" s="1"/>
      <c r="N241" s="1"/>
      <c r="O241" s="1"/>
      <c r="P241" s="1"/>
      <c r="Q241" s="1"/>
      <c r="R241" s="1"/>
      <c r="S241" s="52"/>
      <c r="T241" s="452" t="s">
        <v>359</v>
      </c>
      <c r="U241" s="52"/>
      <c r="V241" s="639">
        <f>C241</f>
        <v>-108</v>
      </c>
      <c r="W241" s="639">
        <f t="shared" ref="W241:Y243" si="193">D241</f>
        <v>-105</v>
      </c>
      <c r="X241" s="639">
        <f t="shared" si="193"/>
        <v>-36</v>
      </c>
      <c r="Y241" s="469">
        <f t="shared" si="193"/>
        <v>-126</v>
      </c>
      <c r="Z241" s="639">
        <v>-107.83965773302464</v>
      </c>
      <c r="AA241" s="639">
        <v>-111.39857191207112</v>
      </c>
      <c r="AB241" s="639">
        <v>-115.07493704005491</v>
      </c>
      <c r="AC241" s="639">
        <v>-118.87262922207778</v>
      </c>
      <c r="AD241" s="797">
        <v>-122.88773525486037</v>
      </c>
      <c r="AE241" s="52"/>
      <c r="AF241" s="52"/>
      <c r="AG241" s="52"/>
      <c r="AH241" s="52"/>
      <c r="AI241" s="52"/>
      <c r="AJ241" s="52"/>
      <c r="AK241" s="52"/>
      <c r="AL241" s="52"/>
      <c r="AM241" s="52"/>
      <c r="AN241" s="52"/>
      <c r="AO241" s="52"/>
      <c r="AP241" s="1"/>
      <c r="AQ241" s="1"/>
      <c r="AR241" s="1"/>
      <c r="AS241" s="1"/>
      <c r="AT241" s="1"/>
      <c r="AU241" s="1"/>
      <c r="AV241" s="1"/>
      <c r="AW241" s="1"/>
      <c r="AX241" s="1"/>
      <c r="AY241" s="1"/>
      <c r="AZ241" s="1"/>
      <c r="BA241" s="1"/>
      <c r="BB241" s="1"/>
      <c r="BC241" s="1"/>
    </row>
    <row r="242" spans="1:55">
      <c r="A242" s="452" t="s">
        <v>360</v>
      </c>
      <c r="B242" s="52"/>
      <c r="C242" s="639">
        <f>B209-C209</f>
        <v>14</v>
      </c>
      <c r="D242" s="639">
        <f t="shared" ref="D242:F242" si="194">C209-D209</f>
        <v>143</v>
      </c>
      <c r="E242" s="639">
        <f t="shared" si="194"/>
        <v>-260</v>
      </c>
      <c r="F242" s="469">
        <f t="shared" si="194"/>
        <v>-67</v>
      </c>
      <c r="G242" s="639">
        <f>F209-G209</f>
        <v>240.43938114354978</v>
      </c>
      <c r="H242" s="639">
        <f t="shared" ref="H242:K242" si="195">G209-H209</f>
        <v>127.1048379736485</v>
      </c>
      <c r="I242" s="639">
        <f t="shared" si="195"/>
        <v>131.29953980782602</v>
      </c>
      <c r="J242" s="639">
        <f t="shared" si="195"/>
        <v>135.63267479496699</v>
      </c>
      <c r="K242" s="797">
        <f t="shared" si="195"/>
        <v>143.39750161679422</v>
      </c>
      <c r="L242" s="52"/>
      <c r="M242" s="1"/>
      <c r="N242" s="1"/>
      <c r="O242" s="1"/>
      <c r="P242" s="1"/>
      <c r="Q242" s="1"/>
      <c r="R242" s="1"/>
      <c r="S242" s="52"/>
      <c r="T242" s="452" t="s">
        <v>360</v>
      </c>
      <c r="U242" s="52"/>
      <c r="V242" s="639">
        <f t="shared" ref="V242:V243" si="196">C242</f>
        <v>14</v>
      </c>
      <c r="W242" s="639">
        <f t="shared" si="193"/>
        <v>143</v>
      </c>
      <c r="X242" s="639">
        <f t="shared" si="193"/>
        <v>-260</v>
      </c>
      <c r="Y242" s="469">
        <f t="shared" si="193"/>
        <v>-67</v>
      </c>
      <c r="Z242" s="639">
        <v>240.43938114354978</v>
      </c>
      <c r="AA242" s="639">
        <v>127.1048379736485</v>
      </c>
      <c r="AB242" s="639">
        <v>131.29953980782602</v>
      </c>
      <c r="AC242" s="639">
        <v>135.63267479496699</v>
      </c>
      <c r="AD242" s="797">
        <v>143.39750161679422</v>
      </c>
      <c r="AE242" s="52"/>
      <c r="AF242" s="52"/>
      <c r="AG242" s="52"/>
      <c r="AH242" s="52"/>
      <c r="AI242" s="52"/>
      <c r="AJ242" s="52"/>
      <c r="AK242" s="52"/>
      <c r="AL242" s="52"/>
      <c r="AM242" s="52"/>
      <c r="AN242" s="52"/>
      <c r="AO242" s="52"/>
      <c r="AP242" s="1"/>
      <c r="AQ242" s="1"/>
      <c r="AR242" s="1"/>
      <c r="AS242" s="1"/>
      <c r="AT242" s="1"/>
      <c r="AU242" s="1"/>
      <c r="AV242" s="1"/>
      <c r="AW242" s="1"/>
      <c r="AX242" s="1"/>
      <c r="AY242" s="1"/>
      <c r="AZ242" s="1"/>
      <c r="BA242" s="1"/>
      <c r="BB242" s="1"/>
      <c r="BC242" s="1"/>
    </row>
    <row r="243" spans="1:55">
      <c r="A243" s="641" t="s">
        <v>377</v>
      </c>
      <c r="B243" s="101"/>
      <c r="C243" s="456">
        <f>-C221</f>
        <v>39.814371257485028</v>
      </c>
      <c r="D243" s="456">
        <f t="shared" ref="D243:F243" si="197">-D221</f>
        <v>44.666666666666664</v>
      </c>
      <c r="E243" s="456">
        <f t="shared" si="197"/>
        <v>31.400000000000002</v>
      </c>
      <c r="F243" s="457">
        <f t="shared" si="197"/>
        <v>34.481927710843372</v>
      </c>
      <c r="G243" s="456">
        <f>-G221</f>
        <v>29.182808403670457</v>
      </c>
      <c r="H243" s="456">
        <f t="shared" ref="H243:K243" si="198">-H221</f>
        <v>32.729006390658689</v>
      </c>
      <c r="I243" s="456">
        <f t="shared" si="198"/>
        <v>31.331657671045356</v>
      </c>
      <c r="J243" s="456">
        <f t="shared" si="198"/>
        <v>27.647101108101289</v>
      </c>
      <c r="K243" s="799">
        <f t="shared" si="198"/>
        <v>26.233867677709359</v>
      </c>
      <c r="L243" s="52"/>
      <c r="M243" s="1"/>
      <c r="N243" s="1"/>
      <c r="O243" s="1"/>
      <c r="P243" s="1"/>
      <c r="Q243" s="1"/>
      <c r="R243" s="1"/>
      <c r="S243" s="52"/>
      <c r="T243" s="641" t="s">
        <v>377</v>
      </c>
      <c r="U243" s="365"/>
      <c r="V243" s="456">
        <f t="shared" si="196"/>
        <v>39.814371257485028</v>
      </c>
      <c r="W243" s="456">
        <f t="shared" si="193"/>
        <v>44.666666666666664</v>
      </c>
      <c r="X243" s="456">
        <f t="shared" si="193"/>
        <v>31.400000000000002</v>
      </c>
      <c r="Y243" s="457">
        <f t="shared" si="193"/>
        <v>34.481927710843372</v>
      </c>
      <c r="Z243" s="456">
        <v>30.84305335979348</v>
      </c>
      <c r="AA243" s="456">
        <v>31.84531150702696</v>
      </c>
      <c r="AB243" s="456">
        <v>32.876437878573547</v>
      </c>
      <c r="AC243" s="456">
        <v>33.93786850375642</v>
      </c>
      <c r="AD243" s="799">
        <v>35.05843441441592</v>
      </c>
      <c r="AE243" s="52"/>
      <c r="AF243" s="52"/>
      <c r="AG243" s="52"/>
      <c r="AH243" s="52"/>
      <c r="AI243" s="52"/>
      <c r="AJ243" s="52"/>
      <c r="AK243" s="52"/>
      <c r="AL243" s="52"/>
      <c r="AM243" s="52"/>
      <c r="AN243" s="52"/>
      <c r="AO243" s="52"/>
      <c r="AP243" s="1"/>
      <c r="AQ243" s="1"/>
      <c r="AR243" s="1"/>
      <c r="AS243" s="1"/>
      <c r="AT243" s="1"/>
      <c r="AU243" s="1"/>
      <c r="AV243" s="1"/>
      <c r="AW243" s="1"/>
      <c r="AX243" s="1"/>
      <c r="AY243" s="1"/>
      <c r="AZ243" s="1"/>
      <c r="BA243" s="1"/>
      <c r="BB243" s="1"/>
      <c r="BC243" s="1"/>
    </row>
    <row r="244" spans="1:55">
      <c r="A244" s="452" t="s">
        <v>361</v>
      </c>
      <c r="B244" s="52"/>
      <c r="C244" s="639">
        <f>C239+C241+C242+C243</f>
        <v>-22.000000000000021</v>
      </c>
      <c r="D244" s="639">
        <f t="shared" ref="D244:F244" si="199">D239+D241+D242+D243</f>
        <v>847.99999999999989</v>
      </c>
      <c r="E244" s="639">
        <f t="shared" si="199"/>
        <v>-232.99999999999997</v>
      </c>
      <c r="F244" s="469">
        <f t="shared" si="199"/>
        <v>71</v>
      </c>
      <c r="G244" s="639">
        <f>G239+G241+G242+G243</f>
        <v>338.99727419731397</v>
      </c>
      <c r="H244" s="639">
        <f t="shared" ref="H244:K244" si="200">H239+H241+H242+H243</f>
        <v>260.49876277192942</v>
      </c>
      <c r="I244" s="639">
        <f t="shared" si="200"/>
        <v>314.83645490232516</v>
      </c>
      <c r="J244" s="639">
        <f t="shared" si="200"/>
        <v>378.17013548423984</v>
      </c>
      <c r="K244" s="797">
        <f t="shared" si="200"/>
        <v>442.94549801629643</v>
      </c>
      <c r="L244" s="52"/>
      <c r="M244" s="1"/>
      <c r="N244" s="1"/>
      <c r="O244" s="1"/>
      <c r="P244" s="1"/>
      <c r="Q244" s="1"/>
      <c r="R244" s="1"/>
      <c r="S244" s="52"/>
      <c r="T244" s="637" t="s">
        <v>361</v>
      </c>
      <c r="U244" s="100"/>
      <c r="V244" s="638">
        <f>V239+V241+V242+V243</f>
        <v>-22.000000000000021</v>
      </c>
      <c r="W244" s="638">
        <f t="shared" ref="W244:Y244" si="201">W239+W241+W242+W243</f>
        <v>847.99999999999989</v>
      </c>
      <c r="X244" s="638">
        <f t="shared" si="201"/>
        <v>-232.99999999999997</v>
      </c>
      <c r="Y244" s="464">
        <f t="shared" si="201"/>
        <v>71</v>
      </c>
      <c r="Z244" s="638">
        <v>317.36373270597124</v>
      </c>
      <c r="AA244" s="638">
        <v>251.05073738659723</v>
      </c>
      <c r="AB244" s="638">
        <v>304.50249700167092</v>
      </c>
      <c r="AC244" s="638">
        <v>360.53906941444455</v>
      </c>
      <c r="AD244" s="796">
        <v>423.4949455319782</v>
      </c>
      <c r="AE244" s="52"/>
      <c r="AF244" s="52"/>
      <c r="AG244" s="52"/>
      <c r="AH244" s="52"/>
      <c r="AI244" s="52"/>
      <c r="AJ244" s="52"/>
      <c r="AK244" s="52"/>
      <c r="AL244" s="52"/>
      <c r="AM244" s="52"/>
      <c r="AN244" s="52"/>
      <c r="AO244" s="52"/>
      <c r="AP244" s="1"/>
      <c r="AQ244" s="1"/>
      <c r="AR244" s="1"/>
      <c r="AS244" s="1"/>
      <c r="AT244" s="1"/>
      <c r="AU244" s="1"/>
      <c r="AV244" s="1"/>
      <c r="AW244" s="1"/>
      <c r="AX244" s="1"/>
      <c r="AY244" s="1"/>
      <c r="AZ244" s="1"/>
      <c r="BA244" s="1"/>
      <c r="BB244" s="1"/>
      <c r="BC244" s="1"/>
    </row>
    <row r="245" spans="1:55">
      <c r="A245" s="452"/>
      <c r="B245" s="52"/>
      <c r="C245" s="639"/>
      <c r="D245" s="639"/>
      <c r="E245" s="639"/>
      <c r="F245" s="469"/>
      <c r="G245" s="639"/>
      <c r="H245" s="639"/>
      <c r="I245" s="639"/>
      <c r="J245" s="639"/>
      <c r="K245" s="797"/>
      <c r="L245" s="52"/>
      <c r="M245" s="1"/>
      <c r="N245" s="1"/>
      <c r="O245" s="1"/>
      <c r="P245" s="1"/>
      <c r="Q245" s="1"/>
      <c r="R245" s="1"/>
      <c r="S245" s="52"/>
      <c r="T245" s="452"/>
      <c r="U245" s="52"/>
      <c r="V245" s="639"/>
      <c r="W245" s="639"/>
      <c r="X245" s="639"/>
      <c r="Y245" s="469"/>
      <c r="Z245" s="639"/>
      <c r="AA245" s="639"/>
      <c r="AB245" s="639"/>
      <c r="AC245" s="639"/>
      <c r="AD245" s="797"/>
      <c r="AE245" s="52"/>
      <c r="AF245" s="52"/>
      <c r="AG245" s="52"/>
      <c r="AH245" s="52"/>
      <c r="AI245" s="52"/>
      <c r="AJ245" s="52"/>
      <c r="AK245" s="52"/>
      <c r="AL245" s="52"/>
      <c r="AM245" s="52"/>
      <c r="AN245" s="52"/>
      <c r="AO245" s="52"/>
      <c r="AP245" s="1"/>
      <c r="AQ245" s="1"/>
      <c r="AR245" s="1"/>
      <c r="AS245" s="1"/>
      <c r="AT245" s="1"/>
      <c r="AU245" s="1"/>
      <c r="AV245" s="1"/>
      <c r="AW245" s="1"/>
      <c r="AX245" s="1"/>
      <c r="AY245" s="1"/>
      <c r="AZ245" s="1"/>
      <c r="BA245" s="1"/>
      <c r="BB245" s="1"/>
      <c r="BC245" s="1"/>
    </row>
    <row r="246" spans="1:55">
      <c r="A246" s="452" t="s">
        <v>363</v>
      </c>
      <c r="B246" s="52"/>
      <c r="C246" s="639">
        <f t="shared" ref="C246:K246" si="202">B207-C207-C181</f>
        <v>-212</v>
      </c>
      <c r="D246" s="639">
        <f t="shared" si="202"/>
        <v>-559</v>
      </c>
      <c r="E246" s="639">
        <f t="shared" si="202"/>
        <v>166</v>
      </c>
      <c r="F246" s="469">
        <f t="shared" si="202"/>
        <v>-261</v>
      </c>
      <c r="G246" s="639">
        <f t="shared" si="202"/>
        <v>-248.73470848000005</v>
      </c>
      <c r="H246" s="639">
        <f t="shared" si="202"/>
        <v>-261.17144390399994</v>
      </c>
      <c r="I246" s="639">
        <f t="shared" si="202"/>
        <v>-274.23001609920021</v>
      </c>
      <c r="J246" s="639">
        <f t="shared" si="202"/>
        <v>-287.94151690416049</v>
      </c>
      <c r="K246" s="797">
        <f t="shared" si="202"/>
        <v>-302.33859274936822</v>
      </c>
      <c r="L246" s="52"/>
      <c r="M246" s="1"/>
      <c r="N246" s="1"/>
      <c r="O246" s="1"/>
      <c r="P246" s="1"/>
      <c r="Q246" s="1"/>
      <c r="R246" s="1"/>
      <c r="S246" s="52"/>
      <c r="T246" s="452" t="s">
        <v>363</v>
      </c>
      <c r="U246" s="52"/>
      <c r="V246" s="639">
        <f>C246</f>
        <v>-212</v>
      </c>
      <c r="W246" s="639">
        <f t="shared" ref="W246:Y247" si="203">D246</f>
        <v>-559</v>
      </c>
      <c r="X246" s="639">
        <f t="shared" si="203"/>
        <v>166</v>
      </c>
      <c r="Y246" s="469">
        <f t="shared" si="203"/>
        <v>-261</v>
      </c>
      <c r="Z246" s="639">
        <v>-288.13791578326789</v>
      </c>
      <c r="AA246" s="639">
        <v>-292.91389758427425</v>
      </c>
      <c r="AB246" s="639">
        <v>-286.23314460699834</v>
      </c>
      <c r="AC246" s="639">
        <v>-274.82937854273388</v>
      </c>
      <c r="AD246" s="797">
        <v>-270.27219398333932</v>
      </c>
      <c r="AE246" s="52"/>
      <c r="AF246" s="52"/>
      <c r="AG246" s="52"/>
      <c r="AH246" s="52"/>
      <c r="AI246" s="52"/>
      <c r="AJ246" s="52"/>
      <c r="AK246" s="52"/>
      <c r="AL246" s="52"/>
      <c r="AM246" s="52"/>
      <c r="AN246" s="52"/>
      <c r="AO246" s="52"/>
      <c r="AP246" s="1"/>
      <c r="AQ246" s="1"/>
      <c r="AR246" s="1"/>
      <c r="AS246" s="1"/>
      <c r="AT246" s="1"/>
      <c r="AU246" s="1"/>
      <c r="AV246" s="1"/>
      <c r="AW246" s="1"/>
      <c r="AX246" s="1"/>
      <c r="AY246" s="1"/>
      <c r="AZ246" s="1"/>
      <c r="BA246" s="1"/>
      <c r="BB246" s="1"/>
      <c r="BC246" s="1"/>
    </row>
    <row r="247" spans="1:55" ht="15" thickBot="1">
      <c r="A247" s="643" t="s">
        <v>364</v>
      </c>
      <c r="B247" s="368"/>
      <c r="C247" s="784">
        <f>C244+C246</f>
        <v>-234.00000000000003</v>
      </c>
      <c r="D247" s="784">
        <f>D244+D246</f>
        <v>288.99999999999989</v>
      </c>
      <c r="E247" s="784">
        <f>E244+E246</f>
        <v>-66.999999999999972</v>
      </c>
      <c r="F247" s="785">
        <f>F244+F246</f>
        <v>-190</v>
      </c>
      <c r="G247" s="784">
        <f>G244+G246</f>
        <v>90.262565717313919</v>
      </c>
      <c r="H247" s="784">
        <f t="shared" ref="H247:K247" si="204">H244+H246</f>
        <v>-0.67268113207052238</v>
      </c>
      <c r="I247" s="784">
        <f t="shared" si="204"/>
        <v>40.606438803124945</v>
      </c>
      <c r="J247" s="784">
        <f t="shared" si="204"/>
        <v>90.228618580079342</v>
      </c>
      <c r="K247" s="794">
        <f t="shared" si="204"/>
        <v>140.60690526692821</v>
      </c>
      <c r="L247" s="52"/>
      <c r="M247" s="1"/>
      <c r="N247" s="1"/>
      <c r="O247" s="1"/>
      <c r="P247" s="1"/>
      <c r="Q247" s="1"/>
      <c r="R247" s="1"/>
      <c r="S247" s="52"/>
      <c r="T247" s="643" t="s">
        <v>364</v>
      </c>
      <c r="U247" s="368"/>
      <c r="V247" s="784">
        <f>C247</f>
        <v>-234.00000000000003</v>
      </c>
      <c r="W247" s="784">
        <f t="shared" si="203"/>
        <v>288.99999999999989</v>
      </c>
      <c r="X247" s="784">
        <f t="shared" si="203"/>
        <v>-66.999999999999972</v>
      </c>
      <c r="Y247" s="785">
        <f t="shared" si="203"/>
        <v>-190</v>
      </c>
      <c r="Z247" s="784">
        <v>29.225816922703359</v>
      </c>
      <c r="AA247" s="784">
        <v>-41.863160197677018</v>
      </c>
      <c r="AB247" s="784">
        <v>18.26935239467258</v>
      </c>
      <c r="AC247" s="784">
        <v>85.709690871710677</v>
      </c>
      <c r="AD247" s="794">
        <v>153.22275154863888</v>
      </c>
      <c r="AE247" s="52"/>
      <c r="AF247" s="52"/>
      <c r="AG247" s="52"/>
      <c r="AH247" s="52"/>
      <c r="AI247" s="52"/>
      <c r="AJ247" s="52"/>
      <c r="AK247" s="52"/>
      <c r="AL247" s="52"/>
      <c r="AM247" s="52"/>
      <c r="AN247" s="52"/>
      <c r="AO247" s="52"/>
      <c r="AP247" s="1"/>
      <c r="AQ247" s="1"/>
      <c r="AR247" s="1"/>
      <c r="AS247" s="1"/>
      <c r="AT247" s="1"/>
      <c r="AU247" s="1"/>
      <c r="AV247" s="1"/>
      <c r="AW247" s="1"/>
      <c r="AX247" s="1"/>
      <c r="AY247" s="1"/>
      <c r="AZ247" s="1"/>
      <c r="BA247" s="1"/>
      <c r="BB247" s="1"/>
      <c r="BC247" s="1"/>
    </row>
    <row r="248" spans="1:55">
      <c r="A248" s="1"/>
      <c r="B248" s="1"/>
      <c r="C248" s="468"/>
      <c r="D248" s="468"/>
      <c r="E248" s="468"/>
      <c r="F248" s="468"/>
      <c r="G248" s="468"/>
      <c r="H248" s="468"/>
      <c r="I248" s="468"/>
      <c r="J248" s="468"/>
      <c r="K248" s="468"/>
      <c r="L248" s="52"/>
      <c r="M248" s="1"/>
      <c r="N248" s="1"/>
      <c r="O248" s="1"/>
      <c r="P248" s="1"/>
      <c r="Q248" s="1"/>
      <c r="R248" s="1"/>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c r="AP248" s="1"/>
      <c r="AQ248" s="1"/>
      <c r="AR248" s="1"/>
      <c r="AS248" s="1"/>
      <c r="AT248" s="1"/>
      <c r="AU248" s="1"/>
      <c r="AV248" s="1"/>
      <c r="AW248" s="1"/>
      <c r="AX248" s="1"/>
      <c r="AY248" s="1"/>
      <c r="AZ248" s="1"/>
      <c r="BA248" s="1"/>
      <c r="BB248" s="1"/>
      <c r="BC248" s="1"/>
    </row>
    <row r="249" spans="1:55">
      <c r="A249" s="1"/>
      <c r="B249" s="1"/>
      <c r="C249" s="468"/>
      <c r="D249" s="468"/>
      <c r="E249" s="468"/>
      <c r="F249" s="468"/>
      <c r="G249" s="468"/>
      <c r="H249" s="468"/>
      <c r="I249" s="468"/>
      <c r="J249" s="468"/>
      <c r="K249" s="468"/>
      <c r="L249" s="52"/>
      <c r="M249" s="1"/>
      <c r="N249" s="1"/>
      <c r="O249" s="1"/>
      <c r="P249" s="1"/>
      <c r="Q249" s="1"/>
      <c r="R249" s="1"/>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c r="AP249" s="1"/>
      <c r="AQ249" s="1"/>
      <c r="AR249" s="1"/>
      <c r="AS249" s="1"/>
      <c r="AT249" s="1"/>
      <c r="AU249" s="1"/>
      <c r="AV249" s="1"/>
      <c r="AW249" s="1"/>
      <c r="AX249" s="1"/>
      <c r="AY249" s="1"/>
      <c r="AZ249" s="1"/>
      <c r="BA249" s="1"/>
      <c r="BB249" s="1"/>
      <c r="BC249" s="1"/>
    </row>
    <row r="250" spans="1:55">
      <c r="A250" s="1"/>
      <c r="B250" s="1"/>
      <c r="C250" s="468"/>
      <c r="D250" s="468"/>
      <c r="E250" s="468"/>
      <c r="F250" s="468"/>
      <c r="G250" s="468"/>
      <c r="H250" s="468"/>
      <c r="I250" s="468"/>
      <c r="J250" s="468"/>
      <c r="K250" s="468"/>
      <c r="L250" s="52"/>
      <c r="M250" s="1"/>
      <c r="N250" s="1"/>
      <c r="O250" s="1"/>
      <c r="P250" s="1"/>
      <c r="Q250" s="1"/>
      <c r="R250" s="1"/>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c r="AP250" s="1"/>
      <c r="AQ250" s="1"/>
      <c r="AR250" s="1"/>
      <c r="AS250" s="1"/>
      <c r="AT250" s="1"/>
      <c r="AU250" s="1"/>
      <c r="AV250" s="1"/>
      <c r="AW250" s="1"/>
      <c r="AX250" s="1"/>
      <c r="AY250" s="1"/>
      <c r="AZ250" s="1"/>
      <c r="BA250" s="1"/>
      <c r="BB250" s="1"/>
      <c r="BC250" s="1"/>
    </row>
    <row r="251" spans="1:55">
      <c r="A251" s="757" t="s">
        <v>754</v>
      </c>
      <c r="B251" s="103"/>
      <c r="C251" s="795">
        <v>636</v>
      </c>
      <c r="D251" s="795">
        <v>402</v>
      </c>
      <c r="E251" s="795">
        <v>691</v>
      </c>
      <c r="F251" s="792">
        <v>624</v>
      </c>
      <c r="G251" s="795">
        <v>434</v>
      </c>
      <c r="H251" s="795">
        <f>G252</f>
        <v>524.26256571731392</v>
      </c>
      <c r="I251" s="795">
        <f>H252</f>
        <v>523.58988458524345</v>
      </c>
      <c r="J251" s="795">
        <f>I252</f>
        <v>564.19632338836846</v>
      </c>
      <c r="K251" s="792">
        <f>J252</f>
        <v>654.4249419684478</v>
      </c>
      <c r="L251" s="52"/>
      <c r="M251" s="1"/>
      <c r="N251" s="1"/>
      <c r="O251" s="1"/>
      <c r="P251" s="1"/>
      <c r="Q251" s="1"/>
      <c r="R251" s="1"/>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c r="AP251" s="1"/>
      <c r="AQ251" s="1"/>
      <c r="AR251" s="1"/>
      <c r="AS251" s="1"/>
      <c r="AT251" s="1"/>
      <c r="AU251" s="1"/>
      <c r="AV251" s="1"/>
      <c r="AW251" s="1"/>
      <c r="AX251" s="1"/>
      <c r="AY251" s="1"/>
      <c r="AZ251" s="1"/>
      <c r="BA251" s="1"/>
      <c r="BB251" s="1"/>
      <c r="BC251" s="1"/>
    </row>
    <row r="252" spans="1:55">
      <c r="A252" s="96" t="s">
        <v>755</v>
      </c>
      <c r="B252" s="101"/>
      <c r="C252" s="456">
        <v>402</v>
      </c>
      <c r="D252" s="456">
        <v>690.99999999999989</v>
      </c>
      <c r="E252" s="456">
        <v>624</v>
      </c>
      <c r="F252" s="457">
        <v>434</v>
      </c>
      <c r="G252" s="456">
        <f>G247+G251</f>
        <v>524.26256571731392</v>
      </c>
      <c r="H252" s="456">
        <f>H247+H251</f>
        <v>523.58988458524345</v>
      </c>
      <c r="I252" s="456">
        <f>I247+I251</f>
        <v>564.19632338836846</v>
      </c>
      <c r="J252" s="456">
        <f>J247+J251</f>
        <v>654.4249419684478</v>
      </c>
      <c r="K252" s="457">
        <f>K247+K251</f>
        <v>795.03184723537606</v>
      </c>
      <c r="L252" s="52"/>
      <c r="M252" s="1"/>
      <c r="N252" s="1"/>
      <c r="O252" s="1"/>
      <c r="P252" s="1"/>
      <c r="Q252" s="1"/>
      <c r="R252" s="1"/>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c r="AP252" s="1"/>
      <c r="AQ252" s="1"/>
      <c r="AR252" s="1"/>
      <c r="AS252" s="1"/>
      <c r="AT252" s="1"/>
      <c r="AU252" s="1"/>
      <c r="AV252" s="1"/>
      <c r="AW252" s="1"/>
      <c r="AX252" s="1"/>
      <c r="AY252" s="1"/>
      <c r="AZ252" s="1"/>
      <c r="BA252" s="1"/>
      <c r="BB252" s="1"/>
      <c r="BC252" s="1"/>
    </row>
    <row r="253" spans="1:55">
      <c r="A253" s="1"/>
      <c r="B253" s="1"/>
      <c r="C253" s="1"/>
      <c r="D253" s="1"/>
      <c r="E253" s="1"/>
      <c r="F253" s="1"/>
      <c r="G253" s="1"/>
      <c r="H253" s="1"/>
      <c r="I253" s="1"/>
      <c r="J253" s="1"/>
      <c r="K253" s="1"/>
      <c r="L253" s="1"/>
      <c r="M253" s="1"/>
      <c r="N253" s="1"/>
      <c r="O253" s="1"/>
      <c r="P253" s="1"/>
      <c r="Q253" s="1"/>
      <c r="R253" s="1"/>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c r="AP253" s="1"/>
      <c r="AQ253" s="1"/>
      <c r="AR253" s="1"/>
      <c r="AS253" s="1"/>
      <c r="AT253" s="1"/>
      <c r="AU253" s="1"/>
      <c r="AV253" s="1"/>
      <c r="AW253" s="1"/>
      <c r="AX253" s="1"/>
      <c r="AY253" s="1"/>
      <c r="AZ253" s="1"/>
      <c r="BA253" s="1"/>
      <c r="BB253" s="1"/>
      <c r="BC253" s="1"/>
    </row>
    <row r="254" spans="1:55">
      <c r="A254" s="1"/>
      <c r="B254" s="1"/>
      <c r="C254" s="1"/>
      <c r="D254" s="1"/>
      <c r="E254" s="1"/>
      <c r="F254" s="1"/>
      <c r="G254" s="1"/>
      <c r="H254" s="1"/>
      <c r="I254" s="1"/>
      <c r="J254" s="1"/>
      <c r="K254" s="1"/>
      <c r="L254" s="1"/>
      <c r="M254" s="1"/>
      <c r="N254" s="1"/>
      <c r="O254" s="1"/>
      <c r="P254" s="1"/>
      <c r="Q254" s="1"/>
      <c r="R254" s="1"/>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c r="AP254" s="1"/>
      <c r="AQ254" s="1"/>
      <c r="AR254" s="1"/>
      <c r="AS254" s="1"/>
      <c r="AT254" s="1"/>
      <c r="AU254" s="1"/>
      <c r="AV254" s="1"/>
      <c r="AW254" s="1"/>
      <c r="AX254" s="1"/>
      <c r="AY254" s="1"/>
      <c r="AZ254" s="1"/>
      <c r="BA254" s="1"/>
      <c r="BB254" s="1"/>
      <c r="BC254" s="1"/>
    </row>
    <row r="255" spans="1:55">
      <c r="A255" s="1"/>
      <c r="B255" s="1"/>
      <c r="C255" s="1"/>
      <c r="D255" s="1"/>
      <c r="E255" s="1"/>
      <c r="F255" s="1"/>
      <c r="G255" s="1"/>
      <c r="H255" s="1"/>
      <c r="I255" s="1"/>
      <c r="J255" s="1"/>
      <c r="K255" s="1"/>
      <c r="L255" s="1"/>
      <c r="M255" s="1"/>
      <c r="N255" s="1"/>
      <c r="O255" s="1"/>
      <c r="P255" s="1"/>
      <c r="Q255" s="1"/>
      <c r="R255" s="1"/>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c r="AP255" s="1"/>
      <c r="AQ255" s="1"/>
      <c r="AR255" s="1"/>
      <c r="AS255" s="1"/>
      <c r="AT255" s="1"/>
      <c r="AU255" s="1"/>
      <c r="AV255" s="1"/>
      <c r="AW255" s="1"/>
      <c r="AX255" s="1"/>
      <c r="AY255" s="1"/>
      <c r="AZ255" s="1"/>
      <c r="BA255" s="1"/>
      <c r="BB255" s="1"/>
      <c r="BC255" s="1"/>
    </row>
    <row r="256" spans="1:55">
      <c r="A256" s="1"/>
      <c r="B256" s="1"/>
      <c r="C256" s="1"/>
      <c r="D256" s="1"/>
      <c r="E256" s="1"/>
      <c r="F256" s="1"/>
      <c r="G256" s="1"/>
      <c r="H256" s="1"/>
      <c r="I256" s="1"/>
      <c r="J256" s="1"/>
      <c r="K256" s="1"/>
      <c r="L256" s="1"/>
      <c r="M256" s="1"/>
      <c r="N256" s="1"/>
      <c r="O256" s="1"/>
      <c r="P256" s="1"/>
      <c r="Q256" s="1"/>
      <c r="R256" s="1"/>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c r="AP256" s="1"/>
      <c r="AQ256" s="1"/>
      <c r="AR256" s="1"/>
      <c r="AS256" s="1"/>
      <c r="AT256" s="1"/>
      <c r="AU256" s="1"/>
      <c r="AV256" s="1"/>
      <c r="AW256" s="1"/>
      <c r="AX256" s="1"/>
      <c r="AY256" s="1"/>
      <c r="AZ256" s="1"/>
      <c r="BA256" s="1"/>
      <c r="BB256" s="1"/>
      <c r="BC256" s="1"/>
    </row>
    <row r="257" spans="1:55">
      <c r="A257" s="1"/>
      <c r="B257" s="1"/>
      <c r="C257" s="1"/>
      <c r="D257" s="1"/>
      <c r="E257" s="1"/>
      <c r="F257" s="1"/>
      <c r="G257" s="1"/>
      <c r="H257" s="1"/>
      <c r="I257" s="1"/>
      <c r="J257" s="1"/>
      <c r="K257" s="1"/>
      <c r="L257" s="1"/>
      <c r="M257" s="1"/>
      <c r="N257" s="1"/>
      <c r="O257" s="1"/>
      <c r="P257" s="1"/>
      <c r="Q257" s="1"/>
      <c r="R257" s="1"/>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c r="AP257" s="1"/>
      <c r="AQ257" s="1"/>
      <c r="AR257" s="1"/>
      <c r="AS257" s="1"/>
      <c r="AT257" s="1"/>
      <c r="AU257" s="1"/>
      <c r="AV257" s="1"/>
      <c r="AW257" s="1"/>
      <c r="AX257" s="1"/>
      <c r="AY257" s="1"/>
      <c r="AZ257" s="1"/>
      <c r="BA257" s="1"/>
      <c r="BB257" s="1"/>
      <c r="BC257" s="1"/>
    </row>
    <row r="258" spans="1:55">
      <c r="A258" s="1"/>
      <c r="B258" s="1"/>
      <c r="C258" s="1"/>
      <c r="D258" s="1"/>
      <c r="E258" s="1"/>
      <c r="F258" s="1"/>
      <c r="G258" s="1"/>
      <c r="H258" s="1"/>
      <c r="I258" s="1"/>
      <c r="J258" s="1"/>
      <c r="K258" s="1"/>
      <c r="L258" s="1"/>
      <c r="M258" s="1"/>
      <c r="N258" s="1"/>
      <c r="O258" s="1"/>
      <c r="P258" s="1"/>
      <c r="Q258" s="1"/>
      <c r="R258" s="1"/>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c r="AP258" s="1"/>
      <c r="AQ258" s="1"/>
      <c r="AR258" s="1"/>
      <c r="AS258" s="1"/>
      <c r="AT258" s="1"/>
      <c r="AU258" s="1"/>
      <c r="AV258" s="1"/>
      <c r="AW258" s="1"/>
      <c r="AX258" s="1"/>
      <c r="AY258" s="1"/>
      <c r="AZ258" s="1"/>
      <c r="BA258" s="1"/>
      <c r="BB258" s="1"/>
      <c r="BC258" s="1"/>
    </row>
    <row r="259" spans="1:55">
      <c r="A259" s="1"/>
      <c r="B259" s="1"/>
      <c r="C259" s="1"/>
      <c r="D259" s="1"/>
      <c r="E259" s="1"/>
      <c r="F259" s="1"/>
      <c r="G259" s="1"/>
      <c r="H259" s="1"/>
      <c r="I259" s="1"/>
      <c r="J259" s="1"/>
      <c r="K259" s="1"/>
      <c r="L259" s="1"/>
      <c r="M259" s="1"/>
      <c r="N259" s="1"/>
      <c r="O259" s="1"/>
      <c r="P259" s="1"/>
      <c r="Q259" s="1"/>
      <c r="R259" s="1"/>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c r="AP259" s="1"/>
      <c r="AQ259" s="1"/>
      <c r="AR259" s="1"/>
      <c r="AS259" s="1"/>
      <c r="AT259" s="1"/>
      <c r="AU259" s="1"/>
      <c r="AV259" s="1"/>
      <c r="AW259" s="1"/>
      <c r="AX259" s="1"/>
      <c r="AY259" s="1"/>
      <c r="AZ259" s="1"/>
      <c r="BA259" s="1"/>
      <c r="BB259" s="1"/>
      <c r="BC259" s="1"/>
    </row>
    <row r="260" spans="1:55">
      <c r="A260" s="1"/>
      <c r="B260" s="1"/>
      <c r="C260" s="1"/>
      <c r="D260" s="1"/>
      <c r="E260" s="1"/>
      <c r="F260" s="1"/>
      <c r="G260" s="1"/>
      <c r="H260" s="1"/>
      <c r="I260" s="1"/>
      <c r="J260" s="1"/>
      <c r="K260" s="1"/>
      <c r="L260" s="1"/>
      <c r="M260" s="1"/>
      <c r="N260" s="1"/>
      <c r="O260" s="1"/>
      <c r="P260" s="1"/>
      <c r="Q260" s="1"/>
      <c r="R260" s="1"/>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c r="AP260" s="1"/>
      <c r="AQ260" s="1"/>
      <c r="AR260" s="1"/>
      <c r="AS260" s="1"/>
      <c r="AT260" s="1"/>
      <c r="AU260" s="1"/>
      <c r="AV260" s="1"/>
      <c r="AW260" s="1"/>
      <c r="AX260" s="1"/>
      <c r="AY260" s="1"/>
      <c r="AZ260" s="1"/>
      <c r="BA260" s="1"/>
      <c r="BB260" s="1"/>
      <c r="BC260" s="1"/>
    </row>
    <row r="261" spans="1:55">
      <c r="A261" s="1"/>
      <c r="B261" s="1"/>
      <c r="C261" s="1"/>
      <c r="D261" s="1"/>
      <c r="E261" s="1"/>
      <c r="F261" s="1"/>
      <c r="G261" s="1"/>
      <c r="H261" s="1"/>
      <c r="I261" s="1"/>
      <c r="J261" s="1"/>
      <c r="K261" s="1"/>
      <c r="L261" s="1"/>
      <c r="M261" s="1"/>
      <c r="N261" s="1"/>
      <c r="O261" s="1"/>
      <c r="P261" s="1"/>
      <c r="Q261" s="1"/>
      <c r="R261" s="1"/>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c r="AP261" s="1"/>
      <c r="AQ261" s="1"/>
      <c r="AR261" s="1"/>
      <c r="AS261" s="1"/>
      <c r="AT261" s="1"/>
      <c r="AU261" s="1"/>
      <c r="AV261" s="1"/>
      <c r="AW261" s="1"/>
      <c r="AX261" s="1"/>
      <c r="AY261" s="1"/>
      <c r="AZ261" s="1"/>
      <c r="BA261" s="1"/>
      <c r="BB261" s="1"/>
      <c r="BC261" s="1"/>
    </row>
    <row r="262" spans="1:55">
      <c r="A262" s="1"/>
      <c r="B262" s="1"/>
      <c r="C262" s="1"/>
      <c r="D262" s="1"/>
      <c r="E262" s="1"/>
      <c r="F262" s="1"/>
      <c r="G262" s="1"/>
      <c r="H262" s="1"/>
      <c r="I262" s="1"/>
      <c r="J262" s="1"/>
      <c r="K262" s="1"/>
      <c r="L262" s="1"/>
      <c r="M262" s="1"/>
      <c r="N262" s="1"/>
      <c r="O262" s="1"/>
      <c r="P262" s="1"/>
      <c r="Q262" s="1"/>
      <c r="R262" s="1"/>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c r="AP262" s="1"/>
      <c r="AQ262" s="1"/>
      <c r="AR262" s="1"/>
      <c r="AS262" s="1"/>
      <c r="AT262" s="1"/>
      <c r="AU262" s="1"/>
      <c r="AV262" s="1"/>
      <c r="AW262" s="1"/>
      <c r="AX262" s="1"/>
      <c r="AY262" s="1"/>
      <c r="AZ262" s="1"/>
      <c r="BA262" s="1"/>
      <c r="BB262" s="1"/>
      <c r="BC262" s="1"/>
    </row>
    <row r="263" spans="1:55">
      <c r="A263" s="1"/>
      <c r="B263" s="1"/>
      <c r="C263" s="1"/>
      <c r="D263" s="1"/>
      <c r="E263" s="1"/>
      <c r="F263" s="1"/>
      <c r="G263" s="1"/>
      <c r="H263" s="1"/>
      <c r="I263" s="1"/>
      <c r="J263" s="1"/>
      <c r="K263" s="1"/>
      <c r="L263" s="1"/>
      <c r="M263" s="1"/>
      <c r="N263" s="1"/>
      <c r="O263" s="1"/>
      <c r="P263" s="1"/>
      <c r="Q263" s="1"/>
      <c r="R263" s="1"/>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c r="AP263" s="1"/>
      <c r="AQ263" s="1"/>
      <c r="AR263" s="1"/>
      <c r="AS263" s="1"/>
      <c r="AT263" s="1"/>
      <c r="AU263" s="1"/>
      <c r="AV263" s="1"/>
      <c r="AW263" s="1"/>
      <c r="AX263" s="1"/>
      <c r="AY263" s="1"/>
      <c r="AZ263" s="1"/>
      <c r="BA263" s="1"/>
      <c r="BB263" s="1"/>
      <c r="BC263" s="1"/>
    </row>
    <row r="264" spans="1:55">
      <c r="A264" s="1"/>
      <c r="B264" s="1"/>
      <c r="C264" s="1"/>
      <c r="D264" s="1"/>
      <c r="E264" s="1"/>
      <c r="F264" s="1"/>
      <c r="G264" s="1"/>
      <c r="H264" s="1"/>
      <c r="I264" s="1"/>
      <c r="J264" s="1"/>
      <c r="K264" s="1"/>
      <c r="L264" s="1"/>
      <c r="M264" s="1"/>
      <c r="N264" s="1"/>
      <c r="O264" s="1"/>
      <c r="P264" s="1"/>
      <c r="Q264" s="1"/>
      <c r="R264" s="1"/>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c r="AP264" s="1"/>
      <c r="AQ264" s="1"/>
      <c r="AR264" s="1"/>
      <c r="AS264" s="1"/>
      <c r="AT264" s="1"/>
      <c r="AU264" s="1"/>
      <c r="AV264" s="1"/>
      <c r="AW264" s="1"/>
      <c r="AX264" s="1"/>
      <c r="AY264" s="1"/>
      <c r="AZ264" s="1"/>
      <c r="BA264" s="1"/>
      <c r="BB264" s="1"/>
      <c r="BC264" s="1"/>
    </row>
    <row r="265" spans="1:55">
      <c r="A265" s="1"/>
      <c r="B265" s="1"/>
      <c r="C265" s="1"/>
      <c r="D265" s="1"/>
      <c r="E265" s="1"/>
      <c r="F265" s="1"/>
      <c r="G265" s="1"/>
      <c r="H265" s="1"/>
      <c r="I265" s="1"/>
      <c r="J265" s="1"/>
      <c r="K265" s="1"/>
      <c r="L265" s="1"/>
      <c r="M265" s="1"/>
      <c r="N265" s="1"/>
      <c r="O265" s="1"/>
      <c r="P265" s="1"/>
      <c r="Q265" s="1"/>
      <c r="R265" s="1"/>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c r="AP265" s="1"/>
      <c r="AQ265" s="1"/>
      <c r="AR265" s="1"/>
      <c r="AS265" s="1"/>
      <c r="AT265" s="1"/>
      <c r="AU265" s="1"/>
      <c r="AV265" s="1"/>
      <c r="AW265" s="1"/>
      <c r="AX265" s="1"/>
      <c r="AY265" s="1"/>
      <c r="AZ265" s="1"/>
      <c r="BA265" s="1"/>
      <c r="BB265" s="1"/>
      <c r="BC265" s="1"/>
    </row>
    <row r="266" spans="1:55">
      <c r="A266" s="1"/>
      <c r="B266" s="1"/>
      <c r="C266" s="1"/>
      <c r="D266" s="1"/>
      <c r="E266" s="1"/>
      <c r="F266" s="1"/>
      <c r="G266" s="1"/>
      <c r="H266" s="1"/>
      <c r="I266" s="1"/>
      <c r="J266" s="1"/>
      <c r="K266" s="1"/>
      <c r="L266" s="1"/>
      <c r="M266" s="1"/>
      <c r="N266" s="1"/>
      <c r="O266" s="1"/>
      <c r="P266" s="1"/>
      <c r="Q266" s="1"/>
      <c r="R266" s="1"/>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c r="AP266" s="1"/>
      <c r="AQ266" s="1"/>
      <c r="AR266" s="1"/>
      <c r="AS266" s="1"/>
      <c r="AT266" s="1"/>
      <c r="AU266" s="1"/>
      <c r="AV266" s="1"/>
      <c r="AW266" s="1"/>
      <c r="AX266" s="1"/>
      <c r="AY266" s="1"/>
      <c r="AZ266" s="1"/>
      <c r="BA266" s="1"/>
      <c r="BB266" s="1"/>
      <c r="BC266" s="1"/>
    </row>
    <row r="267" spans="1:55">
      <c r="A267" s="1"/>
      <c r="B267" s="1"/>
      <c r="C267" s="1"/>
      <c r="D267" s="1"/>
      <c r="E267" s="1"/>
      <c r="F267" s="1"/>
      <c r="G267" s="1"/>
      <c r="H267" s="1"/>
      <c r="I267" s="1"/>
      <c r="J267" s="1"/>
      <c r="K267" s="1"/>
      <c r="L267" s="1"/>
      <c r="M267" s="1"/>
      <c r="N267" s="1"/>
      <c r="O267" s="1"/>
      <c r="P267" s="1"/>
      <c r="Q267" s="1"/>
      <c r="R267" s="1"/>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c r="AP267" s="1"/>
      <c r="AQ267" s="1"/>
      <c r="AR267" s="1"/>
      <c r="AS267" s="1"/>
      <c r="AT267" s="1"/>
      <c r="AU267" s="1"/>
      <c r="AV267" s="1"/>
      <c r="AW267" s="1"/>
      <c r="AX267" s="1"/>
      <c r="AY267" s="1"/>
      <c r="AZ267" s="1"/>
      <c r="BA267" s="1"/>
      <c r="BB267" s="1"/>
      <c r="BC267" s="1"/>
    </row>
    <row r="268" spans="1:55">
      <c r="A268" s="1"/>
      <c r="B268" s="1"/>
      <c r="C268" s="1"/>
      <c r="D268" s="1"/>
      <c r="E268" s="1"/>
      <c r="F268" s="1"/>
      <c r="G268" s="1"/>
      <c r="H268" s="1"/>
      <c r="I268" s="1"/>
      <c r="J268" s="1"/>
      <c r="K268" s="1"/>
      <c r="L268" s="1"/>
      <c r="M268" s="1"/>
      <c r="N268" s="1"/>
      <c r="O268" s="1"/>
      <c r="P268" s="1"/>
      <c r="Q268" s="1"/>
      <c r="R268" s="1"/>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c r="AP268" s="1"/>
      <c r="AQ268" s="1"/>
      <c r="AR268" s="1"/>
      <c r="AS268" s="1"/>
      <c r="AT268" s="1"/>
      <c r="AU268" s="1"/>
      <c r="AV268" s="1"/>
      <c r="AW268" s="1"/>
      <c r="AX268" s="1"/>
      <c r="AY268" s="1"/>
      <c r="AZ268" s="1"/>
      <c r="BA268" s="1"/>
      <c r="BB268" s="1"/>
      <c r="BC268" s="1"/>
    </row>
    <row r="269" spans="1:55">
      <c r="A269" s="1"/>
      <c r="B269" s="52"/>
      <c r="C269" s="1"/>
      <c r="D269" s="1"/>
      <c r="E269" s="1"/>
      <c r="F269" s="1"/>
      <c r="G269" s="1"/>
      <c r="H269" s="1"/>
      <c r="I269" s="1"/>
      <c r="J269" s="1"/>
      <c r="K269" s="1"/>
      <c r="L269" s="1"/>
      <c r="M269" s="1"/>
      <c r="N269" s="1"/>
      <c r="O269" s="1"/>
      <c r="P269" s="1"/>
      <c r="Q269" s="1"/>
      <c r="R269" s="1"/>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c r="AP269" s="1"/>
      <c r="AQ269" s="1"/>
      <c r="AR269" s="1"/>
      <c r="AS269" s="1"/>
      <c r="AT269" s="1"/>
      <c r="AU269" s="1"/>
      <c r="AV269" s="1"/>
      <c r="AW269" s="1"/>
      <c r="AX269" s="1"/>
      <c r="AY269" s="1"/>
      <c r="AZ269" s="1"/>
      <c r="BA269" s="1"/>
      <c r="BB269" s="1"/>
      <c r="BC269" s="1"/>
    </row>
    <row r="270" spans="1:55">
      <c r="A270" s="1"/>
      <c r="B270" s="52"/>
      <c r="C270" s="1"/>
      <c r="D270" s="1"/>
      <c r="E270" s="1"/>
      <c r="F270" s="1"/>
      <c r="G270" s="1"/>
      <c r="H270" s="1"/>
      <c r="I270" s="1"/>
      <c r="J270" s="1"/>
      <c r="K270" s="1"/>
      <c r="L270" s="1"/>
      <c r="M270" s="1"/>
      <c r="N270" s="1"/>
      <c r="O270" s="1"/>
      <c r="P270" s="1"/>
      <c r="Q270" s="1"/>
      <c r="R270" s="1"/>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c r="AP270" s="1"/>
      <c r="AQ270" s="1"/>
      <c r="AR270" s="1"/>
      <c r="AS270" s="1"/>
      <c r="AT270" s="1"/>
      <c r="AU270" s="1"/>
      <c r="AV270" s="1"/>
      <c r="AW270" s="1"/>
      <c r="AX270" s="1"/>
      <c r="AY270" s="1"/>
      <c r="AZ270" s="1"/>
      <c r="BA270" s="1"/>
      <c r="BB270" s="1"/>
      <c r="BC270" s="1"/>
    </row>
    <row r="271" spans="1:55">
      <c r="A271" s="1"/>
      <c r="B271" s="52"/>
      <c r="C271" s="1"/>
      <c r="D271" s="1"/>
      <c r="E271" s="1"/>
      <c r="F271" s="1"/>
      <c r="G271" s="1"/>
      <c r="H271" s="1"/>
      <c r="I271" s="1"/>
      <c r="J271" s="1"/>
      <c r="K271" s="1"/>
      <c r="L271" s="1"/>
      <c r="M271" s="1"/>
      <c r="N271" s="1"/>
      <c r="O271" s="1"/>
      <c r="P271" s="1"/>
      <c r="Q271" s="1"/>
      <c r="R271" s="1"/>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c r="AP271" s="1"/>
      <c r="AQ271" s="1"/>
      <c r="AR271" s="1"/>
      <c r="AS271" s="1"/>
      <c r="AT271" s="1"/>
      <c r="AU271" s="1"/>
      <c r="AV271" s="1"/>
      <c r="AW271" s="1"/>
      <c r="AX271" s="1"/>
      <c r="AY271" s="1"/>
      <c r="AZ271" s="1"/>
      <c r="BA271" s="1"/>
      <c r="BB271" s="1"/>
      <c r="BC271" s="1"/>
    </row>
    <row r="272" spans="1:55">
      <c r="A272" s="1"/>
      <c r="B272" s="52"/>
      <c r="C272" s="1"/>
      <c r="D272" s="1"/>
      <c r="E272" s="1"/>
      <c r="F272" s="1"/>
      <c r="G272" s="1"/>
      <c r="H272" s="1"/>
      <c r="I272" s="1"/>
      <c r="J272" s="1"/>
      <c r="K272" s="1"/>
      <c r="L272" s="1"/>
      <c r="M272" s="1"/>
      <c r="N272" s="1"/>
      <c r="O272" s="1"/>
      <c r="P272" s="1"/>
      <c r="Q272" s="1"/>
      <c r="R272" s="1"/>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c r="AP272" s="1"/>
      <c r="AQ272" s="1"/>
      <c r="AR272" s="1"/>
      <c r="AS272" s="1"/>
      <c r="AT272" s="1"/>
      <c r="AU272" s="1"/>
      <c r="AV272" s="1"/>
      <c r="AW272" s="1"/>
      <c r="AX272" s="1"/>
      <c r="AY272" s="1"/>
      <c r="AZ272" s="1"/>
      <c r="BA272" s="1"/>
      <c r="BB272" s="1"/>
      <c r="BC272" s="1"/>
    </row>
    <row r="273" spans="1:55">
      <c r="A273" s="1"/>
      <c r="B273" s="52"/>
      <c r="C273" s="1"/>
      <c r="D273" s="1"/>
      <c r="E273" s="1"/>
      <c r="F273" s="1"/>
      <c r="G273" s="1"/>
      <c r="H273" s="1"/>
      <c r="I273" s="1"/>
      <c r="J273" s="1"/>
      <c r="K273" s="1"/>
      <c r="L273" s="1"/>
      <c r="M273" s="1"/>
      <c r="N273" s="1"/>
      <c r="O273" s="1"/>
      <c r="P273" s="1"/>
      <c r="Q273" s="1"/>
      <c r="R273" s="1"/>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c r="AP273" s="1"/>
      <c r="AQ273" s="1"/>
      <c r="AR273" s="1"/>
      <c r="AS273" s="1"/>
      <c r="AT273" s="1"/>
      <c r="AU273" s="1"/>
      <c r="AV273" s="1"/>
      <c r="AW273" s="1"/>
      <c r="AX273" s="1"/>
      <c r="AY273" s="1"/>
      <c r="AZ273" s="1"/>
      <c r="BA273" s="1"/>
      <c r="BB273" s="1"/>
      <c r="BC273" s="1"/>
    </row>
    <row r="274" spans="1:55">
      <c r="A274" s="1"/>
      <c r="B274" s="52"/>
      <c r="C274" s="1"/>
      <c r="D274" s="1"/>
      <c r="E274" s="1"/>
      <c r="F274" s="1"/>
      <c r="G274" s="1"/>
      <c r="H274" s="1"/>
      <c r="I274" s="1"/>
      <c r="J274" s="1"/>
      <c r="K274" s="1"/>
      <c r="L274" s="1"/>
      <c r="M274" s="1"/>
      <c r="N274" s="1"/>
      <c r="O274" s="1"/>
      <c r="P274" s="1"/>
      <c r="Q274" s="1"/>
      <c r="R274" s="1"/>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c r="AP274" s="1"/>
      <c r="AQ274" s="1"/>
      <c r="AR274" s="1"/>
      <c r="AS274" s="1"/>
      <c r="AT274" s="1"/>
      <c r="AU274" s="1"/>
      <c r="AV274" s="1"/>
      <c r="AW274" s="1"/>
      <c r="AX274" s="1"/>
      <c r="AY274" s="1"/>
      <c r="AZ274" s="1"/>
      <c r="BA274" s="1"/>
      <c r="BB274" s="1"/>
      <c r="BC274" s="1"/>
    </row>
    <row r="275" spans="1:55">
      <c r="A275" s="1"/>
      <c r="B275" s="52"/>
      <c r="C275" s="1"/>
      <c r="D275" s="1"/>
      <c r="E275" s="1"/>
      <c r="F275" s="1"/>
      <c r="G275" s="1"/>
      <c r="H275" s="1"/>
      <c r="I275" s="1"/>
      <c r="J275" s="1"/>
      <c r="K275" s="1"/>
      <c r="L275" s="1"/>
      <c r="M275" s="1"/>
      <c r="N275" s="1"/>
      <c r="O275" s="1"/>
      <c r="P275" s="1"/>
      <c r="Q275" s="1"/>
      <c r="R275" s="1"/>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c r="AP275" s="1"/>
      <c r="AQ275" s="1"/>
      <c r="AR275" s="1"/>
      <c r="AS275" s="1"/>
      <c r="AT275" s="1"/>
      <c r="AU275" s="1"/>
      <c r="AV275" s="1"/>
      <c r="AW275" s="1"/>
      <c r="AX275" s="1"/>
      <c r="AY275" s="1"/>
      <c r="AZ275" s="1"/>
      <c r="BA275" s="1"/>
      <c r="BB275" s="1"/>
      <c r="BC275" s="1"/>
    </row>
    <row r="276" spans="1:55">
      <c r="A276" s="1"/>
      <c r="B276" s="52"/>
      <c r="C276" s="1"/>
      <c r="D276" s="1"/>
      <c r="E276" s="1"/>
      <c r="F276" s="1"/>
      <c r="G276" s="1"/>
      <c r="H276" s="1"/>
      <c r="I276" s="1"/>
      <c r="J276" s="1"/>
      <c r="K276" s="1"/>
      <c r="L276" s="1"/>
      <c r="M276" s="1"/>
      <c r="N276" s="1"/>
      <c r="O276" s="1"/>
      <c r="P276" s="1"/>
      <c r="Q276" s="1"/>
      <c r="R276" s="1"/>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c r="AP276" s="1"/>
      <c r="AQ276" s="1"/>
      <c r="AR276" s="1"/>
      <c r="AS276" s="1"/>
      <c r="AT276" s="1"/>
      <c r="AU276" s="1"/>
      <c r="AV276" s="1"/>
      <c r="AW276" s="1"/>
      <c r="AX276" s="1"/>
      <c r="AY276" s="1"/>
      <c r="AZ276" s="1"/>
      <c r="BA276" s="1"/>
      <c r="BB276" s="1"/>
      <c r="BC276" s="1"/>
    </row>
    <row r="277" spans="1:55">
      <c r="A277" s="1"/>
      <c r="B277" s="52"/>
      <c r="C277" s="1"/>
      <c r="D277" s="1"/>
      <c r="E277" s="1"/>
      <c r="F277" s="1"/>
      <c r="G277" s="1"/>
      <c r="H277" s="1"/>
      <c r="I277" s="1"/>
      <c r="J277" s="1"/>
      <c r="K277" s="1"/>
      <c r="L277" s="1"/>
      <c r="M277" s="1"/>
      <c r="N277" s="1"/>
      <c r="O277" s="1"/>
      <c r="P277" s="1"/>
      <c r="Q277" s="1"/>
      <c r="R277" s="1"/>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c r="AP277" s="1"/>
      <c r="AQ277" s="1"/>
      <c r="AR277" s="1"/>
      <c r="AS277" s="1"/>
      <c r="AT277" s="1"/>
      <c r="AU277" s="1"/>
      <c r="AV277" s="1"/>
      <c r="AW277" s="1"/>
      <c r="AX277" s="1"/>
      <c r="AY277" s="1"/>
      <c r="AZ277" s="1"/>
      <c r="BA277" s="1"/>
      <c r="BB277" s="1"/>
      <c r="BC277" s="1"/>
    </row>
    <row r="278" spans="1:55">
      <c r="A278" s="1"/>
      <c r="B278" s="52"/>
      <c r="C278" s="1"/>
      <c r="D278" s="1"/>
      <c r="E278" s="1"/>
      <c r="F278" s="1"/>
      <c r="G278" s="1"/>
      <c r="H278" s="1"/>
      <c r="I278" s="1"/>
      <c r="J278" s="1"/>
      <c r="K278" s="1"/>
      <c r="L278" s="1"/>
      <c r="M278" s="1"/>
      <c r="N278" s="1"/>
      <c r="O278" s="1"/>
      <c r="P278" s="1"/>
      <c r="Q278" s="1"/>
      <c r="R278" s="1"/>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c r="AP278" s="1"/>
      <c r="AQ278" s="1"/>
      <c r="AR278" s="1"/>
      <c r="AS278" s="1"/>
      <c r="AT278" s="1"/>
      <c r="AU278" s="1"/>
      <c r="AV278" s="1"/>
      <c r="AW278" s="1"/>
      <c r="AX278" s="1"/>
      <c r="AY278" s="1"/>
      <c r="AZ278" s="1"/>
      <c r="BA278" s="1"/>
      <c r="BB278" s="1"/>
      <c r="BC278" s="1"/>
    </row>
    <row r="279" spans="1:55">
      <c r="A279" s="1"/>
      <c r="B279" s="52"/>
      <c r="C279" s="1"/>
      <c r="D279" s="1"/>
      <c r="E279" s="1"/>
      <c r="F279" s="1"/>
      <c r="G279" s="1"/>
      <c r="H279" s="1"/>
      <c r="I279" s="1"/>
      <c r="J279" s="1"/>
      <c r="K279" s="1"/>
      <c r="L279" s="1"/>
      <c r="M279" s="1"/>
      <c r="N279" s="1"/>
      <c r="O279" s="1"/>
      <c r="P279" s="1"/>
      <c r="Q279" s="1"/>
      <c r="R279" s="1"/>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c r="AP279" s="1"/>
      <c r="AQ279" s="1"/>
      <c r="AR279" s="1"/>
      <c r="AS279" s="1"/>
      <c r="AT279" s="1"/>
      <c r="AU279" s="1"/>
      <c r="AV279" s="1"/>
      <c r="AW279" s="1"/>
      <c r="AX279" s="1"/>
      <c r="AY279" s="1"/>
      <c r="AZ279" s="1"/>
      <c r="BA279" s="1"/>
      <c r="BB279" s="1"/>
      <c r="BC279" s="1"/>
    </row>
    <row r="280" spans="1:55">
      <c r="A280" s="1"/>
      <c r="B280" s="52"/>
      <c r="C280" s="1"/>
      <c r="D280" s="1"/>
      <c r="E280" s="1"/>
      <c r="F280" s="1"/>
      <c r="G280" s="1"/>
      <c r="H280" s="1"/>
      <c r="I280" s="1"/>
      <c r="J280" s="1"/>
      <c r="K280" s="1"/>
      <c r="L280" s="1"/>
      <c r="M280" s="1"/>
      <c r="N280" s="1"/>
      <c r="O280" s="1"/>
      <c r="P280" s="1"/>
      <c r="Q280" s="1"/>
      <c r="R280" s="1"/>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c r="AP280" s="1"/>
      <c r="AQ280" s="1"/>
      <c r="AR280" s="1"/>
      <c r="AS280" s="1"/>
      <c r="AT280" s="1"/>
      <c r="AU280" s="1"/>
      <c r="AV280" s="1"/>
      <c r="AW280" s="1"/>
      <c r="AX280" s="1"/>
      <c r="AY280" s="1"/>
      <c r="AZ280" s="1"/>
      <c r="BA280" s="1"/>
      <c r="BB280" s="1"/>
      <c r="BC280" s="1"/>
    </row>
    <row r="281" spans="1:55">
      <c r="A281" s="1"/>
      <c r="B281" s="52"/>
      <c r="C281" s="1"/>
      <c r="D281" s="1"/>
      <c r="E281" s="1"/>
      <c r="F281" s="1"/>
      <c r="G281" s="1"/>
      <c r="H281" s="1"/>
      <c r="I281" s="1"/>
      <c r="J281" s="1"/>
      <c r="K281" s="1"/>
      <c r="L281" s="1"/>
      <c r="M281" s="1"/>
      <c r="N281" s="1"/>
      <c r="O281" s="1"/>
      <c r="P281" s="1"/>
      <c r="Q281" s="1"/>
      <c r="R281" s="1"/>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c r="AP281" s="1"/>
      <c r="AQ281" s="1"/>
      <c r="AR281" s="1"/>
      <c r="AS281" s="1"/>
      <c r="AT281" s="1"/>
      <c r="AU281" s="1"/>
      <c r="AV281" s="1"/>
      <c r="AW281" s="1"/>
      <c r="AX281" s="1"/>
      <c r="AY281" s="1"/>
      <c r="AZ281" s="1"/>
      <c r="BA281" s="1"/>
      <c r="BB281" s="1"/>
      <c r="BC281" s="1"/>
    </row>
    <row r="282" spans="1:55">
      <c r="A282" s="1"/>
      <c r="B282" s="52"/>
      <c r="C282" s="1"/>
      <c r="D282" s="1"/>
      <c r="E282" s="1"/>
      <c r="F282" s="1"/>
      <c r="G282" s="1"/>
      <c r="H282" s="1"/>
      <c r="I282" s="1"/>
      <c r="J282" s="1"/>
      <c r="K282" s="1"/>
      <c r="L282" s="1"/>
      <c r="M282" s="1"/>
      <c r="N282" s="1"/>
      <c r="O282" s="1"/>
      <c r="P282" s="1"/>
      <c r="Q282" s="1"/>
      <c r="R282" s="1"/>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c r="AP282" s="1"/>
      <c r="AQ282" s="1"/>
      <c r="AR282" s="1"/>
      <c r="AS282" s="1"/>
      <c r="AT282" s="1"/>
      <c r="AU282" s="1"/>
      <c r="AV282" s="1"/>
      <c r="AW282" s="1"/>
      <c r="AX282" s="1"/>
      <c r="AY282" s="1"/>
      <c r="AZ282" s="1"/>
      <c r="BA282" s="1"/>
      <c r="BB282" s="1"/>
      <c r="BC282" s="1"/>
    </row>
    <row r="283" spans="1:55">
      <c r="A283" s="1"/>
      <c r="B283" s="52"/>
      <c r="C283" s="1"/>
      <c r="D283" s="1"/>
      <c r="E283" s="1"/>
      <c r="F283" s="1"/>
      <c r="G283" s="1"/>
      <c r="H283" s="1"/>
      <c r="I283" s="1"/>
      <c r="J283" s="1"/>
      <c r="K283" s="1"/>
      <c r="L283" s="1"/>
      <c r="M283" s="1"/>
      <c r="N283" s="1"/>
      <c r="O283" s="1"/>
      <c r="P283" s="1"/>
      <c r="Q283" s="1"/>
      <c r="R283" s="1"/>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c r="AP283" s="1"/>
      <c r="AQ283" s="1"/>
      <c r="AR283" s="1"/>
      <c r="AS283" s="1"/>
      <c r="AT283" s="1"/>
      <c r="AU283" s="1"/>
      <c r="AV283" s="1"/>
      <c r="AW283" s="1"/>
      <c r="AX283" s="1"/>
      <c r="AY283" s="1"/>
      <c r="AZ283" s="1"/>
      <c r="BA283" s="1"/>
      <c r="BB283" s="1"/>
      <c r="BC283" s="1"/>
    </row>
    <row r="284" spans="1:55">
      <c r="A284" s="1"/>
      <c r="B284" s="52"/>
      <c r="C284" s="1"/>
      <c r="D284" s="1"/>
      <c r="E284" s="1"/>
      <c r="F284" s="1"/>
      <c r="G284" s="1"/>
      <c r="H284" s="1"/>
      <c r="I284" s="1"/>
      <c r="J284" s="1"/>
      <c r="K284" s="1"/>
      <c r="L284" s="1"/>
      <c r="M284" s="1"/>
      <c r="N284" s="1"/>
      <c r="O284" s="1"/>
      <c r="P284" s="1"/>
      <c r="Q284" s="1"/>
      <c r="R284" s="1"/>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c r="AP284" s="1"/>
      <c r="AQ284" s="1"/>
      <c r="AR284" s="1"/>
      <c r="AS284" s="1"/>
      <c r="AT284" s="1"/>
      <c r="AU284" s="1"/>
      <c r="AV284" s="1"/>
      <c r="AW284" s="1"/>
      <c r="AX284" s="1"/>
      <c r="AY284" s="1"/>
      <c r="AZ284" s="1"/>
      <c r="BA284" s="1"/>
      <c r="BB284" s="1"/>
      <c r="BC284" s="1"/>
    </row>
    <row r="285" spans="1:55">
      <c r="A285" s="1"/>
      <c r="B285" s="52"/>
      <c r="C285" s="1"/>
      <c r="D285" s="1"/>
      <c r="E285" s="1"/>
      <c r="F285" s="1"/>
      <c r="G285" s="1"/>
      <c r="H285" s="1"/>
      <c r="I285" s="1"/>
      <c r="J285" s="1"/>
      <c r="K285" s="1"/>
      <c r="L285" s="1"/>
      <c r="M285" s="1"/>
      <c r="N285" s="1"/>
      <c r="O285" s="1"/>
      <c r="P285" s="1"/>
      <c r="Q285" s="1"/>
      <c r="R285" s="1"/>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c r="AP285" s="1"/>
      <c r="AQ285" s="1"/>
      <c r="AR285" s="1"/>
      <c r="AS285" s="1"/>
      <c r="AT285" s="1"/>
      <c r="AU285" s="1"/>
      <c r="AV285" s="1"/>
      <c r="AW285" s="1"/>
      <c r="AX285" s="1"/>
      <c r="AY285" s="1"/>
      <c r="AZ285" s="1"/>
      <c r="BA285" s="1"/>
      <c r="BB285" s="1"/>
      <c r="BC285" s="1"/>
    </row>
    <row r="286" spans="1:55">
      <c r="A286" s="1"/>
      <c r="B286" s="52"/>
      <c r="C286" s="1"/>
      <c r="D286" s="1"/>
      <c r="E286" s="1"/>
      <c r="F286" s="1"/>
      <c r="G286" s="1"/>
      <c r="H286" s="1"/>
      <c r="I286" s="1"/>
      <c r="J286" s="1"/>
      <c r="K286" s="1"/>
      <c r="L286" s="1"/>
      <c r="M286" s="1"/>
      <c r="N286" s="1"/>
      <c r="O286" s="1"/>
      <c r="P286" s="1"/>
      <c r="Q286" s="1"/>
      <c r="R286" s="1"/>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c r="AP286" s="1"/>
      <c r="AQ286" s="1"/>
      <c r="AR286" s="1"/>
      <c r="AS286" s="1"/>
      <c r="AT286" s="1"/>
      <c r="AU286" s="1"/>
      <c r="AV286" s="1"/>
      <c r="AW286" s="1"/>
      <c r="AX286" s="1"/>
      <c r="AY286" s="1"/>
      <c r="AZ286" s="1"/>
      <c r="BA286" s="1"/>
      <c r="BB286" s="1"/>
      <c r="BC286" s="1"/>
    </row>
    <row r="287" spans="1:55">
      <c r="A287" s="1"/>
      <c r="B287" s="52"/>
      <c r="C287" s="1"/>
      <c r="D287" s="1"/>
      <c r="E287" s="1"/>
      <c r="F287" s="1"/>
      <c r="G287" s="1"/>
      <c r="H287" s="1"/>
      <c r="I287" s="1"/>
      <c r="J287" s="1"/>
      <c r="K287" s="1"/>
      <c r="L287" s="1"/>
      <c r="M287" s="1"/>
      <c r="N287" s="1"/>
      <c r="O287" s="1"/>
      <c r="P287" s="1"/>
      <c r="Q287" s="1"/>
      <c r="R287" s="1"/>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c r="AP287" s="1"/>
      <c r="AQ287" s="1"/>
      <c r="AR287" s="1"/>
      <c r="AS287" s="1"/>
      <c r="AT287" s="1"/>
      <c r="AU287" s="1"/>
      <c r="AV287" s="1"/>
      <c r="AW287" s="1"/>
      <c r="AX287" s="1"/>
      <c r="AY287" s="1"/>
      <c r="AZ287" s="1"/>
      <c r="BA287" s="1"/>
      <c r="BB287" s="1"/>
      <c r="BC287" s="1"/>
    </row>
    <row r="288" spans="1:55">
      <c r="A288" s="1"/>
      <c r="B288" s="52"/>
      <c r="C288" s="1"/>
      <c r="D288" s="1"/>
      <c r="E288" s="1"/>
      <c r="F288" s="1"/>
      <c r="G288" s="1"/>
      <c r="H288" s="1"/>
      <c r="I288" s="1"/>
      <c r="J288" s="1"/>
      <c r="K288" s="1"/>
      <c r="L288" s="1"/>
      <c r="M288" s="1"/>
      <c r="N288" s="1"/>
      <c r="O288" s="1"/>
      <c r="P288" s="1"/>
      <c r="Q288" s="1"/>
      <c r="R288" s="1"/>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c r="AP288" s="1"/>
      <c r="AQ288" s="1"/>
      <c r="AR288" s="1"/>
      <c r="AS288" s="1"/>
      <c r="AT288" s="1"/>
      <c r="AU288" s="1"/>
      <c r="AV288" s="1"/>
      <c r="AW288" s="1"/>
      <c r="AX288" s="1"/>
      <c r="AY288" s="1"/>
      <c r="AZ288" s="1"/>
      <c r="BA288" s="1"/>
      <c r="BB288" s="1"/>
      <c r="BC288" s="1"/>
    </row>
    <row r="289" spans="1:55">
      <c r="A289" s="1"/>
      <c r="B289" s="52"/>
      <c r="C289" s="1"/>
      <c r="D289" s="1"/>
      <c r="E289" s="1"/>
      <c r="F289" s="1"/>
      <c r="G289" s="1"/>
      <c r="H289" s="1"/>
      <c r="I289" s="1"/>
      <c r="J289" s="1"/>
      <c r="K289" s="1"/>
      <c r="L289" s="1"/>
      <c r="M289" s="1"/>
      <c r="N289" s="1"/>
      <c r="O289" s="1"/>
      <c r="P289" s="1"/>
      <c r="Q289" s="1"/>
      <c r="R289" s="1"/>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c r="AP289" s="1"/>
      <c r="AQ289" s="1"/>
      <c r="AR289" s="1"/>
      <c r="AS289" s="1"/>
      <c r="AT289" s="1"/>
      <c r="AU289" s="1"/>
      <c r="AV289" s="1"/>
      <c r="AW289" s="1"/>
      <c r="AX289" s="1"/>
      <c r="AY289" s="1"/>
      <c r="AZ289" s="1"/>
      <c r="BA289" s="1"/>
      <c r="BB289" s="1"/>
      <c r="BC289" s="1"/>
    </row>
    <row r="290" spans="1:55">
      <c r="A290" s="1"/>
      <c r="B290" s="52"/>
      <c r="C290" s="1"/>
      <c r="D290" s="1"/>
      <c r="E290" s="1"/>
      <c r="F290" s="1"/>
      <c r="G290" s="1"/>
      <c r="H290" s="1"/>
      <c r="I290" s="1"/>
      <c r="J290" s="1"/>
      <c r="K290" s="1"/>
      <c r="L290" s="1"/>
      <c r="M290" s="1"/>
      <c r="N290" s="1"/>
      <c r="O290" s="1"/>
      <c r="P290" s="1"/>
      <c r="Q290" s="1"/>
      <c r="R290" s="1"/>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c r="AP290" s="1"/>
      <c r="AQ290" s="1"/>
      <c r="AR290" s="1"/>
      <c r="AS290" s="1"/>
      <c r="AT290" s="1"/>
      <c r="AU290" s="1"/>
      <c r="AV290" s="1"/>
      <c r="AW290" s="1"/>
      <c r="AX290" s="1"/>
      <c r="AY290" s="1"/>
      <c r="AZ290" s="1"/>
      <c r="BA290" s="1"/>
      <c r="BB290" s="1"/>
      <c r="BC290" s="1"/>
    </row>
    <row r="291" spans="1:55">
      <c r="A291" s="1"/>
      <c r="B291" s="52"/>
      <c r="C291" s="1"/>
      <c r="D291" s="1"/>
      <c r="E291" s="1"/>
      <c r="F291" s="1"/>
      <c r="G291" s="1"/>
      <c r="H291" s="1"/>
      <c r="I291" s="1"/>
      <c r="J291" s="1"/>
      <c r="K291" s="1"/>
      <c r="L291" s="1"/>
      <c r="M291" s="1"/>
      <c r="N291" s="1"/>
      <c r="O291" s="1"/>
      <c r="P291" s="1"/>
      <c r="Q291" s="1"/>
      <c r="R291" s="1"/>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c r="AP291" s="1"/>
      <c r="AQ291" s="1"/>
      <c r="AR291" s="1"/>
      <c r="AS291" s="1"/>
      <c r="AT291" s="1"/>
      <c r="AU291" s="1"/>
      <c r="AV291" s="1"/>
      <c r="AW291" s="1"/>
      <c r="AX291" s="1"/>
      <c r="AY291" s="1"/>
      <c r="AZ291" s="1"/>
      <c r="BA291" s="1"/>
      <c r="BB291" s="1"/>
      <c r="BC291" s="1"/>
    </row>
    <row r="292" spans="1:55">
      <c r="A292" s="1"/>
      <c r="B292" s="52"/>
      <c r="C292" s="1"/>
      <c r="D292" s="1"/>
      <c r="E292" s="1"/>
      <c r="F292" s="1"/>
      <c r="G292" s="1"/>
      <c r="H292" s="1"/>
      <c r="I292" s="1"/>
      <c r="J292" s="1"/>
      <c r="K292" s="1"/>
      <c r="L292" s="1"/>
      <c r="M292" s="1"/>
      <c r="N292" s="1"/>
      <c r="O292" s="1"/>
      <c r="P292" s="1"/>
      <c r="Q292" s="1"/>
      <c r="R292" s="1"/>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c r="AP292" s="1"/>
      <c r="AQ292" s="1"/>
      <c r="AR292" s="1"/>
      <c r="AS292" s="1"/>
      <c r="AT292" s="1"/>
      <c r="AU292" s="1"/>
      <c r="AV292" s="1"/>
      <c r="AW292" s="1"/>
      <c r="AX292" s="1"/>
      <c r="AY292" s="1"/>
      <c r="AZ292" s="1"/>
      <c r="BA292" s="1"/>
      <c r="BB292" s="1"/>
      <c r="BC292" s="1"/>
    </row>
    <row r="293" spans="1:55">
      <c r="A293" s="1"/>
      <c r="B293" s="52"/>
      <c r="C293" s="1"/>
      <c r="D293" s="1"/>
      <c r="E293" s="1"/>
      <c r="F293" s="1"/>
      <c r="G293" s="1"/>
      <c r="H293" s="1"/>
      <c r="I293" s="1"/>
      <c r="J293" s="1"/>
      <c r="K293" s="1"/>
      <c r="L293" s="1"/>
      <c r="M293" s="1"/>
      <c r="N293" s="1"/>
      <c r="O293" s="1"/>
      <c r="P293" s="1"/>
      <c r="Q293" s="1"/>
      <c r="R293" s="1"/>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c r="AP293" s="1"/>
      <c r="AQ293" s="1"/>
      <c r="AR293" s="1"/>
      <c r="AS293" s="1"/>
      <c r="AT293" s="1"/>
      <c r="AU293" s="1"/>
      <c r="AV293" s="1"/>
      <c r="AW293" s="1"/>
      <c r="AX293" s="1"/>
      <c r="AY293" s="1"/>
      <c r="AZ293" s="1"/>
      <c r="BA293" s="1"/>
      <c r="BB293" s="1"/>
      <c r="BC293" s="1"/>
    </row>
    <row r="294" spans="1:55">
      <c r="A294" s="1"/>
      <c r="B294" s="52"/>
      <c r="C294" s="1"/>
      <c r="D294" s="1"/>
      <c r="E294" s="1"/>
      <c r="F294" s="1"/>
      <c r="G294" s="1"/>
      <c r="H294" s="1"/>
      <c r="I294" s="1"/>
      <c r="J294" s="1"/>
      <c r="K294" s="1"/>
      <c r="L294" s="1"/>
      <c r="M294" s="1"/>
      <c r="N294" s="1"/>
      <c r="O294" s="1"/>
      <c r="P294" s="1"/>
      <c r="Q294" s="1"/>
      <c r="R294" s="1"/>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c r="AP294" s="1"/>
      <c r="AQ294" s="1"/>
      <c r="AR294" s="1"/>
      <c r="AS294" s="1"/>
      <c r="AT294" s="1"/>
      <c r="AU294" s="1"/>
      <c r="AV294" s="1"/>
      <c r="AW294" s="1"/>
      <c r="AX294" s="1"/>
      <c r="AY294" s="1"/>
      <c r="AZ294" s="1"/>
      <c r="BA294" s="1"/>
      <c r="BB294" s="1"/>
      <c r="BC294" s="1"/>
    </row>
    <row r="295" spans="1:55">
      <c r="A295" s="1"/>
      <c r="B295" s="52"/>
      <c r="C295" s="1"/>
      <c r="D295" s="1"/>
      <c r="E295" s="1"/>
      <c r="F295" s="1"/>
      <c r="G295" s="1"/>
      <c r="H295" s="1"/>
      <c r="I295" s="1"/>
      <c r="J295" s="1"/>
      <c r="K295" s="1"/>
      <c r="L295" s="1"/>
      <c r="M295" s="1"/>
      <c r="N295" s="1"/>
      <c r="O295" s="1"/>
      <c r="P295" s="1"/>
      <c r="Q295" s="1"/>
      <c r="R295" s="1"/>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c r="AP295" s="1"/>
      <c r="AQ295" s="1"/>
      <c r="AR295" s="1"/>
      <c r="AS295" s="1"/>
      <c r="AT295" s="1"/>
      <c r="AU295" s="1"/>
      <c r="AV295" s="1"/>
      <c r="AW295" s="1"/>
      <c r="AX295" s="1"/>
      <c r="AY295" s="1"/>
      <c r="AZ295" s="1"/>
      <c r="BA295" s="1"/>
      <c r="BB295" s="1"/>
      <c r="BC295" s="1"/>
    </row>
    <row r="296" spans="1:55">
      <c r="A296" s="1"/>
      <c r="B296" s="52"/>
      <c r="C296" s="1"/>
      <c r="D296" s="1"/>
      <c r="E296" s="1"/>
      <c r="F296" s="1"/>
      <c r="G296" s="1"/>
      <c r="H296" s="1"/>
      <c r="I296" s="1"/>
      <c r="J296" s="1"/>
      <c r="K296" s="1"/>
      <c r="L296" s="1"/>
      <c r="M296" s="1"/>
      <c r="N296" s="1"/>
      <c r="O296" s="1"/>
      <c r="P296" s="1"/>
      <c r="Q296" s="1"/>
      <c r="R296" s="1"/>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c r="AP296" s="1"/>
      <c r="AQ296" s="1"/>
      <c r="AR296" s="1"/>
      <c r="AS296" s="1"/>
      <c r="AT296" s="1"/>
      <c r="AU296" s="1"/>
      <c r="AV296" s="1"/>
      <c r="AW296" s="1"/>
      <c r="AX296" s="1"/>
      <c r="AY296" s="1"/>
      <c r="AZ296" s="1"/>
      <c r="BA296" s="1"/>
      <c r="BB296" s="1"/>
      <c r="BC296" s="1"/>
    </row>
    <row r="297" spans="1:55">
      <c r="A297" s="1"/>
      <c r="B297" s="52"/>
      <c r="C297" s="1"/>
      <c r="D297" s="1"/>
      <c r="E297" s="1"/>
      <c r="F297" s="1"/>
      <c r="G297" s="1"/>
      <c r="H297" s="1"/>
      <c r="I297" s="1"/>
      <c r="J297" s="1"/>
      <c r="K297" s="1"/>
      <c r="L297" s="1"/>
      <c r="M297" s="1"/>
      <c r="N297" s="1"/>
      <c r="O297" s="1"/>
      <c r="P297" s="1"/>
      <c r="Q297" s="1"/>
      <c r="R297" s="1"/>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c r="AP297" s="1"/>
      <c r="AQ297" s="1"/>
      <c r="AR297" s="1"/>
      <c r="AS297" s="1"/>
      <c r="AT297" s="1"/>
      <c r="AU297" s="1"/>
      <c r="AV297" s="1"/>
      <c r="AW297" s="1"/>
      <c r="AX297" s="1"/>
      <c r="AY297" s="1"/>
      <c r="AZ297" s="1"/>
      <c r="BA297" s="1"/>
      <c r="BB297" s="1"/>
      <c r="BC297" s="1"/>
    </row>
    <row r="298" spans="1:55">
      <c r="A298" s="1"/>
      <c r="B298" s="52"/>
      <c r="C298" s="1"/>
      <c r="D298" s="1"/>
      <c r="E298" s="1"/>
      <c r="F298" s="1"/>
      <c r="G298" s="1"/>
      <c r="H298" s="1"/>
      <c r="I298" s="1"/>
      <c r="J298" s="1"/>
      <c r="K298" s="1"/>
      <c r="L298" s="1"/>
      <c r="M298" s="1"/>
      <c r="N298" s="1"/>
      <c r="O298" s="1"/>
      <c r="P298" s="1"/>
      <c r="Q298" s="1"/>
      <c r="R298" s="1"/>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c r="AP298" s="1"/>
      <c r="AQ298" s="1"/>
      <c r="AR298" s="1"/>
      <c r="AS298" s="1"/>
      <c r="AT298" s="1"/>
      <c r="AU298" s="1"/>
      <c r="AV298" s="1"/>
      <c r="AW298" s="1"/>
      <c r="AX298" s="1"/>
      <c r="AY298" s="1"/>
      <c r="AZ298" s="1"/>
      <c r="BA298" s="1"/>
      <c r="BB298" s="1"/>
      <c r="BC298" s="1"/>
    </row>
    <row r="299" spans="1:55">
      <c r="A299" s="1"/>
      <c r="B299" s="52"/>
      <c r="C299" s="1"/>
      <c r="D299" s="1"/>
      <c r="E299" s="1"/>
      <c r="F299" s="1"/>
      <c r="G299" s="1"/>
      <c r="H299" s="1"/>
      <c r="I299" s="1"/>
      <c r="J299" s="1"/>
      <c r="K299" s="1"/>
      <c r="L299" s="1"/>
      <c r="M299" s="1"/>
      <c r="N299" s="1"/>
      <c r="O299" s="1"/>
      <c r="P299" s="1"/>
      <c r="Q299" s="1"/>
      <c r="R299" s="1"/>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c r="AP299" s="1"/>
      <c r="AQ299" s="1"/>
      <c r="AR299" s="1"/>
      <c r="AS299" s="1"/>
      <c r="AT299" s="1"/>
      <c r="AU299" s="1"/>
      <c r="AV299" s="1"/>
      <c r="AW299" s="1"/>
      <c r="AX299" s="1"/>
      <c r="AY299" s="1"/>
      <c r="AZ299" s="1"/>
      <c r="BA299" s="1"/>
      <c r="BB299" s="1"/>
      <c r="BC299" s="1"/>
    </row>
    <row r="300" spans="1:55">
      <c r="A300" s="1"/>
      <c r="B300" s="52"/>
      <c r="C300" s="1"/>
      <c r="D300" s="1"/>
      <c r="E300" s="1"/>
      <c r="F300" s="1"/>
      <c r="G300" s="1"/>
      <c r="H300" s="1"/>
      <c r="I300" s="1"/>
      <c r="J300" s="1"/>
      <c r="K300" s="1"/>
      <c r="L300" s="1"/>
      <c r="M300" s="1"/>
      <c r="N300" s="1"/>
      <c r="O300" s="1"/>
      <c r="P300" s="1"/>
      <c r="Q300" s="1"/>
      <c r="R300" s="1"/>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c r="AP300" s="1"/>
      <c r="AQ300" s="1"/>
      <c r="AR300" s="1"/>
      <c r="AS300" s="1"/>
      <c r="AT300" s="1"/>
      <c r="AU300" s="1"/>
      <c r="AV300" s="1"/>
      <c r="AW300" s="1"/>
      <c r="AX300" s="1"/>
      <c r="AY300" s="1"/>
      <c r="AZ300" s="1"/>
      <c r="BA300" s="1"/>
      <c r="BB300" s="1"/>
      <c r="BC300" s="1"/>
    </row>
    <row r="301" spans="1:55">
      <c r="A301" s="1"/>
      <c r="B301" s="52"/>
      <c r="C301" s="1"/>
      <c r="D301" s="1"/>
      <c r="E301" s="1"/>
      <c r="F301" s="1"/>
      <c r="G301" s="1"/>
      <c r="H301" s="1"/>
      <c r="I301" s="1"/>
      <c r="J301" s="1"/>
      <c r="K301" s="1"/>
      <c r="L301" s="1"/>
      <c r="M301" s="1"/>
      <c r="N301" s="1"/>
      <c r="O301" s="1"/>
      <c r="P301" s="1"/>
      <c r="Q301" s="1"/>
      <c r="R301" s="1"/>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c r="AP301" s="1"/>
      <c r="AQ301" s="1"/>
      <c r="AR301" s="1"/>
      <c r="AS301" s="1"/>
      <c r="AT301" s="1"/>
      <c r="AU301" s="1"/>
      <c r="AV301" s="1"/>
      <c r="AW301" s="1"/>
      <c r="AX301" s="1"/>
      <c r="AY301" s="1"/>
      <c r="AZ301" s="1"/>
      <c r="BA301" s="1"/>
      <c r="BB301" s="1"/>
      <c r="BC301" s="1"/>
    </row>
    <row r="302" spans="1:55">
      <c r="A302" s="1"/>
      <c r="B302" s="52"/>
      <c r="C302" s="1"/>
      <c r="D302" s="1"/>
      <c r="E302" s="1"/>
      <c r="F302" s="1"/>
      <c r="G302" s="1"/>
      <c r="H302" s="1"/>
      <c r="I302" s="1"/>
      <c r="J302" s="1"/>
      <c r="K302" s="1"/>
      <c r="L302" s="1"/>
      <c r="M302" s="1"/>
      <c r="N302" s="1"/>
      <c r="O302" s="1"/>
      <c r="P302" s="1"/>
      <c r="Q302" s="1"/>
      <c r="R302" s="1"/>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c r="AP302" s="1"/>
      <c r="AQ302" s="1"/>
      <c r="AR302" s="1"/>
      <c r="AS302" s="1"/>
      <c r="AT302" s="1"/>
      <c r="AU302" s="1"/>
      <c r="AV302" s="1"/>
      <c r="AW302" s="1"/>
      <c r="AX302" s="1"/>
      <c r="AY302" s="1"/>
      <c r="AZ302" s="1"/>
      <c r="BA302" s="1"/>
      <c r="BB302" s="1"/>
      <c r="BC302" s="1"/>
    </row>
    <row r="303" spans="1:55">
      <c r="A303" s="1"/>
      <c r="B303" s="52"/>
      <c r="C303" s="1"/>
      <c r="D303" s="1"/>
      <c r="E303" s="1"/>
      <c r="F303" s="1"/>
      <c r="G303" s="1"/>
      <c r="H303" s="1"/>
      <c r="I303" s="1"/>
      <c r="J303" s="1"/>
      <c r="K303" s="1"/>
      <c r="L303" s="1"/>
      <c r="M303" s="1"/>
      <c r="N303" s="1"/>
      <c r="O303" s="1"/>
      <c r="P303" s="1"/>
      <c r="Q303" s="1"/>
      <c r="R303" s="1"/>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c r="AP303" s="1"/>
      <c r="AQ303" s="1"/>
      <c r="AR303" s="1"/>
      <c r="AS303" s="1"/>
      <c r="AT303" s="1"/>
      <c r="AU303" s="1"/>
      <c r="AV303" s="1"/>
      <c r="AW303" s="1"/>
      <c r="AX303" s="1"/>
      <c r="AY303" s="1"/>
      <c r="AZ303" s="1"/>
      <c r="BA303" s="1"/>
      <c r="BB303" s="1"/>
      <c r="BC303" s="1"/>
    </row>
    <row r="304" spans="1:55">
      <c r="A304" s="1"/>
      <c r="B304" s="52"/>
      <c r="C304" s="1"/>
      <c r="D304" s="1"/>
      <c r="E304" s="1"/>
      <c r="F304" s="1"/>
      <c r="G304" s="1"/>
      <c r="H304" s="1"/>
      <c r="I304" s="1"/>
      <c r="J304" s="1"/>
      <c r="K304" s="1"/>
      <c r="L304" s="1"/>
      <c r="M304" s="1"/>
      <c r="N304" s="1"/>
      <c r="O304" s="1"/>
      <c r="P304" s="1"/>
      <c r="Q304" s="1"/>
      <c r="R304" s="1"/>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c r="AP304" s="1"/>
      <c r="AQ304" s="1"/>
      <c r="AR304" s="1"/>
      <c r="AS304" s="1"/>
      <c r="AT304" s="1"/>
      <c r="AU304" s="1"/>
      <c r="AV304" s="1"/>
      <c r="AW304" s="1"/>
      <c r="AX304" s="1"/>
      <c r="AY304" s="1"/>
      <c r="AZ304" s="1"/>
      <c r="BA304" s="1"/>
      <c r="BB304" s="1"/>
      <c r="BC304" s="1"/>
    </row>
    <row r="305" spans="1:55">
      <c r="A305" s="1"/>
      <c r="B305" s="52"/>
      <c r="C305" s="1"/>
      <c r="D305" s="1"/>
      <c r="E305" s="1"/>
      <c r="F305" s="1"/>
      <c r="G305" s="1"/>
      <c r="H305" s="1"/>
      <c r="I305" s="1"/>
      <c r="J305" s="1"/>
      <c r="K305" s="1"/>
      <c r="L305" s="1"/>
      <c r="M305" s="1"/>
      <c r="N305" s="1"/>
      <c r="O305" s="1"/>
      <c r="P305" s="1"/>
      <c r="Q305" s="1"/>
      <c r="R305" s="1"/>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c r="AP305" s="1"/>
      <c r="AQ305" s="1"/>
      <c r="AR305" s="1"/>
      <c r="AS305" s="1"/>
      <c r="AT305" s="1"/>
      <c r="AU305" s="1"/>
      <c r="AV305" s="1"/>
      <c r="AW305" s="1"/>
      <c r="AX305" s="1"/>
      <c r="AY305" s="1"/>
      <c r="AZ305" s="1"/>
      <c r="BA305" s="1"/>
      <c r="BB305" s="1"/>
      <c r="BC305" s="1"/>
    </row>
    <row r="306" spans="1:55">
      <c r="A306" s="1"/>
      <c r="B306" s="52"/>
      <c r="C306" s="1"/>
      <c r="D306" s="1"/>
      <c r="E306" s="1"/>
      <c r="F306" s="1"/>
      <c r="G306" s="1"/>
      <c r="H306" s="1"/>
      <c r="I306" s="1"/>
      <c r="J306" s="1"/>
      <c r="K306" s="1"/>
      <c r="L306" s="1"/>
      <c r="M306" s="1"/>
      <c r="N306" s="1"/>
      <c r="O306" s="1"/>
      <c r="P306" s="1"/>
      <c r="Q306" s="1"/>
      <c r="R306" s="1"/>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c r="AP306" s="1"/>
      <c r="AQ306" s="1"/>
      <c r="AR306" s="1"/>
      <c r="AS306" s="1"/>
      <c r="AT306" s="1"/>
      <c r="AU306" s="1"/>
      <c r="AV306" s="1"/>
      <c r="AW306" s="1"/>
      <c r="AX306" s="1"/>
      <c r="AY306" s="1"/>
      <c r="AZ306" s="1"/>
      <c r="BA306" s="1"/>
      <c r="BB306" s="1"/>
      <c r="BC306" s="1"/>
    </row>
    <row r="307" spans="1:55">
      <c r="A307" s="1"/>
      <c r="B307" s="52"/>
      <c r="C307" s="1"/>
      <c r="D307" s="1"/>
      <c r="E307" s="1"/>
      <c r="F307" s="1"/>
      <c r="G307" s="1"/>
      <c r="H307" s="1"/>
      <c r="I307" s="1"/>
      <c r="J307" s="1"/>
      <c r="K307" s="1"/>
      <c r="L307" s="1"/>
      <c r="M307" s="1"/>
      <c r="N307" s="1"/>
      <c r="O307" s="1"/>
      <c r="P307" s="1"/>
      <c r="Q307" s="1"/>
      <c r="R307" s="1"/>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c r="AP307" s="1"/>
      <c r="AQ307" s="1"/>
      <c r="AR307" s="1"/>
      <c r="AS307" s="1"/>
      <c r="AT307" s="1"/>
      <c r="AU307" s="1"/>
      <c r="AV307" s="1"/>
      <c r="AW307" s="1"/>
      <c r="AX307" s="1"/>
      <c r="AY307" s="1"/>
      <c r="AZ307" s="1"/>
      <c r="BA307" s="1"/>
      <c r="BB307" s="1"/>
      <c r="BC307" s="1"/>
    </row>
    <row r="308" spans="1:55">
      <c r="A308" s="1"/>
      <c r="B308" s="52"/>
      <c r="C308" s="1"/>
      <c r="D308" s="1"/>
      <c r="E308" s="1"/>
      <c r="F308" s="1"/>
      <c r="G308" s="1"/>
      <c r="H308" s="1"/>
      <c r="I308" s="1"/>
      <c r="J308" s="1"/>
      <c r="K308" s="1"/>
      <c r="L308" s="1"/>
      <c r="M308" s="1"/>
      <c r="N308" s="1"/>
      <c r="O308" s="1"/>
      <c r="P308" s="1"/>
      <c r="Q308" s="1"/>
      <c r="R308" s="1"/>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c r="AP308" s="1"/>
      <c r="AQ308" s="1"/>
      <c r="AR308" s="1"/>
      <c r="AS308" s="1"/>
      <c r="AT308" s="1"/>
      <c r="AU308" s="1"/>
      <c r="AV308" s="1"/>
      <c r="AW308" s="1"/>
      <c r="AX308" s="1"/>
      <c r="AY308" s="1"/>
      <c r="AZ308" s="1"/>
      <c r="BA308" s="1"/>
      <c r="BB308" s="1"/>
      <c r="BC308" s="1"/>
    </row>
    <row r="309" spans="1:55">
      <c r="A309" s="1"/>
      <c r="B309" s="52"/>
      <c r="C309" s="1"/>
      <c r="D309" s="1"/>
      <c r="E309" s="1"/>
      <c r="F309" s="1"/>
      <c r="G309" s="1"/>
      <c r="H309" s="1"/>
      <c r="I309" s="1"/>
      <c r="J309" s="1"/>
      <c r="K309" s="1"/>
      <c r="L309" s="1"/>
      <c r="M309" s="1"/>
      <c r="N309" s="1"/>
      <c r="O309" s="1"/>
      <c r="P309" s="1"/>
      <c r="Q309" s="1"/>
      <c r="R309" s="1"/>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c r="AP309" s="1"/>
      <c r="AQ309" s="1"/>
      <c r="AR309" s="1"/>
      <c r="AS309" s="1"/>
      <c r="AT309" s="1"/>
      <c r="AU309" s="1"/>
      <c r="AV309" s="1"/>
      <c r="AW309" s="1"/>
      <c r="AX309" s="1"/>
      <c r="AY309" s="1"/>
      <c r="AZ309" s="1"/>
      <c r="BA309" s="1"/>
      <c r="BB309" s="1"/>
      <c r="BC309" s="1"/>
    </row>
    <row r="310" spans="1:55">
      <c r="A310" s="1"/>
      <c r="B310" s="52"/>
      <c r="C310" s="1"/>
      <c r="D310" s="1"/>
      <c r="E310" s="1"/>
      <c r="F310" s="1"/>
      <c r="G310" s="1"/>
      <c r="H310" s="1"/>
      <c r="I310" s="1"/>
      <c r="J310" s="1"/>
      <c r="K310" s="1"/>
      <c r="L310" s="1"/>
      <c r="M310" s="1"/>
      <c r="N310" s="1"/>
      <c r="O310" s="1"/>
      <c r="P310" s="1"/>
      <c r="Q310" s="1"/>
      <c r="R310" s="1"/>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c r="AP310" s="1"/>
      <c r="AQ310" s="1"/>
      <c r="AR310" s="1"/>
      <c r="AS310" s="1"/>
      <c r="AT310" s="1"/>
      <c r="AU310" s="1"/>
      <c r="AV310" s="1"/>
      <c r="AW310" s="1"/>
      <c r="AX310" s="1"/>
      <c r="AY310" s="1"/>
      <c r="AZ310" s="1"/>
      <c r="BA310" s="1"/>
      <c r="BB310" s="1"/>
      <c r="BC310" s="1"/>
    </row>
    <row r="311" spans="1:55">
      <c r="A311" s="1"/>
      <c r="B311" s="52"/>
      <c r="C311" s="1"/>
      <c r="D311" s="1"/>
      <c r="E311" s="1"/>
      <c r="F311" s="1"/>
      <c r="G311" s="1"/>
      <c r="H311" s="1"/>
      <c r="I311" s="1"/>
      <c r="J311" s="1"/>
      <c r="K311" s="1"/>
      <c r="L311" s="1"/>
      <c r="M311" s="1"/>
      <c r="N311" s="1"/>
      <c r="O311" s="1"/>
      <c r="P311" s="1"/>
      <c r="Q311" s="1"/>
      <c r="R311" s="1"/>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c r="AP311" s="1"/>
      <c r="AQ311" s="1"/>
      <c r="AR311" s="1"/>
      <c r="AS311" s="1"/>
      <c r="AT311" s="1"/>
      <c r="AU311" s="1"/>
      <c r="AV311" s="1"/>
      <c r="AW311" s="1"/>
      <c r="AX311" s="1"/>
      <c r="AY311" s="1"/>
      <c r="AZ311" s="1"/>
      <c r="BA311" s="1"/>
      <c r="BB311" s="1"/>
      <c r="BC311" s="1"/>
    </row>
    <row r="312" spans="1:55">
      <c r="A312" s="1"/>
      <c r="B312" s="52"/>
      <c r="C312" s="1"/>
      <c r="D312" s="1"/>
      <c r="E312" s="1"/>
      <c r="F312" s="1"/>
      <c r="G312" s="1"/>
      <c r="H312" s="1"/>
      <c r="I312" s="1"/>
      <c r="J312" s="1"/>
      <c r="K312" s="1"/>
      <c r="L312" s="1"/>
      <c r="M312" s="1"/>
      <c r="N312" s="1"/>
      <c r="O312" s="1"/>
      <c r="P312" s="1"/>
      <c r="Q312" s="1"/>
      <c r="R312" s="1"/>
      <c r="S312" s="1"/>
      <c r="T312" s="1"/>
      <c r="U312" s="1"/>
      <c r="V312" s="1"/>
      <c r="W312" s="1"/>
      <c r="X312" s="1"/>
    </row>
    <row r="313" spans="1:55">
      <c r="A313" s="1"/>
      <c r="B313" s="52"/>
      <c r="C313" s="1"/>
      <c r="D313" s="1"/>
      <c r="E313" s="1"/>
      <c r="F313" s="1"/>
      <c r="G313" s="1"/>
      <c r="H313" s="1"/>
      <c r="I313" s="1"/>
      <c r="J313" s="1"/>
      <c r="K313" s="1"/>
      <c r="L313" s="1"/>
      <c r="M313" s="1"/>
      <c r="N313" s="1"/>
      <c r="O313" s="1"/>
      <c r="P313" s="1"/>
      <c r="Q313" s="1"/>
      <c r="R313" s="1"/>
      <c r="S313" s="1"/>
      <c r="T313" s="1"/>
      <c r="U313" s="1"/>
      <c r="V313" s="1"/>
      <c r="W313" s="1"/>
      <c r="X313" s="1"/>
    </row>
    <row r="314" spans="1:55">
      <c r="A314" s="1"/>
      <c r="B314" s="52"/>
      <c r="C314" s="1"/>
      <c r="D314" s="1"/>
      <c r="E314" s="1"/>
      <c r="F314" s="1"/>
      <c r="G314" s="1"/>
      <c r="H314" s="1"/>
      <c r="I314" s="1"/>
      <c r="J314" s="1"/>
      <c r="K314" s="1"/>
      <c r="L314" s="1"/>
      <c r="M314" s="1"/>
      <c r="N314" s="1"/>
      <c r="O314" s="1"/>
      <c r="P314" s="1"/>
      <c r="Q314" s="1"/>
      <c r="R314" s="1"/>
      <c r="S314" s="1"/>
      <c r="T314" s="1"/>
      <c r="U314" s="1"/>
      <c r="V314" s="1"/>
      <c r="W314" s="1"/>
      <c r="X314" s="1"/>
    </row>
    <row r="315" spans="1:55">
      <c r="A315" s="1"/>
      <c r="B315" s="52"/>
      <c r="C315" s="1"/>
      <c r="D315" s="1"/>
      <c r="E315" s="1"/>
      <c r="F315" s="1"/>
      <c r="G315" s="1"/>
      <c r="H315" s="1"/>
      <c r="I315" s="1"/>
      <c r="J315" s="1"/>
      <c r="K315" s="1"/>
      <c r="L315" s="1"/>
      <c r="M315" s="1"/>
      <c r="N315" s="1"/>
      <c r="O315" s="1"/>
      <c r="P315" s="1"/>
      <c r="Q315" s="1"/>
      <c r="R315" s="1"/>
      <c r="S315" s="1"/>
      <c r="T315" s="1"/>
      <c r="U315" s="1"/>
      <c r="V315" s="1"/>
      <c r="W315" s="1"/>
      <c r="X315" s="1"/>
    </row>
    <row r="316" spans="1:55">
      <c r="A316" s="1"/>
      <c r="B316" s="52"/>
      <c r="C316" s="1"/>
      <c r="D316" s="1"/>
      <c r="E316" s="1"/>
      <c r="F316" s="1"/>
      <c r="G316" s="1"/>
      <c r="H316" s="1"/>
      <c r="I316" s="1"/>
      <c r="J316" s="1"/>
      <c r="K316" s="1"/>
      <c r="L316" s="1"/>
      <c r="M316" s="1"/>
      <c r="N316" s="1"/>
      <c r="O316" s="1"/>
      <c r="P316" s="1"/>
      <c r="Q316" s="1"/>
      <c r="R316" s="1"/>
      <c r="S316" s="1"/>
      <c r="T316" s="1"/>
      <c r="U316" s="1"/>
      <c r="V316" s="1"/>
      <c r="W316" s="1"/>
      <c r="X316" s="1"/>
    </row>
    <row r="317" spans="1:55">
      <c r="A317" s="1"/>
      <c r="B317" s="52"/>
      <c r="C317" s="1"/>
      <c r="D317" s="1"/>
      <c r="E317" s="1"/>
      <c r="F317" s="1"/>
      <c r="G317" s="1"/>
      <c r="H317" s="1"/>
      <c r="I317" s="1"/>
      <c r="J317" s="1"/>
      <c r="K317" s="1"/>
      <c r="L317" s="1"/>
      <c r="M317" s="1"/>
      <c r="N317" s="1"/>
      <c r="O317" s="1"/>
      <c r="P317" s="1"/>
      <c r="Q317" s="1"/>
      <c r="R317" s="1"/>
      <c r="S317" s="1"/>
      <c r="T317" s="1"/>
      <c r="U317" s="1"/>
      <c r="V317" s="1"/>
      <c r="W317" s="1"/>
      <c r="X317" s="1"/>
    </row>
    <row r="318" spans="1:55">
      <c r="A318" s="1"/>
      <c r="B318" s="52"/>
      <c r="C318" s="1"/>
      <c r="D318" s="1"/>
      <c r="E318" s="1"/>
      <c r="F318" s="1"/>
      <c r="G318" s="1"/>
      <c r="H318" s="1"/>
      <c r="I318" s="1"/>
      <c r="J318" s="1"/>
      <c r="K318" s="1"/>
      <c r="L318" s="1"/>
      <c r="M318" s="1"/>
      <c r="N318" s="1"/>
      <c r="O318" s="1"/>
      <c r="P318" s="1"/>
      <c r="Q318" s="1"/>
      <c r="R318" s="1"/>
      <c r="S318" s="1"/>
      <c r="T318" s="1"/>
      <c r="U318" s="1"/>
      <c r="V318" s="1"/>
      <c r="W318" s="1"/>
      <c r="X318" s="1"/>
    </row>
    <row r="319" spans="1:55">
      <c r="A319" s="1"/>
      <c r="B319" s="52"/>
      <c r="C319" s="1"/>
      <c r="D319" s="1"/>
      <c r="E319" s="1"/>
      <c r="F319" s="1"/>
      <c r="G319" s="1"/>
      <c r="H319" s="1"/>
      <c r="I319" s="1"/>
      <c r="J319" s="1"/>
      <c r="K319" s="1"/>
      <c r="L319" s="1"/>
      <c r="M319" s="1"/>
      <c r="N319" s="1"/>
      <c r="O319" s="1"/>
      <c r="P319" s="1"/>
      <c r="Q319" s="1"/>
      <c r="R319" s="1"/>
      <c r="S319" s="1"/>
      <c r="T319" s="1"/>
      <c r="U319" s="1"/>
      <c r="V319" s="1"/>
      <c r="W319" s="1"/>
      <c r="X319" s="1"/>
    </row>
    <row r="320" spans="1:55">
      <c r="A320" s="1"/>
      <c r="B320" s="52"/>
      <c r="C320" s="1"/>
      <c r="D320" s="1"/>
      <c r="E320" s="1"/>
      <c r="F320" s="1"/>
      <c r="G320" s="1"/>
      <c r="H320" s="1"/>
      <c r="I320" s="1"/>
      <c r="J320" s="1"/>
      <c r="K320" s="1"/>
      <c r="L320" s="1"/>
      <c r="M320" s="1"/>
      <c r="N320" s="1"/>
      <c r="O320" s="1"/>
      <c r="P320" s="1"/>
      <c r="Q320" s="1"/>
      <c r="R320" s="1"/>
      <c r="S320" s="1"/>
      <c r="T320" s="1"/>
      <c r="U320" s="1"/>
      <c r="V320" s="1"/>
      <c r="W320" s="1"/>
      <c r="X320" s="1"/>
    </row>
    <row r="321" spans="1:24">
      <c r="A321" s="1"/>
      <c r="B321" s="52"/>
      <c r="C321" s="1"/>
      <c r="D321" s="1"/>
      <c r="E321" s="1"/>
      <c r="F321" s="1"/>
      <c r="G321" s="1"/>
      <c r="H321" s="1"/>
      <c r="I321" s="1"/>
      <c r="J321" s="1"/>
      <c r="K321" s="1"/>
      <c r="L321" s="1"/>
      <c r="M321" s="1"/>
      <c r="N321" s="1"/>
      <c r="O321" s="1"/>
      <c r="P321" s="1"/>
      <c r="Q321" s="1"/>
      <c r="R321" s="1"/>
      <c r="S321" s="1"/>
      <c r="T321" s="1"/>
      <c r="U321" s="1"/>
      <c r="V321" s="1"/>
      <c r="W321" s="1"/>
      <c r="X321" s="1"/>
    </row>
    <row r="322" spans="1:24">
      <c r="A322" s="1"/>
      <c r="B322" s="52"/>
      <c r="C322" s="1"/>
      <c r="D322" s="1"/>
      <c r="E322" s="1"/>
      <c r="F322" s="1"/>
      <c r="G322" s="1"/>
      <c r="H322" s="1"/>
      <c r="I322" s="1"/>
      <c r="J322" s="1"/>
      <c r="K322" s="1"/>
      <c r="L322" s="1"/>
      <c r="M322" s="1"/>
      <c r="N322" s="1"/>
      <c r="O322" s="1"/>
      <c r="P322" s="1"/>
      <c r="Q322" s="1"/>
      <c r="R322" s="1"/>
      <c r="S322" s="1"/>
      <c r="T322" s="1"/>
      <c r="U322" s="1"/>
      <c r="V322" s="1"/>
      <c r="W322" s="1"/>
      <c r="X322" s="1"/>
    </row>
    <row r="323" spans="1:24">
      <c r="A323" s="1"/>
      <c r="B323" s="52"/>
      <c r="C323" s="1"/>
      <c r="D323" s="1"/>
      <c r="E323" s="1"/>
      <c r="F323" s="1"/>
      <c r="G323" s="1"/>
      <c r="H323" s="1"/>
      <c r="I323" s="1"/>
      <c r="J323" s="1"/>
      <c r="K323" s="1"/>
      <c r="L323" s="1"/>
      <c r="M323" s="1"/>
      <c r="N323" s="1"/>
      <c r="O323" s="1"/>
      <c r="P323" s="1"/>
      <c r="Q323" s="1"/>
      <c r="R323" s="1"/>
      <c r="S323" s="1"/>
      <c r="T323" s="1"/>
      <c r="U323" s="1"/>
      <c r="V323" s="1"/>
      <c r="W323" s="1"/>
      <c r="X323" s="1"/>
    </row>
    <row r="324" spans="1:24">
      <c r="A324" s="1"/>
      <c r="B324" s="52"/>
      <c r="C324" s="1"/>
      <c r="D324" s="1"/>
      <c r="E324" s="1"/>
      <c r="F324" s="1"/>
      <c r="G324" s="1"/>
      <c r="H324" s="1"/>
      <c r="I324" s="1"/>
      <c r="J324" s="1"/>
      <c r="K324" s="1"/>
      <c r="L324" s="1"/>
      <c r="M324" s="1"/>
      <c r="N324" s="1"/>
      <c r="O324" s="1"/>
      <c r="P324" s="1"/>
      <c r="Q324" s="1"/>
      <c r="R324" s="1"/>
      <c r="S324" s="1"/>
      <c r="T324" s="1"/>
      <c r="U324" s="1"/>
      <c r="V324" s="1"/>
      <c r="W324" s="1"/>
      <c r="X324" s="1"/>
    </row>
    <row r="325" spans="1:24">
      <c r="A325" s="1"/>
      <c r="B325" s="52"/>
      <c r="C325" s="1"/>
      <c r="D325" s="1"/>
      <c r="E325" s="1"/>
      <c r="F325" s="1"/>
      <c r="G325" s="1"/>
      <c r="H325" s="1"/>
      <c r="I325" s="1"/>
      <c r="J325" s="1"/>
      <c r="K325" s="1"/>
      <c r="L325" s="1"/>
      <c r="M325" s="1"/>
      <c r="N325" s="1"/>
      <c r="O325" s="1"/>
      <c r="P325" s="1"/>
      <c r="Q325" s="1"/>
      <c r="R325" s="1"/>
      <c r="S325" s="1"/>
      <c r="T325" s="1"/>
      <c r="U325" s="1"/>
      <c r="V325" s="1"/>
      <c r="W325" s="1"/>
      <c r="X325" s="1"/>
    </row>
    <row r="326" spans="1:24">
      <c r="A326" s="1"/>
      <c r="B326" s="52"/>
      <c r="C326" s="1"/>
      <c r="D326" s="1"/>
      <c r="E326" s="1"/>
      <c r="F326" s="1"/>
      <c r="G326" s="1"/>
      <c r="H326" s="1"/>
      <c r="I326" s="1"/>
      <c r="J326" s="1"/>
      <c r="K326" s="1"/>
      <c r="L326" s="1"/>
      <c r="M326" s="1"/>
      <c r="N326" s="1"/>
      <c r="O326" s="1"/>
      <c r="P326" s="1"/>
      <c r="Q326" s="1"/>
      <c r="R326" s="1"/>
      <c r="S326" s="1"/>
      <c r="T326" s="1"/>
      <c r="U326" s="1"/>
      <c r="V326" s="1"/>
      <c r="W326" s="1"/>
      <c r="X326" s="1"/>
    </row>
    <row r="327" spans="1:24">
      <c r="A327" s="1"/>
      <c r="B327" s="52"/>
      <c r="C327" s="1"/>
      <c r="D327" s="1"/>
      <c r="E327" s="1"/>
      <c r="F327" s="1"/>
      <c r="G327" s="1"/>
      <c r="H327" s="1"/>
      <c r="I327" s="1"/>
      <c r="J327" s="1"/>
      <c r="K327" s="1"/>
      <c r="L327" s="1"/>
      <c r="M327" s="1"/>
      <c r="N327" s="1"/>
      <c r="O327" s="1"/>
      <c r="P327" s="1"/>
      <c r="Q327" s="1"/>
      <c r="R327" s="1"/>
      <c r="S327" s="1"/>
      <c r="T327" s="1"/>
      <c r="U327" s="1"/>
      <c r="V327" s="1"/>
      <c r="W327" s="1"/>
      <c r="X327" s="1"/>
    </row>
    <row r="328" spans="1:24">
      <c r="A328" s="1"/>
      <c r="B328" s="52"/>
      <c r="C328" s="1"/>
      <c r="D328" s="1"/>
      <c r="E328" s="1"/>
      <c r="F328" s="1"/>
      <c r="G328" s="1"/>
      <c r="H328" s="1"/>
      <c r="I328" s="1"/>
      <c r="J328" s="1"/>
      <c r="K328" s="1"/>
      <c r="L328" s="1"/>
      <c r="M328" s="1"/>
      <c r="N328" s="1"/>
      <c r="O328" s="1"/>
      <c r="P328" s="1"/>
      <c r="Q328" s="1"/>
      <c r="R328" s="1"/>
      <c r="S328" s="1"/>
      <c r="T328" s="1"/>
      <c r="U328" s="1"/>
      <c r="V328" s="1"/>
      <c r="W328" s="1"/>
      <c r="X328" s="1"/>
    </row>
    <row r="329" spans="1:24">
      <c r="A329" s="1"/>
      <c r="B329" s="52"/>
      <c r="C329" s="1"/>
      <c r="D329" s="1"/>
      <c r="E329" s="1"/>
      <c r="F329" s="1"/>
      <c r="G329" s="1"/>
      <c r="H329" s="1"/>
      <c r="I329" s="1"/>
      <c r="J329" s="1"/>
      <c r="K329" s="1"/>
      <c r="L329" s="1"/>
      <c r="M329" s="1"/>
      <c r="N329" s="1"/>
      <c r="O329" s="1"/>
      <c r="P329" s="1"/>
      <c r="Q329" s="1"/>
      <c r="R329" s="1"/>
      <c r="S329" s="1"/>
      <c r="T329" s="1"/>
      <c r="U329" s="1"/>
      <c r="V329" s="1"/>
      <c r="W329" s="1"/>
      <c r="X329" s="1"/>
    </row>
    <row r="330" spans="1:24">
      <c r="A330" s="1"/>
      <c r="B330" s="52"/>
      <c r="C330" s="1"/>
      <c r="D330" s="1"/>
      <c r="E330" s="1"/>
      <c r="F330" s="1"/>
      <c r="G330" s="1"/>
      <c r="H330" s="1"/>
      <c r="I330" s="1"/>
      <c r="J330" s="1"/>
      <c r="K330" s="1"/>
      <c r="L330" s="1"/>
      <c r="M330" s="1"/>
      <c r="N330" s="1"/>
      <c r="O330" s="1"/>
      <c r="P330" s="1"/>
      <c r="Q330" s="1"/>
      <c r="R330" s="1"/>
      <c r="S330" s="1"/>
      <c r="T330" s="1"/>
      <c r="U330" s="1"/>
      <c r="V330" s="1"/>
      <c r="W330" s="1"/>
      <c r="X330" s="1"/>
    </row>
    <row r="331" spans="1:24">
      <c r="A331" s="1"/>
      <c r="B331" s="52"/>
      <c r="C331" s="1"/>
      <c r="D331" s="1"/>
      <c r="E331" s="1"/>
      <c r="F331" s="1"/>
      <c r="G331" s="1"/>
      <c r="H331" s="1"/>
      <c r="I331" s="1"/>
      <c r="J331" s="1"/>
      <c r="K331" s="1"/>
      <c r="L331" s="1"/>
      <c r="M331" s="1"/>
      <c r="N331" s="1"/>
      <c r="O331" s="1"/>
      <c r="P331" s="1"/>
      <c r="Q331" s="1"/>
      <c r="R331" s="1"/>
      <c r="S331" s="1"/>
      <c r="T331" s="1"/>
      <c r="U331" s="1"/>
      <c r="V331" s="1"/>
      <c r="W331" s="1"/>
      <c r="X331" s="1"/>
    </row>
    <row r="332" spans="1:24">
      <c r="A332" s="1"/>
      <c r="B332" s="52"/>
      <c r="C332" s="1"/>
      <c r="D332" s="1"/>
      <c r="E332" s="1"/>
      <c r="F332" s="1"/>
      <c r="G332" s="1"/>
      <c r="H332" s="1"/>
      <c r="I332" s="1"/>
      <c r="J332" s="1"/>
      <c r="K332" s="1"/>
      <c r="L332" s="1"/>
      <c r="M332" s="1"/>
      <c r="N332" s="1"/>
      <c r="O332" s="1"/>
      <c r="P332" s="1"/>
      <c r="Q332" s="1"/>
      <c r="R332" s="1"/>
      <c r="S332" s="1"/>
      <c r="T332" s="1"/>
      <c r="U332" s="1"/>
      <c r="V332" s="1"/>
      <c r="W332" s="1"/>
      <c r="X332" s="1"/>
    </row>
    <row r="333" spans="1:24">
      <c r="A333" s="1"/>
      <c r="B333" s="52"/>
      <c r="C333" s="1"/>
      <c r="D333" s="1"/>
      <c r="E333" s="1"/>
      <c r="F333" s="1"/>
      <c r="G333" s="1"/>
      <c r="H333" s="1"/>
      <c r="I333" s="1"/>
      <c r="J333" s="1"/>
      <c r="K333" s="1"/>
      <c r="L333" s="1"/>
      <c r="M333" s="1"/>
      <c r="N333" s="1"/>
      <c r="O333" s="1"/>
      <c r="P333" s="1"/>
      <c r="Q333" s="1"/>
      <c r="R333" s="1"/>
      <c r="S333" s="1"/>
      <c r="T333" s="1"/>
      <c r="U333" s="1"/>
      <c r="V333" s="1"/>
      <c r="W333" s="1"/>
      <c r="X333" s="1"/>
    </row>
    <row r="334" spans="1:24">
      <c r="A334" s="1"/>
      <c r="B334" s="52"/>
      <c r="C334" s="1"/>
      <c r="D334" s="1"/>
      <c r="E334" s="1"/>
      <c r="F334" s="1"/>
      <c r="G334" s="1"/>
      <c r="H334" s="1"/>
      <c r="I334" s="1"/>
      <c r="J334" s="1"/>
      <c r="K334" s="1"/>
      <c r="L334" s="1"/>
      <c r="M334" s="1"/>
      <c r="N334" s="1"/>
      <c r="O334" s="1"/>
      <c r="P334" s="1"/>
      <c r="Q334" s="1"/>
      <c r="R334" s="1"/>
      <c r="S334" s="1"/>
      <c r="T334" s="1"/>
      <c r="U334" s="1"/>
      <c r="V334" s="1"/>
      <c r="W334" s="1"/>
      <c r="X334" s="1"/>
    </row>
    <row r="335" spans="1:24">
      <c r="A335" s="1"/>
      <c r="B335" s="52"/>
      <c r="C335" s="1"/>
      <c r="D335" s="1"/>
      <c r="E335" s="1"/>
      <c r="F335" s="1"/>
      <c r="G335" s="1"/>
      <c r="H335" s="1"/>
      <c r="I335" s="1"/>
      <c r="J335" s="1"/>
      <c r="K335" s="1"/>
      <c r="L335" s="1"/>
      <c r="M335" s="1"/>
      <c r="N335" s="1"/>
      <c r="O335" s="1"/>
      <c r="P335" s="1"/>
      <c r="Q335" s="1"/>
      <c r="R335" s="1"/>
      <c r="S335" s="1"/>
      <c r="T335" s="1"/>
      <c r="U335" s="1"/>
      <c r="V335" s="1"/>
      <c r="W335" s="1"/>
      <c r="X335" s="1"/>
    </row>
    <row r="336" spans="1:24">
      <c r="A336" s="1"/>
      <c r="B336" s="52"/>
      <c r="C336" s="1"/>
      <c r="D336" s="1"/>
      <c r="E336" s="1"/>
      <c r="F336" s="1"/>
      <c r="G336" s="1"/>
      <c r="H336" s="1"/>
      <c r="I336" s="1"/>
      <c r="J336" s="1"/>
      <c r="K336" s="1"/>
      <c r="L336" s="1"/>
      <c r="M336" s="1"/>
      <c r="N336" s="1"/>
      <c r="O336" s="1"/>
      <c r="P336" s="1"/>
      <c r="Q336" s="1"/>
      <c r="R336" s="1"/>
      <c r="S336" s="1"/>
      <c r="T336" s="1"/>
      <c r="U336" s="1"/>
      <c r="V336" s="1"/>
      <c r="W336" s="1"/>
      <c r="X336" s="1"/>
    </row>
    <row r="337" spans="1:24">
      <c r="A337" s="1"/>
      <c r="B337" s="52"/>
      <c r="C337" s="1"/>
      <c r="D337" s="1"/>
      <c r="E337" s="1"/>
      <c r="F337" s="1"/>
      <c r="G337" s="1"/>
      <c r="H337" s="1"/>
      <c r="I337" s="1"/>
      <c r="J337" s="1"/>
      <c r="K337" s="1"/>
      <c r="L337" s="1"/>
      <c r="M337" s="1"/>
      <c r="N337" s="1"/>
      <c r="O337" s="1"/>
      <c r="P337" s="1"/>
      <c r="Q337" s="1"/>
      <c r="R337" s="1"/>
      <c r="S337" s="1"/>
      <c r="T337" s="1"/>
      <c r="U337" s="1"/>
      <c r="V337" s="1"/>
      <c r="W337" s="1"/>
      <c r="X337" s="1"/>
    </row>
    <row r="338" spans="1:24">
      <c r="A338" s="1"/>
      <c r="B338" s="52"/>
      <c r="C338" s="1"/>
      <c r="D338" s="1"/>
      <c r="E338" s="1"/>
      <c r="F338" s="1"/>
      <c r="G338" s="1"/>
      <c r="H338" s="1"/>
      <c r="I338" s="1"/>
      <c r="J338" s="1"/>
      <c r="K338" s="1"/>
      <c r="L338" s="1"/>
      <c r="M338" s="1"/>
      <c r="N338" s="1"/>
      <c r="O338" s="1"/>
      <c r="P338" s="1"/>
      <c r="Q338" s="1"/>
      <c r="R338" s="1"/>
      <c r="S338" s="1"/>
      <c r="T338" s="1"/>
      <c r="U338" s="1"/>
      <c r="V338" s="1"/>
      <c r="W338" s="1"/>
      <c r="X338" s="1"/>
    </row>
    <row r="339" spans="1:24">
      <c r="A339" s="1"/>
      <c r="B339" s="52"/>
      <c r="C339" s="1"/>
      <c r="D339" s="1"/>
      <c r="E339" s="1"/>
      <c r="F339" s="1"/>
      <c r="G339" s="1"/>
      <c r="H339" s="1"/>
      <c r="I339" s="1"/>
      <c r="J339" s="1"/>
      <c r="K339" s="1"/>
      <c r="L339" s="1"/>
      <c r="M339" s="1"/>
      <c r="N339" s="1"/>
      <c r="O339" s="1"/>
      <c r="P339" s="1"/>
      <c r="Q339" s="1"/>
      <c r="R339" s="1"/>
      <c r="S339" s="1"/>
      <c r="T339" s="1"/>
      <c r="U339" s="1"/>
      <c r="V339" s="1"/>
      <c r="W339" s="1"/>
      <c r="X339" s="1"/>
    </row>
    <row r="340" spans="1:24">
      <c r="A340" s="1"/>
      <c r="B340" s="52"/>
      <c r="C340" s="1"/>
      <c r="D340" s="1"/>
      <c r="E340" s="1"/>
      <c r="F340" s="1"/>
      <c r="G340" s="1"/>
      <c r="H340" s="1"/>
      <c r="I340" s="1"/>
      <c r="J340" s="1"/>
      <c r="K340" s="1"/>
      <c r="L340" s="1"/>
      <c r="M340" s="1"/>
      <c r="N340" s="1"/>
      <c r="O340" s="1"/>
      <c r="P340" s="1"/>
      <c r="Q340" s="1"/>
      <c r="R340" s="1"/>
      <c r="S340" s="1"/>
      <c r="T340" s="1"/>
      <c r="U340" s="1"/>
      <c r="V340" s="1"/>
      <c r="W340" s="1"/>
      <c r="X340" s="1"/>
    </row>
    <row r="341" spans="1:24">
      <c r="A341" s="1"/>
      <c r="B341" s="52"/>
      <c r="C341" s="1"/>
      <c r="D341" s="1"/>
      <c r="E341" s="1"/>
      <c r="F341" s="1"/>
      <c r="G341" s="1"/>
      <c r="H341" s="1"/>
      <c r="I341" s="1"/>
      <c r="J341" s="1"/>
      <c r="K341" s="1"/>
      <c r="L341" s="1"/>
      <c r="M341" s="1"/>
      <c r="N341" s="1"/>
      <c r="O341" s="1"/>
      <c r="P341" s="1"/>
      <c r="Q341" s="1"/>
      <c r="R341" s="1"/>
      <c r="S341" s="1"/>
      <c r="T341" s="1"/>
      <c r="U341" s="1"/>
      <c r="V341" s="1"/>
      <c r="W341" s="1"/>
      <c r="X341" s="1"/>
    </row>
    <row r="342" spans="1:24">
      <c r="A342" s="1"/>
      <c r="B342" s="52"/>
      <c r="C342" s="1"/>
      <c r="D342" s="1"/>
      <c r="E342" s="1"/>
      <c r="F342" s="1"/>
      <c r="G342" s="1"/>
      <c r="H342" s="1"/>
      <c r="I342" s="1"/>
      <c r="J342" s="1"/>
      <c r="K342" s="1"/>
      <c r="L342" s="1"/>
      <c r="M342" s="1"/>
      <c r="N342" s="1"/>
      <c r="O342" s="1"/>
      <c r="P342" s="1"/>
      <c r="Q342" s="1"/>
      <c r="R342" s="1"/>
      <c r="S342" s="1"/>
      <c r="T342" s="1"/>
      <c r="U342" s="1"/>
      <c r="V342" s="1"/>
      <c r="W342" s="1"/>
      <c r="X342" s="1"/>
    </row>
    <row r="343" spans="1:24">
      <c r="A343" s="1"/>
      <c r="B343" s="52"/>
      <c r="C343" s="1"/>
      <c r="D343" s="1"/>
      <c r="E343" s="1"/>
      <c r="F343" s="1"/>
      <c r="G343" s="1"/>
      <c r="H343" s="1"/>
      <c r="I343" s="1"/>
      <c r="J343" s="1"/>
      <c r="K343" s="1"/>
      <c r="L343" s="1"/>
      <c r="M343" s="1"/>
      <c r="N343" s="1"/>
      <c r="O343" s="1"/>
      <c r="P343" s="1"/>
      <c r="Q343" s="1"/>
      <c r="R343" s="1"/>
      <c r="S343" s="1"/>
      <c r="T343" s="1"/>
      <c r="U343" s="1"/>
      <c r="V343" s="1"/>
      <c r="W343" s="1"/>
      <c r="X343" s="1"/>
    </row>
    <row r="344" spans="1:24">
      <c r="A344" s="1"/>
      <c r="B344" s="52"/>
      <c r="C344" s="1"/>
      <c r="D344" s="1"/>
      <c r="E344" s="1"/>
      <c r="F344" s="1"/>
      <c r="G344" s="1"/>
      <c r="H344" s="1"/>
      <c r="I344" s="1"/>
      <c r="J344" s="1"/>
      <c r="K344" s="1"/>
      <c r="L344" s="1"/>
      <c r="M344" s="1"/>
      <c r="N344" s="1"/>
      <c r="O344" s="1"/>
      <c r="P344" s="1"/>
      <c r="Q344" s="1"/>
      <c r="R344" s="1"/>
      <c r="S344" s="1"/>
      <c r="T344" s="1"/>
      <c r="U344" s="1"/>
      <c r="V344" s="1"/>
      <c r="W344" s="1"/>
      <c r="X344" s="1"/>
    </row>
    <row r="345" spans="1:24">
      <c r="A345" s="1"/>
      <c r="B345" s="52"/>
      <c r="C345" s="1"/>
      <c r="D345" s="1"/>
      <c r="E345" s="1"/>
      <c r="F345" s="1"/>
      <c r="G345" s="1"/>
      <c r="H345" s="1"/>
      <c r="I345" s="1"/>
      <c r="J345" s="1"/>
      <c r="K345" s="1"/>
      <c r="L345" s="1"/>
      <c r="M345" s="1"/>
      <c r="N345" s="1"/>
      <c r="O345" s="1"/>
      <c r="P345" s="1"/>
      <c r="Q345" s="1"/>
      <c r="R345" s="1"/>
      <c r="S345" s="1"/>
      <c r="T345" s="1"/>
      <c r="U345" s="1"/>
      <c r="V345" s="1"/>
      <c r="W345" s="1"/>
      <c r="X345" s="1"/>
    </row>
    <row r="346" spans="1:24">
      <c r="A346" s="1"/>
      <c r="B346" s="52"/>
      <c r="C346" s="1"/>
      <c r="D346" s="1"/>
      <c r="E346" s="1"/>
      <c r="F346" s="1"/>
      <c r="G346" s="1"/>
      <c r="H346" s="1"/>
      <c r="I346" s="1"/>
      <c r="J346" s="1"/>
      <c r="K346" s="1"/>
      <c r="L346" s="1"/>
      <c r="M346" s="1"/>
      <c r="N346" s="1"/>
      <c r="O346" s="1"/>
      <c r="P346" s="1"/>
      <c r="Q346" s="1"/>
      <c r="R346" s="1"/>
      <c r="S346" s="1"/>
      <c r="T346" s="1"/>
      <c r="U346" s="1"/>
      <c r="V346" s="1"/>
      <c r="W346" s="1"/>
      <c r="X346" s="1"/>
    </row>
    <row r="347" spans="1:24">
      <c r="A347" s="1"/>
      <c r="B347" s="52"/>
      <c r="C347" s="1"/>
      <c r="D347" s="1"/>
      <c r="E347" s="1"/>
      <c r="F347" s="1"/>
      <c r="G347" s="1"/>
      <c r="H347" s="1"/>
      <c r="I347" s="1"/>
      <c r="J347" s="1"/>
      <c r="K347" s="1"/>
      <c r="L347" s="1"/>
      <c r="M347" s="1"/>
      <c r="N347" s="1"/>
      <c r="O347" s="1"/>
      <c r="P347" s="1"/>
      <c r="Q347" s="1"/>
      <c r="R347" s="1"/>
      <c r="S347" s="1"/>
      <c r="T347" s="1"/>
      <c r="U347" s="1"/>
      <c r="V347" s="1"/>
      <c r="W347" s="1"/>
      <c r="X347" s="1"/>
    </row>
    <row r="348" spans="1:24">
      <c r="A348" s="1"/>
      <c r="B348" s="52"/>
      <c r="C348" s="1"/>
      <c r="D348" s="1"/>
      <c r="E348" s="1"/>
      <c r="F348" s="1"/>
      <c r="G348" s="1"/>
      <c r="H348" s="1"/>
      <c r="I348" s="1"/>
      <c r="J348" s="1"/>
      <c r="K348" s="1"/>
      <c r="L348" s="1"/>
      <c r="M348" s="1"/>
      <c r="N348" s="1"/>
      <c r="O348" s="1"/>
      <c r="P348" s="1"/>
      <c r="Q348" s="1"/>
      <c r="R348" s="1"/>
      <c r="S348" s="1"/>
      <c r="T348" s="1"/>
      <c r="U348" s="1"/>
      <c r="V348" s="1"/>
      <c r="W348" s="1"/>
      <c r="X348" s="1"/>
    </row>
    <row r="349" spans="1:24">
      <c r="A349" s="1"/>
      <c r="B349" s="52"/>
      <c r="C349" s="1"/>
      <c r="D349" s="1"/>
      <c r="E349" s="1"/>
      <c r="F349" s="1"/>
      <c r="G349" s="1"/>
      <c r="H349" s="1"/>
      <c r="I349" s="1"/>
      <c r="J349" s="1"/>
      <c r="K349" s="1"/>
      <c r="L349" s="1"/>
      <c r="M349" s="1"/>
      <c r="N349" s="1"/>
      <c r="O349" s="1"/>
      <c r="P349" s="1"/>
      <c r="Q349" s="1"/>
      <c r="R349" s="1"/>
      <c r="S349" s="1"/>
      <c r="T349" s="1"/>
      <c r="U349" s="1"/>
      <c r="V349" s="1"/>
      <c r="W349" s="1"/>
      <c r="X349" s="1"/>
    </row>
    <row r="350" spans="1:24">
      <c r="A350" s="1"/>
      <c r="B350" s="52"/>
      <c r="C350" s="1"/>
      <c r="D350" s="1"/>
      <c r="E350" s="1"/>
      <c r="F350" s="1"/>
      <c r="G350" s="1"/>
      <c r="H350" s="1"/>
      <c r="I350" s="1"/>
      <c r="J350" s="1"/>
      <c r="K350" s="1"/>
      <c r="L350" s="1"/>
      <c r="M350" s="1"/>
      <c r="N350" s="1"/>
      <c r="O350" s="1"/>
      <c r="P350" s="1"/>
      <c r="Q350" s="1"/>
      <c r="R350" s="1"/>
      <c r="S350" s="1"/>
      <c r="T350" s="1"/>
      <c r="U350" s="1"/>
      <c r="V350" s="1"/>
      <c r="W350" s="1"/>
      <c r="X350" s="1"/>
    </row>
    <row r="351" spans="1:24">
      <c r="A351" s="1"/>
      <c r="B351" s="52"/>
      <c r="C351" s="1"/>
      <c r="D351" s="1"/>
      <c r="E351" s="1"/>
      <c r="F351" s="1"/>
      <c r="G351" s="1"/>
      <c r="H351" s="1"/>
      <c r="I351" s="1"/>
      <c r="J351" s="1"/>
      <c r="K351" s="1"/>
      <c r="L351" s="1"/>
      <c r="M351" s="1"/>
      <c r="N351" s="1"/>
      <c r="O351" s="1"/>
      <c r="P351" s="1"/>
      <c r="Q351" s="1"/>
      <c r="R351" s="1"/>
      <c r="S351" s="1"/>
      <c r="T351" s="1"/>
      <c r="U351" s="1"/>
      <c r="V351" s="1"/>
      <c r="W351" s="1"/>
      <c r="X351" s="1"/>
    </row>
    <row r="352" spans="1:24">
      <c r="A352" s="1"/>
      <c r="B352" s="52"/>
      <c r="C352" s="1"/>
      <c r="D352" s="1"/>
      <c r="E352" s="1"/>
      <c r="F352" s="1"/>
      <c r="G352" s="1"/>
      <c r="H352" s="1"/>
      <c r="I352" s="1"/>
      <c r="J352" s="1"/>
      <c r="K352" s="1"/>
      <c r="L352" s="1"/>
      <c r="M352" s="1"/>
      <c r="N352" s="1"/>
      <c r="O352" s="1"/>
      <c r="P352" s="1"/>
      <c r="Q352" s="1"/>
      <c r="R352" s="1"/>
      <c r="S352" s="1"/>
      <c r="T352" s="1"/>
      <c r="U352" s="1"/>
      <c r="V352" s="1"/>
      <c r="W352" s="1"/>
      <c r="X352" s="1"/>
    </row>
    <row r="353" spans="1:24">
      <c r="A353" s="1"/>
      <c r="B353" s="52"/>
      <c r="C353" s="1"/>
      <c r="D353" s="1"/>
      <c r="E353" s="1"/>
      <c r="F353" s="1"/>
      <c r="G353" s="1"/>
      <c r="H353" s="1"/>
      <c r="I353" s="1"/>
      <c r="J353" s="1"/>
      <c r="K353" s="1"/>
      <c r="L353" s="1"/>
      <c r="M353" s="1"/>
      <c r="N353" s="1"/>
      <c r="O353" s="1"/>
      <c r="P353" s="1"/>
      <c r="Q353" s="1"/>
      <c r="R353" s="1"/>
      <c r="S353" s="1"/>
      <c r="T353" s="1"/>
      <c r="U353" s="1"/>
      <c r="V353" s="1"/>
      <c r="W353" s="1"/>
      <c r="X353" s="1"/>
    </row>
    <row r="354" spans="1:24">
      <c r="A354" s="1"/>
      <c r="B354" s="52"/>
      <c r="C354" s="1"/>
      <c r="D354" s="1"/>
      <c r="E354" s="1"/>
      <c r="F354" s="1"/>
      <c r="G354" s="1"/>
      <c r="H354" s="1"/>
      <c r="I354" s="1"/>
      <c r="J354" s="1"/>
      <c r="K354" s="1"/>
      <c r="L354" s="1"/>
      <c r="M354" s="1"/>
      <c r="N354" s="1"/>
      <c r="O354" s="1"/>
      <c r="P354" s="1"/>
      <c r="Q354" s="1"/>
      <c r="R354" s="1"/>
      <c r="S354" s="1"/>
      <c r="T354" s="1"/>
      <c r="U354" s="1"/>
      <c r="V354" s="1"/>
      <c r="W354" s="1"/>
      <c r="X354" s="1"/>
    </row>
    <row r="355" spans="1:24">
      <c r="A355" s="1"/>
      <c r="B355" s="52"/>
      <c r="C355" s="1"/>
      <c r="D355" s="1"/>
      <c r="E355" s="1"/>
      <c r="F355" s="1"/>
      <c r="G355" s="1"/>
      <c r="H355" s="1"/>
      <c r="I355" s="1"/>
      <c r="J355" s="1"/>
      <c r="K355" s="1"/>
      <c r="L355" s="1"/>
      <c r="M355" s="1"/>
      <c r="N355" s="1"/>
      <c r="O355" s="1"/>
      <c r="P355" s="1"/>
      <c r="Q355" s="1"/>
      <c r="R355" s="1"/>
      <c r="S355" s="1"/>
      <c r="T355" s="1"/>
      <c r="U355" s="1"/>
      <c r="V355" s="1"/>
      <c r="W355" s="1"/>
      <c r="X355" s="1"/>
    </row>
    <row r="356" spans="1:2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c r="T377" s="1"/>
      <c r="U377" s="1"/>
      <c r="V377" s="1"/>
      <c r="W377" s="1"/>
      <c r="X377" s="1"/>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2539-541E-44B3-9FB8-2EA2F899B61A}">
  <dimension ref="A1:BB208"/>
  <sheetViews>
    <sheetView topLeftCell="A143" zoomScale="66" workbookViewId="0">
      <selection activeCell="B2" sqref="B2"/>
    </sheetView>
  </sheetViews>
  <sheetFormatPr defaultRowHeight="14.4"/>
  <cols>
    <col min="2" max="2" width="34.21875" customWidth="1"/>
    <col min="3" max="3" width="8.88671875" customWidth="1"/>
    <col min="4" max="4" width="9.88671875" customWidth="1"/>
    <col min="5" max="6" width="8.88671875" customWidth="1"/>
    <col min="8" max="8" width="9.44140625" bestFit="1" customWidth="1"/>
    <col min="9" max="9" width="10.44140625" bestFit="1" customWidth="1"/>
    <col min="10" max="15" width="9.44140625" bestFit="1" customWidth="1"/>
    <col min="16" max="16" width="11.77734375" customWidth="1"/>
    <col min="17" max="17" width="6.88671875" customWidth="1"/>
  </cols>
  <sheetData>
    <row r="1" spans="1:54" ht="15" thickBot="1">
      <c r="A1" s="1"/>
      <c r="B1" s="1"/>
      <c r="C1" s="1"/>
      <c r="D1" s="1"/>
      <c r="E1" s="1"/>
      <c r="F1" s="1"/>
      <c r="G1" s="1"/>
      <c r="H1" s="1"/>
      <c r="I1" s="1"/>
      <c r="J1" s="1"/>
      <c r="K1" s="1"/>
      <c r="L1" s="1"/>
      <c r="M1" s="1"/>
      <c r="N1" s="1"/>
      <c r="O1" s="1"/>
      <c r="P1" s="1"/>
      <c r="Q1" s="1"/>
      <c r="R1" s="1"/>
      <c r="S1" s="1"/>
      <c r="T1" s="1"/>
      <c r="U1" s="52"/>
      <c r="V1" s="52"/>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spans="1:54" ht="24.6">
      <c r="A2" s="896"/>
      <c r="B2" s="902" t="s">
        <v>778</v>
      </c>
      <c r="C2" s="897"/>
      <c r="D2" s="897"/>
      <c r="E2" s="897"/>
      <c r="F2" s="897"/>
      <c r="G2" s="897"/>
      <c r="H2" s="897"/>
      <c r="I2" s="897"/>
      <c r="J2" s="897"/>
      <c r="K2" s="897"/>
      <c r="L2" s="897"/>
      <c r="M2" s="897"/>
      <c r="N2" s="897"/>
      <c r="O2" s="897"/>
      <c r="P2" s="897"/>
      <c r="Q2" s="898"/>
      <c r="R2" s="1"/>
      <c r="S2" s="1"/>
      <c r="T2" s="1"/>
      <c r="U2" s="52"/>
      <c r="V2" s="52"/>
      <c r="W2" s="909" t="s">
        <v>802</v>
      </c>
      <c r="X2" s="897"/>
      <c r="Y2" s="897"/>
      <c r="Z2" s="897"/>
      <c r="AA2" s="897"/>
      <c r="AB2" s="897"/>
      <c r="AC2" s="897"/>
      <c r="AD2" s="897"/>
      <c r="AE2" s="897"/>
      <c r="AF2" s="897"/>
      <c r="AG2" s="898"/>
      <c r="AH2" s="941"/>
      <c r="AI2" s="941"/>
      <c r="AJ2" s="1"/>
      <c r="AK2" s="1"/>
      <c r="AL2" s="1"/>
      <c r="AM2" s="1"/>
      <c r="AN2" s="1"/>
      <c r="AO2" s="1"/>
      <c r="AP2" s="1"/>
      <c r="AQ2" s="1"/>
      <c r="AR2" s="1"/>
      <c r="AS2" s="1"/>
      <c r="AT2" s="1"/>
      <c r="AU2" s="1"/>
      <c r="AV2" s="1"/>
      <c r="AW2" s="1"/>
      <c r="AX2" s="1"/>
      <c r="AY2" s="1"/>
      <c r="AZ2" s="1"/>
      <c r="BA2" s="1"/>
      <c r="BB2" s="1"/>
    </row>
    <row r="3" spans="1:54" ht="15" thickBot="1">
      <c r="A3" s="899"/>
      <c r="B3" s="900"/>
      <c r="C3" s="900"/>
      <c r="D3" s="900"/>
      <c r="E3" s="900"/>
      <c r="F3" s="900"/>
      <c r="G3" s="900"/>
      <c r="H3" s="900"/>
      <c r="I3" s="900"/>
      <c r="J3" s="900"/>
      <c r="K3" s="900"/>
      <c r="L3" s="900"/>
      <c r="M3" s="900"/>
      <c r="N3" s="900"/>
      <c r="O3" s="900"/>
      <c r="P3" s="900"/>
      <c r="Q3" s="901"/>
      <c r="R3" s="1"/>
      <c r="S3" s="1"/>
      <c r="T3" s="1"/>
      <c r="U3" s="52"/>
      <c r="V3" s="52"/>
      <c r="W3" s="899"/>
      <c r="X3" s="900"/>
      <c r="Y3" s="900"/>
      <c r="Z3" s="900"/>
      <c r="AA3" s="900"/>
      <c r="AB3" s="900"/>
      <c r="AC3" s="900"/>
      <c r="AD3" s="900"/>
      <c r="AE3" s="900"/>
      <c r="AF3" s="900"/>
      <c r="AG3" s="901"/>
      <c r="AH3" s="941"/>
      <c r="AI3" s="941"/>
      <c r="AJ3" s="1"/>
      <c r="AK3" s="1"/>
      <c r="AL3" s="1"/>
      <c r="AM3" s="1"/>
      <c r="AN3" s="1"/>
      <c r="AO3" s="1"/>
      <c r="AP3" s="1"/>
      <c r="AQ3" s="1"/>
      <c r="AR3" s="1"/>
      <c r="AS3" s="1"/>
      <c r="AT3" s="1"/>
      <c r="AU3" s="1"/>
      <c r="AV3" s="1"/>
      <c r="AW3" s="1"/>
      <c r="AX3" s="1"/>
      <c r="AY3" s="1"/>
      <c r="AZ3" s="1"/>
      <c r="BA3" s="1"/>
      <c r="BB3" s="1"/>
    </row>
    <row r="4" spans="1:54" ht="15" thickBot="1">
      <c r="A4" s="922"/>
      <c r="B4" s="923"/>
      <c r="C4" s="923"/>
      <c r="D4" s="923"/>
      <c r="E4" s="923"/>
      <c r="F4" s="923"/>
      <c r="G4" s="923"/>
      <c r="H4" s="923"/>
      <c r="I4" s="923"/>
      <c r="J4" s="923"/>
      <c r="K4" s="923"/>
      <c r="L4" s="923"/>
      <c r="M4" s="923"/>
      <c r="N4" s="923"/>
      <c r="O4" s="923"/>
      <c r="P4" s="923"/>
      <c r="Q4" s="924"/>
      <c r="R4" s="1"/>
      <c r="S4" s="1"/>
      <c r="T4" s="1"/>
      <c r="U4" s="52"/>
      <c r="V4" s="52"/>
      <c r="W4" s="922"/>
      <c r="X4" s="923"/>
      <c r="Y4" s="923"/>
      <c r="Z4" s="923"/>
      <c r="AA4" s="923"/>
      <c r="AB4" s="923"/>
      <c r="AC4" s="923"/>
      <c r="AD4" s="923"/>
      <c r="AE4" s="923"/>
      <c r="AF4" s="923"/>
      <c r="AG4" s="924"/>
      <c r="AH4" s="52"/>
      <c r="AI4" s="52"/>
      <c r="AJ4" s="1"/>
      <c r="AK4" s="1"/>
      <c r="AL4" s="1"/>
      <c r="AM4" s="1"/>
      <c r="AN4" s="1"/>
      <c r="AO4" s="1"/>
      <c r="AP4" s="1"/>
      <c r="AQ4" s="1"/>
      <c r="AR4" s="1"/>
      <c r="AS4" s="1"/>
      <c r="AT4" s="1"/>
      <c r="AU4" s="1"/>
      <c r="AV4" s="1"/>
      <c r="AW4" s="1"/>
      <c r="AX4" s="1"/>
      <c r="AY4" s="1"/>
      <c r="AZ4" s="1"/>
      <c r="BA4" s="1"/>
      <c r="BB4" s="1"/>
    </row>
    <row r="5" spans="1:54" ht="15" thickBot="1">
      <c r="A5" s="1"/>
      <c r="B5" s="1"/>
      <c r="C5" s="1"/>
      <c r="D5" s="1"/>
      <c r="E5" s="1"/>
      <c r="F5" s="1"/>
      <c r="G5" s="1"/>
      <c r="H5" s="1"/>
      <c r="I5" s="1"/>
      <c r="J5" s="1"/>
      <c r="K5" s="1"/>
      <c r="L5" s="1"/>
      <c r="M5" s="1"/>
      <c r="N5" s="1"/>
      <c r="O5" s="1"/>
      <c r="P5" s="1"/>
      <c r="Q5" s="1"/>
      <c r="R5" s="1"/>
      <c r="S5" s="1"/>
      <c r="T5" s="1"/>
      <c r="U5" s="52"/>
      <c r="V5" s="52"/>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c r="A6" s="1"/>
      <c r="B6" s="743"/>
      <c r="C6" s="758" t="s">
        <v>471</v>
      </c>
      <c r="D6" s="737"/>
      <c r="E6" s="737"/>
      <c r="F6" s="737"/>
      <c r="G6" s="738"/>
      <c r="H6" s="737" t="s">
        <v>543</v>
      </c>
      <c r="I6" s="737"/>
      <c r="J6" s="737"/>
      <c r="K6" s="737"/>
      <c r="L6" s="738"/>
      <c r="M6" s="737" t="s">
        <v>544</v>
      </c>
      <c r="N6" s="737"/>
      <c r="O6" s="738"/>
      <c r="P6" s="737" t="s">
        <v>503</v>
      </c>
      <c r="Q6" s="739"/>
      <c r="R6" s="1"/>
      <c r="S6" s="1"/>
      <c r="T6" s="1"/>
      <c r="U6" s="52"/>
      <c r="V6" s="52"/>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spans="1:54" ht="15" thickBot="1">
      <c r="A7" s="1"/>
      <c r="B7" s="744" t="s">
        <v>480</v>
      </c>
      <c r="C7" s="740">
        <v>2015</v>
      </c>
      <c r="D7" s="740">
        <v>2016</v>
      </c>
      <c r="E7" s="740">
        <v>2017</v>
      </c>
      <c r="F7" s="740">
        <v>2018</v>
      </c>
      <c r="G7" s="741">
        <v>2019</v>
      </c>
      <c r="H7" s="740">
        <v>2020</v>
      </c>
      <c r="I7" s="740">
        <v>2021</v>
      </c>
      <c r="J7" s="740">
        <v>2022</v>
      </c>
      <c r="K7" s="740">
        <v>2023</v>
      </c>
      <c r="L7" s="741">
        <v>2024</v>
      </c>
      <c r="M7" s="740">
        <v>2025</v>
      </c>
      <c r="N7" s="740">
        <v>2026</v>
      </c>
      <c r="O7" s="741">
        <v>2027</v>
      </c>
      <c r="P7" s="740"/>
      <c r="Q7" s="742"/>
      <c r="R7" s="1"/>
      <c r="S7" s="1"/>
      <c r="T7" s="1"/>
      <c r="U7" s="52"/>
      <c r="V7" s="52"/>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c r="A8" s="1"/>
      <c r="B8" s="577"/>
      <c r="C8" s="52"/>
      <c r="D8" s="52"/>
      <c r="E8" s="52"/>
      <c r="F8" s="52"/>
      <c r="G8" s="360"/>
      <c r="H8" s="52"/>
      <c r="I8" s="52"/>
      <c r="J8" s="52"/>
      <c r="K8" s="52"/>
      <c r="L8" s="360"/>
      <c r="M8" s="52"/>
      <c r="N8" s="52"/>
      <c r="O8" s="360"/>
      <c r="P8" s="52"/>
      <c r="Q8" s="360"/>
      <c r="R8" s="1"/>
      <c r="S8" s="1"/>
      <c r="T8" s="1"/>
      <c r="U8" s="52"/>
      <c r="V8" s="52"/>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c r="A9" s="1"/>
      <c r="B9" s="577" t="s">
        <v>485</v>
      </c>
      <c r="C9" s="594">
        <v>3106</v>
      </c>
      <c r="D9" s="594">
        <v>3109.1838560000001</v>
      </c>
      <c r="E9" s="594">
        <v>3109.1838560000001</v>
      </c>
      <c r="F9" s="594">
        <v>3109.1838560000001</v>
      </c>
      <c r="G9" s="445">
        <v>3109.1838560000001</v>
      </c>
      <c r="H9" s="52"/>
      <c r="I9" s="52"/>
      <c r="J9" s="52"/>
      <c r="K9" s="52"/>
      <c r="L9" s="360"/>
      <c r="M9" s="52"/>
      <c r="N9" s="52"/>
      <c r="O9" s="360"/>
      <c r="P9" s="52"/>
      <c r="Q9" s="360"/>
      <c r="R9" s="1"/>
      <c r="S9" s="1"/>
      <c r="T9" s="1"/>
      <c r="U9" s="52"/>
      <c r="V9" s="52"/>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c r="A10" s="1"/>
      <c r="B10" s="577" t="s">
        <v>484</v>
      </c>
      <c r="C10" s="496">
        <f>'Reorganised Statements'!C114/C9</f>
        <v>2.4146812620734062E-2</v>
      </c>
      <c r="D10" s="496">
        <f>'Reorganised Statements'!D114/D9</f>
        <v>7.4617652330946624E-2</v>
      </c>
      <c r="E10" s="496">
        <f>'Reorganised Statements'!E114/E9</f>
        <v>9.4236948848997235E-2</v>
      </c>
      <c r="F10" s="496">
        <f>'Reorganised Statements'!F114/F9</f>
        <v>0.11063996724933464</v>
      </c>
      <c r="G10" s="807">
        <f>'Reorganised Statements'!G114/G9</f>
        <v>0.12511321877904411</v>
      </c>
      <c r="H10" s="52"/>
      <c r="I10" s="52"/>
      <c r="J10" s="52"/>
      <c r="K10" s="52"/>
      <c r="L10" s="360"/>
      <c r="M10" s="52"/>
      <c r="N10" s="52"/>
      <c r="O10" s="360"/>
      <c r="P10" s="52"/>
      <c r="Q10" s="360"/>
      <c r="R10" s="1"/>
      <c r="S10" s="1"/>
      <c r="T10" s="1"/>
      <c r="U10" s="52"/>
      <c r="V10" s="52"/>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c r="A11" s="1"/>
      <c r="B11" s="577" t="s">
        <v>481</v>
      </c>
      <c r="C11" s="52">
        <v>126</v>
      </c>
      <c r="D11" s="52">
        <v>153</v>
      </c>
      <c r="E11" s="52">
        <v>180</v>
      </c>
      <c r="F11" s="52">
        <v>218</v>
      </c>
      <c r="G11" s="360">
        <v>241</v>
      </c>
      <c r="H11" s="52"/>
      <c r="I11" s="52"/>
      <c r="J11" s="52"/>
      <c r="K11" s="52"/>
      <c r="L11" s="360"/>
      <c r="M11" s="52"/>
      <c r="N11" s="52"/>
      <c r="O11" s="360"/>
      <c r="P11" s="52"/>
      <c r="Q11" s="360"/>
      <c r="R11" s="1"/>
      <c r="S11" s="1"/>
      <c r="T11" s="1"/>
      <c r="U11" s="52"/>
      <c r="V11" s="52"/>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c r="A12" s="1"/>
      <c r="B12" s="577" t="s">
        <v>482</v>
      </c>
      <c r="C12" s="756">
        <f>C11/C9</f>
        <v>4.0566645202833228E-2</v>
      </c>
      <c r="D12" s="756">
        <f t="shared" ref="D12:G12" si="0">D11/D9</f>
        <v>4.9209055201012208E-2</v>
      </c>
      <c r="E12" s="756">
        <f t="shared" si="0"/>
        <v>5.7893006118837895E-2</v>
      </c>
      <c r="F12" s="756">
        <f t="shared" si="0"/>
        <v>7.011486296614812E-2</v>
      </c>
      <c r="G12" s="423">
        <f t="shared" si="0"/>
        <v>7.7512302636888505E-2</v>
      </c>
      <c r="H12" s="756">
        <v>0.08</v>
      </c>
      <c r="I12" s="756">
        <f>H12*(1.05)</f>
        <v>8.4000000000000005E-2</v>
      </c>
      <c r="J12" s="756">
        <f>I12*(1.05)</f>
        <v>8.8200000000000014E-2</v>
      </c>
      <c r="K12" s="756">
        <f>J12*(1.05)</f>
        <v>9.2610000000000026E-2</v>
      </c>
      <c r="L12" s="423">
        <f>K12*(1.05)</f>
        <v>9.7240500000000035E-2</v>
      </c>
      <c r="M12" s="756">
        <f>L12*(1+L30+L32)</f>
        <v>0.10080598500000003</v>
      </c>
      <c r="N12" s="756">
        <f>M12*(1+L31-L32)</f>
        <v>0.10315812465000004</v>
      </c>
      <c r="O12" s="423">
        <f>N12*(1+L31)</f>
        <v>0.10418970589650005</v>
      </c>
      <c r="P12" s="52"/>
      <c r="Q12" s="360"/>
      <c r="R12" s="1"/>
      <c r="S12" s="1"/>
      <c r="T12" s="1"/>
      <c r="U12" s="52"/>
      <c r="V12" s="52"/>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c r="A13" s="1"/>
      <c r="B13" s="577"/>
      <c r="C13" s="52"/>
      <c r="D13" s="52"/>
      <c r="E13" s="52"/>
      <c r="F13" s="52"/>
      <c r="G13" s="360"/>
      <c r="H13" s="52"/>
      <c r="I13" s="52"/>
      <c r="J13" s="52"/>
      <c r="K13" s="52"/>
      <c r="L13" s="360"/>
      <c r="M13" s="52"/>
      <c r="N13" s="52"/>
      <c r="O13" s="360"/>
      <c r="P13" s="52"/>
      <c r="Q13" s="360"/>
      <c r="R13" s="1"/>
      <c r="S13" s="1"/>
      <c r="T13" s="1"/>
      <c r="U13" s="52"/>
      <c r="V13" s="52"/>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c r="A14" s="1"/>
      <c r="B14" s="577" t="s">
        <v>743</v>
      </c>
      <c r="C14" s="361"/>
      <c r="D14" s="361">
        <f>(D12-C12)/C12</f>
        <v>0.21304226551066596</v>
      </c>
      <c r="E14" s="361">
        <f t="shared" ref="E14:O14" si="1">(E12-D12)/D12</f>
        <v>0.17647058823529416</v>
      </c>
      <c r="F14" s="361">
        <f t="shared" si="1"/>
        <v>0.21111111111111117</v>
      </c>
      <c r="G14" s="424">
        <f t="shared" si="1"/>
        <v>0.10550458715596313</v>
      </c>
      <c r="H14" s="361">
        <f t="shared" si="1"/>
        <v>3.2094226058091431E-2</v>
      </c>
      <c r="I14" s="361">
        <f t="shared" si="1"/>
        <v>5.0000000000000044E-2</v>
      </c>
      <c r="J14" s="361">
        <f t="shared" si="1"/>
        <v>5.0000000000000107E-2</v>
      </c>
      <c r="K14" s="361">
        <f t="shared" si="1"/>
        <v>5.0000000000000121E-2</v>
      </c>
      <c r="L14" s="424">
        <f t="shared" si="1"/>
        <v>5.0000000000000093E-2</v>
      </c>
      <c r="M14" s="361">
        <f t="shared" si="1"/>
        <v>3.6666666666666584E-2</v>
      </c>
      <c r="N14" s="361">
        <f t="shared" si="1"/>
        <v>2.3333333333333477E-2</v>
      </c>
      <c r="O14" s="424">
        <f t="shared" si="1"/>
        <v>1.000000000000004E-2</v>
      </c>
      <c r="P14" s="52"/>
      <c r="Q14" s="360"/>
      <c r="R14" s="1"/>
      <c r="S14" s="1"/>
      <c r="T14" s="1"/>
      <c r="U14" s="52"/>
      <c r="V14" s="52"/>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row>
    <row r="15" spans="1:54">
      <c r="A15" s="1"/>
      <c r="B15" s="577" t="s">
        <v>483</v>
      </c>
      <c r="C15" s="361">
        <f>C11/'Reorganised Statements'!C114</f>
        <v>1.68</v>
      </c>
      <c r="D15" s="361">
        <f>D11/'Reorganised Statements'!D114</f>
        <v>0.65948275862068961</v>
      </c>
      <c r="E15" s="361">
        <f>E11/'Reorganised Statements'!E114</f>
        <v>0.61433447098976113</v>
      </c>
      <c r="F15" s="361">
        <f>F11/'Reorganised Statements'!F114</f>
        <v>0.63372093023255816</v>
      </c>
      <c r="G15" s="424">
        <f>G11/'Reorganised Statements'!G114</f>
        <v>0.61953727506426737</v>
      </c>
      <c r="H15" s="52"/>
      <c r="I15" s="52"/>
      <c r="J15" s="52"/>
      <c r="K15" s="52"/>
      <c r="L15" s="360"/>
      <c r="M15" s="52"/>
      <c r="N15" s="52"/>
      <c r="O15" s="360"/>
      <c r="P15" s="52"/>
      <c r="Q15" s="360"/>
      <c r="R15" s="1"/>
      <c r="S15" s="1"/>
      <c r="T15" s="1"/>
      <c r="U15" s="52"/>
      <c r="V15" s="52"/>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spans="1:54">
      <c r="A16" s="1"/>
      <c r="B16" s="577"/>
      <c r="C16" s="52"/>
      <c r="D16" s="52"/>
      <c r="E16" s="52"/>
      <c r="F16" s="52"/>
      <c r="G16" s="360"/>
      <c r="H16" s="52"/>
      <c r="I16" s="52"/>
      <c r="J16" s="52"/>
      <c r="K16" s="52"/>
      <c r="L16" s="360"/>
      <c r="M16" s="52"/>
      <c r="N16" s="52"/>
      <c r="O16" s="360"/>
      <c r="P16" s="52"/>
      <c r="Q16" s="360"/>
      <c r="R16" s="1"/>
      <c r="S16" s="1"/>
      <c r="T16" s="1"/>
      <c r="U16" s="52"/>
      <c r="V16" s="52"/>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spans="1:54">
      <c r="A17" s="1"/>
      <c r="B17" s="577"/>
      <c r="C17" s="52"/>
      <c r="D17" s="52"/>
      <c r="E17" s="52"/>
      <c r="F17" s="52"/>
      <c r="G17" s="360"/>
      <c r="H17" s="52"/>
      <c r="I17" s="52"/>
      <c r="J17" s="52"/>
      <c r="K17" s="52"/>
      <c r="L17" s="360"/>
      <c r="M17" s="52"/>
      <c r="N17" s="52"/>
      <c r="O17" s="360"/>
      <c r="P17" s="52"/>
      <c r="Q17" s="360"/>
      <c r="R17" s="1"/>
      <c r="S17" s="1"/>
      <c r="T17" s="1"/>
      <c r="U17" s="52"/>
      <c r="V17" s="52"/>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spans="1:54">
      <c r="A18" s="1"/>
      <c r="B18" s="757" t="s">
        <v>396</v>
      </c>
      <c r="C18" s="103"/>
      <c r="D18" s="103"/>
      <c r="E18" s="103"/>
      <c r="F18" s="103"/>
      <c r="G18" s="367"/>
      <c r="H18" s="745">
        <f>WACC!G60</f>
        <v>7.0797503832503647E-2</v>
      </c>
      <c r="I18" s="745">
        <f>H18</f>
        <v>7.0797503832503647E-2</v>
      </c>
      <c r="J18" s="745">
        <f>I18</f>
        <v>7.0797503832503647E-2</v>
      </c>
      <c r="K18" s="745">
        <f t="shared" ref="K18:L18" si="2">J18</f>
        <v>7.0797503832503647E-2</v>
      </c>
      <c r="L18" s="746">
        <f t="shared" si="2"/>
        <v>7.0797503832503647E-2</v>
      </c>
      <c r="M18" s="745">
        <f>I30+I32</f>
        <v>7.4216748797836976E-2</v>
      </c>
      <c r="N18" s="745">
        <f>M18+I32</f>
        <v>7.7635993763170305E-2</v>
      </c>
      <c r="O18" s="746">
        <f>I27</f>
        <v>8.1055238728503648E-2</v>
      </c>
      <c r="P18" s="745">
        <f>O18</f>
        <v>8.1055238728503648E-2</v>
      </c>
      <c r="Q18" s="367"/>
      <c r="R18" s="1"/>
      <c r="S18" s="1"/>
      <c r="T18" s="1"/>
      <c r="U18" s="52"/>
      <c r="V18" s="52"/>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c r="A19" s="1"/>
      <c r="B19" s="96" t="s">
        <v>524</v>
      </c>
      <c r="C19" s="101"/>
      <c r="D19" s="101"/>
      <c r="E19" s="101"/>
      <c r="F19" s="101"/>
      <c r="G19" s="99"/>
      <c r="H19" s="495">
        <f>H12/(1+H18)</f>
        <v>7.4710670984636296E-2</v>
      </c>
      <c r="I19" s="495">
        <f>I12/POWER(1+H19,2)</f>
        <v>7.2727082167945364E-2</v>
      </c>
      <c r="J19" s="495">
        <f>J12/((1+H19)*POWER(1+I18,2))</f>
        <v>7.1575159388380202E-2</v>
      </c>
      <c r="K19" s="495">
        <f>K12/(POWER(1+K18,2)*POWER(1+I18,2))</f>
        <v>7.0441481890359758E-2</v>
      </c>
      <c r="L19" s="656">
        <f>L12/(POWER(1+K18,3)*POWER(1+I18,2))</f>
        <v>6.9073336200499102E-2</v>
      </c>
      <c r="M19" s="495">
        <f>M12/((1+M18)*POWER(1+L18,3)*POWER(1+I18,2))</f>
        <v>6.6658823998650335E-2</v>
      </c>
      <c r="N19" s="495">
        <f>N12/((1+N18)*(1+M18)*POWER(1+L18,3)*POWER(1+I18,2))</f>
        <v>6.329984981330361E-2</v>
      </c>
      <c r="O19" s="656">
        <f>O12/((1+O18)*(1+N18)*(1+M18)*POWER(1+L18,3)*POWER(1+I18,2))</f>
        <v>5.913929836428343E-2</v>
      </c>
      <c r="P19" s="495">
        <f>(O12*(1+L31)/(I31-I26))/((1+O18)*(1+N18)*(1+M18)*POWER(1+L18,3)*POWER(1+I18,2))</f>
        <v>0.84062332935299</v>
      </c>
      <c r="Q19" s="99"/>
      <c r="R19" s="1"/>
      <c r="S19" s="1"/>
      <c r="T19" s="1"/>
      <c r="U19" s="52"/>
      <c r="V19" s="52"/>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c r="A20" s="1"/>
      <c r="B20" s="1"/>
      <c r="C20" s="1"/>
      <c r="D20" s="1"/>
      <c r="E20" s="1"/>
      <c r="F20" s="1"/>
      <c r="G20" s="1"/>
      <c r="H20" s="1"/>
      <c r="I20" s="1"/>
      <c r="J20" s="1"/>
      <c r="K20" s="1"/>
      <c r="L20" s="1"/>
      <c r="M20" s="1"/>
      <c r="N20" s="1"/>
      <c r="O20" s="1"/>
      <c r="P20" s="1"/>
      <c r="Q20" s="1"/>
      <c r="R20" s="1"/>
      <c r="S20" s="1"/>
      <c r="T20" s="1"/>
      <c r="U20" s="52"/>
      <c r="V20" s="52"/>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c r="A21" s="1"/>
      <c r="B21" s="1"/>
      <c r="C21" s="1"/>
      <c r="D21" s="1"/>
      <c r="E21" s="1"/>
      <c r="F21" s="1"/>
      <c r="G21" s="1"/>
      <c r="H21" s="1"/>
      <c r="I21" s="1"/>
      <c r="J21" s="1"/>
      <c r="K21" s="1"/>
      <c r="L21" s="1"/>
      <c r="M21" s="1"/>
      <c r="N21" s="1"/>
      <c r="O21" s="1"/>
      <c r="P21" s="1"/>
      <c r="Q21" s="1"/>
      <c r="R21" s="1"/>
      <c r="S21" s="1"/>
      <c r="T21" s="1"/>
      <c r="U21" s="52"/>
      <c r="V21" s="52"/>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c r="A22" s="1"/>
      <c r="B22" s="1"/>
      <c r="C22" s="1"/>
      <c r="D22" s="1"/>
      <c r="E22" s="1"/>
      <c r="F22" s="1"/>
      <c r="G22" s="1"/>
      <c r="H22" s="1"/>
      <c r="I22" s="1"/>
      <c r="J22" s="1"/>
      <c r="K22" s="1"/>
      <c r="L22" s="1"/>
      <c r="M22" s="1"/>
      <c r="N22" s="1"/>
      <c r="O22" s="1"/>
      <c r="P22" s="1"/>
      <c r="Q22" s="1"/>
      <c r="R22" s="1"/>
      <c r="S22" s="1"/>
      <c r="T22" s="1"/>
      <c r="U22" s="52"/>
      <c r="V22" s="52"/>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row>
    <row r="23" spans="1:54" ht="15" thickBot="1">
      <c r="A23" s="1"/>
      <c r="B23" s="1"/>
      <c r="C23" s="1"/>
      <c r="D23" s="1"/>
      <c r="E23" s="1"/>
      <c r="F23" s="1"/>
      <c r="G23" s="1"/>
      <c r="H23" s="1"/>
      <c r="I23" s="1"/>
      <c r="J23" s="1"/>
      <c r="K23" s="1"/>
      <c r="L23" s="1"/>
      <c r="M23" s="1"/>
      <c r="N23" s="1"/>
      <c r="O23" s="1"/>
      <c r="P23" s="1"/>
      <c r="Q23" s="1"/>
      <c r="R23" s="1"/>
      <c r="S23" s="1"/>
      <c r="T23" s="1"/>
      <c r="U23" s="52"/>
      <c r="V23" s="52"/>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ht="15" thickBot="1">
      <c r="A24" s="1"/>
      <c r="B24" s="1"/>
      <c r="C24" s="1"/>
      <c r="D24" s="1"/>
      <c r="E24" s="1"/>
      <c r="F24" s="1"/>
      <c r="G24" s="750" t="s">
        <v>742</v>
      </c>
      <c r="H24" s="751"/>
      <c r="I24" s="752"/>
      <c r="J24" s="1"/>
      <c r="K24" s="1"/>
      <c r="L24" s="1"/>
      <c r="M24" s="1"/>
      <c r="N24" s="433"/>
      <c r="O24" s="1"/>
      <c r="P24" s="1"/>
      <c r="Q24" s="1"/>
      <c r="R24" s="1"/>
      <c r="S24" s="1"/>
      <c r="T24" s="1"/>
      <c r="U24" s="52"/>
      <c r="V24" s="52"/>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spans="1:54">
      <c r="A25" s="1"/>
      <c r="B25" s="1"/>
      <c r="C25" s="1"/>
      <c r="D25" s="1"/>
      <c r="E25" s="1"/>
      <c r="F25" s="1"/>
      <c r="G25" s="253" t="s">
        <v>486</v>
      </c>
      <c r="H25" s="52"/>
      <c r="I25" s="426">
        <f>1-(I26/I27)</f>
        <v>0.87662734504434403</v>
      </c>
      <c r="J25" s="1"/>
      <c r="K25" s="1"/>
      <c r="L25" s="1"/>
      <c r="M25" s="1"/>
      <c r="N25" s="433"/>
      <c r="O25" s="1"/>
      <c r="P25" s="1"/>
      <c r="Q25" s="1"/>
      <c r="R25" s="1"/>
      <c r="S25" s="1"/>
      <c r="T25" s="1"/>
      <c r="U25" s="52"/>
      <c r="V25" s="52"/>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spans="1:54">
      <c r="A26" s="1"/>
      <c r="B26" s="1"/>
      <c r="C26" s="1"/>
      <c r="D26" s="1"/>
      <c r="E26" s="1"/>
      <c r="F26" s="1"/>
      <c r="G26" s="253" t="s">
        <v>487</v>
      </c>
      <c r="H26" s="52"/>
      <c r="I26" s="808">
        <v>0.01</v>
      </c>
      <c r="J26" s="1"/>
      <c r="K26" s="1"/>
      <c r="L26" s="1"/>
      <c r="M26" s="1"/>
      <c r="N26" s="433"/>
      <c r="O26" s="1"/>
      <c r="P26" s="1"/>
      <c r="Q26" s="1"/>
      <c r="R26" s="1"/>
      <c r="S26" s="1"/>
      <c r="T26" s="1"/>
      <c r="U26" s="52"/>
      <c r="V26" s="52"/>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ht="15" thickBot="1">
      <c r="A27" s="1"/>
      <c r="B27" s="1"/>
      <c r="C27" s="1"/>
      <c r="D27" s="1"/>
      <c r="E27" s="1"/>
      <c r="F27" s="1"/>
      <c r="G27" s="265" t="s">
        <v>741</v>
      </c>
      <c r="H27" s="368"/>
      <c r="I27" s="447">
        <f>WACC!G67</f>
        <v>8.1055238728503648E-2</v>
      </c>
      <c r="J27" s="1"/>
      <c r="K27" s="1"/>
      <c r="L27" s="1"/>
      <c r="M27" s="1"/>
      <c r="N27" s="433"/>
      <c r="O27" s="1"/>
      <c r="P27" s="1"/>
      <c r="Q27" s="1"/>
      <c r="R27" s="1"/>
      <c r="S27" s="1"/>
      <c r="T27" s="1"/>
      <c r="U27" s="52"/>
      <c r="V27" s="52"/>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spans="1:54" ht="15" thickBot="1">
      <c r="A28" s="1"/>
      <c r="B28" s="1"/>
      <c r="C28" s="1"/>
      <c r="D28" s="1"/>
      <c r="E28" s="1"/>
      <c r="F28" s="1"/>
      <c r="G28" s="1"/>
      <c r="H28" s="1"/>
      <c r="I28" s="1"/>
      <c r="J28" s="1"/>
      <c r="K28" s="1"/>
      <c r="L28" s="1"/>
      <c r="M28" s="1"/>
      <c r="N28" s="1"/>
      <c r="O28" s="1"/>
      <c r="P28" s="1"/>
      <c r="Q28" s="1"/>
      <c r="R28" s="1"/>
      <c r="S28" s="1"/>
      <c r="T28" s="1"/>
      <c r="U28" s="52"/>
      <c r="V28" s="52"/>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ht="15" thickBot="1">
      <c r="A29" s="1"/>
      <c r="B29" s="1"/>
      <c r="C29" s="1"/>
      <c r="D29" s="1"/>
      <c r="E29" s="1"/>
      <c r="F29" s="1"/>
      <c r="G29" s="750" t="s">
        <v>496</v>
      </c>
      <c r="H29" s="751"/>
      <c r="I29" s="751"/>
      <c r="J29" s="751"/>
      <c r="K29" s="751"/>
      <c r="L29" s="752"/>
      <c r="M29" s="1"/>
      <c r="N29" s="1"/>
      <c r="O29" s="1"/>
      <c r="P29" s="1"/>
      <c r="Q29" s="1"/>
      <c r="R29" s="1"/>
      <c r="S29" s="1"/>
      <c r="T29" s="1"/>
      <c r="U29" s="52"/>
      <c r="V29" s="52"/>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c r="A30" s="1"/>
      <c r="B30" s="1"/>
      <c r="C30" s="1"/>
      <c r="D30" s="1"/>
      <c r="E30" s="1"/>
      <c r="F30" s="1"/>
      <c r="G30" s="253" t="s">
        <v>497</v>
      </c>
      <c r="H30" s="277"/>
      <c r="I30" s="748">
        <f>WACC!G60</f>
        <v>7.0797503832503647E-2</v>
      </c>
      <c r="J30" s="52" t="s">
        <v>498</v>
      </c>
      <c r="K30" s="52"/>
      <c r="L30" s="747">
        <f>L14</f>
        <v>5.0000000000000093E-2</v>
      </c>
      <c r="M30" s="1"/>
      <c r="N30" s="1"/>
      <c r="O30" s="1"/>
      <c r="P30" s="1"/>
      <c r="Q30" s="1"/>
      <c r="R30" s="1"/>
      <c r="S30" s="1"/>
      <c r="T30" s="1"/>
      <c r="U30" s="52"/>
      <c r="V30" s="52"/>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c r="A31" s="1"/>
      <c r="B31" s="1"/>
      <c r="C31" s="1"/>
      <c r="D31" s="1"/>
      <c r="E31" s="1"/>
      <c r="F31" s="1"/>
      <c r="G31" s="253" t="s">
        <v>499</v>
      </c>
      <c r="H31" s="52"/>
      <c r="I31" s="424">
        <f>O18</f>
        <v>8.1055238728503648E-2</v>
      </c>
      <c r="J31" s="52" t="s">
        <v>501</v>
      </c>
      <c r="K31" s="52"/>
      <c r="L31" s="747">
        <f>I26</f>
        <v>0.01</v>
      </c>
      <c r="M31" s="1"/>
      <c r="N31" s="1"/>
      <c r="O31" s="1"/>
      <c r="P31" s="1"/>
      <c r="Q31" s="1"/>
      <c r="R31" s="1"/>
      <c r="S31" s="1"/>
      <c r="T31" s="1"/>
      <c r="U31" s="52"/>
      <c r="V31" s="52"/>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row>
    <row r="32" spans="1:54" ht="15" thickBot="1">
      <c r="A32" s="1"/>
      <c r="B32" s="1"/>
      <c r="C32" s="1"/>
      <c r="D32" s="1"/>
      <c r="E32" s="1"/>
      <c r="F32" s="1"/>
      <c r="G32" s="265" t="s">
        <v>500</v>
      </c>
      <c r="H32" s="368"/>
      <c r="I32" s="749">
        <f>(O18-L18)/3</f>
        <v>3.4192449653333338E-3</v>
      </c>
      <c r="J32" s="368" t="s">
        <v>502</v>
      </c>
      <c r="K32" s="368"/>
      <c r="L32" s="482">
        <f>(L31-L30)/3</f>
        <v>-1.3333333333333364E-2</v>
      </c>
      <c r="M32" s="1"/>
      <c r="N32" s="1"/>
      <c r="O32" s="1"/>
      <c r="P32" s="1"/>
      <c r="Q32" s="1"/>
      <c r="R32" s="1"/>
      <c r="S32" s="1"/>
      <c r="T32" s="1"/>
      <c r="U32" s="52"/>
      <c r="V32" s="52"/>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row>
    <row r="33" spans="1:54" ht="15" thickBot="1">
      <c r="A33" s="1"/>
      <c r="B33" s="1"/>
      <c r="C33" s="1"/>
      <c r="D33" s="1"/>
      <c r="E33" s="1"/>
      <c r="F33" s="1"/>
      <c r="G33" s="1"/>
      <c r="H33" s="1"/>
      <c r="I33" s="1"/>
      <c r="J33" s="1"/>
      <c r="K33" s="1"/>
      <c r="L33" s="1"/>
      <c r="M33" s="1"/>
      <c r="N33" s="1"/>
      <c r="O33" s="1"/>
      <c r="P33" s="1"/>
      <c r="Q33" s="1"/>
      <c r="R33" s="1"/>
      <c r="S33" s="1"/>
      <c r="T33" s="1"/>
      <c r="U33" s="52"/>
      <c r="V33" s="52"/>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row>
    <row r="34" spans="1:54" ht="15" thickBot="1">
      <c r="A34" s="1"/>
      <c r="B34" s="1"/>
      <c r="C34" s="1"/>
      <c r="D34" s="1"/>
      <c r="E34" s="1"/>
      <c r="F34" s="1"/>
      <c r="G34" s="753" t="s">
        <v>757</v>
      </c>
      <c r="H34" s="754"/>
      <c r="I34" s="754"/>
      <c r="J34" s="755"/>
      <c r="K34" s="1"/>
      <c r="L34" s="753" t="s">
        <v>758</v>
      </c>
      <c r="M34" s="754"/>
      <c r="N34" s="754"/>
      <c r="O34" s="755"/>
      <c r="P34" s="1"/>
      <c r="Q34" s="1"/>
      <c r="R34" s="1"/>
      <c r="S34" s="1"/>
      <c r="T34" s="1"/>
      <c r="U34" s="52"/>
      <c r="V34" s="52"/>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row>
    <row r="35" spans="1:54">
      <c r="A35" s="1"/>
      <c r="B35" s="1"/>
      <c r="C35" s="1"/>
      <c r="D35" s="1"/>
      <c r="E35" s="1"/>
      <c r="F35" s="1"/>
      <c r="G35" s="253" t="s">
        <v>488</v>
      </c>
      <c r="H35" s="52"/>
      <c r="I35" s="430"/>
      <c r="J35" s="426">
        <f>SUM(H19:L19)</f>
        <v>0.35852773063182075</v>
      </c>
      <c r="K35" s="1"/>
      <c r="L35" s="253" t="s">
        <v>488</v>
      </c>
      <c r="M35" s="52"/>
      <c r="N35" s="430"/>
      <c r="O35" s="426">
        <v>0.35799562304056731</v>
      </c>
      <c r="P35" s="1"/>
      <c r="Q35" s="1"/>
      <c r="R35" s="1"/>
      <c r="S35" s="1"/>
      <c r="T35" s="1"/>
      <c r="U35" s="52"/>
      <c r="V35" s="52"/>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row>
    <row r="36" spans="1:54">
      <c r="A36" s="1"/>
      <c r="B36" s="1"/>
      <c r="C36" s="1"/>
      <c r="D36" s="1"/>
      <c r="E36" s="1"/>
      <c r="F36" s="1"/>
      <c r="G36" s="253" t="s">
        <v>495</v>
      </c>
      <c r="H36" s="52"/>
      <c r="I36" s="360"/>
      <c r="J36" s="426">
        <f>SUM(M19:O19)</f>
        <v>0.18909797217623736</v>
      </c>
      <c r="K36" s="1"/>
      <c r="L36" s="253" t="s">
        <v>495</v>
      </c>
      <c r="M36" s="52"/>
      <c r="N36" s="360"/>
      <c r="O36" s="426">
        <v>0.19103494584165842</v>
      </c>
      <c r="P36" s="1"/>
      <c r="Q36" s="1"/>
      <c r="R36" s="1"/>
      <c r="S36" s="1"/>
      <c r="T36" s="1"/>
      <c r="U36" s="52"/>
      <c r="V36" s="52"/>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row>
    <row r="37" spans="1:54">
      <c r="A37" s="1"/>
      <c r="B37" s="1"/>
      <c r="C37" s="1"/>
      <c r="D37" s="1"/>
      <c r="E37" s="1"/>
      <c r="F37" s="1"/>
      <c r="G37" s="253" t="s">
        <v>489</v>
      </c>
      <c r="H37" s="52"/>
      <c r="I37" s="360"/>
      <c r="J37" s="426">
        <f>P19</f>
        <v>0.84062332935299</v>
      </c>
      <c r="K37" s="1"/>
      <c r="L37" s="253" t="s">
        <v>489</v>
      </c>
      <c r="M37" s="52"/>
      <c r="N37" s="360"/>
      <c r="O37" s="426">
        <v>1.0009382920110081</v>
      </c>
      <c r="P37" s="1"/>
      <c r="Q37" s="1"/>
      <c r="R37" s="1"/>
      <c r="S37" s="1"/>
      <c r="T37" s="1"/>
      <c r="U37" s="52"/>
      <c r="V37" s="52"/>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5" thickBot="1">
      <c r="A38" s="1"/>
      <c r="B38" s="1"/>
      <c r="C38" s="1"/>
      <c r="D38" s="1"/>
      <c r="E38" s="1"/>
      <c r="F38" s="1"/>
      <c r="G38" s="265" t="s">
        <v>490</v>
      </c>
      <c r="H38" s="368"/>
      <c r="I38" s="369"/>
      <c r="J38" s="427">
        <f>J35+J37+J36</f>
        <v>1.3882490321610481</v>
      </c>
      <c r="K38" s="1"/>
      <c r="L38" s="265" t="s">
        <v>490</v>
      </c>
      <c r="M38" s="368"/>
      <c r="N38" s="369"/>
      <c r="O38" s="427">
        <v>1.5499688608932338</v>
      </c>
      <c r="P38" s="1"/>
      <c r="Q38" s="1"/>
      <c r="R38" s="1"/>
      <c r="S38" s="1"/>
      <c r="T38" s="1"/>
      <c r="U38" s="52"/>
      <c r="V38" s="52"/>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c r="A39" s="1"/>
      <c r="B39" s="1"/>
      <c r="C39" s="1"/>
      <c r="D39" s="1"/>
      <c r="E39" s="1"/>
      <c r="F39" s="1"/>
      <c r="G39" s="1"/>
      <c r="H39" s="1"/>
      <c r="I39" s="1"/>
      <c r="J39" s="1"/>
      <c r="K39" s="1"/>
      <c r="L39" s="1"/>
      <c r="M39" s="1"/>
      <c r="N39" s="1"/>
      <c r="O39" s="1"/>
      <c r="P39" s="1"/>
      <c r="Q39" s="1"/>
      <c r="R39" s="1"/>
      <c r="S39" s="1"/>
      <c r="T39" s="1"/>
      <c r="U39" s="52"/>
      <c r="V39" s="52"/>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c r="A40" s="1"/>
      <c r="B40" s="1"/>
      <c r="C40" s="1"/>
      <c r="D40" s="1"/>
      <c r="E40" s="1"/>
      <c r="F40" s="1"/>
      <c r="G40" s="1"/>
      <c r="H40" s="1"/>
      <c r="I40" s="1"/>
      <c r="J40" s="1"/>
      <c r="K40" s="1"/>
      <c r="L40" s="1"/>
      <c r="M40" s="1"/>
      <c r="N40" s="1"/>
      <c r="O40" s="1"/>
      <c r="P40" s="1"/>
      <c r="Q40" s="1"/>
      <c r="R40" s="1"/>
      <c r="S40" s="1"/>
      <c r="T40" s="1"/>
      <c r="U40" s="52"/>
      <c r="V40" s="52"/>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c r="A41" s="1"/>
      <c r="B41" s="1"/>
      <c r="C41" s="1"/>
      <c r="D41" s="1"/>
      <c r="E41" s="1"/>
      <c r="F41" s="1"/>
      <c r="G41" s="1"/>
      <c r="H41" s="1"/>
      <c r="I41" s="1"/>
      <c r="J41" s="1"/>
      <c r="K41" s="1"/>
      <c r="L41" s="1"/>
      <c r="M41" s="1"/>
      <c r="N41" s="1"/>
      <c r="O41" s="1"/>
      <c r="P41" s="1"/>
      <c r="Q41" s="1"/>
      <c r="R41" s="1"/>
      <c r="S41" s="1"/>
      <c r="T41" s="1"/>
      <c r="U41" s="52"/>
      <c r="V41" s="52"/>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c r="A42" s="1"/>
      <c r="B42" s="1"/>
      <c r="C42" s="1"/>
      <c r="D42" s="1"/>
      <c r="E42" s="1"/>
      <c r="F42" s="1"/>
      <c r="G42" s="1"/>
      <c r="H42" s="1"/>
      <c r="I42" s="1"/>
      <c r="J42" s="1"/>
      <c r="K42" s="1"/>
      <c r="L42" s="1"/>
      <c r="M42" s="1"/>
      <c r="N42" s="1"/>
      <c r="O42" s="1"/>
      <c r="P42" s="1"/>
      <c r="Q42" s="1"/>
      <c r="R42" s="1"/>
      <c r="S42" s="1"/>
      <c r="T42" s="1"/>
      <c r="U42" s="52"/>
      <c r="V42" s="52"/>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c r="A43" s="1"/>
      <c r="B43" s="1"/>
      <c r="C43" s="1"/>
      <c r="D43" s="1"/>
      <c r="E43" s="1"/>
      <c r="F43" s="1"/>
      <c r="G43" s="1"/>
      <c r="H43" s="1"/>
      <c r="I43" s="1"/>
      <c r="J43" s="1"/>
      <c r="K43" s="1"/>
      <c r="L43" s="1"/>
      <c r="M43" s="1"/>
      <c r="N43" s="1"/>
      <c r="O43" s="1"/>
      <c r="P43" s="1"/>
      <c r="Q43" s="1"/>
      <c r="R43" s="1"/>
      <c r="S43" s="1"/>
      <c r="T43" s="1"/>
      <c r="U43" s="52"/>
      <c r="V43" s="52"/>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c r="A44" s="1"/>
      <c r="B44" s="1"/>
      <c r="C44" s="1"/>
      <c r="D44" s="1"/>
      <c r="E44" s="1"/>
      <c r="F44" s="1"/>
      <c r="G44" s="1"/>
      <c r="H44" s="1"/>
      <c r="I44" s="1"/>
      <c r="J44" s="1"/>
      <c r="K44" s="1"/>
      <c r="L44" s="1"/>
      <c r="M44" s="1"/>
      <c r="N44" s="1"/>
      <c r="O44" s="1"/>
      <c r="P44" s="1"/>
      <c r="Q44" s="1"/>
      <c r="R44" s="1"/>
      <c r="S44" s="1"/>
      <c r="T44" s="1"/>
      <c r="U44" s="52"/>
      <c r="V44" s="52"/>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row r="45" spans="1:54">
      <c r="A45" s="1"/>
      <c r="B45" s="1"/>
      <c r="C45" s="1"/>
      <c r="D45" s="1"/>
      <c r="E45" s="1"/>
      <c r="F45" s="1"/>
      <c r="G45" s="1"/>
      <c r="H45" s="1"/>
      <c r="I45" s="1"/>
      <c r="J45" s="1"/>
      <c r="K45" s="1"/>
      <c r="L45" s="1"/>
      <c r="M45" s="1"/>
      <c r="N45" s="1"/>
      <c r="O45" s="1"/>
      <c r="P45" s="1"/>
      <c r="Q45" s="1"/>
      <c r="R45" s="1"/>
      <c r="S45" s="1"/>
      <c r="T45" s="1"/>
      <c r="U45" s="52"/>
      <c r="V45" s="52"/>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spans="1:54">
      <c r="A46" s="1"/>
      <c r="B46" s="1"/>
      <c r="C46" s="1"/>
      <c r="D46" s="1"/>
      <c r="E46" s="1"/>
      <c r="F46" s="1"/>
      <c r="G46" s="1"/>
      <c r="H46" s="1"/>
      <c r="I46" s="1"/>
      <c r="J46" s="1"/>
      <c r="K46" s="1"/>
      <c r="L46" s="1"/>
      <c r="M46" s="1"/>
      <c r="N46" s="1"/>
      <c r="O46" s="1"/>
      <c r="P46" s="1"/>
      <c r="Q46" s="1"/>
      <c r="R46" s="1"/>
      <c r="S46" s="1"/>
      <c r="T46" s="1"/>
      <c r="U46" s="52"/>
      <c r="V46" s="52"/>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row>
    <row r="47" spans="1:54">
      <c r="A47" s="1"/>
      <c r="B47" s="1"/>
      <c r="C47" s="1"/>
      <c r="D47" s="1"/>
      <c r="E47" s="1"/>
      <c r="F47" s="1"/>
      <c r="G47" s="1"/>
      <c r="H47" s="1"/>
      <c r="I47" s="1"/>
      <c r="J47" s="1"/>
      <c r="K47" s="1"/>
      <c r="L47" s="1"/>
      <c r="M47" s="1"/>
      <c r="N47" s="1"/>
      <c r="O47" s="1"/>
      <c r="P47" s="1"/>
      <c r="Q47" s="1"/>
      <c r="R47" s="1"/>
      <c r="S47" s="1"/>
      <c r="T47" s="1"/>
      <c r="U47" s="52"/>
      <c r="V47" s="52"/>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row>
    <row r="48" spans="1:54" ht="15" thickBot="1">
      <c r="A48" s="1"/>
      <c r="B48" s="1"/>
      <c r="C48" s="1"/>
      <c r="D48" s="1"/>
      <c r="E48" s="1"/>
      <c r="F48" s="1"/>
      <c r="G48" s="1"/>
      <c r="H48" s="1"/>
      <c r="I48" s="1"/>
      <c r="J48" s="1"/>
      <c r="K48" s="1"/>
      <c r="L48" s="1"/>
      <c r="M48" s="1"/>
      <c r="N48" s="1"/>
      <c r="O48" s="1"/>
      <c r="P48" s="1"/>
      <c r="Q48" s="1"/>
      <c r="R48" s="1"/>
      <c r="S48" s="1"/>
      <c r="T48" s="1"/>
      <c r="U48" s="52"/>
      <c r="V48" s="52"/>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row>
    <row r="49" spans="1:54" ht="24.6">
      <c r="A49" s="896"/>
      <c r="B49" s="902" t="s">
        <v>777</v>
      </c>
      <c r="C49" s="897"/>
      <c r="D49" s="897"/>
      <c r="E49" s="897"/>
      <c r="F49" s="897"/>
      <c r="G49" s="897"/>
      <c r="H49" s="897"/>
      <c r="I49" s="897"/>
      <c r="J49" s="897"/>
      <c r="K49" s="897"/>
      <c r="L49" s="897"/>
      <c r="M49" s="897"/>
      <c r="N49" s="897"/>
      <c r="O49" s="897"/>
      <c r="P49" s="897"/>
      <c r="Q49" s="898"/>
      <c r="R49" s="1"/>
      <c r="S49" s="1"/>
      <c r="T49" s="1"/>
      <c r="U49" s="52"/>
      <c r="V49" s="52"/>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spans="1:54" ht="15" thickBot="1">
      <c r="A50" s="899"/>
      <c r="B50" s="900"/>
      <c r="C50" s="900"/>
      <c r="D50" s="900"/>
      <c r="E50" s="900"/>
      <c r="F50" s="900"/>
      <c r="G50" s="900"/>
      <c r="H50" s="900"/>
      <c r="I50" s="900"/>
      <c r="J50" s="900"/>
      <c r="K50" s="900"/>
      <c r="L50" s="900"/>
      <c r="M50" s="900"/>
      <c r="N50" s="900"/>
      <c r="O50" s="900"/>
      <c r="P50" s="900"/>
      <c r="Q50" s="901"/>
      <c r="R50" s="1"/>
      <c r="S50" s="1"/>
      <c r="T50" s="1"/>
      <c r="U50" s="52"/>
      <c r="V50" s="52"/>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row>
    <row r="51" spans="1:54" ht="15" thickBot="1">
      <c r="A51" s="922"/>
      <c r="B51" s="923"/>
      <c r="C51" s="923"/>
      <c r="D51" s="923"/>
      <c r="E51" s="923"/>
      <c r="F51" s="923"/>
      <c r="G51" s="923"/>
      <c r="H51" s="923"/>
      <c r="I51" s="923"/>
      <c r="J51" s="923"/>
      <c r="K51" s="923"/>
      <c r="L51" s="923"/>
      <c r="M51" s="923"/>
      <c r="N51" s="923"/>
      <c r="O51" s="923"/>
      <c r="P51" s="923"/>
      <c r="Q51" s="924"/>
      <c r="R51" s="1"/>
      <c r="S51" s="1"/>
      <c r="T51" s="1"/>
      <c r="U51" s="52"/>
      <c r="V51" s="52"/>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row>
    <row r="52" spans="1:54">
      <c r="A52" s="1"/>
      <c r="B52" s="1"/>
      <c r="C52" s="1"/>
      <c r="D52" s="1"/>
      <c r="E52" s="1"/>
      <c r="F52" s="1"/>
      <c r="G52" s="1"/>
      <c r="H52" s="1"/>
      <c r="I52" s="1"/>
      <c r="J52" s="1"/>
      <c r="K52" s="1"/>
      <c r="L52" s="1"/>
      <c r="M52" s="1"/>
      <c r="N52" s="1"/>
      <c r="O52" s="1"/>
      <c r="P52" s="1"/>
      <c r="Q52" s="1"/>
      <c r="R52" s="1"/>
      <c r="S52" s="1"/>
      <c r="T52" s="1"/>
      <c r="U52" s="52"/>
      <c r="V52" s="52"/>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row>
    <row r="53" spans="1:54">
      <c r="A53" s="1"/>
      <c r="B53" s="819" t="s">
        <v>779</v>
      </c>
      <c r="C53" s="820"/>
      <c r="D53" s="820"/>
      <c r="E53" s="821"/>
      <c r="F53" s="1"/>
      <c r="G53" s="1"/>
      <c r="H53" s="1"/>
      <c r="I53" s="1"/>
      <c r="J53" s="1"/>
      <c r="K53" s="1"/>
      <c r="L53" s="1"/>
      <c r="M53" s="1"/>
      <c r="N53" s="1"/>
      <c r="O53" s="1"/>
      <c r="P53" s="1"/>
      <c r="Q53" s="1"/>
      <c r="R53" s="1"/>
      <c r="S53" s="1"/>
      <c r="T53" s="1"/>
      <c r="U53" s="52"/>
      <c r="V53" s="52"/>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row>
    <row r="54" spans="1:54">
      <c r="A54" s="1"/>
      <c r="B54" s="454"/>
      <c r="C54" s="52"/>
      <c r="D54" s="52"/>
      <c r="E54" s="360"/>
      <c r="F54" s="1"/>
      <c r="G54" s="1"/>
      <c r="H54" s="1"/>
      <c r="I54" s="1"/>
      <c r="J54" s="1"/>
      <c r="K54" s="1"/>
      <c r="L54" s="1"/>
      <c r="M54" s="1"/>
      <c r="N54" s="1"/>
      <c r="O54" s="1"/>
      <c r="P54" s="1"/>
      <c r="Q54" s="1"/>
      <c r="R54" s="1"/>
      <c r="S54" s="1"/>
      <c r="T54" s="1"/>
      <c r="U54" s="52"/>
      <c r="V54" s="52"/>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spans="1:54">
      <c r="A55" s="1"/>
      <c r="B55" s="454" t="s">
        <v>780</v>
      </c>
      <c r="C55" s="361">
        <f>WACC!G62</f>
        <v>4.3394377121104534E-2</v>
      </c>
      <c r="D55" s="52"/>
      <c r="E55" s="360"/>
      <c r="F55" s="1"/>
      <c r="G55" s="1"/>
      <c r="H55" s="1"/>
      <c r="I55" s="1"/>
      <c r="J55" s="1"/>
      <c r="K55" s="1"/>
      <c r="L55" s="1"/>
      <c r="M55" s="1"/>
      <c r="N55" s="1"/>
      <c r="O55" s="1"/>
      <c r="P55" s="1"/>
      <c r="Q55" s="1"/>
      <c r="R55" s="1"/>
      <c r="S55" s="1"/>
      <c r="T55" s="1"/>
      <c r="U55" s="52"/>
      <c r="V55" s="52"/>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row>
    <row r="56" spans="1:54">
      <c r="A56" s="1"/>
      <c r="B56" s="454" t="s">
        <v>781</v>
      </c>
      <c r="C56" s="592">
        <f>WACC!G60</f>
        <v>7.0797503832503647E-2</v>
      </c>
      <c r="D56" s="52"/>
      <c r="E56" s="360"/>
      <c r="F56" s="1"/>
      <c r="G56" s="1"/>
      <c r="H56" s="1"/>
      <c r="I56" s="1"/>
      <c r="J56" s="1"/>
      <c r="K56" s="1"/>
      <c r="L56" s="1"/>
      <c r="M56" s="1"/>
      <c r="N56" s="1"/>
      <c r="O56" s="1"/>
      <c r="P56" s="1"/>
      <c r="Q56" s="1"/>
      <c r="R56" s="1"/>
      <c r="S56" s="1"/>
      <c r="T56" s="1"/>
      <c r="U56" s="52"/>
      <c r="V56" s="52"/>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row>
    <row r="57" spans="1:54">
      <c r="A57" s="1"/>
      <c r="B57" s="454"/>
      <c r="C57" s="52"/>
      <c r="D57" s="52"/>
      <c r="E57" s="360"/>
      <c r="F57" s="1"/>
      <c r="G57" s="1"/>
      <c r="H57" s="1"/>
      <c r="I57" s="1"/>
      <c r="J57" s="1"/>
      <c r="K57" s="1"/>
      <c r="L57" s="1"/>
      <c r="M57" s="1"/>
      <c r="N57" s="1"/>
      <c r="O57" s="1"/>
      <c r="P57" s="1"/>
      <c r="Q57" s="1"/>
      <c r="R57" s="1"/>
      <c r="S57" s="1"/>
      <c r="T57" s="1"/>
      <c r="U57" s="52"/>
      <c r="V57" s="52"/>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row>
    <row r="58" spans="1:54">
      <c r="A58" s="1"/>
      <c r="B58" s="454" t="s">
        <v>782</v>
      </c>
      <c r="C58" s="815">
        <f>1%</f>
        <v>0.01</v>
      </c>
      <c r="D58" s="52"/>
      <c r="E58" s="360"/>
      <c r="F58" s="1"/>
      <c r="G58" s="1"/>
      <c r="H58" s="1"/>
      <c r="I58" s="1"/>
      <c r="J58" s="1"/>
      <c r="K58" s="1"/>
      <c r="L58" s="1"/>
      <c r="M58" s="1"/>
      <c r="N58" s="1"/>
      <c r="O58" s="1"/>
      <c r="P58" s="1"/>
      <c r="Q58" s="1"/>
      <c r="R58" s="1"/>
      <c r="S58" s="1"/>
      <c r="T58" s="1"/>
      <c r="U58" s="52"/>
      <c r="V58" s="52"/>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row>
    <row r="59" spans="1:54">
      <c r="A59" s="1"/>
      <c r="B59" s="454" t="s">
        <v>783</v>
      </c>
      <c r="C59" s="592">
        <f>WACC!G67</f>
        <v>8.1055238728503648E-2</v>
      </c>
      <c r="D59" s="52"/>
      <c r="E59" s="360"/>
      <c r="F59" s="1"/>
      <c r="G59" s="1"/>
      <c r="H59" s="1"/>
      <c r="I59" s="1"/>
      <c r="J59" s="1"/>
      <c r="K59" s="1"/>
      <c r="L59" s="1"/>
      <c r="M59" s="1"/>
      <c r="N59" s="1"/>
      <c r="O59" s="1"/>
      <c r="P59" s="1"/>
      <c r="Q59" s="1"/>
      <c r="R59" s="1"/>
      <c r="S59" s="1"/>
      <c r="T59" s="1"/>
      <c r="U59" s="52"/>
      <c r="V59" s="52"/>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row>
    <row r="60" spans="1:54">
      <c r="A60" s="1"/>
      <c r="B60" s="365" t="s">
        <v>784</v>
      </c>
      <c r="C60" s="479">
        <f>WACC!G65</f>
        <v>5.2784530767033287E-2</v>
      </c>
      <c r="D60" s="101"/>
      <c r="E60" s="99"/>
      <c r="F60" s="1"/>
      <c r="G60" s="1"/>
      <c r="H60" s="1"/>
      <c r="I60" s="1"/>
      <c r="J60" s="1"/>
      <c r="K60" s="1"/>
      <c r="L60" s="1"/>
      <c r="M60" s="1"/>
      <c r="N60" s="1"/>
      <c r="O60" s="1"/>
      <c r="P60" s="1"/>
      <c r="Q60" s="1"/>
      <c r="R60" s="1"/>
      <c r="S60" s="1"/>
      <c r="T60" s="1"/>
      <c r="U60" s="52"/>
      <c r="V60" s="52"/>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row>
    <row r="61" spans="1:54" ht="15" thickBot="1">
      <c r="A61" s="1"/>
      <c r="B61" s="1"/>
      <c r="C61" s="1"/>
      <c r="D61" s="1"/>
      <c r="E61" s="1"/>
      <c r="F61" s="1"/>
      <c r="G61" s="1"/>
      <c r="H61" s="1"/>
      <c r="I61" s="1"/>
      <c r="J61" s="1"/>
      <c r="K61" s="1"/>
      <c r="L61" s="1"/>
      <c r="M61" s="1"/>
      <c r="N61" s="1"/>
      <c r="O61" s="1"/>
      <c r="P61" s="1"/>
      <c r="Q61" s="1"/>
      <c r="R61" s="1"/>
      <c r="S61" s="1"/>
      <c r="T61" s="1"/>
      <c r="U61" s="52"/>
      <c r="V61" s="52"/>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ht="21">
      <c r="A62" s="817"/>
      <c r="B62" s="942" t="s">
        <v>776</v>
      </c>
      <c r="C62" s="644"/>
      <c r="D62" s="644"/>
      <c r="E62" s="644"/>
      <c r="F62" s="644"/>
      <c r="G62" s="644"/>
      <c r="H62" s="644"/>
      <c r="I62" s="644"/>
      <c r="J62" s="644"/>
      <c r="K62" s="644"/>
      <c r="L62" s="644"/>
      <c r="M62" s="644"/>
      <c r="N62" s="644"/>
      <c r="O62" s="644"/>
      <c r="P62" s="644"/>
      <c r="Q62" s="646"/>
      <c r="R62" s="1"/>
      <c r="S62" s="1"/>
      <c r="T62" s="1"/>
      <c r="U62" s="52"/>
      <c r="V62" s="52"/>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ht="15" thickBot="1">
      <c r="A63" s="818"/>
      <c r="B63" s="647"/>
      <c r="C63" s="647"/>
      <c r="D63" s="647"/>
      <c r="E63" s="647"/>
      <c r="F63" s="647"/>
      <c r="G63" s="647"/>
      <c r="H63" s="647"/>
      <c r="I63" s="647"/>
      <c r="J63" s="647"/>
      <c r="K63" s="647"/>
      <c r="L63" s="647"/>
      <c r="M63" s="647"/>
      <c r="N63" s="647"/>
      <c r="O63" s="647"/>
      <c r="P63" s="647"/>
      <c r="Q63" s="648"/>
      <c r="R63" s="1"/>
      <c r="S63" s="1"/>
      <c r="T63" s="1"/>
      <c r="U63" s="52"/>
      <c r="V63" s="52"/>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c r="A64" s="1"/>
      <c r="B64" s="1"/>
      <c r="C64" s="1"/>
      <c r="D64" s="1"/>
      <c r="E64" s="1"/>
      <c r="F64" s="1"/>
      <c r="G64" s="1"/>
      <c r="H64" s="1"/>
      <c r="I64" s="1"/>
      <c r="J64" s="1"/>
      <c r="K64" s="1"/>
      <c r="L64" s="1"/>
      <c r="M64" s="1"/>
      <c r="N64" s="1"/>
      <c r="O64" s="1"/>
      <c r="P64" s="1"/>
      <c r="Q64" s="1"/>
      <c r="R64" s="1"/>
      <c r="S64" s="1"/>
      <c r="T64" s="1"/>
      <c r="U64" s="52"/>
      <c r="V64" s="52"/>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spans="1:54">
      <c r="A65" s="1"/>
      <c r="B65" s="1"/>
      <c r="C65" s="1"/>
      <c r="D65" s="1"/>
      <c r="E65" s="1"/>
      <c r="F65" s="1"/>
      <c r="G65" s="1"/>
      <c r="H65" s="1"/>
      <c r="I65" s="1"/>
      <c r="J65" s="1"/>
      <c r="K65" s="1"/>
      <c r="L65" s="1"/>
      <c r="M65" s="1"/>
      <c r="N65" s="1"/>
      <c r="O65" s="1"/>
      <c r="P65" s="1"/>
      <c r="Q65" s="1"/>
      <c r="R65" s="1"/>
      <c r="S65" s="1"/>
      <c r="T65" s="1"/>
      <c r="U65" s="52"/>
      <c r="V65" s="52"/>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c r="A66" s="1"/>
      <c r="B66" s="1"/>
      <c r="C66" s="1"/>
      <c r="D66" s="1"/>
      <c r="E66" s="1"/>
      <c r="F66" s="1"/>
      <c r="G66" s="1"/>
      <c r="H66" s="1"/>
      <c r="I66" s="1"/>
      <c r="J66" s="1"/>
      <c r="K66" s="1"/>
      <c r="L66" s="1"/>
      <c r="M66" s="1"/>
      <c r="N66" s="1"/>
      <c r="O66" s="1"/>
      <c r="P66" s="1"/>
      <c r="Q66" s="1"/>
      <c r="R66" s="1"/>
      <c r="S66" s="1"/>
      <c r="T66" s="1"/>
      <c r="U66" s="52"/>
      <c r="V66" s="52"/>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spans="1:54">
      <c r="A67" s="1"/>
      <c r="B67" s="1"/>
      <c r="C67" s="1"/>
      <c r="D67" s="1"/>
      <c r="E67" s="1"/>
      <c r="F67" s="1"/>
      <c r="G67" s="1"/>
      <c r="H67" s="1"/>
      <c r="I67" s="1"/>
      <c r="J67" s="1"/>
      <c r="K67" s="1"/>
      <c r="L67" s="1"/>
      <c r="M67" s="1"/>
      <c r="N67" s="1"/>
      <c r="O67" s="1"/>
      <c r="P67" s="1"/>
      <c r="Q67" s="1"/>
      <c r="R67" s="1"/>
      <c r="S67" s="1"/>
      <c r="T67" s="1"/>
      <c r="U67" s="52"/>
      <c r="V67" s="52"/>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spans="1:54">
      <c r="A68" s="1"/>
      <c r="B68" s="828"/>
      <c r="C68" s="830" t="s">
        <v>471</v>
      </c>
      <c r="D68" s="823"/>
      <c r="E68" s="823"/>
      <c r="F68" s="823"/>
      <c r="G68" s="824"/>
      <c r="H68" s="822" t="s">
        <v>543</v>
      </c>
      <c r="I68" s="823"/>
      <c r="J68" s="823"/>
      <c r="K68" s="823"/>
      <c r="L68" s="824"/>
      <c r="M68" s="52"/>
      <c r="N68" s="52"/>
      <c r="O68" s="52"/>
      <c r="P68" s="52"/>
      <c r="Q68" s="52"/>
      <c r="R68" s="1"/>
      <c r="S68" s="1"/>
      <c r="T68" s="1"/>
      <c r="U68" s="52"/>
      <c r="V68" s="52"/>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c r="A69" s="1"/>
      <c r="B69" s="829" t="s">
        <v>785</v>
      </c>
      <c r="C69" s="825"/>
      <c r="D69" s="826">
        <v>2016</v>
      </c>
      <c r="E69" s="826">
        <v>2017</v>
      </c>
      <c r="F69" s="826">
        <v>2018</v>
      </c>
      <c r="G69" s="827">
        <v>2019</v>
      </c>
      <c r="H69" s="825">
        <v>2020</v>
      </c>
      <c r="I69" s="826">
        <v>2021</v>
      </c>
      <c r="J69" s="826">
        <v>2022</v>
      </c>
      <c r="K69" s="826">
        <v>2023</v>
      </c>
      <c r="L69" s="827">
        <v>2024</v>
      </c>
      <c r="M69" s="52"/>
      <c r="N69" s="52"/>
      <c r="O69" s="52"/>
      <c r="P69" s="52"/>
      <c r="Q69" s="52"/>
      <c r="R69" s="1"/>
      <c r="S69" s="1"/>
      <c r="T69" s="1"/>
      <c r="U69" s="52"/>
      <c r="V69" s="52"/>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c r="A70" s="1"/>
      <c r="B70" s="577" t="s">
        <v>763</v>
      </c>
      <c r="C70" s="454"/>
      <c r="D70" s="639">
        <f>'Forecasts Simone'!V244</f>
        <v>-22.000000000000021</v>
      </c>
      <c r="E70" s="639">
        <f>'Forecasts Simone'!W244</f>
        <v>847.99999999999989</v>
      </c>
      <c r="F70" s="639">
        <f>'Forecasts Simone'!X244</f>
        <v>-232.99999999999997</v>
      </c>
      <c r="G70" s="792">
        <f>'Forecasts Simone'!Y244</f>
        <v>71</v>
      </c>
      <c r="H70" s="639">
        <f>'Forecasts Simone'!Z244</f>
        <v>317.36373270597124</v>
      </c>
      <c r="I70" s="639">
        <f>'Forecasts Simone'!AA244</f>
        <v>251.05073738659723</v>
      </c>
      <c r="J70" s="639">
        <f>'Forecasts Simone'!AB244</f>
        <v>304.50249700167092</v>
      </c>
      <c r="K70" s="639">
        <f>'Forecasts Simone'!AC244</f>
        <v>360.53906941444455</v>
      </c>
      <c r="L70" s="469">
        <f>'Forecasts Simone'!AD244</f>
        <v>423.4949455319782</v>
      </c>
      <c r="M70" s="1"/>
      <c r="N70" s="1"/>
      <c r="O70" s="1"/>
      <c r="P70" s="1"/>
      <c r="Q70" s="1"/>
      <c r="R70" s="1"/>
      <c r="S70" s="1"/>
      <c r="T70" s="1"/>
      <c r="U70" s="52"/>
      <c r="V70" s="52"/>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c r="A71" s="1"/>
      <c r="B71" s="96" t="s">
        <v>786</v>
      </c>
      <c r="C71" s="365"/>
      <c r="D71" s="832"/>
      <c r="E71" s="834" t="s">
        <v>787</v>
      </c>
      <c r="F71" s="831">
        <f>(F70-E70)/E70</f>
        <v>-1.2747641509433962</v>
      </c>
      <c r="G71" s="833" t="s">
        <v>787</v>
      </c>
      <c r="H71" s="831">
        <f>(H70-G70)/G70</f>
        <v>3.4699117282531162</v>
      </c>
      <c r="I71" s="831">
        <f t="shared" ref="I71:L71" si="3">(I70-H70)/H70</f>
        <v>-0.20894950646679963</v>
      </c>
      <c r="J71" s="831">
        <f t="shared" si="3"/>
        <v>0.21291217931283118</v>
      </c>
      <c r="K71" s="831">
        <f t="shared" si="3"/>
        <v>0.18402664334298099</v>
      </c>
      <c r="L71" s="835">
        <f t="shared" si="3"/>
        <v>0.17461596109342872</v>
      </c>
      <c r="M71" s="1"/>
      <c r="N71" s="1"/>
      <c r="O71" s="1"/>
      <c r="P71" s="1"/>
      <c r="Q71" s="1"/>
      <c r="R71" s="1"/>
      <c r="S71" s="1"/>
      <c r="T71" s="1"/>
      <c r="U71" s="52"/>
      <c r="V71" s="52"/>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c r="A72" s="1"/>
      <c r="B72" s="1"/>
      <c r="C72" s="1"/>
      <c r="D72" s="1"/>
      <c r="E72" s="1"/>
      <c r="F72" s="1"/>
      <c r="G72" s="1"/>
      <c r="H72" s="1"/>
      <c r="I72" s="1"/>
      <c r="J72" s="1"/>
      <c r="K72" s="1"/>
      <c r="L72" s="1"/>
      <c r="M72" s="1"/>
      <c r="N72" s="1"/>
      <c r="O72" s="1"/>
      <c r="P72" s="1"/>
      <c r="Q72" s="1"/>
      <c r="R72" s="1"/>
      <c r="S72" s="1"/>
      <c r="T72" s="1"/>
      <c r="U72" s="52"/>
      <c r="V72" s="52"/>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c r="A73" s="1"/>
      <c r="B73" s="836" t="s">
        <v>788</v>
      </c>
      <c r="C73" s="103"/>
      <c r="D73" s="103"/>
      <c r="E73" s="103"/>
      <c r="F73" s="367"/>
      <c r="G73" s="1"/>
      <c r="H73" s="1"/>
      <c r="I73" s="1"/>
      <c r="J73" s="1"/>
      <c r="K73" s="1"/>
      <c r="L73" s="1"/>
      <c r="M73" s="1"/>
      <c r="N73" s="1"/>
      <c r="O73" s="1"/>
      <c r="P73" s="1"/>
      <c r="Q73" s="1"/>
      <c r="R73" s="1"/>
      <c r="S73" s="1"/>
      <c r="T73" s="1"/>
      <c r="U73" s="52"/>
      <c r="V73" s="52"/>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c r="A74" s="1"/>
      <c r="B74" s="454"/>
      <c r="C74" s="52"/>
      <c r="D74" s="52"/>
      <c r="E74" s="52"/>
      <c r="F74" s="360"/>
      <c r="G74" s="1"/>
      <c r="H74" s="1"/>
      <c r="I74" s="1"/>
      <c r="J74" s="1"/>
      <c r="K74" s="1"/>
      <c r="L74" s="1"/>
      <c r="M74" s="1"/>
      <c r="N74" s="1"/>
      <c r="O74" s="1"/>
      <c r="P74" s="1"/>
      <c r="Q74" s="1"/>
      <c r="R74" s="1"/>
      <c r="S74" s="1"/>
      <c r="T74" s="1"/>
      <c r="U74" s="52"/>
      <c r="V74" s="52"/>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c r="A75" s="1"/>
      <c r="B75" s="454" t="s">
        <v>789</v>
      </c>
      <c r="C75" s="52"/>
      <c r="D75" s="52"/>
      <c r="E75" s="361">
        <f xml:space="preserve"> (1%-L71)/3</f>
        <v>-5.4871987031142905E-2</v>
      </c>
      <c r="F75" s="360"/>
      <c r="G75" s="1"/>
      <c r="H75" s="1"/>
      <c r="I75" s="1"/>
      <c r="J75" s="1"/>
      <c r="K75" s="1"/>
      <c r="L75" s="1"/>
      <c r="M75" s="1"/>
      <c r="N75" s="1"/>
      <c r="O75" s="1"/>
      <c r="P75" s="1"/>
      <c r="Q75" s="1"/>
      <c r="R75" s="1"/>
      <c r="S75" s="1"/>
      <c r="T75" s="1"/>
      <c r="U75" s="52"/>
      <c r="V75" s="52"/>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spans="1:54">
      <c r="A76" s="1"/>
      <c r="B76" s="454" t="s">
        <v>790</v>
      </c>
      <c r="C76" s="52"/>
      <c r="D76" s="52"/>
      <c r="E76" s="361">
        <f>(C59-C56)/3</f>
        <v>3.4192449653333338E-3</v>
      </c>
      <c r="F76" s="360"/>
      <c r="G76" s="1"/>
      <c r="H76" s="1"/>
      <c r="I76" s="1"/>
      <c r="J76" s="1"/>
      <c r="K76" s="1"/>
      <c r="L76" s="1"/>
      <c r="M76" s="1"/>
      <c r="N76" s="1"/>
      <c r="O76" s="1"/>
      <c r="P76" s="1"/>
      <c r="Q76" s="1"/>
      <c r="R76" s="1"/>
      <c r="S76" s="1"/>
      <c r="T76" s="1"/>
      <c r="U76" s="52"/>
      <c r="V76" s="52"/>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spans="1:54">
      <c r="A77" s="1"/>
      <c r="B77" s="454"/>
      <c r="C77" s="52"/>
      <c r="D77" s="52"/>
      <c r="E77" s="52"/>
      <c r="F77" s="360"/>
      <c r="G77" s="1"/>
      <c r="H77" s="1"/>
      <c r="I77" s="1"/>
      <c r="J77" s="1"/>
      <c r="K77" s="1"/>
      <c r="L77" s="1"/>
      <c r="M77" s="1"/>
      <c r="N77" s="1"/>
      <c r="O77" s="1"/>
      <c r="P77" s="1"/>
      <c r="Q77" s="1"/>
      <c r="R77" s="1"/>
      <c r="S77" s="1"/>
      <c r="T77" s="1"/>
      <c r="U77" s="52"/>
      <c r="V77" s="52"/>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c r="A78" s="1"/>
      <c r="B78" s="837" t="s">
        <v>765</v>
      </c>
      <c r="C78" s="52"/>
      <c r="D78" s="52"/>
      <c r="E78" s="52"/>
      <c r="F78" s="360"/>
      <c r="G78" s="1"/>
      <c r="H78" s="1"/>
      <c r="I78" s="1"/>
      <c r="J78" s="1"/>
      <c r="K78" s="1"/>
      <c r="L78" s="1"/>
      <c r="M78" s="1"/>
      <c r="N78" s="1"/>
      <c r="O78" s="1"/>
      <c r="P78" s="1"/>
      <c r="Q78" s="1"/>
      <c r="R78" s="1"/>
      <c r="S78" s="1"/>
      <c r="T78" s="1"/>
      <c r="U78" s="52"/>
      <c r="V78" s="52"/>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c r="A79" s="1"/>
      <c r="B79" s="454"/>
      <c r="C79" s="52"/>
      <c r="D79" s="52"/>
      <c r="E79" s="52"/>
      <c r="F79" s="360"/>
      <c r="G79" s="1"/>
      <c r="H79" s="1"/>
      <c r="I79" s="1"/>
      <c r="J79" s="1"/>
      <c r="K79" s="1"/>
      <c r="L79" s="1"/>
      <c r="M79" s="1"/>
      <c r="N79" s="1"/>
      <c r="O79" s="1"/>
      <c r="P79" s="1"/>
      <c r="Q79" s="1"/>
      <c r="R79" s="1"/>
      <c r="S79" s="1"/>
      <c r="T79" s="1"/>
      <c r="U79" s="52"/>
      <c r="V79" s="52"/>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c r="A80" s="1"/>
      <c r="B80" s="454" t="s">
        <v>768</v>
      </c>
      <c r="C80" s="52"/>
      <c r="D80" s="52"/>
      <c r="E80" s="592">
        <f>C58</f>
        <v>0.01</v>
      </c>
      <c r="F80" s="360"/>
      <c r="G80" s="1"/>
      <c r="H80" s="1"/>
      <c r="I80" s="1"/>
      <c r="J80" s="1"/>
      <c r="K80" s="1"/>
      <c r="L80" s="1"/>
      <c r="M80" s="1"/>
      <c r="N80" s="1"/>
      <c r="O80" s="1"/>
      <c r="P80" s="1"/>
      <c r="Q80" s="1"/>
      <c r="R80" s="1"/>
      <c r="S80" s="1"/>
      <c r="T80" s="1"/>
      <c r="U80" s="52"/>
      <c r="V80" s="52"/>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spans="1:54">
      <c r="A81" s="1"/>
      <c r="B81" s="454" t="s">
        <v>764</v>
      </c>
      <c r="C81" s="52"/>
      <c r="D81" s="52"/>
      <c r="E81" s="592">
        <f>C59</f>
        <v>8.1055238728503648E-2</v>
      </c>
      <c r="F81" s="360"/>
      <c r="G81" s="1"/>
      <c r="H81" s="1"/>
      <c r="I81" s="1"/>
      <c r="J81" s="1"/>
      <c r="K81" s="1"/>
      <c r="L81" s="1"/>
      <c r="M81" s="1"/>
      <c r="N81" s="1"/>
      <c r="O81" s="1"/>
      <c r="P81" s="1"/>
      <c r="Q81" s="1"/>
      <c r="R81" s="1"/>
      <c r="S81" s="1"/>
      <c r="T81" s="1"/>
      <c r="U81" s="52"/>
      <c r="V81" s="52"/>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c r="A82" s="1"/>
      <c r="B82" s="365" t="s">
        <v>766</v>
      </c>
      <c r="C82" s="101"/>
      <c r="D82" s="101"/>
      <c r="E82" s="479">
        <f>E80/E81</f>
        <v>0.12337265495565593</v>
      </c>
      <c r="F82" s="99"/>
      <c r="G82" s="1"/>
      <c r="H82" s="1"/>
      <c r="I82" s="1"/>
      <c r="J82" s="1"/>
      <c r="K82" s="1"/>
      <c r="L82" s="1"/>
      <c r="M82" s="1"/>
      <c r="N82" s="1"/>
      <c r="O82" s="1"/>
      <c r="P82" s="1"/>
      <c r="Q82" s="1"/>
      <c r="R82" s="1"/>
      <c r="S82" s="1"/>
      <c r="T82" s="1"/>
      <c r="U82" s="52"/>
      <c r="V82" s="52"/>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spans="1:54" ht="15" thickBot="1">
      <c r="A83" s="1"/>
      <c r="B83" s="591"/>
      <c r="C83" s="52"/>
      <c r="D83" s="52"/>
      <c r="E83" s="52"/>
      <c r="F83" s="52"/>
      <c r="G83" s="52"/>
      <c r="H83" s="1"/>
      <c r="I83" s="1"/>
      <c r="J83" s="1"/>
      <c r="K83" s="1"/>
      <c r="L83" s="1"/>
      <c r="M83" s="1"/>
      <c r="N83" s="1"/>
      <c r="O83" s="1"/>
      <c r="P83" s="1"/>
      <c r="Q83" s="1"/>
      <c r="R83" s="1"/>
      <c r="S83" s="1"/>
      <c r="T83" s="1"/>
      <c r="U83" s="52"/>
      <c r="V83" s="52"/>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spans="1:54">
      <c r="A84" s="1"/>
      <c r="B84" s="840"/>
      <c r="C84" s="841"/>
      <c r="D84" s="841"/>
      <c r="E84" s="841"/>
      <c r="F84" s="841"/>
      <c r="G84" s="842"/>
      <c r="H84" s="841" t="s">
        <v>744</v>
      </c>
      <c r="I84" s="841"/>
      <c r="J84" s="841"/>
      <c r="K84" s="841"/>
      <c r="L84" s="842"/>
      <c r="M84" s="841" t="s">
        <v>791</v>
      </c>
      <c r="N84" s="841"/>
      <c r="O84" s="842"/>
      <c r="P84" s="841"/>
      <c r="Q84" s="843"/>
      <c r="R84" s="1"/>
      <c r="S84" s="1"/>
      <c r="T84" s="1"/>
      <c r="U84" s="52"/>
      <c r="V84" s="52"/>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spans="1:54" ht="15" thickBot="1">
      <c r="A85" s="1"/>
      <c r="B85" s="844"/>
      <c r="C85" s="351"/>
      <c r="D85" s="351"/>
      <c r="E85" s="351"/>
      <c r="F85" s="351"/>
      <c r="G85" s="845">
        <v>2019</v>
      </c>
      <c r="H85" s="351">
        <v>2020</v>
      </c>
      <c r="I85" s="351">
        <v>2021</v>
      </c>
      <c r="J85" s="351">
        <v>2022</v>
      </c>
      <c r="K85" s="351">
        <v>2023</v>
      </c>
      <c r="L85" s="845">
        <v>2024</v>
      </c>
      <c r="M85" s="351">
        <v>2025</v>
      </c>
      <c r="N85" s="351">
        <v>2026</v>
      </c>
      <c r="O85" s="845">
        <v>2027</v>
      </c>
      <c r="P85" s="351" t="s">
        <v>503</v>
      </c>
      <c r="Q85" s="846"/>
      <c r="R85" s="1"/>
      <c r="S85" s="1"/>
      <c r="T85" s="1"/>
      <c r="U85" s="52"/>
      <c r="V85" s="52"/>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spans="1:54">
      <c r="A86" s="1"/>
      <c r="B86" s="253" t="s">
        <v>763</v>
      </c>
      <c r="C86" s="52"/>
      <c r="D86" s="52"/>
      <c r="E86" s="52"/>
      <c r="F86" s="52"/>
      <c r="G86" s="360"/>
      <c r="H86" s="639">
        <f>H70</f>
        <v>317.36373270597124</v>
      </c>
      <c r="I86" s="639">
        <f t="shared" ref="I86:L86" si="4">I70</f>
        <v>251.05073738659723</v>
      </c>
      <c r="J86" s="639">
        <f t="shared" si="4"/>
        <v>304.50249700167092</v>
      </c>
      <c r="K86" s="639">
        <f t="shared" si="4"/>
        <v>360.53906941444455</v>
      </c>
      <c r="L86" s="469">
        <f t="shared" si="4"/>
        <v>423.4949455319782</v>
      </c>
      <c r="M86" s="639">
        <f>L86*(1+L71+E75)</f>
        <v>474.20591330526855</v>
      </c>
      <c r="N86" s="639">
        <f>M86*(1+L71+E75+E75)</f>
        <v>504.9685931632992</v>
      </c>
      <c r="O86" s="469">
        <f>N86*(1+L71+E75+E75+E75)</f>
        <v>510.01827909493221</v>
      </c>
      <c r="P86" s="52"/>
      <c r="Q86" s="273"/>
      <c r="R86" s="1"/>
      <c r="S86" s="1"/>
      <c r="T86" s="1"/>
      <c r="U86" s="52"/>
      <c r="V86" s="52"/>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spans="1:54">
      <c r="A87" s="1"/>
      <c r="B87" s="253" t="s">
        <v>396</v>
      </c>
      <c r="C87" s="52"/>
      <c r="D87" s="52"/>
      <c r="E87" s="52"/>
      <c r="F87" s="52"/>
      <c r="G87" s="360"/>
      <c r="H87" s="592">
        <f>C56</f>
        <v>7.0797503832503647E-2</v>
      </c>
      <c r="I87" s="592">
        <f>H87</f>
        <v>7.0797503832503647E-2</v>
      </c>
      <c r="J87" s="592">
        <f>I87</f>
        <v>7.0797503832503647E-2</v>
      </c>
      <c r="K87" s="592">
        <f t="shared" ref="K87" si="5">J87</f>
        <v>7.0797503832503647E-2</v>
      </c>
      <c r="L87" s="425">
        <f>K87</f>
        <v>7.0797503832503647E-2</v>
      </c>
      <c r="M87" s="592">
        <f>L87+E76</f>
        <v>7.4216748797836976E-2</v>
      </c>
      <c r="N87" s="592">
        <f>M87+E76</f>
        <v>7.7635993763170305E-2</v>
      </c>
      <c r="O87" s="425">
        <f>N87+E76</f>
        <v>8.1055238728503634E-2</v>
      </c>
      <c r="P87" s="592">
        <f>O87</f>
        <v>8.1055238728503634E-2</v>
      </c>
      <c r="Q87" s="273"/>
      <c r="R87" s="1"/>
      <c r="S87" s="1"/>
      <c r="T87" s="1"/>
      <c r="U87" s="52"/>
      <c r="V87" s="52"/>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c r="A88" s="1"/>
      <c r="B88" s="253" t="s">
        <v>767</v>
      </c>
      <c r="C88" s="52"/>
      <c r="D88" s="52"/>
      <c r="E88" s="52"/>
      <c r="F88" s="52"/>
      <c r="G88" s="360"/>
      <c r="H88" s="594">
        <f>1/(1+H87)</f>
        <v>0.93388338730795362</v>
      </c>
      <c r="I88" s="594">
        <f>1/(1+I87)^2</f>
        <v>0.87213818108977736</v>
      </c>
      <c r="J88" s="594">
        <f>1/((1+J87)*(1+I87)^2)</f>
        <v>0.81447535875671873</v>
      </c>
      <c r="K88" s="594">
        <f>1/((1+J87)^2*(1+I87)^2)</f>
        <v>0.76062500691458523</v>
      </c>
      <c r="L88" s="445">
        <f>1/((1+J87)^3*(1+I87)^2)</f>
        <v>0.71033505792852858</v>
      </c>
      <c r="M88" s="594">
        <f>1/((1+M87)*(1+J87)^3*(1+I87)^2)</f>
        <v>0.66125859490039518</v>
      </c>
      <c r="N88" s="594">
        <f>1/((1+N87)*(1+M87)*(1+J87)^3*(1+I87)^2)</f>
        <v>0.61361962548340665</v>
      </c>
      <c r="O88" s="445">
        <f>1/((1+O87)*(1+N87)*(1+M87)*(1+J87)^3*(1+I87)^2)</f>
        <v>0.56761172186272624</v>
      </c>
      <c r="P88" s="594">
        <f>O88</f>
        <v>0.56761172186272624</v>
      </c>
      <c r="Q88" s="273"/>
      <c r="R88" s="1"/>
      <c r="S88" s="1"/>
      <c r="T88" s="1"/>
      <c r="U88" s="52"/>
      <c r="V88" s="52"/>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ht="15" thickBot="1">
      <c r="A89" s="1"/>
      <c r="B89" s="265" t="s">
        <v>524</v>
      </c>
      <c r="C89" s="368"/>
      <c r="D89" s="368"/>
      <c r="E89" s="368"/>
      <c r="F89" s="368"/>
      <c r="G89" s="369"/>
      <c r="H89" s="784">
        <f>H86*H88</f>
        <v>296.38071770814844</v>
      </c>
      <c r="I89" s="784">
        <f t="shared" ref="I89:L89" si="6">I86*I88</f>
        <v>218.95093346559429</v>
      </c>
      <c r="J89" s="784">
        <f t="shared" si="6"/>
        <v>248.00978048775258</v>
      </c>
      <c r="K89" s="784">
        <f t="shared" si="6"/>
        <v>274.23503216634003</v>
      </c>
      <c r="L89" s="785">
        <f t="shared" si="6"/>
        <v>300.82330666689677</v>
      </c>
      <c r="M89" s="784">
        <f>M86*M88</f>
        <v>313.5727359257005</v>
      </c>
      <c r="N89" s="784">
        <f>N86*N88</f>
        <v>309.85863901774638</v>
      </c>
      <c r="O89" s="785">
        <f>O86*O88</f>
        <v>289.49235357853894</v>
      </c>
      <c r="P89" s="784">
        <f>(O86*(1+C58)/(E81-C58))*P88</f>
        <v>4114.9292064377205</v>
      </c>
      <c r="Q89" s="276"/>
      <c r="R89" s="1"/>
      <c r="S89" s="1"/>
      <c r="T89" s="1"/>
      <c r="U89" s="52"/>
      <c r="V89" s="52"/>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ht="15" thickBot="1">
      <c r="A90" s="1"/>
      <c r="B90" s="1"/>
      <c r="C90" s="1"/>
      <c r="D90" s="1"/>
      <c r="E90" s="1"/>
      <c r="F90" s="1"/>
      <c r="G90" s="1"/>
      <c r="H90" s="1"/>
      <c r="I90" s="1"/>
      <c r="J90" s="1"/>
      <c r="K90" s="1"/>
      <c r="L90" s="1"/>
      <c r="M90" s="1"/>
      <c r="N90" s="1"/>
      <c r="O90" s="1"/>
      <c r="P90" s="1"/>
      <c r="Q90" s="1"/>
      <c r="R90" s="1"/>
      <c r="S90" s="1"/>
      <c r="T90" s="1"/>
      <c r="U90" s="52"/>
      <c r="V90" s="52"/>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c r="A91" s="1"/>
      <c r="B91" s="838" t="s">
        <v>792</v>
      </c>
      <c r="C91" s="764"/>
      <c r="D91" s="765"/>
      <c r="E91" s="1"/>
      <c r="F91" s="1"/>
      <c r="G91" s="1"/>
      <c r="H91" s="1"/>
      <c r="I91" s="1"/>
      <c r="J91" s="1"/>
      <c r="K91" s="1"/>
      <c r="L91" s="1"/>
      <c r="M91" s="1"/>
      <c r="N91" s="1"/>
      <c r="O91" s="1"/>
      <c r="P91" s="1"/>
      <c r="Q91" s="1"/>
      <c r="R91" s="1"/>
      <c r="S91" s="1"/>
      <c r="T91" s="1"/>
      <c r="U91" s="52"/>
      <c r="V91" s="52"/>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c r="A92" s="1"/>
      <c r="B92" s="253" t="s">
        <v>769</v>
      </c>
      <c r="C92" s="639"/>
      <c r="D92" s="797">
        <f>SUM(H89:L89)</f>
        <v>1338.3997704947321</v>
      </c>
      <c r="E92" s="1"/>
      <c r="F92" s="1"/>
      <c r="G92" s="1"/>
      <c r="H92" s="1"/>
      <c r="I92" s="1"/>
      <c r="J92" s="1"/>
      <c r="K92" s="1"/>
      <c r="L92" s="1"/>
      <c r="M92" s="1"/>
      <c r="N92" s="1"/>
      <c r="O92" s="1"/>
      <c r="P92" s="1"/>
      <c r="Q92" s="1"/>
      <c r="R92" s="1"/>
      <c r="S92" s="1"/>
      <c r="T92" s="1"/>
      <c r="U92" s="52"/>
      <c r="V92" s="52"/>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c r="A93" s="1"/>
      <c r="B93" s="253" t="s">
        <v>770</v>
      </c>
      <c r="C93" s="639"/>
      <c r="D93" s="797">
        <f>SUM(M89:O89)</f>
        <v>912.92372852198582</v>
      </c>
      <c r="E93" s="1"/>
      <c r="F93" s="1"/>
      <c r="G93" s="1"/>
      <c r="H93" s="1"/>
      <c r="I93" s="1"/>
      <c r="J93" s="1"/>
      <c r="K93" s="1"/>
      <c r="L93" s="1"/>
      <c r="M93" s="1"/>
      <c r="N93" s="1"/>
      <c r="O93" s="1"/>
      <c r="P93" s="1"/>
      <c r="Q93" s="1"/>
      <c r="R93" s="1"/>
      <c r="S93" s="1"/>
      <c r="T93" s="1"/>
      <c r="U93" s="52"/>
      <c r="V93" s="52"/>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c r="A94" s="1"/>
      <c r="B94" s="272" t="s">
        <v>771</v>
      </c>
      <c r="C94" s="101"/>
      <c r="D94" s="799">
        <f>P89</f>
        <v>4114.9292064377205</v>
      </c>
      <c r="E94" s="1"/>
      <c r="F94" s="1"/>
      <c r="G94" s="1"/>
      <c r="H94" s="1"/>
      <c r="I94" s="1"/>
      <c r="J94" s="1"/>
      <c r="K94" s="1"/>
      <c r="L94" s="1"/>
      <c r="M94" s="1"/>
      <c r="N94" s="1"/>
      <c r="O94" s="1"/>
      <c r="P94" s="1"/>
      <c r="Q94" s="1"/>
      <c r="R94" s="1"/>
      <c r="S94" s="1"/>
      <c r="T94" s="1"/>
      <c r="U94" s="52"/>
      <c r="V94" s="52"/>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c r="A95" s="1"/>
      <c r="B95" s="253" t="s">
        <v>772</v>
      </c>
      <c r="C95" s="639"/>
      <c r="D95" s="797">
        <f>SUM(D92:D94)</f>
        <v>6366.2527054544389</v>
      </c>
      <c r="E95" s="1"/>
      <c r="F95" s="1"/>
      <c r="G95" s="1"/>
      <c r="H95" s="1"/>
      <c r="I95" s="1"/>
      <c r="J95" s="1"/>
      <c r="K95" s="1"/>
      <c r="L95" s="1"/>
      <c r="M95" s="1"/>
      <c r="N95" s="1"/>
      <c r="O95" s="1"/>
      <c r="P95" s="1"/>
      <c r="Q95" s="1"/>
      <c r="R95" s="1"/>
      <c r="S95" s="1"/>
      <c r="T95" s="1"/>
      <c r="U95" s="52"/>
      <c r="V95" s="52"/>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c r="A96" s="1"/>
      <c r="B96" s="253"/>
      <c r="C96" s="52"/>
      <c r="D96" s="273"/>
      <c r="E96" s="1"/>
      <c r="F96" s="1"/>
      <c r="G96" s="1"/>
      <c r="H96" s="1"/>
      <c r="I96" s="1"/>
      <c r="J96" s="1"/>
      <c r="K96" s="1"/>
      <c r="L96" s="1"/>
      <c r="M96" s="1"/>
      <c r="N96" s="1"/>
      <c r="O96" s="1"/>
      <c r="P96" s="1"/>
      <c r="Q96" s="1"/>
      <c r="R96" s="1"/>
      <c r="S96" s="1"/>
      <c r="T96" s="1"/>
      <c r="U96" s="52"/>
      <c r="V96" s="52"/>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c r="A97" s="1"/>
      <c r="B97" s="253" t="s">
        <v>773</v>
      </c>
      <c r="C97" s="594"/>
      <c r="D97" s="426">
        <f>G9</f>
        <v>3109.1838560000001</v>
      </c>
      <c r="E97" s="1"/>
      <c r="F97" s="1"/>
      <c r="G97" s="1"/>
      <c r="H97" s="1"/>
      <c r="I97" s="1"/>
      <c r="J97" s="1"/>
      <c r="K97" s="1"/>
      <c r="L97" s="1"/>
      <c r="M97" s="1"/>
      <c r="N97" s="1"/>
      <c r="O97" s="1"/>
      <c r="P97" s="1"/>
      <c r="Q97" s="1"/>
      <c r="R97" s="1"/>
      <c r="S97" s="1"/>
      <c r="T97" s="1"/>
      <c r="U97" s="52"/>
      <c r="V97" s="52"/>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ht="15" thickBot="1">
      <c r="A98" s="1"/>
      <c r="B98" s="265" t="s">
        <v>490</v>
      </c>
      <c r="C98" s="839"/>
      <c r="D98" s="427">
        <f>D95/D97</f>
        <v>2.0475639268385675</v>
      </c>
      <c r="E98" s="1"/>
      <c r="F98" s="1"/>
      <c r="G98" s="1"/>
      <c r="H98" s="1"/>
      <c r="I98" s="1"/>
      <c r="J98" s="1"/>
      <c r="K98" s="1"/>
      <c r="L98" s="1"/>
      <c r="M98" s="1"/>
      <c r="N98" s="1"/>
      <c r="O98" s="1"/>
      <c r="P98" s="1"/>
      <c r="Q98" s="1"/>
      <c r="R98" s="1"/>
      <c r="S98" s="1"/>
      <c r="T98" s="1"/>
      <c r="U98" s="52"/>
      <c r="V98" s="52"/>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c r="A99" s="1"/>
      <c r="B99" s="1"/>
      <c r="C99" s="1"/>
      <c r="D99" s="1"/>
      <c r="E99" s="1"/>
      <c r="F99" s="1"/>
      <c r="G99" s="1"/>
      <c r="H99" s="1"/>
      <c r="I99" s="1"/>
      <c r="J99" s="1"/>
      <c r="K99" s="1"/>
      <c r="L99" s="1"/>
      <c r="M99" s="1"/>
      <c r="N99" s="1"/>
      <c r="O99" s="1"/>
      <c r="P99" s="1"/>
      <c r="Q99" s="1"/>
      <c r="R99" s="1"/>
      <c r="S99" s="1"/>
      <c r="T99" s="1"/>
      <c r="U99" s="52"/>
      <c r="V99" s="52"/>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c r="A100" s="1"/>
      <c r="B100" s="1"/>
      <c r="C100" s="1"/>
      <c r="D100" s="1"/>
      <c r="E100" s="1"/>
      <c r="F100" s="1"/>
      <c r="G100" s="1"/>
      <c r="H100" s="1"/>
      <c r="I100" s="1"/>
      <c r="J100" s="1"/>
      <c r="K100" s="1"/>
      <c r="L100" s="1"/>
      <c r="M100" s="1"/>
      <c r="N100" s="1"/>
      <c r="O100" s="1"/>
      <c r="P100" s="1"/>
      <c r="Q100" s="1"/>
      <c r="R100" s="1"/>
      <c r="S100" s="1"/>
      <c r="T100" s="1"/>
      <c r="U100" s="52"/>
      <c r="V100" s="52"/>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ht="15" thickBot="1">
      <c r="A101" s="1"/>
      <c r="B101" s="1"/>
      <c r="C101" s="1"/>
      <c r="D101" s="1"/>
      <c r="E101" s="1"/>
      <c r="F101" s="1"/>
      <c r="G101" s="1"/>
      <c r="H101" s="1"/>
      <c r="I101" s="1"/>
      <c r="J101" s="1"/>
      <c r="K101" s="1"/>
      <c r="L101" s="1"/>
      <c r="M101" s="1"/>
      <c r="N101" s="1"/>
      <c r="O101" s="1"/>
      <c r="P101" s="1"/>
      <c r="Q101" s="1"/>
      <c r="R101" s="1"/>
      <c r="S101" s="1"/>
      <c r="T101" s="1"/>
      <c r="U101" s="52"/>
      <c r="V101" s="52"/>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spans="1:54" ht="21">
      <c r="A102" s="817"/>
      <c r="B102" s="942" t="s">
        <v>793</v>
      </c>
      <c r="C102" s="644"/>
      <c r="D102" s="644"/>
      <c r="E102" s="644"/>
      <c r="F102" s="644"/>
      <c r="G102" s="644"/>
      <c r="H102" s="644"/>
      <c r="I102" s="644"/>
      <c r="J102" s="644"/>
      <c r="K102" s="644"/>
      <c r="L102" s="644"/>
      <c r="M102" s="644"/>
      <c r="N102" s="644"/>
      <c r="O102" s="644"/>
      <c r="P102" s="644"/>
      <c r="Q102" s="646"/>
      <c r="R102" s="1"/>
      <c r="S102" s="1"/>
      <c r="T102" s="1"/>
      <c r="U102" s="52"/>
      <c r="V102" s="52"/>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spans="1:54" ht="15" thickBot="1">
      <c r="A103" s="818"/>
      <c r="B103" s="647"/>
      <c r="C103" s="647"/>
      <c r="D103" s="647"/>
      <c r="E103" s="647"/>
      <c r="F103" s="647"/>
      <c r="G103" s="647"/>
      <c r="H103" s="647"/>
      <c r="I103" s="647"/>
      <c r="J103" s="647"/>
      <c r="K103" s="647"/>
      <c r="L103" s="647"/>
      <c r="M103" s="647"/>
      <c r="N103" s="647"/>
      <c r="O103" s="647"/>
      <c r="P103" s="647"/>
      <c r="Q103" s="648"/>
      <c r="R103" s="1"/>
      <c r="S103" s="1"/>
      <c r="T103" s="1"/>
      <c r="U103" s="52"/>
      <c r="V103" s="52"/>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spans="1:54">
      <c r="A104" s="1"/>
      <c r="B104" s="1"/>
      <c r="C104" s="1"/>
      <c r="D104" s="1"/>
      <c r="E104" s="1"/>
      <c r="F104" s="1"/>
      <c r="G104" s="1"/>
      <c r="H104" s="1"/>
      <c r="I104" s="1"/>
      <c r="J104" s="1"/>
      <c r="K104" s="1"/>
      <c r="L104" s="1"/>
      <c r="M104" s="1"/>
      <c r="N104" s="1"/>
      <c r="O104" s="1"/>
      <c r="P104" s="1"/>
      <c r="Q104" s="1"/>
      <c r="R104" s="1"/>
      <c r="S104" s="1"/>
      <c r="T104" s="1"/>
      <c r="U104" s="52"/>
      <c r="V104" s="52"/>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spans="1:54">
      <c r="A105" s="1"/>
      <c r="B105" s="52"/>
      <c r="C105" s="52"/>
      <c r="D105" s="1"/>
      <c r="E105" s="1"/>
      <c r="F105" s="1"/>
      <c r="G105" s="1"/>
      <c r="H105" s="1"/>
      <c r="I105" s="1"/>
      <c r="J105" s="1"/>
      <c r="K105" s="1"/>
      <c r="L105" s="1"/>
      <c r="M105" s="1"/>
      <c r="N105" s="1"/>
      <c r="O105" s="1"/>
      <c r="P105" s="1"/>
      <c r="Q105" s="1"/>
      <c r="R105" s="1"/>
      <c r="S105" s="1"/>
      <c r="T105" s="1"/>
      <c r="U105" s="52"/>
      <c r="V105" s="52"/>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spans="1:54">
      <c r="A106" s="1"/>
      <c r="B106" s="52"/>
      <c r="C106" s="52"/>
      <c r="D106" s="1"/>
      <c r="E106" s="1"/>
      <c r="F106" s="1"/>
      <c r="G106" s="1"/>
      <c r="H106" s="1"/>
      <c r="I106" s="1"/>
      <c r="J106" s="1"/>
      <c r="K106" s="1"/>
      <c r="L106" s="1"/>
      <c r="M106" s="1"/>
      <c r="N106" s="1"/>
      <c r="O106" s="1"/>
      <c r="P106" s="1"/>
      <c r="Q106" s="1"/>
      <c r="R106" s="1"/>
      <c r="S106" s="1"/>
      <c r="T106" s="1"/>
      <c r="U106" s="52"/>
      <c r="V106" s="52"/>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spans="1:54">
      <c r="A107" s="1"/>
      <c r="B107" s="828"/>
      <c r="C107" s="830" t="s">
        <v>471</v>
      </c>
      <c r="D107" s="823"/>
      <c r="E107" s="823"/>
      <c r="F107" s="823"/>
      <c r="G107" s="824"/>
      <c r="H107" s="823" t="s">
        <v>543</v>
      </c>
      <c r="I107" s="823"/>
      <c r="J107" s="823"/>
      <c r="K107" s="823"/>
      <c r="L107" s="824"/>
      <c r="M107" s="1"/>
      <c r="N107" s="1"/>
      <c r="O107" s="1"/>
      <c r="P107" s="1"/>
      <c r="Q107" s="1"/>
      <c r="R107" s="1"/>
      <c r="S107" s="1"/>
      <c r="T107" s="1"/>
      <c r="U107" s="52"/>
      <c r="V107" s="52"/>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spans="1:54">
      <c r="A108" s="1"/>
      <c r="B108" s="829" t="s">
        <v>794</v>
      </c>
      <c r="C108" s="825"/>
      <c r="D108" s="826">
        <v>2016</v>
      </c>
      <c r="E108" s="826">
        <v>2017</v>
      </c>
      <c r="F108" s="826">
        <v>2018</v>
      </c>
      <c r="G108" s="827">
        <v>2019</v>
      </c>
      <c r="H108" s="826">
        <v>2020</v>
      </c>
      <c r="I108" s="826">
        <v>2021</v>
      </c>
      <c r="J108" s="826">
        <v>2022</v>
      </c>
      <c r="K108" s="826">
        <v>2023</v>
      </c>
      <c r="L108" s="827">
        <v>2024</v>
      </c>
      <c r="M108" s="1"/>
      <c r="N108" s="1"/>
      <c r="O108" s="1"/>
      <c r="P108" s="1"/>
      <c r="Q108" s="1"/>
      <c r="R108" s="1"/>
      <c r="S108" s="1"/>
      <c r="T108" s="1"/>
      <c r="U108" s="52"/>
      <c r="V108" s="52"/>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spans="1:54">
      <c r="A109" s="1"/>
      <c r="B109" s="577" t="s">
        <v>357</v>
      </c>
      <c r="C109" s="454"/>
      <c r="D109" s="639">
        <f>'Forecasts Simone'!V239</f>
        <v>32.18562874251495</v>
      </c>
      <c r="E109" s="639">
        <f>'Forecasts Simone'!W239</f>
        <v>765.33333333333326</v>
      </c>
      <c r="F109" s="639">
        <f>'Forecasts Simone'!X239</f>
        <v>31.600000000000023</v>
      </c>
      <c r="G109" s="792">
        <f>'Forecasts Simone'!Y239</f>
        <v>229.51807228915663</v>
      </c>
      <c r="H109" s="639">
        <f>'Forecasts Simone'!Z239</f>
        <v>153.92095593565264</v>
      </c>
      <c r="I109" s="639">
        <f>'Forecasts Simone'!AA239</f>
        <v>203.4991598179929</v>
      </c>
      <c r="J109" s="639">
        <f>'Forecasts Simone'!AB239</f>
        <v>255.40145635532625</v>
      </c>
      <c r="K109" s="639">
        <f>'Forecasts Simone'!AC239</f>
        <v>309.84115533779891</v>
      </c>
      <c r="L109" s="469">
        <f>'Forecasts Simone'!AD239</f>
        <v>367.92674475562848</v>
      </c>
      <c r="M109" s="1"/>
      <c r="N109" s="1"/>
      <c r="O109" s="1"/>
      <c r="P109" s="1"/>
      <c r="Q109" s="1"/>
      <c r="R109" s="1"/>
      <c r="S109" s="1"/>
      <c r="T109" s="1"/>
      <c r="U109" s="52"/>
      <c r="V109" s="52"/>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spans="1:54">
      <c r="A110" s="1"/>
      <c r="B110" s="96" t="s">
        <v>786</v>
      </c>
      <c r="C110" s="365"/>
      <c r="D110" s="832"/>
      <c r="E110" s="831">
        <f>(E109-D109)/D109</f>
        <v>22.778728682170556</v>
      </c>
      <c r="F110" s="831">
        <f>(F109-E109)/E109</f>
        <v>-0.95871080139372822</v>
      </c>
      <c r="G110" s="835">
        <f>(G109-F109)/F109</f>
        <v>6.2632301357327993</v>
      </c>
      <c r="H110" s="831">
        <f>(H109-G109)/G109</f>
        <v>-0.32937326285253704</v>
      </c>
      <c r="I110" s="831">
        <f t="shared" ref="I110" si="7">(I109-H109)/H109</f>
        <v>0.32210171500667301</v>
      </c>
      <c r="J110" s="831">
        <f t="shared" ref="J110" si="8">(J109-I109)/I109</f>
        <v>0.2550491932436188</v>
      </c>
      <c r="K110" s="831">
        <f t="shared" ref="K110" si="9">(K109-J109)/J109</f>
        <v>0.21315343991904906</v>
      </c>
      <c r="L110" s="847">
        <f t="shared" ref="L110" si="10">(L109-K109)/K109</f>
        <v>0.18746892856923014</v>
      </c>
      <c r="M110" s="1"/>
      <c r="N110" s="1"/>
      <c r="O110" s="1"/>
      <c r="P110" s="1"/>
      <c r="Q110" s="1"/>
      <c r="R110" s="1"/>
      <c r="S110" s="1"/>
      <c r="T110" s="1"/>
      <c r="U110" s="52"/>
      <c r="V110" s="52"/>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spans="1:54">
      <c r="A111" s="1"/>
      <c r="B111" s="52"/>
      <c r="C111" s="52"/>
      <c r="D111" s="1"/>
      <c r="E111" s="1"/>
      <c r="F111" s="1"/>
      <c r="G111" s="1"/>
      <c r="H111" s="1"/>
      <c r="I111" s="1"/>
      <c r="J111" s="1"/>
      <c r="K111" s="1"/>
      <c r="L111" s="1"/>
      <c r="M111" s="1"/>
      <c r="N111" s="1"/>
      <c r="O111" s="1"/>
      <c r="P111" s="1"/>
      <c r="Q111" s="1"/>
      <c r="R111" s="1"/>
      <c r="S111" s="1"/>
      <c r="T111" s="1"/>
      <c r="U111" s="52"/>
      <c r="V111" s="52"/>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spans="1:54">
      <c r="A112" s="1"/>
      <c r="B112" s="836" t="s">
        <v>788</v>
      </c>
      <c r="C112" s="103"/>
      <c r="D112" s="103"/>
      <c r="E112" s="103"/>
      <c r="F112" s="367"/>
      <c r="G112" s="1"/>
      <c r="H112" s="1"/>
      <c r="I112" s="1"/>
      <c r="J112" s="1"/>
      <c r="K112" s="1"/>
      <c r="L112" s="1"/>
      <c r="M112" s="1"/>
      <c r="N112" s="1"/>
      <c r="O112" s="1"/>
      <c r="P112" s="1"/>
      <c r="Q112" s="1"/>
      <c r="R112" s="1"/>
      <c r="S112" s="1"/>
      <c r="T112" s="1"/>
      <c r="U112" s="52"/>
      <c r="V112" s="52"/>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spans="1:54">
      <c r="A113" s="1"/>
      <c r="B113" s="454"/>
      <c r="C113" s="52"/>
      <c r="D113" s="52"/>
      <c r="E113" s="52"/>
      <c r="F113" s="360"/>
      <c r="G113" s="1"/>
      <c r="H113" s="1"/>
      <c r="I113" s="1"/>
      <c r="J113" s="1"/>
      <c r="K113" s="1"/>
      <c r="L113" s="1"/>
      <c r="M113" s="1"/>
      <c r="N113" s="1"/>
      <c r="O113" s="1"/>
      <c r="P113" s="1"/>
      <c r="Q113" s="1"/>
      <c r="R113" s="1"/>
      <c r="S113" s="1"/>
      <c r="T113" s="1"/>
      <c r="U113" s="52"/>
      <c r="V113" s="52"/>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spans="1:54">
      <c r="A114" s="1"/>
      <c r="B114" s="454" t="s">
        <v>795</v>
      </c>
      <c r="C114" s="52"/>
      <c r="D114" s="52"/>
      <c r="E114" s="361">
        <f>(E119-L110)/3</f>
        <v>-5.9156309523076711E-2</v>
      </c>
      <c r="F114" s="360"/>
      <c r="G114" s="1"/>
      <c r="H114" s="1"/>
      <c r="I114" s="1"/>
      <c r="J114" s="1"/>
      <c r="K114" s="1"/>
      <c r="L114" s="1"/>
      <c r="M114" s="1"/>
      <c r="N114" s="1"/>
      <c r="O114" s="1"/>
      <c r="P114" s="1"/>
      <c r="Q114" s="1"/>
      <c r="R114" s="1"/>
      <c r="S114" s="1"/>
      <c r="T114" s="1"/>
      <c r="U114" s="52"/>
      <c r="V114" s="52"/>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spans="1:54">
      <c r="A115" s="1"/>
      <c r="B115" s="454" t="s">
        <v>797</v>
      </c>
      <c r="C115" s="52"/>
      <c r="D115" s="52"/>
      <c r="E115" s="361">
        <f>(C60-C55)/3</f>
        <v>3.1300512153095844E-3</v>
      </c>
      <c r="F115" s="360"/>
      <c r="G115" s="1"/>
      <c r="H115" s="1"/>
      <c r="I115" s="1"/>
      <c r="J115" s="1"/>
      <c r="K115" s="1"/>
      <c r="L115" s="1"/>
      <c r="M115" s="1"/>
      <c r="N115" s="1"/>
      <c r="O115" s="1"/>
      <c r="P115" s="1"/>
      <c r="Q115" s="1"/>
      <c r="R115" s="1"/>
      <c r="S115" s="1"/>
      <c r="T115" s="1"/>
      <c r="U115" s="52"/>
      <c r="V115" s="52"/>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spans="1:54">
      <c r="A116" s="1"/>
      <c r="B116" s="454"/>
      <c r="C116" s="52"/>
      <c r="D116" s="52"/>
      <c r="E116" s="52"/>
      <c r="F116" s="360"/>
      <c r="G116" s="1"/>
      <c r="H116" s="1"/>
      <c r="I116" s="1"/>
      <c r="J116" s="1"/>
      <c r="K116" s="1"/>
      <c r="L116" s="1"/>
      <c r="M116" s="1"/>
      <c r="N116" s="1"/>
      <c r="O116" s="1"/>
      <c r="P116" s="1"/>
      <c r="Q116" s="1"/>
      <c r="R116" s="1"/>
      <c r="S116" s="1"/>
      <c r="T116" s="1"/>
      <c r="U116" s="52"/>
      <c r="V116" s="52"/>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spans="1:54">
      <c r="A117" s="1"/>
      <c r="B117" s="837" t="s">
        <v>765</v>
      </c>
      <c r="C117" s="52"/>
      <c r="D117" s="52"/>
      <c r="E117" s="52"/>
      <c r="F117" s="360"/>
      <c r="G117" s="1"/>
      <c r="H117" s="1"/>
      <c r="I117" s="1"/>
      <c r="J117" s="1"/>
      <c r="K117" s="1"/>
      <c r="L117" s="1"/>
      <c r="M117" s="1"/>
      <c r="N117" s="1"/>
      <c r="O117" s="1"/>
      <c r="P117" s="1"/>
      <c r="Q117" s="1"/>
      <c r="R117" s="1"/>
      <c r="S117" s="1"/>
      <c r="T117" s="1"/>
      <c r="U117" s="52"/>
      <c r="V117" s="52"/>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spans="1:54">
      <c r="A118" s="1"/>
      <c r="B118" s="454"/>
      <c r="C118" s="52"/>
      <c r="D118" s="52"/>
      <c r="E118" s="52"/>
      <c r="F118" s="360"/>
      <c r="G118" s="1"/>
      <c r="H118" s="1"/>
      <c r="I118" s="1"/>
      <c r="J118" s="1"/>
      <c r="K118" s="1"/>
      <c r="L118" s="1"/>
      <c r="M118" s="1"/>
      <c r="N118" s="1"/>
      <c r="O118" s="1"/>
      <c r="P118" s="1"/>
      <c r="Q118" s="1"/>
      <c r="R118" s="1"/>
      <c r="S118" s="1"/>
      <c r="T118" s="1"/>
      <c r="U118" s="52"/>
      <c r="V118" s="52"/>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spans="1:54">
      <c r="A119" s="1"/>
      <c r="B119" s="454" t="s">
        <v>768</v>
      </c>
      <c r="C119" s="52"/>
      <c r="D119" s="52"/>
      <c r="E119" s="592">
        <f>C58</f>
        <v>0.01</v>
      </c>
      <c r="F119" s="360"/>
      <c r="G119" s="1"/>
      <c r="H119" s="1"/>
      <c r="I119" s="1"/>
      <c r="J119" s="1"/>
      <c r="K119" s="1"/>
      <c r="L119" s="1"/>
      <c r="M119" s="1"/>
      <c r="N119" s="1"/>
      <c r="O119" s="1"/>
      <c r="P119" s="1"/>
      <c r="Q119" s="1"/>
      <c r="R119" s="1"/>
      <c r="S119" s="1"/>
      <c r="T119" s="1"/>
      <c r="U119" s="52"/>
      <c r="V119" s="52"/>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spans="1:54">
      <c r="A120" s="1"/>
      <c r="B120" s="454" t="s">
        <v>796</v>
      </c>
      <c r="C120" s="52"/>
      <c r="D120" s="52"/>
      <c r="E120" s="592">
        <f>C60</f>
        <v>5.2784530767033287E-2</v>
      </c>
      <c r="F120" s="360"/>
      <c r="G120" s="1"/>
      <c r="H120" s="1"/>
      <c r="I120" s="1"/>
      <c r="J120" s="1"/>
      <c r="K120" s="1"/>
      <c r="L120" s="1"/>
      <c r="M120" s="1"/>
      <c r="N120" s="1"/>
      <c r="O120" s="1"/>
      <c r="P120" s="1"/>
      <c r="Q120" s="1"/>
      <c r="R120" s="1"/>
      <c r="S120" s="1"/>
      <c r="T120" s="1"/>
      <c r="U120" s="52"/>
      <c r="V120" s="52"/>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spans="1:54">
      <c r="A121" s="1"/>
      <c r="B121" s="365" t="s">
        <v>774</v>
      </c>
      <c r="C121" s="101"/>
      <c r="D121" s="101"/>
      <c r="E121" s="479">
        <f>E119/E120</f>
        <v>0.18944944389361751</v>
      </c>
      <c r="F121" s="99"/>
      <c r="G121" s="1"/>
      <c r="H121" s="1"/>
      <c r="I121" s="1"/>
      <c r="J121" s="1"/>
      <c r="K121" s="1"/>
      <c r="L121" s="1"/>
      <c r="M121" s="1"/>
      <c r="N121" s="1"/>
      <c r="O121" s="1"/>
      <c r="P121" s="1"/>
      <c r="Q121" s="1"/>
      <c r="R121" s="1"/>
      <c r="S121" s="1"/>
      <c r="T121" s="1"/>
      <c r="U121" s="52"/>
      <c r="V121" s="52"/>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spans="1:54" ht="15" thickBot="1">
      <c r="A122" s="1"/>
      <c r="B122" s="1"/>
      <c r="C122" s="1"/>
      <c r="D122" s="1"/>
      <c r="E122" s="1"/>
      <c r="F122" s="1"/>
      <c r="G122" s="1"/>
      <c r="H122" s="1"/>
      <c r="I122" s="1"/>
      <c r="J122" s="1"/>
      <c r="K122" s="1"/>
      <c r="L122" s="1"/>
      <c r="M122" s="1"/>
      <c r="N122" s="1"/>
      <c r="O122" s="1"/>
      <c r="P122" s="1"/>
      <c r="Q122" s="1"/>
      <c r="R122" s="1"/>
      <c r="S122" s="1"/>
      <c r="T122" s="1"/>
      <c r="U122" s="52"/>
      <c r="V122" s="52"/>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spans="1:54">
      <c r="A123" s="1"/>
      <c r="B123" s="840"/>
      <c r="C123" s="841"/>
      <c r="D123" s="841"/>
      <c r="E123" s="841"/>
      <c r="F123" s="841"/>
      <c r="G123" s="842"/>
      <c r="H123" s="841" t="s">
        <v>744</v>
      </c>
      <c r="I123" s="841"/>
      <c r="J123" s="841"/>
      <c r="K123" s="841"/>
      <c r="L123" s="842"/>
      <c r="M123" s="841" t="s">
        <v>791</v>
      </c>
      <c r="N123" s="841"/>
      <c r="O123" s="842"/>
      <c r="P123" s="841"/>
      <c r="Q123" s="843"/>
      <c r="R123" s="1"/>
      <c r="S123" s="1"/>
      <c r="T123" s="1"/>
      <c r="U123" s="52"/>
      <c r="V123" s="52"/>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spans="1:54" ht="15" thickBot="1">
      <c r="A124" s="1"/>
      <c r="B124" s="844"/>
      <c r="C124" s="351"/>
      <c r="D124" s="351"/>
      <c r="E124" s="351"/>
      <c r="F124" s="351"/>
      <c r="G124" s="845">
        <v>2019</v>
      </c>
      <c r="H124" s="351">
        <v>2020</v>
      </c>
      <c r="I124" s="351">
        <v>2021</v>
      </c>
      <c r="J124" s="351">
        <v>2022</v>
      </c>
      <c r="K124" s="351">
        <v>2023</v>
      </c>
      <c r="L124" s="845">
        <v>2024</v>
      </c>
      <c r="M124" s="351">
        <v>2025</v>
      </c>
      <c r="N124" s="351">
        <v>2026</v>
      </c>
      <c r="O124" s="845">
        <v>2027</v>
      </c>
      <c r="P124" s="351" t="s">
        <v>503</v>
      </c>
      <c r="Q124" s="846"/>
      <c r="R124" s="1"/>
      <c r="S124" s="1"/>
      <c r="T124" s="1"/>
      <c r="U124" s="52"/>
      <c r="V124" s="52"/>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spans="1:54">
      <c r="A125" s="1"/>
      <c r="B125" s="454" t="s">
        <v>357</v>
      </c>
      <c r="C125" s="52"/>
      <c r="D125" s="52"/>
      <c r="E125" s="52"/>
      <c r="F125" s="52"/>
      <c r="G125" s="360"/>
      <c r="H125" s="639">
        <f>H109</f>
        <v>153.92095593565264</v>
      </c>
      <c r="I125" s="639">
        <f t="shared" ref="I125:L125" si="11">I109</f>
        <v>203.4991598179929</v>
      </c>
      <c r="J125" s="639">
        <f t="shared" si="11"/>
        <v>255.40145635532625</v>
      </c>
      <c r="K125" s="639">
        <f t="shared" si="11"/>
        <v>309.84115533779891</v>
      </c>
      <c r="L125" s="469">
        <f t="shared" si="11"/>
        <v>367.92674475562848</v>
      </c>
      <c r="M125" s="639">
        <f>L125*(1+L110+E114)</f>
        <v>415.13638899234877</v>
      </c>
      <c r="N125" s="639">
        <f>M125*(1+L110+E114+E114)</f>
        <v>443.84568960379602</v>
      </c>
      <c r="O125" s="469">
        <f>N125*(1+L110+E114+E114+E114)</f>
        <v>448.28414649983398</v>
      </c>
      <c r="P125" s="52"/>
      <c r="Q125" s="360"/>
      <c r="R125" s="1"/>
      <c r="S125" s="1"/>
      <c r="T125" s="1"/>
      <c r="U125" s="52"/>
      <c r="V125" s="52"/>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spans="1:54">
      <c r="A126" s="1"/>
      <c r="B126" s="454" t="s">
        <v>819</v>
      </c>
      <c r="C126" s="52"/>
      <c r="D126" s="52"/>
      <c r="E126" s="52"/>
      <c r="F126" s="52"/>
      <c r="G126" s="360"/>
      <c r="H126" s="592">
        <f>C55</f>
        <v>4.3394377121104534E-2</v>
      </c>
      <c r="I126" s="592">
        <f>H126</f>
        <v>4.3394377121104534E-2</v>
      </c>
      <c r="J126" s="592">
        <f>I126</f>
        <v>4.3394377121104534E-2</v>
      </c>
      <c r="K126" s="592">
        <f t="shared" ref="K126" si="12">J126</f>
        <v>4.3394377121104534E-2</v>
      </c>
      <c r="L126" s="425">
        <f>K126</f>
        <v>4.3394377121104534E-2</v>
      </c>
      <c r="M126" s="592">
        <f>L126+E115</f>
        <v>4.6524428336414118E-2</v>
      </c>
      <c r="N126" s="592">
        <f>M126+E115</f>
        <v>4.9654479551723703E-2</v>
      </c>
      <c r="O126" s="425">
        <f>N126+E115</f>
        <v>5.2784530767033287E-2</v>
      </c>
      <c r="P126" s="592">
        <f>O126</f>
        <v>5.2784530767033287E-2</v>
      </c>
      <c r="Q126" s="360"/>
      <c r="R126" s="1"/>
      <c r="S126" s="1"/>
      <c r="T126" s="1"/>
      <c r="U126" s="52"/>
      <c r="V126" s="52"/>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spans="1:54">
      <c r="A127" s="1"/>
      <c r="B127" s="454" t="s">
        <v>767</v>
      </c>
      <c r="C127" s="52"/>
      <c r="D127" s="52"/>
      <c r="E127" s="52"/>
      <c r="F127" s="52"/>
      <c r="G127" s="360"/>
      <c r="H127" s="594">
        <f>1/(1+H126)</f>
        <v>0.95841037859449019</v>
      </c>
      <c r="I127" s="594">
        <f>1/(1+I126)^2</f>
        <v>0.918550453797634</v>
      </c>
      <c r="J127" s="594">
        <f>1/((1+I126)^2*(1+J126))</f>
        <v>0.88034828818233113</v>
      </c>
      <c r="K127" s="594">
        <f>1/((1+I126)^2*(1+J126)^2)</f>
        <v>0.84373493617183937</v>
      </c>
      <c r="L127" s="445">
        <f>1/((1+I126)^2*(1+J126)^3)</f>
        <v>0.8086443196098505</v>
      </c>
      <c r="M127" s="594">
        <f>1/((1+M126)*(1+I126)^2*(1+J126)^3)</f>
        <v>0.77269512083468062</v>
      </c>
      <c r="N127" s="594">
        <f>1/((1+N126)*(1+M126)*(1+I126)^2*(1+J126)^3)</f>
        <v>0.73614235530598182</v>
      </c>
      <c r="O127" s="445">
        <f>1/((1+M126)*(1+O126)*(1+N126)*(1+I126)^2*(1+J126)^3)</f>
        <v>0.69923363593654486</v>
      </c>
      <c r="P127" s="594">
        <f>O127</f>
        <v>0.69923363593654486</v>
      </c>
      <c r="Q127" s="360"/>
      <c r="R127" s="1"/>
      <c r="S127" s="1"/>
      <c r="T127" s="1"/>
      <c r="U127" s="52"/>
      <c r="V127" s="52"/>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spans="1:54">
      <c r="A128" s="1"/>
      <c r="B128" s="365" t="s">
        <v>524</v>
      </c>
      <c r="C128" s="101"/>
      <c r="D128" s="101"/>
      <c r="E128" s="101"/>
      <c r="F128" s="101"/>
      <c r="G128" s="99"/>
      <c r="H128" s="456">
        <f>H125*H127</f>
        <v>147.51944165191469</v>
      </c>
      <c r="I128" s="456">
        <f t="shared" ref="I128:L128" si="13">I125*I127</f>
        <v>186.92424559825463</v>
      </c>
      <c r="J128" s="456">
        <f t="shared" si="13"/>
        <v>224.84223490168583</v>
      </c>
      <c r="K128" s="456">
        <f t="shared" si="13"/>
        <v>261.42380742234673</v>
      </c>
      <c r="L128" s="457">
        <f t="shared" si="13"/>
        <v>297.52187217918231</v>
      </c>
      <c r="M128" s="456">
        <f>M125*M127</f>
        <v>320.77386225531592</v>
      </c>
      <c r="N128" s="456">
        <f>N125*N127</f>
        <v>326.73361133734613</v>
      </c>
      <c r="O128" s="457">
        <f>O125*O127</f>
        <v>313.45535368978966</v>
      </c>
      <c r="P128" s="456">
        <f>O125*(1+E119)/(E120-E119)*P127</f>
        <v>7399.6349042731399</v>
      </c>
      <c r="Q128" s="99"/>
      <c r="R128" s="1"/>
      <c r="S128" s="1"/>
      <c r="T128" s="1"/>
      <c r="U128" s="52"/>
      <c r="V128" s="52"/>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row>
    <row r="129" spans="1:54" ht="15" thickBot="1">
      <c r="A129" s="1"/>
      <c r="B129" s="1"/>
      <c r="C129" s="1"/>
      <c r="D129" s="1"/>
      <c r="E129" s="1"/>
      <c r="F129" s="1"/>
      <c r="G129" s="1"/>
      <c r="H129" s="1"/>
      <c r="I129" s="1"/>
      <c r="J129" s="1"/>
      <c r="K129" s="1"/>
      <c r="L129" s="1"/>
      <c r="M129" s="1"/>
      <c r="N129" s="1"/>
      <c r="O129" s="1"/>
      <c r="P129" s="1"/>
      <c r="Q129" s="1"/>
      <c r="R129" s="1"/>
      <c r="S129" s="1"/>
      <c r="T129" s="1"/>
      <c r="U129" s="52"/>
      <c r="V129" s="52"/>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row>
    <row r="130" spans="1:54">
      <c r="A130" s="1"/>
      <c r="B130" s="838" t="s">
        <v>798</v>
      </c>
      <c r="C130" s="764"/>
      <c r="D130" s="765"/>
      <c r="E130" s="1"/>
      <c r="F130" s="1"/>
      <c r="G130" s="1"/>
      <c r="H130" s="1"/>
      <c r="I130" s="1"/>
      <c r="J130" s="1"/>
      <c r="K130" s="1"/>
      <c r="L130" s="1"/>
      <c r="M130" s="1"/>
      <c r="N130" s="1"/>
      <c r="O130" s="1"/>
      <c r="P130" s="1"/>
      <c r="Q130" s="1"/>
      <c r="R130" s="1"/>
      <c r="S130" s="1"/>
      <c r="T130" s="1"/>
      <c r="U130" s="52"/>
      <c r="V130" s="52"/>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spans="1:54">
      <c r="A131" s="1"/>
      <c r="B131" s="253" t="s">
        <v>769</v>
      </c>
      <c r="C131" s="639"/>
      <c r="D131" s="797">
        <f>SUM(H128:L128)</f>
        <v>1118.2316017533842</v>
      </c>
      <c r="E131" s="1"/>
      <c r="F131" s="1"/>
      <c r="G131" s="1"/>
      <c r="H131" s="1"/>
      <c r="I131" s="1"/>
      <c r="J131" s="1"/>
      <c r="K131" s="1"/>
      <c r="L131" s="1"/>
      <c r="M131" s="1"/>
      <c r="N131" s="1"/>
      <c r="O131" s="1"/>
      <c r="P131" s="1"/>
      <c r="Q131" s="1"/>
      <c r="R131" s="1"/>
      <c r="S131" s="1"/>
      <c r="T131" s="1"/>
      <c r="U131" s="52"/>
      <c r="V131" s="52"/>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row>
    <row r="132" spans="1:54">
      <c r="A132" s="1"/>
      <c r="B132" s="253" t="s">
        <v>770</v>
      </c>
      <c r="C132" s="639"/>
      <c r="D132" s="797">
        <f>SUM(M128:O128)</f>
        <v>960.96282728245183</v>
      </c>
      <c r="E132" s="1"/>
      <c r="F132" s="1"/>
      <c r="G132" s="1"/>
      <c r="H132" s="1"/>
      <c r="I132" s="1"/>
      <c r="J132" s="1"/>
      <c r="K132" s="1"/>
      <c r="L132" s="1"/>
      <c r="M132" s="1"/>
      <c r="N132" s="1"/>
      <c r="O132" s="1"/>
      <c r="P132" s="1"/>
      <c r="Q132" s="1"/>
      <c r="R132" s="1"/>
      <c r="S132" s="1"/>
      <c r="T132" s="1"/>
      <c r="U132" s="52"/>
      <c r="V132" s="52"/>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row>
    <row r="133" spans="1:54">
      <c r="A133" s="1"/>
      <c r="B133" s="272" t="s">
        <v>771</v>
      </c>
      <c r="C133" s="101"/>
      <c r="D133" s="799">
        <f>P128</f>
        <v>7399.6349042731399</v>
      </c>
      <c r="E133" s="1"/>
      <c r="F133" s="1"/>
      <c r="G133" s="1"/>
      <c r="H133" s="1"/>
      <c r="I133" s="1"/>
      <c r="J133" s="1"/>
      <c r="K133" s="1"/>
      <c r="L133" s="1"/>
      <c r="M133" s="1"/>
      <c r="N133" s="1"/>
      <c r="O133" s="1"/>
      <c r="P133" s="1"/>
      <c r="Q133" s="1"/>
      <c r="R133" s="1"/>
      <c r="S133" s="1"/>
      <c r="T133" s="1"/>
      <c r="U133" s="52"/>
      <c r="V133" s="52"/>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row>
    <row r="134" spans="1:54">
      <c r="A134" s="1"/>
      <c r="B134" s="253" t="s">
        <v>799</v>
      </c>
      <c r="C134" s="639"/>
      <c r="D134" s="797">
        <f>SUM(D131:D133)</f>
        <v>9478.829333308975</v>
      </c>
      <c r="E134" s="1"/>
      <c r="F134" s="1"/>
      <c r="G134" s="1"/>
      <c r="H134" s="1"/>
      <c r="I134" s="1"/>
      <c r="J134" s="1"/>
      <c r="K134" s="1"/>
      <c r="L134" s="1"/>
      <c r="M134" s="1"/>
      <c r="N134" s="1"/>
      <c r="O134" s="1"/>
      <c r="P134" s="1"/>
      <c r="Q134" s="1"/>
      <c r="R134" s="1"/>
      <c r="S134" s="1"/>
      <c r="T134" s="1"/>
      <c r="U134" s="52"/>
      <c r="V134" s="52"/>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row>
    <row r="135" spans="1:54">
      <c r="A135" s="1"/>
      <c r="B135" s="253" t="s">
        <v>775</v>
      </c>
      <c r="C135" s="52"/>
      <c r="D135" s="273">
        <f>-'Reorganised Statements'!G42</f>
        <v>3177</v>
      </c>
      <c r="E135" s="1"/>
      <c r="F135" s="1"/>
      <c r="G135" s="1"/>
      <c r="H135" s="1"/>
      <c r="I135" s="1"/>
      <c r="J135" s="1"/>
      <c r="K135" s="1"/>
      <c r="L135" s="1"/>
      <c r="M135" s="1"/>
      <c r="N135" s="1"/>
      <c r="O135" s="1"/>
      <c r="P135" s="1"/>
      <c r="Q135" s="1"/>
      <c r="R135" s="1"/>
      <c r="S135" s="1"/>
      <c r="T135" s="1"/>
      <c r="U135" s="52"/>
      <c r="V135" s="52"/>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row>
    <row r="136" spans="1:54">
      <c r="A136" s="1"/>
      <c r="B136" s="253" t="s">
        <v>800</v>
      </c>
      <c r="C136" s="52"/>
      <c r="D136" s="797">
        <f>D134-D135</f>
        <v>6301.829333308975</v>
      </c>
      <c r="E136" s="1"/>
      <c r="F136" s="1"/>
      <c r="G136" s="1"/>
      <c r="H136" s="1"/>
      <c r="I136" s="1"/>
      <c r="J136" s="1"/>
      <c r="K136" s="1"/>
      <c r="L136" s="1"/>
      <c r="M136" s="1"/>
      <c r="N136" s="1"/>
      <c r="O136" s="1"/>
      <c r="P136" s="1"/>
      <c r="Q136" s="1"/>
      <c r="R136" s="1"/>
      <c r="S136" s="1"/>
      <c r="T136" s="1"/>
      <c r="U136" s="52"/>
      <c r="V136" s="52"/>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row>
    <row r="137" spans="1:54">
      <c r="A137" s="1"/>
      <c r="B137" s="253" t="s">
        <v>773</v>
      </c>
      <c r="C137" s="594"/>
      <c r="D137" s="426">
        <f>G9</f>
        <v>3109.1838560000001</v>
      </c>
      <c r="E137" s="1"/>
      <c r="F137" s="1"/>
      <c r="G137" s="1"/>
      <c r="H137" s="1"/>
      <c r="I137" s="1"/>
      <c r="J137" s="1"/>
      <c r="K137" s="1"/>
      <c r="L137" s="1"/>
      <c r="M137" s="1"/>
      <c r="N137" s="1"/>
      <c r="O137" s="448"/>
      <c r="P137" s="1"/>
      <c r="Q137" s="1"/>
      <c r="R137" s="1"/>
      <c r="S137" s="1"/>
      <c r="T137" s="1"/>
      <c r="U137" s="52"/>
      <c r="V137" s="52"/>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spans="1:54" ht="15" thickBot="1">
      <c r="A138" s="1"/>
      <c r="B138" s="265" t="s">
        <v>490</v>
      </c>
      <c r="C138" s="839"/>
      <c r="D138" s="427">
        <f>D136/D137</f>
        <v>2.0268435786284922</v>
      </c>
      <c r="E138" s="1"/>
      <c r="F138" s="1"/>
      <c r="G138" s="1"/>
      <c r="H138" s="1"/>
      <c r="I138" s="1"/>
      <c r="J138" s="1"/>
      <c r="K138" s="1"/>
      <c r="L138" s="1"/>
      <c r="M138" s="1"/>
      <c r="N138" s="1"/>
      <c r="O138" s="1"/>
      <c r="P138" s="1"/>
      <c r="Q138" s="1"/>
      <c r="R138" s="1"/>
      <c r="S138" s="1"/>
      <c r="T138" s="1"/>
      <c r="U138" s="52"/>
      <c r="V138" s="52"/>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spans="1:54">
      <c r="A139" s="1"/>
      <c r="B139" s="1"/>
      <c r="C139" s="1"/>
      <c r="D139" s="1"/>
      <c r="E139" s="1"/>
      <c r="F139" s="1"/>
      <c r="G139" s="1"/>
      <c r="H139" s="1"/>
      <c r="I139" s="1"/>
      <c r="J139" s="1"/>
      <c r="K139" s="1"/>
      <c r="L139" s="1"/>
      <c r="M139" s="1"/>
      <c r="N139" s="1"/>
      <c r="O139" s="1"/>
      <c r="P139" s="1"/>
      <c r="Q139" s="1"/>
      <c r="R139" s="1"/>
      <c r="S139" s="1"/>
      <c r="T139" s="1"/>
      <c r="U139" s="52"/>
      <c r="V139" s="52"/>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spans="1:54">
      <c r="A140" s="1"/>
      <c r="B140" s="1"/>
      <c r="C140" s="1"/>
      <c r="D140" s="1"/>
      <c r="E140" s="1"/>
      <c r="F140" s="1"/>
      <c r="G140" s="1"/>
      <c r="H140" s="1"/>
      <c r="I140" s="1"/>
      <c r="J140" s="1"/>
      <c r="K140" s="1"/>
      <c r="L140" s="1"/>
      <c r="M140" s="1"/>
      <c r="N140" s="1"/>
      <c r="O140" s="1"/>
      <c r="P140" s="1"/>
      <c r="Q140" s="1"/>
      <c r="R140" s="1"/>
      <c r="S140" s="1"/>
      <c r="T140" s="1"/>
      <c r="U140" s="52"/>
      <c r="V140" s="52"/>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ht="15" thickBot="1">
      <c r="A141" s="1"/>
      <c r="B141" s="1"/>
      <c r="C141" s="1"/>
      <c r="D141" s="1"/>
      <c r="E141" s="1"/>
      <c r="F141" s="1"/>
      <c r="G141" s="1"/>
      <c r="H141" s="1"/>
      <c r="I141" s="1"/>
      <c r="J141" s="1"/>
      <c r="K141" s="1"/>
      <c r="L141" s="1"/>
      <c r="M141" s="1"/>
      <c r="N141" s="1"/>
      <c r="O141" s="1"/>
      <c r="P141" s="1"/>
      <c r="Q141" s="1"/>
      <c r="R141" s="1"/>
      <c r="S141" s="1"/>
      <c r="T141" s="1"/>
      <c r="U141" s="52"/>
      <c r="V141" s="52"/>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ht="24.6">
      <c r="A142" s="896"/>
      <c r="B142" s="902" t="s">
        <v>804</v>
      </c>
      <c r="C142" s="897"/>
      <c r="D142" s="897"/>
      <c r="E142" s="897"/>
      <c r="F142" s="897"/>
      <c r="G142" s="897"/>
      <c r="H142" s="897"/>
      <c r="I142" s="897"/>
      <c r="J142" s="897"/>
      <c r="K142" s="897"/>
      <c r="L142" s="897"/>
      <c r="M142" s="897"/>
      <c r="N142" s="897"/>
      <c r="O142" s="897"/>
      <c r="P142" s="897"/>
      <c r="Q142" s="898"/>
      <c r="R142" s="1"/>
      <c r="S142" s="1"/>
      <c r="T142" s="1"/>
      <c r="U142" s="52"/>
      <c r="V142" s="52"/>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ht="15" thickBot="1">
      <c r="A143" s="899"/>
      <c r="B143" s="900"/>
      <c r="C143" s="900"/>
      <c r="D143" s="900"/>
      <c r="E143" s="900"/>
      <c r="F143" s="900"/>
      <c r="G143" s="900"/>
      <c r="H143" s="900"/>
      <c r="I143" s="900"/>
      <c r="J143" s="900"/>
      <c r="K143" s="900"/>
      <c r="L143" s="900"/>
      <c r="M143" s="900"/>
      <c r="N143" s="900"/>
      <c r="O143" s="900"/>
      <c r="P143" s="900"/>
      <c r="Q143" s="901"/>
      <c r="R143" s="1"/>
      <c r="S143" s="1"/>
      <c r="T143" s="1"/>
      <c r="U143" s="52"/>
      <c r="V143" s="52"/>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ht="15" thickBot="1">
      <c r="A144" s="922"/>
      <c r="B144" s="923"/>
      <c r="C144" s="923"/>
      <c r="D144" s="923"/>
      <c r="E144" s="923"/>
      <c r="F144" s="923"/>
      <c r="G144" s="923"/>
      <c r="H144" s="923"/>
      <c r="I144" s="923"/>
      <c r="J144" s="923"/>
      <c r="K144" s="923"/>
      <c r="L144" s="923"/>
      <c r="M144" s="923"/>
      <c r="N144" s="923"/>
      <c r="O144" s="923"/>
      <c r="P144" s="923"/>
      <c r="Q144" s="924"/>
      <c r="R144" s="1"/>
      <c r="S144" s="1"/>
      <c r="T144" s="1"/>
      <c r="U144" s="52"/>
      <c r="V144" s="52"/>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ht="15" thickBot="1">
      <c r="A145" s="1"/>
      <c r="B145" s="1"/>
      <c r="C145" s="1"/>
      <c r="D145" s="1"/>
      <c r="E145" s="1"/>
      <c r="F145" s="1"/>
      <c r="G145" s="1"/>
      <c r="H145" s="1"/>
      <c r="I145" s="1"/>
      <c r="J145" s="1"/>
      <c r="K145" s="1"/>
      <c r="L145" s="1"/>
      <c r="M145" s="1"/>
      <c r="N145" s="1"/>
      <c r="O145" s="1"/>
      <c r="P145" s="1"/>
      <c r="Q145" s="52"/>
      <c r="R145" s="52"/>
      <c r="S145" s="1"/>
      <c r="T145" s="1"/>
      <c r="U145" s="52"/>
      <c r="V145" s="52"/>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spans="1:54" ht="15" thickBot="1">
      <c r="A146" s="1"/>
      <c r="B146" s="819" t="s">
        <v>779</v>
      </c>
      <c r="C146" s="820"/>
      <c r="D146" s="820"/>
      <c r="E146" s="821"/>
      <c r="F146" s="52"/>
      <c r="G146" s="52"/>
      <c r="H146" s="880" t="s">
        <v>820</v>
      </c>
      <c r="I146" s="754"/>
      <c r="J146" s="760"/>
      <c r="K146" s="881" t="s">
        <v>809</v>
      </c>
      <c r="L146" s="760"/>
      <c r="M146" s="881" t="s">
        <v>815</v>
      </c>
      <c r="N146" s="760"/>
      <c r="O146" s="881" t="s">
        <v>816</v>
      </c>
      <c r="P146" s="755"/>
      <c r="Q146" s="52"/>
      <c r="R146" s="52"/>
      <c r="S146" s="52"/>
      <c r="T146" s="1"/>
      <c r="U146" s="52"/>
      <c r="V146" s="52"/>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c r="A147" s="1"/>
      <c r="B147" s="837" t="s">
        <v>811</v>
      </c>
      <c r="C147" s="52"/>
      <c r="D147" s="52"/>
      <c r="E147" s="360"/>
      <c r="F147" s="52"/>
      <c r="G147" s="52"/>
      <c r="H147" s="879" t="s">
        <v>812</v>
      </c>
      <c r="I147" s="52"/>
      <c r="J147" s="469"/>
      <c r="K147" s="639"/>
      <c r="L147" s="360"/>
      <c r="M147" s="52"/>
      <c r="N147" s="469"/>
      <c r="O147" s="639"/>
      <c r="P147" s="273"/>
      <c r="Q147" s="52"/>
      <c r="R147" s="639"/>
      <c r="S147" s="639"/>
      <c r="T147" s="1"/>
      <c r="U147" s="52"/>
      <c r="V147" s="52"/>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c r="A148" s="1"/>
      <c r="B148" s="454" t="s">
        <v>780</v>
      </c>
      <c r="C148" s="361"/>
      <c r="D148" s="592">
        <v>5.3220000000000003E-2</v>
      </c>
      <c r="E148" s="360"/>
      <c r="F148" s="52"/>
      <c r="G148" s="52"/>
      <c r="H148" s="253"/>
      <c r="I148" s="52"/>
      <c r="J148" s="469"/>
      <c r="K148" s="639"/>
      <c r="L148" s="360"/>
      <c r="M148" s="52"/>
      <c r="N148" s="469"/>
      <c r="O148" s="639"/>
      <c r="P148" s="273"/>
      <c r="Q148" s="52"/>
      <c r="R148" s="639"/>
      <c r="S148" s="639"/>
      <c r="T148" s="1"/>
      <c r="U148" s="52"/>
      <c r="V148" s="52"/>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c r="A149" s="1"/>
      <c r="B149" s="454" t="s">
        <v>781</v>
      </c>
      <c r="C149" s="592"/>
      <c r="D149" s="361">
        <v>9.0300000000000005E-2</v>
      </c>
      <c r="E149" s="360"/>
      <c r="F149" s="52"/>
      <c r="G149" s="52"/>
      <c r="H149" s="253" t="s">
        <v>810</v>
      </c>
      <c r="I149" s="52"/>
      <c r="J149" s="360"/>
      <c r="K149" s="52" t="s">
        <v>817</v>
      </c>
      <c r="L149" s="360"/>
      <c r="M149" s="52" t="s">
        <v>817</v>
      </c>
      <c r="N149" s="360"/>
      <c r="O149" s="639">
        <v>9478.829333308975</v>
      </c>
      <c r="P149" s="273"/>
      <c r="Q149" s="52"/>
      <c r="R149" s="52"/>
      <c r="S149" s="639"/>
      <c r="T149" s="1"/>
      <c r="U149" s="52"/>
      <c r="V149" s="52"/>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c r="A150" s="1"/>
      <c r="B150" s="837" t="s">
        <v>808</v>
      </c>
      <c r="C150" s="592"/>
      <c r="D150" s="361"/>
      <c r="E150" s="360"/>
      <c r="F150" s="52"/>
      <c r="G150" s="52"/>
      <c r="H150" s="253" t="s">
        <v>772</v>
      </c>
      <c r="I150" s="52"/>
      <c r="J150" s="469"/>
      <c r="K150" s="639">
        <f>K151*K152</f>
        <v>4314.7038303310756</v>
      </c>
      <c r="L150" s="360"/>
      <c r="M150" s="639">
        <v>6366.2527054544389</v>
      </c>
      <c r="N150" s="469"/>
      <c r="O150" s="639">
        <v>6301.829333308975</v>
      </c>
      <c r="P150" s="273"/>
      <c r="Q150" s="52"/>
      <c r="R150" s="639"/>
      <c r="S150" s="639"/>
      <c r="T150" s="1"/>
      <c r="U150" s="52"/>
      <c r="V150" s="52"/>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c r="A151" s="1"/>
      <c r="B151" s="878" t="s">
        <v>780</v>
      </c>
      <c r="C151" s="592"/>
      <c r="D151" s="361">
        <v>6.5553539983623149E-2</v>
      </c>
      <c r="E151" s="360"/>
      <c r="F151" s="52"/>
      <c r="G151" s="52"/>
      <c r="H151" s="253" t="s">
        <v>773</v>
      </c>
      <c r="I151" s="52"/>
      <c r="J151" s="360"/>
      <c r="K151" s="639">
        <v>3109.1838560000001</v>
      </c>
      <c r="L151" s="469"/>
      <c r="M151" s="639">
        <v>3109.1838560000001</v>
      </c>
      <c r="N151" s="469"/>
      <c r="O151" s="639">
        <v>3109.1838560000001</v>
      </c>
      <c r="P151" s="273"/>
      <c r="Q151" s="52"/>
      <c r="R151" s="52"/>
      <c r="S151" s="52"/>
      <c r="T151" s="1"/>
      <c r="U151" s="52"/>
      <c r="V151" s="52"/>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c r="A152" s="1"/>
      <c r="B152" s="454" t="s">
        <v>781</v>
      </c>
      <c r="C152" s="592"/>
      <c r="D152" s="361">
        <v>0.10355523872850365</v>
      </c>
      <c r="E152" s="360"/>
      <c r="F152" s="52"/>
      <c r="G152" s="52"/>
      <c r="H152" s="253" t="s">
        <v>490</v>
      </c>
      <c r="I152" s="52"/>
      <c r="J152" s="445"/>
      <c r="K152" s="594">
        <v>1.3877287513907237</v>
      </c>
      <c r="L152" s="360"/>
      <c r="M152" s="594">
        <v>2.0475639268385675</v>
      </c>
      <c r="N152" s="445"/>
      <c r="O152" s="594">
        <v>2.0268435786284922</v>
      </c>
      <c r="P152" s="273"/>
      <c r="Q152" s="52"/>
      <c r="R152" s="52"/>
      <c r="S152" s="639"/>
      <c r="T152" s="1"/>
      <c r="U152" s="52"/>
      <c r="V152" s="52"/>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c r="A153" s="1"/>
      <c r="B153" s="365" t="s">
        <v>782</v>
      </c>
      <c r="C153" s="479"/>
      <c r="D153" s="440">
        <v>0.01</v>
      </c>
      <c r="E153" s="99"/>
      <c r="F153" s="52"/>
      <c r="G153" s="52"/>
      <c r="H153" s="272"/>
      <c r="I153" s="101"/>
      <c r="J153" s="444"/>
      <c r="K153" s="443"/>
      <c r="L153" s="99"/>
      <c r="M153" s="101"/>
      <c r="N153" s="444"/>
      <c r="O153" s="443"/>
      <c r="P153" s="274"/>
      <c r="Q153" s="52"/>
      <c r="R153" s="594"/>
      <c r="S153" s="594"/>
      <c r="T153" s="1"/>
      <c r="U153" s="52"/>
      <c r="V153" s="52"/>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c r="A154" s="1"/>
      <c r="B154" s="837"/>
      <c r="C154" s="52"/>
      <c r="D154" s="52"/>
      <c r="E154" s="360"/>
      <c r="F154" s="52"/>
      <c r="G154" s="52"/>
      <c r="H154" s="879" t="s">
        <v>813</v>
      </c>
      <c r="I154" s="52"/>
      <c r="J154" s="360"/>
      <c r="K154" s="52"/>
      <c r="L154" s="360"/>
      <c r="M154" s="52"/>
      <c r="N154" s="360"/>
      <c r="O154" s="52"/>
      <c r="P154" s="273"/>
      <c r="Q154" s="52"/>
      <c r="R154" s="594"/>
      <c r="S154" s="594"/>
      <c r="T154" s="1"/>
      <c r="U154" s="52"/>
      <c r="V154" s="52"/>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c r="A155" s="1"/>
      <c r="B155" s="837" t="s">
        <v>818</v>
      </c>
      <c r="C155" s="815"/>
      <c r="D155" s="768"/>
      <c r="E155" s="360"/>
      <c r="F155" s="52"/>
      <c r="G155" s="52"/>
      <c r="H155" s="253"/>
      <c r="I155" s="52"/>
      <c r="J155" s="360"/>
      <c r="K155" s="52"/>
      <c r="L155" s="360"/>
      <c r="M155" s="52"/>
      <c r="N155" s="360"/>
      <c r="O155" s="52"/>
      <c r="P155" s="273"/>
      <c r="Q155" s="52"/>
      <c r="R155" s="52"/>
      <c r="S155" s="1"/>
      <c r="T155" s="1"/>
      <c r="U155" s="52"/>
      <c r="V155" s="52"/>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c r="A156" s="1"/>
      <c r="B156" s="454" t="s">
        <v>807</v>
      </c>
      <c r="C156" s="592"/>
      <c r="D156" s="592">
        <v>4.3394377121104534E-2</v>
      </c>
      <c r="E156" s="360"/>
      <c r="F156" s="52"/>
      <c r="G156" s="52"/>
      <c r="H156" s="253" t="s">
        <v>810</v>
      </c>
      <c r="I156" s="52"/>
      <c r="J156" s="360"/>
      <c r="K156" s="52" t="s">
        <v>817</v>
      </c>
      <c r="L156" s="360"/>
      <c r="M156" s="52" t="s">
        <v>817</v>
      </c>
      <c r="N156" s="360"/>
      <c r="O156" s="639">
        <v>9304.1592884529218</v>
      </c>
      <c r="P156" s="273"/>
      <c r="Q156" s="52"/>
      <c r="R156" s="52"/>
      <c r="S156" s="1"/>
      <c r="T156" s="1"/>
      <c r="U156" s="52"/>
      <c r="V156" s="52"/>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c r="A157" s="1"/>
      <c r="B157" s="454" t="s">
        <v>781</v>
      </c>
      <c r="C157" s="592"/>
      <c r="D157" s="592">
        <v>7.0797503832503647E-2</v>
      </c>
      <c r="E157" s="360"/>
      <c r="F157" s="52"/>
      <c r="G157" s="52"/>
      <c r="H157" s="253" t="s">
        <v>772</v>
      </c>
      <c r="I157" s="52"/>
      <c r="J157" s="360"/>
      <c r="K157" s="639">
        <f>K159*K158</f>
        <v>4176.1992718281381</v>
      </c>
      <c r="L157" s="360"/>
      <c r="M157" s="639">
        <v>6145.7464040051927</v>
      </c>
      <c r="N157" s="360"/>
      <c r="O157" s="639">
        <v>6127.1592884529218</v>
      </c>
      <c r="P157" s="273"/>
      <c r="Q157" s="52"/>
      <c r="R157" s="52"/>
      <c r="S157" s="1"/>
      <c r="T157" s="1"/>
      <c r="U157" s="52"/>
      <c r="V157" s="52"/>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c r="A158" s="1"/>
      <c r="B158" s="837" t="s">
        <v>808</v>
      </c>
      <c r="C158" s="592"/>
      <c r="D158" s="592"/>
      <c r="E158" s="360"/>
      <c r="F158" s="52"/>
      <c r="G158" s="52"/>
      <c r="H158" s="253" t="s">
        <v>773</v>
      </c>
      <c r="I158" s="52"/>
      <c r="J158" s="360"/>
      <c r="K158" s="639">
        <v>3109.1838560000001</v>
      </c>
      <c r="L158" s="469"/>
      <c r="M158" s="639">
        <v>3109.1838560000001</v>
      </c>
      <c r="N158" s="469"/>
      <c r="O158" s="639">
        <v>3109.1838560000001</v>
      </c>
      <c r="P158" s="273"/>
      <c r="Q158" s="52"/>
      <c r="R158" s="52"/>
      <c r="S158" s="1"/>
      <c r="T158" s="1"/>
      <c r="U158" s="52"/>
      <c r="V158" s="52"/>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c r="A159" s="1"/>
      <c r="B159" s="878" t="s">
        <v>780</v>
      </c>
      <c r="C159" s="52"/>
      <c r="D159" s="361">
        <v>5.2784530767033287E-2</v>
      </c>
      <c r="E159" s="360"/>
      <c r="F159" s="1"/>
      <c r="G159" s="1"/>
      <c r="H159" s="253" t="s">
        <v>490</v>
      </c>
      <c r="I159" s="52"/>
      <c r="J159" s="360"/>
      <c r="K159" s="594">
        <v>1.3431818333190708</v>
      </c>
      <c r="L159" s="360"/>
      <c r="M159" s="594">
        <v>1.9766429676216588</v>
      </c>
      <c r="N159" s="360"/>
      <c r="O159" s="594">
        <v>1.9706648343194413</v>
      </c>
      <c r="P159" s="273"/>
      <c r="Q159" s="52"/>
      <c r="R159" s="52"/>
      <c r="S159" s="1"/>
      <c r="T159" s="1"/>
      <c r="U159" s="52"/>
      <c r="V159" s="52"/>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c r="A160" s="1"/>
      <c r="B160" s="454" t="s">
        <v>781</v>
      </c>
      <c r="C160" s="52"/>
      <c r="D160" s="361">
        <v>8.1055238728503648E-2</v>
      </c>
      <c r="E160" s="360"/>
      <c r="F160" s="1"/>
      <c r="G160" s="1"/>
      <c r="H160" s="272"/>
      <c r="I160" s="101"/>
      <c r="J160" s="99"/>
      <c r="K160" s="101"/>
      <c r="L160" s="99"/>
      <c r="M160" s="101"/>
      <c r="N160" s="99"/>
      <c r="O160" s="101"/>
      <c r="P160" s="274"/>
      <c r="Q160" s="52"/>
      <c r="R160" s="52"/>
      <c r="S160" s="1"/>
      <c r="T160" s="1"/>
      <c r="U160" s="52"/>
      <c r="V160" s="52"/>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c r="A161" s="1"/>
      <c r="B161" s="365" t="s">
        <v>782</v>
      </c>
      <c r="C161" s="101"/>
      <c r="D161" s="458">
        <v>0.01</v>
      </c>
      <c r="E161" s="99"/>
      <c r="F161" s="1"/>
      <c r="G161" s="1"/>
      <c r="H161" s="879" t="s">
        <v>814</v>
      </c>
      <c r="I161" s="52"/>
      <c r="J161" s="360"/>
      <c r="K161" s="52"/>
      <c r="L161" s="360"/>
      <c r="M161" s="52"/>
      <c r="N161" s="360"/>
      <c r="O161" s="52"/>
      <c r="P161" s="273"/>
      <c r="Q161" s="52"/>
      <c r="R161" s="52"/>
      <c r="S161" s="1"/>
      <c r="T161" s="1"/>
      <c r="U161" s="52"/>
      <c r="V161" s="52"/>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c r="A162" s="1"/>
      <c r="B162" s="1"/>
      <c r="C162" s="1"/>
      <c r="D162" s="1"/>
      <c r="E162" s="1"/>
      <c r="F162" s="1"/>
      <c r="G162" s="1"/>
      <c r="H162" s="253"/>
      <c r="I162" s="52"/>
      <c r="J162" s="360"/>
      <c r="K162" s="52"/>
      <c r="L162" s="360"/>
      <c r="M162" s="52"/>
      <c r="N162" s="360"/>
      <c r="O162" s="52"/>
      <c r="P162" s="273"/>
      <c r="Q162" s="52"/>
      <c r="R162" s="52"/>
      <c r="S162" s="1"/>
      <c r="T162" s="1"/>
      <c r="U162" s="52"/>
      <c r="V162" s="52"/>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c r="A163" s="1"/>
      <c r="B163" s="1"/>
      <c r="C163" s="1"/>
      <c r="D163" s="1"/>
      <c r="E163" s="1"/>
      <c r="F163" s="1"/>
      <c r="G163" s="1"/>
      <c r="H163" s="253" t="s">
        <v>810</v>
      </c>
      <c r="I163" s="52"/>
      <c r="J163" s="360"/>
      <c r="K163" s="52" t="s">
        <v>817</v>
      </c>
      <c r="L163" s="360"/>
      <c r="M163" s="52" t="s">
        <v>817</v>
      </c>
      <c r="N163" s="360"/>
      <c r="O163" s="639">
        <v>7240.0574500513894</v>
      </c>
      <c r="P163" s="273"/>
      <c r="Q163" s="52"/>
      <c r="R163" s="52"/>
      <c r="S163" s="1"/>
      <c r="T163" s="1"/>
      <c r="U163" s="52"/>
      <c r="V163" s="52"/>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c r="A164" s="1"/>
      <c r="B164" s="1"/>
      <c r="C164" s="1"/>
      <c r="D164" s="1"/>
      <c r="E164" s="1"/>
      <c r="F164" s="1"/>
      <c r="G164" s="1"/>
      <c r="H164" s="253" t="s">
        <v>772</v>
      </c>
      <c r="I164" s="52"/>
      <c r="J164" s="360"/>
      <c r="K164" s="639">
        <f>K166*K165</f>
        <v>3303.1396983137797</v>
      </c>
      <c r="L164" s="360"/>
      <c r="M164" s="639">
        <v>4761.3166929347217</v>
      </c>
      <c r="N164" s="360"/>
      <c r="O164" s="639">
        <v>4063.0574500513894</v>
      </c>
      <c r="P164" s="273"/>
      <c r="Q164" s="52"/>
      <c r="R164" s="52"/>
      <c r="S164" s="1"/>
      <c r="T164" s="1"/>
      <c r="U164" s="52"/>
      <c r="V164" s="52"/>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spans="1:54">
      <c r="A165" s="1"/>
      <c r="B165" s="1"/>
      <c r="C165" s="1"/>
      <c r="D165" s="1"/>
      <c r="E165" s="1"/>
      <c r="F165" s="1"/>
      <c r="G165" s="1"/>
      <c r="H165" s="253" t="s">
        <v>773</v>
      </c>
      <c r="I165" s="52"/>
      <c r="J165" s="360"/>
      <c r="K165" s="639">
        <v>3109.1838560000001</v>
      </c>
      <c r="L165" s="469"/>
      <c r="M165" s="639">
        <v>3109.1838560000001</v>
      </c>
      <c r="N165" s="469"/>
      <c r="O165" s="639">
        <v>3109.1838560000001</v>
      </c>
      <c r="P165" s="797"/>
      <c r="Q165" s="52"/>
      <c r="R165" s="52"/>
      <c r="S165" s="1"/>
      <c r="T165" s="1"/>
      <c r="U165" s="52"/>
      <c r="V165" s="52"/>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ht="15" thickBot="1">
      <c r="A166" s="1"/>
      <c r="B166" s="1"/>
      <c r="C166" s="1"/>
      <c r="D166" s="1"/>
      <c r="E166" s="1"/>
      <c r="F166" s="1"/>
      <c r="G166" s="1"/>
      <c r="H166" s="265" t="s">
        <v>490</v>
      </c>
      <c r="I166" s="368"/>
      <c r="J166" s="369"/>
      <c r="K166" s="839">
        <v>1.0623815931436444</v>
      </c>
      <c r="L166" s="369"/>
      <c r="M166" s="839">
        <v>1.5313718690988602</v>
      </c>
      <c r="N166" s="369"/>
      <c r="O166" s="839">
        <v>1.3067922767611944</v>
      </c>
      <c r="P166" s="276"/>
      <c r="Q166" s="52"/>
      <c r="R166" s="52"/>
      <c r="S166" s="1"/>
      <c r="T166" s="1"/>
      <c r="U166" s="52"/>
      <c r="V166" s="52"/>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c r="A167" s="1"/>
      <c r="B167" s="1"/>
      <c r="C167" s="1"/>
      <c r="D167" s="1"/>
      <c r="E167" s="1"/>
      <c r="F167" s="1"/>
      <c r="G167" s="1"/>
      <c r="H167" s="1"/>
      <c r="I167" s="1"/>
      <c r="J167" s="1"/>
      <c r="K167" s="1"/>
      <c r="L167" s="1"/>
      <c r="M167" s="1"/>
      <c r="N167" s="1"/>
      <c r="O167" s="1"/>
      <c r="P167" s="1"/>
      <c r="Q167" s="1"/>
      <c r="R167" s="1"/>
      <c r="S167" s="1"/>
      <c r="T167" s="1"/>
      <c r="U167" s="52"/>
      <c r="V167" s="52"/>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c r="A168" s="1"/>
      <c r="B168" s="1"/>
      <c r="C168" s="1"/>
      <c r="D168" s="1"/>
      <c r="E168" s="1"/>
      <c r="F168" s="1"/>
      <c r="G168" s="1"/>
      <c r="H168" s="1"/>
      <c r="I168" s="1"/>
      <c r="J168" s="1"/>
      <c r="K168" s="1"/>
      <c r="L168" s="1"/>
      <c r="M168" s="1"/>
      <c r="N168" s="1"/>
      <c r="O168" s="1"/>
      <c r="P168" s="1"/>
      <c r="Q168" s="1"/>
      <c r="R168" s="1"/>
      <c r="S168" s="1"/>
      <c r="T168" s="1"/>
      <c r="U168" s="52"/>
      <c r="V168" s="52"/>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c r="A169" s="1"/>
      <c r="B169" s="1"/>
      <c r="C169" s="1"/>
      <c r="D169" s="1"/>
      <c r="E169" s="1"/>
      <c r="F169" s="1"/>
      <c r="G169" s="1"/>
      <c r="H169" s="1"/>
      <c r="I169" s="1"/>
      <c r="J169" s="1"/>
      <c r="K169" s="1"/>
      <c r="L169" s="1"/>
      <c r="M169" s="1"/>
      <c r="N169" s="1"/>
      <c r="O169" s="1"/>
      <c r="P169" s="1"/>
      <c r="Q169" s="1"/>
      <c r="R169" s="1"/>
      <c r="S169" s="1"/>
      <c r="T169" s="1"/>
      <c r="U169" s="52"/>
      <c r="V169" s="52"/>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c r="A170" s="1"/>
      <c r="B170" s="1"/>
      <c r="C170" s="1"/>
      <c r="D170" s="1"/>
      <c r="E170" s="1"/>
      <c r="F170" s="1"/>
      <c r="G170" s="1"/>
      <c r="H170" s="1"/>
      <c r="I170" s="1"/>
      <c r="J170" s="1"/>
      <c r="K170" s="1"/>
      <c r="L170" s="1"/>
      <c r="M170" s="1"/>
      <c r="N170" s="1"/>
      <c r="O170" s="1"/>
      <c r="P170" s="1"/>
      <c r="Q170" s="1"/>
      <c r="R170" s="1"/>
      <c r="S170" s="1"/>
      <c r="T170" s="1"/>
      <c r="U170" s="52"/>
      <c r="V170" s="52"/>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spans="1:54">
      <c r="A171" s="1"/>
      <c r="B171" s="1"/>
      <c r="C171" s="1"/>
      <c r="D171" s="1"/>
      <c r="E171" s="1"/>
      <c r="F171" s="1"/>
      <c r="G171" s="1"/>
      <c r="H171" s="1"/>
      <c r="I171" s="1"/>
      <c r="J171" s="1"/>
      <c r="K171" s="1"/>
      <c r="L171" s="1"/>
      <c r="M171" s="1"/>
      <c r="N171" s="1"/>
      <c r="O171" s="1"/>
      <c r="P171" s="1"/>
      <c r="Q171" s="1"/>
      <c r="R171" s="1"/>
      <c r="S171" s="1"/>
      <c r="T171" s="1"/>
      <c r="U171" s="52"/>
      <c r="V171" s="52"/>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c r="A172" s="1"/>
      <c r="B172" s="1"/>
      <c r="C172" s="1"/>
      <c r="D172" s="1"/>
      <c r="E172" s="1"/>
      <c r="F172" s="1"/>
      <c r="G172" s="1"/>
      <c r="H172" s="1"/>
      <c r="I172" s="1"/>
      <c r="J172" s="1"/>
      <c r="K172" s="1"/>
      <c r="L172" s="1"/>
      <c r="M172" s="1"/>
      <c r="N172" s="1"/>
      <c r="O172" s="1"/>
      <c r="P172" s="1"/>
      <c r="Q172" s="1"/>
      <c r="R172" s="1"/>
      <c r="S172" s="1"/>
      <c r="T172" s="1"/>
      <c r="U172" s="52"/>
      <c r="V172" s="52"/>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c r="A173" s="1"/>
      <c r="B173" s="1"/>
      <c r="C173" s="1"/>
      <c r="D173" s="1"/>
      <c r="E173" s="1"/>
      <c r="F173" s="1"/>
      <c r="G173" s="1"/>
      <c r="H173" s="1"/>
      <c r="I173" s="1"/>
      <c r="J173" s="1"/>
      <c r="K173" s="1"/>
      <c r="L173" s="1"/>
      <c r="M173" s="1"/>
      <c r="N173" s="1"/>
      <c r="O173" s="1"/>
      <c r="P173" s="1"/>
      <c r="Q173" s="1"/>
      <c r="R173" s="1"/>
      <c r="S173" s="1"/>
      <c r="T173" s="1"/>
      <c r="U173" s="52"/>
      <c r="V173" s="52"/>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c r="A174" s="1"/>
      <c r="B174" s="1"/>
      <c r="C174" s="1"/>
      <c r="D174" s="1"/>
      <c r="E174" s="1"/>
      <c r="F174" s="1"/>
      <c r="G174" s="1"/>
      <c r="H174" s="1"/>
      <c r="I174" s="1"/>
      <c r="J174" s="1"/>
      <c r="K174" s="1"/>
      <c r="L174" s="1"/>
      <c r="M174" s="1"/>
      <c r="N174" s="1"/>
      <c r="O174" s="1"/>
      <c r="P174" s="1"/>
      <c r="Q174" s="1"/>
      <c r="R174" s="1"/>
      <c r="S174" s="1"/>
      <c r="T174" s="1"/>
      <c r="U174" s="52"/>
      <c r="V174" s="52"/>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c r="A175" s="1"/>
      <c r="B175" s="1"/>
      <c r="C175" s="1"/>
      <c r="D175" s="1"/>
      <c r="E175" s="1"/>
      <c r="F175" s="1"/>
      <c r="G175" s="1"/>
      <c r="H175" s="1"/>
      <c r="I175" s="1"/>
      <c r="J175" s="1"/>
      <c r="K175" s="1"/>
      <c r="L175" s="1"/>
      <c r="M175" s="1"/>
      <c r="N175" s="1"/>
      <c r="O175" s="1"/>
      <c r="P175" s="1"/>
      <c r="Q175" s="1"/>
      <c r="R175" s="1"/>
      <c r="S175" s="1"/>
      <c r="T175" s="1"/>
      <c r="U175" s="52"/>
      <c r="V175" s="52"/>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c r="A176" s="1"/>
      <c r="B176" s="1"/>
      <c r="C176" s="1"/>
      <c r="D176" s="1"/>
      <c r="E176" s="1"/>
      <c r="F176" s="1"/>
      <c r="G176" s="1"/>
      <c r="H176" s="1"/>
      <c r="I176" s="1"/>
      <c r="J176" s="1"/>
      <c r="K176" s="1"/>
      <c r="L176" s="1"/>
      <c r="M176" s="1"/>
      <c r="N176" s="1"/>
      <c r="O176" s="1"/>
      <c r="P176" s="1"/>
      <c r="Q176" s="1"/>
      <c r="R176" s="1"/>
      <c r="S176" s="1"/>
      <c r="T176" s="1"/>
      <c r="U176" s="52"/>
      <c r="V176" s="52"/>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c r="A177" s="1"/>
      <c r="B177" s="1"/>
      <c r="C177" s="1"/>
      <c r="D177" s="1"/>
      <c r="E177" s="1"/>
      <c r="F177" s="1"/>
      <c r="G177" s="1"/>
      <c r="H177" s="1"/>
      <c r="I177" s="1"/>
      <c r="J177" s="1"/>
      <c r="K177" s="1"/>
      <c r="L177" s="1"/>
      <c r="M177" s="1"/>
      <c r="N177" s="1"/>
      <c r="O177" s="1"/>
      <c r="P177" s="1"/>
      <c r="Q177" s="1"/>
      <c r="R177" s="1"/>
      <c r="S177" s="1"/>
      <c r="T177" s="1"/>
      <c r="U177" s="52"/>
      <c r="V177" s="52"/>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c r="A178" s="1"/>
      <c r="B178" s="1"/>
      <c r="C178" s="1"/>
      <c r="D178" s="1"/>
      <c r="E178" s="1"/>
      <c r="F178" s="1"/>
      <c r="G178" s="1"/>
      <c r="H178" s="1"/>
      <c r="I178" s="1"/>
      <c r="J178" s="1"/>
      <c r="K178" s="1"/>
      <c r="L178" s="1"/>
      <c r="M178" s="1"/>
      <c r="N178" s="1"/>
      <c r="O178" s="1"/>
      <c r="P178" s="1"/>
      <c r="Q178" s="1"/>
      <c r="R178" s="1"/>
      <c r="S178" s="1"/>
      <c r="T178" s="1"/>
      <c r="U178" s="52"/>
      <c r="V178" s="52"/>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c r="A179" s="1"/>
      <c r="B179" s="1"/>
      <c r="C179" s="1"/>
      <c r="D179" s="1"/>
      <c r="E179" s="1"/>
      <c r="F179" s="1"/>
      <c r="G179" s="1"/>
      <c r="H179" s="1"/>
      <c r="I179" s="1"/>
      <c r="J179" s="1"/>
      <c r="K179" s="1"/>
      <c r="L179" s="1"/>
      <c r="M179" s="1"/>
      <c r="N179" s="1"/>
      <c r="O179" s="1"/>
      <c r="P179" s="1"/>
      <c r="Q179" s="1"/>
      <c r="R179" s="1"/>
      <c r="S179" s="1"/>
      <c r="T179" s="1"/>
      <c r="U179" s="52"/>
      <c r="V179" s="52"/>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c r="A180" s="1"/>
      <c r="B180" s="1"/>
      <c r="C180" s="1"/>
      <c r="D180" s="1"/>
      <c r="E180" s="1"/>
      <c r="F180" s="1"/>
      <c r="G180" s="1"/>
      <c r="H180" s="1"/>
      <c r="I180" s="1"/>
      <c r="J180" s="1"/>
      <c r="K180" s="1"/>
      <c r="L180" s="1"/>
      <c r="M180" s="1"/>
      <c r="N180" s="1"/>
      <c r="O180" s="1"/>
      <c r="P180" s="1"/>
      <c r="Q180" s="1"/>
      <c r="R180" s="1"/>
      <c r="S180" s="1"/>
      <c r="T180" s="1"/>
      <c r="U180" s="52"/>
      <c r="V180" s="52"/>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c r="A181" s="1"/>
      <c r="B181" s="1"/>
      <c r="C181" s="1"/>
      <c r="D181" s="1"/>
      <c r="E181" s="1"/>
      <c r="F181" s="1"/>
      <c r="G181" s="1"/>
      <c r="H181" s="1"/>
      <c r="I181" s="1"/>
      <c r="J181" s="1"/>
      <c r="K181" s="1"/>
      <c r="L181" s="1"/>
      <c r="M181" s="1"/>
      <c r="N181" s="1"/>
      <c r="O181" s="1"/>
      <c r="P181" s="1"/>
      <c r="Q181" s="1"/>
      <c r="R181" s="1"/>
      <c r="S181" s="1"/>
      <c r="T181" s="1"/>
      <c r="U181" s="52"/>
      <c r="V181" s="52"/>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c r="A182" s="1"/>
      <c r="B182" s="1"/>
      <c r="C182" s="1"/>
      <c r="D182" s="1"/>
      <c r="E182" s="1"/>
      <c r="F182" s="1"/>
      <c r="G182" s="1"/>
      <c r="H182" s="1"/>
      <c r="I182" s="1"/>
      <c r="J182" s="1"/>
      <c r="K182" s="1"/>
      <c r="L182" s="1"/>
      <c r="M182" s="1"/>
      <c r="N182" s="1"/>
      <c r="O182" s="1"/>
      <c r="P182" s="1"/>
      <c r="Q182" s="1"/>
      <c r="R182" s="1"/>
      <c r="S182" s="1"/>
      <c r="T182" s="1"/>
      <c r="U182" s="52"/>
      <c r="V182" s="52"/>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c r="A183" s="1"/>
      <c r="B183" s="1"/>
      <c r="C183" s="1"/>
      <c r="D183" s="1"/>
      <c r="E183" s="1"/>
      <c r="F183" s="1"/>
      <c r="G183" s="1"/>
      <c r="H183" s="1"/>
      <c r="I183" s="1"/>
      <c r="J183" s="1"/>
      <c r="K183" s="1"/>
      <c r="L183" s="1"/>
      <c r="M183" s="1"/>
      <c r="N183" s="1"/>
      <c r="O183" s="1"/>
      <c r="P183" s="1"/>
      <c r="Q183" s="1"/>
      <c r="R183" s="1"/>
      <c r="S183" s="1"/>
      <c r="T183" s="1"/>
      <c r="U183" s="52"/>
      <c r="V183" s="52"/>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c r="A184" s="1"/>
      <c r="B184" s="1"/>
      <c r="C184" s="1"/>
      <c r="D184" s="1"/>
      <c r="E184" s="1"/>
      <c r="F184" s="1"/>
      <c r="G184" s="1"/>
      <c r="H184" s="1"/>
      <c r="I184" s="1"/>
      <c r="J184" s="1"/>
      <c r="K184" s="1"/>
      <c r="L184" s="1"/>
      <c r="M184" s="1"/>
      <c r="N184" s="1"/>
      <c r="O184" s="1"/>
      <c r="P184" s="1"/>
      <c r="Q184" s="1"/>
      <c r="R184" s="1"/>
      <c r="S184" s="1"/>
      <c r="T184" s="1"/>
      <c r="U184" s="52"/>
      <c r="V184" s="52"/>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c r="A185" s="1"/>
      <c r="B185" s="1"/>
      <c r="C185" s="1"/>
      <c r="D185" s="1"/>
      <c r="E185" s="1"/>
      <c r="F185" s="1"/>
      <c r="G185" s="1"/>
      <c r="H185" s="1"/>
      <c r="I185" s="1"/>
      <c r="J185" s="1"/>
      <c r="K185" s="1"/>
      <c r="L185" s="1"/>
      <c r="M185" s="1"/>
      <c r="N185" s="1"/>
      <c r="O185" s="1"/>
      <c r="P185" s="1"/>
      <c r="Q185" s="1"/>
      <c r="R185" s="1"/>
      <c r="S185" s="1"/>
      <c r="T185" s="1"/>
      <c r="U185" s="52"/>
      <c r="V185" s="52"/>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c r="A186" s="1"/>
      <c r="B186" s="1"/>
      <c r="C186" s="1"/>
      <c r="D186" s="1"/>
      <c r="E186" s="1"/>
      <c r="F186" s="1"/>
      <c r="G186" s="1"/>
      <c r="H186" s="1"/>
      <c r="I186" s="1"/>
      <c r="J186" s="1"/>
      <c r="K186" s="1"/>
      <c r="L186" s="1"/>
      <c r="M186" s="1"/>
      <c r="N186" s="1"/>
      <c r="O186" s="1"/>
      <c r="P186" s="1"/>
      <c r="Q186" s="1"/>
      <c r="R186" s="1"/>
      <c r="S186" s="1"/>
      <c r="T186" s="1"/>
      <c r="U186" s="52"/>
      <c r="V186" s="52"/>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c r="A187" s="1"/>
      <c r="B187" s="1"/>
      <c r="C187" s="1"/>
      <c r="D187" s="1"/>
      <c r="E187" s="1"/>
      <c r="F187" s="1"/>
      <c r="G187" s="1"/>
      <c r="H187" s="1"/>
      <c r="I187" s="1"/>
      <c r="J187" s="1"/>
      <c r="K187" s="1"/>
      <c r="L187" s="1"/>
      <c r="M187" s="1"/>
      <c r="N187" s="1"/>
      <c r="O187" s="1"/>
      <c r="P187" s="1"/>
      <c r="Q187" s="1"/>
      <c r="R187" s="1"/>
      <c r="S187" s="1"/>
      <c r="T187" s="1"/>
      <c r="U187" s="52"/>
      <c r="V187" s="52"/>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c r="A188" s="1"/>
      <c r="B188" s="1"/>
      <c r="C188" s="1"/>
      <c r="D188" s="1"/>
      <c r="E188" s="1"/>
      <c r="F188" s="1"/>
      <c r="G188" s="1"/>
      <c r="H188" s="1"/>
      <c r="I188" s="1"/>
      <c r="J188" s="1"/>
      <c r="K188" s="1"/>
      <c r="L188" s="1"/>
      <c r="M188" s="1"/>
      <c r="N188" s="1"/>
      <c r="O188" s="1"/>
      <c r="P188" s="1"/>
      <c r="Q188" s="1"/>
      <c r="R188" s="1"/>
      <c r="S188" s="1"/>
      <c r="T188" s="1"/>
      <c r="U188" s="52"/>
      <c r="V188" s="52"/>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c r="A189" s="1"/>
      <c r="B189" s="1"/>
      <c r="C189" s="1"/>
      <c r="D189" s="1"/>
      <c r="E189" s="1"/>
      <c r="F189" s="1"/>
      <c r="G189" s="1"/>
      <c r="H189" s="1"/>
      <c r="I189" s="1"/>
      <c r="J189" s="1"/>
      <c r="K189" s="1"/>
      <c r="L189" s="1"/>
      <c r="M189" s="1"/>
      <c r="N189" s="1"/>
      <c r="O189" s="1"/>
      <c r="P189" s="1"/>
      <c r="Q189" s="1"/>
      <c r="R189" s="1"/>
      <c r="S189" s="1"/>
      <c r="T189" s="1"/>
      <c r="U189" s="52"/>
      <c r="V189" s="52"/>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c r="A190" s="1"/>
      <c r="B190" s="1"/>
      <c r="C190" s="1"/>
      <c r="D190" s="1"/>
      <c r="E190" s="1"/>
      <c r="F190" s="1"/>
      <c r="G190" s="1"/>
      <c r="H190" s="1"/>
      <c r="I190" s="1"/>
      <c r="J190" s="1"/>
      <c r="K190" s="1"/>
      <c r="L190" s="1"/>
      <c r="M190" s="1"/>
      <c r="N190" s="1"/>
      <c r="O190" s="1"/>
      <c r="P190" s="1"/>
      <c r="Q190" s="1"/>
      <c r="R190" s="1"/>
      <c r="S190" s="1"/>
      <c r="T190" s="1"/>
      <c r="U190" s="52"/>
      <c r="V190" s="52"/>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c r="A191" s="1"/>
      <c r="B191" s="1"/>
      <c r="C191" s="1"/>
      <c r="D191" s="1"/>
      <c r="E191" s="1"/>
      <c r="F191" s="1"/>
      <c r="G191" s="1"/>
      <c r="H191" s="1"/>
      <c r="I191" s="1"/>
      <c r="J191" s="1"/>
      <c r="K191" s="1"/>
      <c r="L191" s="1"/>
      <c r="M191" s="1"/>
      <c r="N191" s="1"/>
      <c r="O191" s="1"/>
      <c r="P191" s="1"/>
      <c r="Q191" s="1"/>
      <c r="R191" s="1"/>
      <c r="S191" s="1"/>
      <c r="T191" s="1"/>
      <c r="U191" s="52"/>
      <c r="V191" s="52"/>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row>
    <row r="196" spans="1:5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0DFE-79F4-4B90-B33A-04E00793D277}">
  <sheetPr>
    <tabColor rgb="FF002060"/>
  </sheetPr>
  <dimension ref="A1:AA448"/>
  <sheetViews>
    <sheetView topLeftCell="A15" workbookViewId="0">
      <selection activeCell="W12" sqref="W12"/>
    </sheetView>
  </sheetViews>
  <sheetFormatPr defaultRowHeight="14.4"/>
  <cols>
    <col min="4" max="4" width="24" customWidth="1"/>
  </cols>
  <sheetData>
    <row r="1" spans="1:27" ht="32.4">
      <c r="A1" s="59"/>
      <c r="B1" s="883" t="s">
        <v>823</v>
      </c>
      <c r="C1" s="884"/>
      <c r="D1" s="882"/>
      <c r="E1" s="944" t="s">
        <v>158</v>
      </c>
      <c r="F1" s="944"/>
      <c r="G1" s="944"/>
      <c r="H1" s="944"/>
      <c r="I1" s="944"/>
      <c r="J1" s="944"/>
      <c r="K1" s="882"/>
      <c r="L1" s="882"/>
      <c r="M1" s="882"/>
      <c r="N1" s="882"/>
      <c r="O1" s="882"/>
      <c r="P1" s="882"/>
      <c r="Q1" s="882"/>
      <c r="R1" s="882"/>
      <c r="S1" s="882"/>
      <c r="T1" s="882"/>
      <c r="U1" s="882"/>
      <c r="V1" s="882"/>
      <c r="W1" s="882"/>
      <c r="X1" s="882"/>
      <c r="Y1" s="882"/>
      <c r="Z1" s="882"/>
      <c r="AA1" s="882"/>
    </row>
    <row r="2" spans="1:27">
      <c r="A2" s="62"/>
      <c r="B2" s="62"/>
      <c r="C2" s="62"/>
      <c r="D2" s="62"/>
      <c r="E2" s="62"/>
      <c r="F2" s="62"/>
      <c r="G2" s="62"/>
      <c r="H2" s="62"/>
      <c r="I2" s="62"/>
      <c r="J2" s="62"/>
      <c r="K2" s="62"/>
      <c r="L2" s="62"/>
      <c r="M2" s="62"/>
      <c r="N2" s="62"/>
      <c r="O2" s="62"/>
      <c r="P2" s="62"/>
      <c r="Q2" s="62"/>
      <c r="R2" s="62"/>
      <c r="S2" s="62"/>
      <c r="T2" s="62"/>
      <c r="U2" s="62"/>
      <c r="V2" s="62"/>
      <c r="W2" s="62"/>
      <c r="X2" s="62"/>
      <c r="Y2" s="62"/>
      <c r="Z2" s="62"/>
      <c r="AA2" s="62"/>
    </row>
    <row r="3" spans="1:27">
      <c r="A3" s="1"/>
      <c r="B3" s="1"/>
      <c r="C3" s="1"/>
      <c r="D3" s="1"/>
      <c r="E3" s="1"/>
      <c r="F3" s="1"/>
      <c r="G3" s="1"/>
      <c r="H3" s="1"/>
      <c r="I3" s="1"/>
      <c r="J3" s="1"/>
      <c r="K3" s="1"/>
      <c r="L3" s="1"/>
      <c r="M3" s="1"/>
      <c r="N3" s="1"/>
      <c r="O3" s="1"/>
      <c r="P3" s="1"/>
      <c r="Q3" s="1"/>
      <c r="R3" s="1"/>
      <c r="S3" s="1"/>
      <c r="T3" s="1"/>
      <c r="U3" s="1"/>
      <c r="V3" s="1"/>
      <c r="W3" s="1"/>
      <c r="X3" s="1"/>
      <c r="Y3" s="1"/>
      <c r="Z3" s="1"/>
      <c r="AA3" s="1"/>
    </row>
    <row r="4" spans="1:27">
      <c r="A4" s="1"/>
      <c r="B4" s="125" t="s">
        <v>824</v>
      </c>
      <c r="C4" s="125"/>
      <c r="D4" s="125"/>
      <c r="E4" s="125"/>
      <c r="F4" s="1"/>
      <c r="G4" s="1"/>
      <c r="H4" s="1"/>
      <c r="I4" s="1"/>
      <c r="J4" s="1"/>
      <c r="K4" s="1"/>
      <c r="L4" s="1"/>
      <c r="M4" s="1"/>
      <c r="N4" s="1"/>
      <c r="O4" s="1"/>
      <c r="P4" s="1"/>
      <c r="Q4" s="1"/>
      <c r="R4" s="1"/>
      <c r="S4" s="1"/>
      <c r="T4" s="1"/>
      <c r="U4" s="1"/>
      <c r="V4" s="1"/>
      <c r="W4" s="1"/>
      <c r="X4" s="1"/>
      <c r="Y4" s="1"/>
      <c r="Z4" s="1"/>
      <c r="AA4" s="1"/>
    </row>
    <row r="5" spans="1:27">
      <c r="A5" s="1"/>
      <c r="B5" s="125"/>
      <c r="C5" s="125"/>
      <c r="D5" s="125"/>
      <c r="E5" s="125"/>
      <c r="F5" s="1"/>
      <c r="G5" s="1"/>
      <c r="H5" s="1"/>
      <c r="I5" s="1"/>
      <c r="J5" s="1"/>
      <c r="K5" s="1"/>
      <c r="L5" s="1"/>
      <c r="M5" s="1"/>
      <c r="N5" s="1"/>
      <c r="O5" s="1"/>
      <c r="P5" s="1"/>
      <c r="Q5" s="1"/>
      <c r="R5" s="1"/>
      <c r="S5" s="1"/>
      <c r="T5" s="1"/>
      <c r="U5" s="1"/>
      <c r="V5" s="1"/>
      <c r="W5" s="1"/>
      <c r="X5" s="1"/>
      <c r="Y5" s="1"/>
      <c r="Z5" s="1"/>
      <c r="AA5" s="1"/>
    </row>
    <row r="6" spans="1:27">
      <c r="A6" s="1"/>
      <c r="B6" s="125" t="s">
        <v>825</v>
      </c>
      <c r="C6" s="125"/>
      <c r="D6" s="125"/>
      <c r="E6" s="125"/>
      <c r="F6" s="1"/>
      <c r="G6" s="1"/>
      <c r="H6" s="1"/>
      <c r="I6" s="1"/>
      <c r="J6" s="1"/>
      <c r="K6" s="1"/>
      <c r="L6" s="1"/>
      <c r="M6" s="1"/>
      <c r="N6" s="1"/>
      <c r="O6" s="1"/>
      <c r="P6" s="1"/>
      <c r="Q6" s="1"/>
      <c r="R6" s="1"/>
      <c r="S6" s="1"/>
      <c r="T6" s="1"/>
      <c r="U6" s="1"/>
      <c r="V6" s="1"/>
      <c r="W6" s="1"/>
      <c r="X6" s="1"/>
      <c r="Y6" s="1"/>
      <c r="Z6" s="1"/>
      <c r="AA6" s="1"/>
    </row>
    <row r="7" spans="1:27">
      <c r="A7" s="1"/>
      <c r="B7" s="125"/>
      <c r="C7" s="125"/>
      <c r="D7" s="125"/>
      <c r="E7" s="125"/>
      <c r="F7" s="1"/>
      <c r="G7" s="1"/>
      <c r="H7" s="1"/>
      <c r="I7" s="1"/>
      <c r="J7" s="1"/>
      <c r="K7" s="1"/>
      <c r="L7" s="1"/>
      <c r="M7" s="1"/>
      <c r="N7" s="1"/>
      <c r="O7" s="1"/>
      <c r="P7" s="1"/>
      <c r="Q7" s="1"/>
      <c r="R7" s="1"/>
      <c r="S7" s="1"/>
      <c r="T7" s="1"/>
      <c r="U7" s="1"/>
      <c r="V7" s="1"/>
      <c r="W7" s="1"/>
      <c r="X7" s="1"/>
      <c r="Y7" s="1"/>
      <c r="Z7" s="1"/>
      <c r="AA7" s="1"/>
    </row>
    <row r="8" spans="1:27">
      <c r="A8" s="1"/>
      <c r="B8" s="125" t="s">
        <v>826</v>
      </c>
      <c r="C8" s="125"/>
      <c r="D8" s="125"/>
      <c r="E8" s="125"/>
      <c r="F8" s="1"/>
      <c r="G8" s="1"/>
      <c r="H8" s="1"/>
      <c r="I8" s="1"/>
      <c r="J8" s="1"/>
      <c r="K8" s="1"/>
      <c r="L8" s="1"/>
      <c r="M8" s="1"/>
      <c r="N8" s="1"/>
      <c r="O8" s="1"/>
      <c r="P8" s="1"/>
      <c r="Q8" s="1"/>
      <c r="R8" s="1"/>
      <c r="S8" s="1"/>
      <c r="T8" s="1"/>
      <c r="U8" s="1"/>
      <c r="V8" s="1"/>
      <c r="W8" s="1"/>
      <c r="X8" s="1"/>
      <c r="Y8" s="1"/>
      <c r="Z8" s="1"/>
      <c r="AA8" s="1"/>
    </row>
    <row r="9" spans="1:27">
      <c r="A9" s="1"/>
      <c r="B9" s="125"/>
      <c r="C9" s="125"/>
      <c r="D9" s="125"/>
      <c r="E9" s="125"/>
      <c r="F9" s="1"/>
      <c r="G9" s="1"/>
      <c r="H9" s="1"/>
      <c r="I9" s="1"/>
      <c r="J9" s="1"/>
      <c r="K9" s="1"/>
      <c r="L9" s="1"/>
      <c r="M9" s="1"/>
      <c r="N9" s="1"/>
      <c r="O9" s="1"/>
      <c r="P9" s="1"/>
      <c r="Q9" s="1"/>
      <c r="R9" s="1"/>
      <c r="S9" s="1"/>
      <c r="T9" s="1"/>
      <c r="U9" s="1"/>
      <c r="V9" s="1"/>
      <c r="W9" s="1"/>
      <c r="X9" s="1"/>
      <c r="Y9" s="1"/>
      <c r="Z9" s="1"/>
      <c r="AA9" s="1"/>
    </row>
    <row r="10" spans="1:27">
      <c r="A10" s="1"/>
      <c r="B10" s="125" t="s">
        <v>827</v>
      </c>
      <c r="C10" s="125"/>
      <c r="D10" s="125"/>
      <c r="E10" s="125"/>
      <c r="F10" s="1"/>
      <c r="G10" s="1"/>
      <c r="H10" s="1"/>
      <c r="I10" s="1"/>
      <c r="J10" s="1"/>
      <c r="K10" s="1"/>
      <c r="L10" s="1"/>
      <c r="M10" s="1"/>
      <c r="N10" s="1"/>
      <c r="O10" s="1"/>
      <c r="P10" s="1"/>
      <c r="Q10" s="1"/>
      <c r="R10" s="1"/>
      <c r="S10" s="1"/>
      <c r="T10" s="1"/>
      <c r="U10" s="1"/>
      <c r="V10" s="1"/>
      <c r="W10" s="1"/>
      <c r="X10" s="1"/>
      <c r="Y10" s="1"/>
      <c r="Z10" s="1"/>
      <c r="AA10" s="1"/>
    </row>
    <row r="11" spans="1:27">
      <c r="A11" s="1"/>
      <c r="B11" s="125"/>
      <c r="C11" s="125"/>
      <c r="D11" s="125"/>
      <c r="E11" s="125"/>
      <c r="F11" s="1"/>
      <c r="G11" s="1"/>
      <c r="H11" s="1"/>
      <c r="I11" s="1"/>
      <c r="J11" s="1"/>
      <c r="K11" s="1"/>
      <c r="L11" s="1"/>
      <c r="M11" s="1"/>
      <c r="N11" s="1"/>
      <c r="O11" s="1"/>
      <c r="P11" s="1"/>
      <c r="Q11" s="1"/>
      <c r="R11" s="1"/>
      <c r="S11" s="1"/>
      <c r="T11" s="1"/>
      <c r="U11" s="1"/>
      <c r="V11" s="1"/>
      <c r="W11" s="1"/>
      <c r="X11" s="1"/>
      <c r="Y11" s="1"/>
      <c r="Z11" s="1"/>
      <c r="AA11" s="1"/>
    </row>
    <row r="12" spans="1:27">
      <c r="A12" s="1"/>
      <c r="B12" s="125" t="s">
        <v>828</v>
      </c>
      <c r="C12" s="125"/>
      <c r="D12" s="125"/>
      <c r="E12" s="125"/>
      <c r="F12" s="1"/>
      <c r="G12" s="1"/>
      <c r="H12" s="1"/>
      <c r="I12" s="1"/>
      <c r="J12" s="1"/>
      <c r="K12" s="1"/>
      <c r="L12" s="1"/>
      <c r="M12" s="1"/>
      <c r="N12" s="1"/>
      <c r="O12" s="1"/>
      <c r="P12" s="1"/>
      <c r="Q12" s="1"/>
      <c r="R12" s="1"/>
      <c r="S12" s="1"/>
      <c r="T12" s="1"/>
      <c r="U12" s="1"/>
      <c r="V12" s="1"/>
      <c r="W12" s="1"/>
      <c r="X12" s="1"/>
      <c r="Y12" s="1"/>
      <c r="Z12" s="1"/>
      <c r="AA12" s="1"/>
    </row>
    <row r="13" spans="1:27">
      <c r="A13" s="1"/>
      <c r="B13" s="125"/>
      <c r="C13" s="125"/>
      <c r="D13" s="125"/>
      <c r="E13" s="125"/>
      <c r="F13" s="1"/>
      <c r="G13" s="1"/>
      <c r="H13" s="1"/>
      <c r="I13" s="1"/>
      <c r="J13" s="1"/>
      <c r="K13" s="1"/>
      <c r="L13" s="1"/>
      <c r="M13" s="1"/>
      <c r="N13" s="1"/>
      <c r="O13" s="1"/>
      <c r="P13" s="1"/>
      <c r="Q13" s="1"/>
      <c r="R13" s="1"/>
      <c r="S13" s="1"/>
      <c r="T13" s="1"/>
      <c r="U13" s="1"/>
      <c r="V13" s="1"/>
      <c r="W13" s="1"/>
      <c r="X13" s="1"/>
      <c r="Y13" s="1"/>
      <c r="Z13" s="1"/>
      <c r="AA13" s="1"/>
    </row>
    <row r="14" spans="1:27">
      <c r="A14" s="1"/>
      <c r="B14" s="125" t="s">
        <v>829</v>
      </c>
      <c r="C14" s="125"/>
      <c r="D14" s="125"/>
      <c r="E14" s="125"/>
      <c r="F14" s="1"/>
      <c r="G14" s="1"/>
      <c r="H14" s="1"/>
      <c r="I14" s="1"/>
      <c r="J14" s="1"/>
      <c r="K14" s="1"/>
      <c r="L14" s="1"/>
      <c r="M14" s="1"/>
      <c r="N14" s="1"/>
      <c r="O14" s="1"/>
      <c r="P14" s="1"/>
      <c r="Q14" s="1"/>
      <c r="R14" s="1"/>
      <c r="S14" s="1"/>
      <c r="T14" s="1"/>
      <c r="U14" s="1"/>
      <c r="V14" s="1"/>
      <c r="W14" s="1"/>
      <c r="X14" s="1"/>
      <c r="Y14" s="1"/>
      <c r="Z14" s="1"/>
      <c r="AA14" s="1"/>
    </row>
    <row r="15" spans="1:27">
      <c r="A15" s="1"/>
      <c r="B15" s="125"/>
      <c r="C15" s="125"/>
      <c r="D15" s="125"/>
      <c r="E15" s="125"/>
      <c r="F15" s="1"/>
      <c r="G15" s="1"/>
      <c r="H15" s="1"/>
      <c r="I15" s="1"/>
      <c r="J15" s="1"/>
      <c r="K15" s="1"/>
      <c r="L15" s="1"/>
      <c r="M15" s="1"/>
      <c r="N15" s="1"/>
      <c r="O15" s="1"/>
      <c r="P15" s="1"/>
      <c r="Q15" s="1"/>
      <c r="R15" s="1"/>
      <c r="S15" s="1"/>
      <c r="T15" s="1"/>
      <c r="U15" s="1"/>
      <c r="V15" s="1"/>
      <c r="W15" s="1"/>
      <c r="X15" s="1"/>
      <c r="Y15" s="1"/>
      <c r="Z15" s="1"/>
      <c r="AA15" s="1"/>
    </row>
    <row r="16" spans="1:27">
      <c r="A16" s="1"/>
      <c r="B16" s="125" t="s">
        <v>830</v>
      </c>
      <c r="C16" s="125"/>
      <c r="D16" s="125"/>
      <c r="E16" s="125"/>
      <c r="F16" s="1"/>
      <c r="G16" s="1"/>
      <c r="H16" s="1"/>
      <c r="I16" s="1"/>
      <c r="J16" s="1"/>
      <c r="K16" s="1"/>
      <c r="L16" s="1"/>
      <c r="M16" s="1"/>
      <c r="N16" s="1"/>
      <c r="O16" s="1"/>
      <c r="P16" s="1"/>
      <c r="Q16" s="1"/>
      <c r="R16" s="1"/>
      <c r="S16" s="1"/>
      <c r="T16" s="1"/>
      <c r="U16" s="1"/>
      <c r="V16" s="1"/>
      <c r="W16" s="1"/>
      <c r="X16" s="1"/>
      <c r="Y16" s="1"/>
      <c r="Z16" s="1"/>
      <c r="AA16" s="1"/>
    </row>
    <row r="17" spans="1:27">
      <c r="A17" s="1"/>
      <c r="B17" s="125"/>
      <c r="C17" s="125"/>
      <c r="D17" s="125"/>
      <c r="E17" s="125"/>
      <c r="F17" s="1"/>
      <c r="G17" s="1"/>
      <c r="H17" s="1"/>
      <c r="I17" s="1"/>
      <c r="J17" s="1"/>
      <c r="K17" s="1"/>
      <c r="L17" s="1"/>
      <c r="M17" s="1"/>
      <c r="N17" s="1"/>
      <c r="O17" s="1"/>
      <c r="P17" s="1"/>
      <c r="Q17" s="1"/>
      <c r="R17" s="1"/>
      <c r="S17" s="1"/>
      <c r="T17" s="1"/>
      <c r="U17" s="1"/>
      <c r="V17" s="1"/>
      <c r="W17" s="1"/>
      <c r="X17" s="1"/>
      <c r="Y17" s="1"/>
      <c r="Z17" s="1"/>
      <c r="AA17" s="1"/>
    </row>
    <row r="18" spans="1:27">
      <c r="A18" s="1"/>
      <c r="B18" s="125" t="s">
        <v>831</v>
      </c>
      <c r="C18" s="125"/>
      <c r="D18" s="125"/>
      <c r="E18" s="125"/>
      <c r="F18" s="1"/>
      <c r="G18" s="1"/>
      <c r="H18" s="1"/>
      <c r="I18" s="1"/>
      <c r="J18" s="1"/>
      <c r="K18" s="1"/>
      <c r="L18" s="1"/>
      <c r="M18" s="1"/>
      <c r="N18" s="1"/>
      <c r="O18" s="1"/>
      <c r="P18" s="1"/>
      <c r="Q18" s="1"/>
      <c r="R18" s="1"/>
      <c r="S18" s="1"/>
      <c r="T18" s="1"/>
      <c r="U18" s="1"/>
      <c r="V18" s="1"/>
      <c r="W18" s="1"/>
      <c r="X18" s="1"/>
      <c r="Y18" s="1"/>
      <c r="Z18" s="1"/>
      <c r="AA18" s="1"/>
    </row>
    <row r="19" spans="1:27">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c r="A20" s="125"/>
      <c r="B20" s="125"/>
      <c r="C20" s="125"/>
      <c r="D20" s="125"/>
      <c r="E20" s="125"/>
      <c r="F20" s="125"/>
      <c r="G20" s="125"/>
      <c r="H20" s="125"/>
      <c r="I20" s="125"/>
      <c r="J20" s="125"/>
      <c r="K20" s="125"/>
      <c r="L20" s="125"/>
      <c r="M20" s="125"/>
      <c r="N20" s="125"/>
      <c r="O20" s="125"/>
      <c r="P20" s="1"/>
      <c r="Q20" s="1"/>
      <c r="R20" s="1"/>
      <c r="S20" s="1"/>
      <c r="T20" s="1"/>
      <c r="U20" s="1"/>
      <c r="V20" s="1"/>
      <c r="W20" s="1"/>
      <c r="X20" s="1"/>
      <c r="Y20" s="1"/>
      <c r="Z20" s="1"/>
      <c r="AA20" s="1"/>
    </row>
    <row r="21" spans="1:27">
      <c r="A21" s="381" t="s">
        <v>839</v>
      </c>
      <c r="B21" s="125"/>
      <c r="C21" s="125"/>
      <c r="D21" s="125"/>
      <c r="E21" s="125"/>
      <c r="F21" s="125"/>
      <c r="G21" s="125"/>
      <c r="H21" s="125"/>
      <c r="I21" s="125"/>
      <c r="J21" s="125"/>
      <c r="K21" s="125"/>
      <c r="L21" s="125"/>
      <c r="M21" s="125"/>
      <c r="N21" s="125"/>
      <c r="O21" s="125"/>
      <c r="P21" s="1"/>
      <c r="Q21" s="1"/>
      <c r="R21" s="1"/>
      <c r="S21" s="1"/>
      <c r="T21" s="1"/>
      <c r="U21" s="1"/>
      <c r="V21" s="1"/>
      <c r="W21" s="1"/>
      <c r="X21" s="1"/>
      <c r="Y21" s="1"/>
      <c r="Z21" s="1"/>
      <c r="AA21" s="1"/>
    </row>
    <row r="22" spans="1:27">
      <c r="A22" s="381"/>
      <c r="B22" s="381" t="s">
        <v>837</v>
      </c>
      <c r="C22" s="125"/>
      <c r="D22" s="125"/>
      <c r="E22" s="125"/>
      <c r="F22" s="125"/>
      <c r="G22" s="125"/>
      <c r="H22" s="125"/>
      <c r="I22" s="125"/>
      <c r="J22" s="125"/>
      <c r="K22" s="125"/>
      <c r="L22" s="125"/>
      <c r="M22" s="125"/>
      <c r="N22" s="125"/>
      <c r="O22" s="125"/>
      <c r="P22" s="1"/>
      <c r="Q22" s="1"/>
      <c r="R22" s="1"/>
      <c r="S22" s="1"/>
      <c r="T22" s="1"/>
      <c r="U22" s="1"/>
      <c r="V22" s="1"/>
      <c r="W22" s="1"/>
      <c r="X22" s="1"/>
      <c r="Y22" s="1"/>
      <c r="Z22" s="1"/>
      <c r="AA22" s="1"/>
    </row>
    <row r="23" spans="1:27">
      <c r="A23" s="62"/>
      <c r="B23" s="62"/>
      <c r="C23" s="62"/>
      <c r="D23" s="62"/>
      <c r="E23" s="62"/>
      <c r="F23" s="62"/>
      <c r="G23" s="62"/>
      <c r="H23" s="62"/>
      <c r="I23" s="62"/>
      <c r="J23" s="62"/>
      <c r="K23" s="62"/>
      <c r="L23" s="62"/>
      <c r="M23" s="62"/>
      <c r="N23" s="62"/>
      <c r="O23" s="62"/>
      <c r="P23" s="62"/>
      <c r="Q23" s="62"/>
      <c r="R23" s="62"/>
      <c r="S23" s="62"/>
      <c r="T23" s="62"/>
      <c r="U23" s="62"/>
      <c r="V23" s="62"/>
      <c r="W23" s="62"/>
      <c r="X23" s="1"/>
      <c r="Y23" s="1"/>
      <c r="Z23" s="1"/>
      <c r="AA23" s="1"/>
    </row>
    <row r="24" spans="1:27" ht="32.4">
      <c r="A24" s="59"/>
      <c r="B24" s="883" t="s">
        <v>832</v>
      </c>
      <c r="C24" s="884"/>
      <c r="D24" s="883" t="s">
        <v>833</v>
      </c>
      <c r="E24" s="944" t="s">
        <v>158</v>
      </c>
      <c r="F24" s="944"/>
      <c r="G24" s="944"/>
      <c r="H24" s="944"/>
      <c r="I24" s="944"/>
      <c r="J24" s="944"/>
      <c r="K24" s="882"/>
      <c r="L24" s="882"/>
      <c r="M24" s="882"/>
      <c r="N24" s="882"/>
      <c r="O24" s="882"/>
      <c r="P24" s="882"/>
      <c r="Q24" s="882"/>
      <c r="R24" s="882"/>
      <c r="S24" s="882"/>
      <c r="T24" s="882"/>
      <c r="U24" s="882"/>
      <c r="V24" s="882"/>
      <c r="W24" s="882"/>
      <c r="X24" s="1"/>
      <c r="Y24" s="1"/>
      <c r="Z24" s="1"/>
      <c r="AA24" s="1"/>
    </row>
    <row r="25" spans="1:27">
      <c r="A25" s="62"/>
      <c r="B25" s="62"/>
      <c r="C25" s="62"/>
      <c r="D25" s="62"/>
      <c r="E25" s="62"/>
      <c r="F25" s="62"/>
      <c r="G25" s="62"/>
      <c r="H25" s="62"/>
      <c r="I25" s="62"/>
      <c r="J25" s="62"/>
      <c r="K25" s="62"/>
      <c r="L25" s="62"/>
      <c r="M25" s="62"/>
      <c r="N25" s="62"/>
      <c r="O25" s="62"/>
      <c r="P25" s="62"/>
      <c r="Q25" s="62"/>
      <c r="R25" s="62"/>
      <c r="S25" s="62"/>
      <c r="T25" s="62"/>
      <c r="U25" s="62"/>
      <c r="V25" s="62"/>
      <c r="W25" s="62"/>
      <c r="X25" s="1"/>
      <c r="Y25" s="1"/>
      <c r="Z25" s="1"/>
      <c r="AA25" s="1"/>
    </row>
    <row r="26" spans="1:27">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c r="A27" s="1"/>
      <c r="B27" s="125" t="s">
        <v>834</v>
      </c>
      <c r="C27" s="125"/>
      <c r="D27" s="125"/>
      <c r="E27" s="1"/>
      <c r="F27" s="1"/>
      <c r="G27" s="1"/>
      <c r="H27" s="1"/>
      <c r="I27" s="1"/>
      <c r="J27" s="1"/>
      <c r="K27" s="1"/>
      <c r="L27" s="1"/>
      <c r="M27" s="1"/>
      <c r="N27" s="1"/>
      <c r="O27" s="1"/>
      <c r="P27" s="1"/>
      <c r="Q27" s="1"/>
      <c r="R27" s="1"/>
      <c r="S27" s="1"/>
      <c r="T27" s="1"/>
      <c r="U27" s="1"/>
      <c r="V27" s="1"/>
      <c r="W27" s="1"/>
      <c r="X27" s="1"/>
      <c r="Y27" s="1"/>
      <c r="Z27" s="1"/>
      <c r="AA27" s="1"/>
    </row>
    <row r="28" spans="1:27">
      <c r="A28" s="1"/>
      <c r="B28" s="125"/>
      <c r="C28" s="125"/>
      <c r="D28" s="125"/>
      <c r="E28" s="1"/>
      <c r="F28" s="1"/>
      <c r="G28" s="1"/>
      <c r="H28" s="1"/>
      <c r="I28" s="1"/>
      <c r="J28" s="1"/>
      <c r="K28" s="1"/>
      <c r="L28" s="1"/>
      <c r="M28" s="1"/>
      <c r="N28" s="1"/>
      <c r="O28" s="1"/>
      <c r="P28" s="1"/>
      <c r="Q28" s="1"/>
      <c r="R28" s="1"/>
      <c r="S28" s="1"/>
      <c r="T28" s="1"/>
      <c r="U28" s="1"/>
      <c r="V28" s="1"/>
      <c r="W28" s="1"/>
      <c r="X28" s="1"/>
      <c r="Y28" s="1"/>
      <c r="Z28" s="1"/>
      <c r="AA28" s="1"/>
    </row>
    <row r="29" spans="1:27">
      <c r="A29" s="1"/>
      <c r="B29" s="125" t="s">
        <v>835</v>
      </c>
      <c r="C29" s="125"/>
      <c r="D29" s="125"/>
      <c r="E29" s="1"/>
      <c r="F29" s="1"/>
      <c r="G29" s="1"/>
      <c r="H29" s="1"/>
      <c r="I29" s="1"/>
      <c r="J29" s="1"/>
      <c r="K29" s="1"/>
      <c r="L29" s="1"/>
      <c r="M29" s="1"/>
      <c r="N29" s="1"/>
      <c r="O29" s="1"/>
      <c r="P29" s="1"/>
      <c r="Q29" s="1"/>
      <c r="R29" s="1"/>
      <c r="S29" s="1"/>
      <c r="T29" s="1"/>
      <c r="U29" s="1"/>
      <c r="V29" s="1"/>
      <c r="W29" s="1"/>
      <c r="X29" s="1"/>
      <c r="Y29" s="1"/>
      <c r="Z29" s="1"/>
      <c r="AA29" s="1"/>
    </row>
    <row r="30" spans="1:27">
      <c r="A30" s="1"/>
      <c r="B30" s="125"/>
      <c r="C30" s="125"/>
      <c r="D30" s="125"/>
      <c r="E30" s="1"/>
      <c r="F30" s="1"/>
      <c r="G30" s="1"/>
      <c r="H30" s="1"/>
      <c r="I30" s="1"/>
      <c r="J30" s="1"/>
      <c r="K30" s="1"/>
      <c r="L30" s="1"/>
      <c r="M30" s="1"/>
      <c r="N30" s="1"/>
      <c r="O30" s="1"/>
      <c r="P30" s="1"/>
      <c r="Q30" s="1"/>
      <c r="R30" s="1"/>
      <c r="S30" s="1"/>
      <c r="T30" s="1"/>
      <c r="U30" s="1"/>
      <c r="V30" s="1"/>
      <c r="W30" s="1"/>
      <c r="X30" s="1"/>
      <c r="Y30" s="1"/>
      <c r="Z30" s="1"/>
      <c r="AA30" s="1"/>
    </row>
    <row r="31" spans="1:27">
      <c r="A31" s="1"/>
      <c r="B31" s="125" t="s">
        <v>836</v>
      </c>
      <c r="C31" s="125"/>
      <c r="D31" s="125"/>
      <c r="E31" s="1"/>
      <c r="F31" s="1"/>
      <c r="G31" s="1"/>
      <c r="H31" s="1"/>
      <c r="I31" s="1"/>
      <c r="J31" s="1"/>
      <c r="K31" s="1"/>
      <c r="L31" s="1"/>
      <c r="M31" s="1"/>
      <c r="N31" s="1"/>
      <c r="O31" s="1"/>
      <c r="P31" s="1"/>
      <c r="Q31" s="1"/>
      <c r="R31" s="1"/>
      <c r="S31" s="1"/>
      <c r="T31" s="1"/>
      <c r="U31" s="1"/>
      <c r="V31" s="1"/>
      <c r="W31" s="1"/>
      <c r="X31" s="1"/>
      <c r="Y31" s="1"/>
      <c r="Z31" s="1"/>
      <c r="AA31" s="1"/>
    </row>
    <row r="32" spans="1:27">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7">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sheetData>
  <mergeCells count="2">
    <mergeCell ref="E1:J1"/>
    <mergeCell ref="E24:J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F4" activePane="bottomRight" state="frozen"/>
      <selection activeCell="B1" sqref="B1"/>
      <selection pane="topRight" activeCell="E1" sqref="E1"/>
      <selection pane="bottomLeft" activeCell="B4" sqref="B4"/>
      <selection pane="bottomRight" activeCell="C279" sqref="C279"/>
    </sheetView>
  </sheetViews>
  <sheetFormatPr defaultRowHeight="14.4"/>
  <cols>
    <col min="1" max="1" width="1.5546875" style="1" hidden="1" customWidth="1"/>
    <col min="2" max="2" width="2" style="1" customWidth="1"/>
    <col min="3" max="3" width="68.33203125" customWidth="1"/>
    <col min="4" max="4" width="54.6640625" hidden="1" customWidth="1"/>
    <col min="5" max="5" width="8.109375" style="48" bestFit="1" customWidth="1"/>
    <col min="6" max="10" width="14.33203125" style="49" bestFit="1" customWidth="1"/>
    <col min="11" max="11" width="100.109375" style="49" bestFit="1" customWidth="1"/>
    <col min="12" max="12" width="11.6640625" style="49" customWidth="1"/>
    <col min="13" max="13" width="16.109375" style="49" bestFit="1" customWidth="1"/>
    <col min="14" max="14" width="11.6640625" style="49" customWidth="1"/>
    <col min="15" max="15" width="16.109375" style="50" customWidth="1"/>
    <col min="16" max="19" width="0" hidden="1" customWidth="1"/>
    <col min="20" max="20" width="9.109375" hidden="1" customWidth="1"/>
  </cols>
  <sheetData>
    <row r="1" spans="2:144" ht="4.5" customHeight="1">
      <c r="B1" s="59"/>
      <c r="C1" s="59"/>
      <c r="D1" s="1"/>
      <c r="E1" s="243"/>
      <c r="F1" s="243"/>
      <c r="G1" s="243"/>
      <c r="H1" s="243"/>
      <c r="I1" s="243"/>
      <c r="J1" s="243"/>
      <c r="K1" s="52"/>
      <c r="L1" s="52"/>
      <c r="M1" s="104"/>
      <c r="N1" s="104"/>
      <c r="O1" s="104"/>
    </row>
    <row r="2" spans="2:144" ht="27.75" customHeight="1">
      <c r="B2" s="59"/>
      <c r="C2" s="413" t="s">
        <v>536</v>
      </c>
      <c r="D2" s="1"/>
      <c r="E2" s="945" t="s">
        <v>158</v>
      </c>
      <c r="F2" s="945"/>
      <c r="G2" s="945"/>
      <c r="H2" s="945"/>
      <c r="I2" s="945"/>
      <c r="J2" s="945"/>
      <c r="K2" s="52"/>
      <c r="L2" s="52"/>
      <c r="M2" s="104"/>
      <c r="N2" s="104"/>
      <c r="O2" s="104"/>
    </row>
    <row r="3" spans="2:144">
      <c r="B3" s="62"/>
      <c r="C3" s="62"/>
      <c r="D3" s="1"/>
      <c r="E3" s="122" t="s">
        <v>1</v>
      </c>
      <c r="F3" s="123">
        <v>42369</v>
      </c>
      <c r="G3" s="123">
        <v>42735</v>
      </c>
      <c r="H3" s="123">
        <v>43100</v>
      </c>
      <c r="I3" s="123">
        <v>43465</v>
      </c>
      <c r="J3" s="123">
        <v>43830</v>
      </c>
      <c r="K3" s="52"/>
      <c r="L3" s="52"/>
      <c r="M3" s="104"/>
      <c r="N3" s="104"/>
      <c r="O3" s="104"/>
    </row>
    <row r="4" spans="2:144" ht="30.75" customHeight="1">
      <c r="B4" s="59"/>
      <c r="C4" s="57" t="s">
        <v>0</v>
      </c>
      <c r="D4" s="60"/>
      <c r="E4" s="243"/>
      <c r="F4" s="243"/>
      <c r="G4" s="243"/>
      <c r="H4" s="243"/>
      <c r="I4" s="243"/>
      <c r="J4" s="243"/>
      <c r="K4" s="157"/>
      <c r="L4" s="157"/>
      <c r="M4" s="157"/>
      <c r="N4" s="157"/>
      <c r="O4" s="157"/>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58" t="s">
        <v>311</v>
      </c>
      <c r="Q5" s="159" t="s">
        <v>312</v>
      </c>
      <c r="R5" s="159" t="s">
        <v>313</v>
      </c>
      <c r="S5" s="159" t="s">
        <v>314</v>
      </c>
      <c r="T5" s="158">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0"/>
      <c r="G6" s="191"/>
      <c r="H6" s="191"/>
      <c r="I6" s="191"/>
      <c r="J6" s="191"/>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9.2">
      <c r="C7" s="3" t="s">
        <v>3</v>
      </c>
      <c r="D7" s="2" t="s">
        <v>4</v>
      </c>
      <c r="E7" s="2"/>
      <c r="F7" s="190"/>
      <c r="G7" s="191"/>
      <c r="H7" s="191"/>
      <c r="I7" s="191"/>
      <c r="J7" s="191"/>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0"/>
      <c r="G8" s="191"/>
      <c r="H8" s="191"/>
      <c r="I8" s="191"/>
      <c r="J8" s="191"/>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0">
        <v>266</v>
      </c>
      <c r="G9" s="191">
        <v>235</v>
      </c>
      <c r="H9" s="191">
        <v>113</v>
      </c>
      <c r="I9" s="191">
        <v>116</v>
      </c>
      <c r="J9" s="191">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0">
        <v>913</v>
      </c>
      <c r="G10" s="191">
        <v>821</v>
      </c>
      <c r="H10" s="191">
        <v>606</v>
      </c>
      <c r="I10" s="191">
        <v>590</v>
      </c>
      <c r="J10" s="191">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0">
        <v>3608</v>
      </c>
      <c r="G11" s="191">
        <v>3703</v>
      </c>
      <c r="H11" s="191">
        <v>3459</v>
      </c>
      <c r="I11" s="191">
        <v>3460</v>
      </c>
      <c r="J11" s="191">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0">
        <v>24</v>
      </c>
      <c r="G12" s="191">
        <v>33</v>
      </c>
      <c r="H12" s="191">
        <v>36</v>
      </c>
      <c r="I12" s="191">
        <v>38</v>
      </c>
      <c r="J12" s="191">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0">
        <v>56</v>
      </c>
      <c r="G13" s="191">
        <v>72</v>
      </c>
      <c r="H13" s="191">
        <v>98</v>
      </c>
      <c r="I13" s="191">
        <v>120</v>
      </c>
      <c r="J13" s="191">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0">
        <v>23</v>
      </c>
      <c r="G14" s="191">
        <v>73</v>
      </c>
      <c r="H14" s="191">
        <v>66</v>
      </c>
      <c r="I14" s="191">
        <v>66</v>
      </c>
      <c r="J14" s="191">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0">
        <v>103</v>
      </c>
      <c r="G15" s="191">
        <v>101</v>
      </c>
      <c r="H15" s="191">
        <v>95</v>
      </c>
      <c r="I15" s="191">
        <v>85</v>
      </c>
      <c r="J15" s="191">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0">
        <v>72</v>
      </c>
      <c r="G16" s="191">
        <v>82</v>
      </c>
      <c r="H16" s="191">
        <v>83</v>
      </c>
      <c r="I16" s="191">
        <v>91</v>
      </c>
      <c r="J16" s="191">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0">
        <v>2</v>
      </c>
      <c r="G17" s="191">
        <v>9</v>
      </c>
      <c r="H17" s="191">
        <v>50</v>
      </c>
      <c r="I17" s="191">
        <v>54</v>
      </c>
      <c r="J17" s="191">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2">
        <f t="shared" ref="F18:G18" si="3">SUM(F9:F17)</f>
        <v>5067</v>
      </c>
      <c r="G18" s="192">
        <f t="shared" si="3"/>
        <v>5129</v>
      </c>
      <c r="H18" s="193">
        <f>SUM(H9:H17)</f>
        <v>4606</v>
      </c>
      <c r="I18" s="193">
        <f>SUM(I9:I17)</f>
        <v>4620</v>
      </c>
      <c r="J18" s="193">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4"/>
      <c r="G19" s="195"/>
      <c r="H19" s="195"/>
      <c r="I19" s="195"/>
      <c r="J19" s="195"/>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4">
        <v>9838</v>
      </c>
      <c r="G20" s="195">
        <v>10421</v>
      </c>
      <c r="H20" s="195">
        <v>10070</v>
      </c>
      <c r="I20" s="195">
        <v>10520</v>
      </c>
      <c r="J20" s="195">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4">
        <v>-4253</v>
      </c>
      <c r="G21" s="195">
        <v>-4553</v>
      </c>
      <c r="H21" s="195">
        <v>-4725</v>
      </c>
      <c r="I21" s="195">
        <v>-5045</v>
      </c>
      <c r="J21" s="195">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4">
        <v>-518</v>
      </c>
      <c r="G22" s="195">
        <v>-739</v>
      </c>
      <c r="H22" s="195">
        <v>-739</v>
      </c>
      <c r="I22" s="195">
        <v>-855</v>
      </c>
      <c r="J22" s="195">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0"/>
      <c r="G23" s="191"/>
      <c r="H23" s="191"/>
      <c r="I23" s="191"/>
      <c r="J23" s="191"/>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0">
        <v>26</v>
      </c>
      <c r="G24" s="191">
        <v>21</v>
      </c>
      <c r="H24" s="191">
        <v>19</v>
      </c>
      <c r="I24" s="191">
        <v>24</v>
      </c>
      <c r="J24" s="191">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0">
        <v>799</v>
      </c>
      <c r="G25" s="191">
        <v>1046</v>
      </c>
      <c r="H25" s="191">
        <v>1130</v>
      </c>
      <c r="I25" s="191">
        <v>1502</v>
      </c>
      <c r="J25" s="191">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0">
        <v>20</v>
      </c>
      <c r="G26" s="191">
        <v>500</v>
      </c>
      <c r="H26" s="191">
        <v>457</v>
      </c>
      <c r="I26" s="191">
        <v>444</v>
      </c>
      <c r="J26" s="191">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0">
        <v>21</v>
      </c>
      <c r="G27" s="191">
        <v>26</v>
      </c>
      <c r="H27" s="191">
        <v>40</v>
      </c>
      <c r="I27" s="191">
        <v>44</v>
      </c>
      <c r="J27" s="191">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0">
        <v>482</v>
      </c>
      <c r="G28" s="191">
        <v>111</v>
      </c>
      <c r="H28" s="191">
        <v>217</v>
      </c>
      <c r="I28" s="191">
        <v>288</v>
      </c>
      <c r="J28" s="191">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2">
        <f t="shared" ref="F29:G29" si="6">SUM(F24:F28)</f>
        <v>1348</v>
      </c>
      <c r="G29" s="193">
        <f t="shared" si="6"/>
        <v>1704</v>
      </c>
      <c r="H29" s="193">
        <f>SUM(H24:H28)</f>
        <v>1863</v>
      </c>
      <c r="I29" s="193">
        <f>SUM(I24:I28)</f>
        <v>2302</v>
      </c>
      <c r="J29" s="193">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0"/>
      <c r="G30" s="191"/>
      <c r="H30" s="191"/>
      <c r="I30" s="191"/>
      <c r="J30" s="191"/>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0">
        <v>68</v>
      </c>
      <c r="G31" s="191">
        <v>67</v>
      </c>
      <c r="H31" s="191">
        <v>63</v>
      </c>
      <c r="I31" s="191">
        <v>16</v>
      </c>
      <c r="J31" s="191">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0">
        <v>69</v>
      </c>
      <c r="G32" s="191">
        <v>69</v>
      </c>
      <c r="H32" s="191">
        <v>44</v>
      </c>
      <c r="I32" s="191">
        <v>29</v>
      </c>
      <c r="J32" s="191">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2">
        <f ca="1">SUM(F31:F33)</f>
        <v>137</v>
      </c>
      <c r="G33" s="193">
        <f ca="1">SUM(G31:G33)</f>
        <v>136</v>
      </c>
      <c r="H33" s="193">
        <f ca="1">SUM(H31:H33)</f>
        <v>107</v>
      </c>
      <c r="I33" s="193">
        <f ca="1">SUM(I31:I33)</f>
        <v>45</v>
      </c>
      <c r="J33" s="193">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6"/>
      <c r="E34" s="160"/>
      <c r="F34" s="196">
        <v>57</v>
      </c>
      <c r="G34" s="197">
        <v>56</v>
      </c>
      <c r="H34" s="197">
        <v>36</v>
      </c>
      <c r="I34" s="197">
        <v>22</v>
      </c>
      <c r="J34" s="197">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198"/>
      <c r="G35" s="199"/>
      <c r="H35" s="199"/>
      <c r="I35" s="199"/>
      <c r="J35" s="199"/>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0"/>
      <c r="G36" s="201"/>
      <c r="H36" s="201"/>
      <c r="I36" s="201"/>
      <c r="J36" s="201"/>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2">
        <v>308</v>
      </c>
      <c r="G37" s="203">
        <v>341</v>
      </c>
      <c r="H37" s="203">
        <v>301</v>
      </c>
      <c r="I37" s="203">
        <v>264</v>
      </c>
      <c r="J37" s="203">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0"/>
      <c r="G38" s="191"/>
      <c r="H38" s="191"/>
      <c r="I38" s="191"/>
      <c r="J38" s="191"/>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2">
        <v>0</v>
      </c>
      <c r="G39" s="191">
        <v>4</v>
      </c>
      <c r="H39" s="173">
        <v>0</v>
      </c>
      <c r="I39" s="191">
        <v>8</v>
      </c>
      <c r="J39" s="191">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0">
        <v>6</v>
      </c>
      <c r="G40" s="191">
        <v>8</v>
      </c>
      <c r="H40" s="191">
        <v>8</v>
      </c>
      <c r="I40" s="191">
        <v>12</v>
      </c>
      <c r="J40" s="191">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0"/>
      <c r="G41" s="201"/>
      <c r="H41" s="201"/>
      <c r="I41" s="201"/>
      <c r="J41" s="201"/>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2">
        <f>SUM(F39:F40)</f>
        <v>6</v>
      </c>
      <c r="G42" s="193">
        <f>SUM(G39:G40)</f>
        <v>12</v>
      </c>
      <c r="H42" s="193">
        <f>SUM(H39:H40)</f>
        <v>8</v>
      </c>
      <c r="I42" s="193">
        <f>SUM(I39:I40)</f>
        <v>20</v>
      </c>
      <c r="J42" s="193">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5">
        <v>0</v>
      </c>
      <c r="G43" s="195">
        <v>4</v>
      </c>
      <c r="H43" s="186">
        <v>0</v>
      </c>
      <c r="I43" s="195">
        <v>8</v>
      </c>
      <c r="J43" s="195">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0"/>
      <c r="G44" s="191"/>
      <c r="H44" s="191"/>
      <c r="I44" s="191"/>
      <c r="J44" s="191"/>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0"/>
      <c r="G45" s="201"/>
      <c r="H45" s="201"/>
      <c r="I45" s="201"/>
      <c r="J45" s="201"/>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4">
        <f ca="1">SUM(F18,F29,F33,F37,F42)</f>
        <v>6866</v>
      </c>
      <c r="G46" s="205">
        <f ca="1">SUM(G18,G29,G33,G37,G42)</f>
        <v>7322</v>
      </c>
      <c r="H46" s="205">
        <f ca="1">SUM(H18,H29,H33,H37,H42)</f>
        <v>6885</v>
      </c>
      <c r="I46" s="205">
        <f ca="1">SUM(I18,I29,I33,I37,I42)</f>
        <v>7251</v>
      </c>
      <c r="J46" s="205">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0"/>
      <c r="G47" s="191"/>
      <c r="H47" s="191"/>
      <c r="I47" s="191"/>
      <c r="J47" s="191"/>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9.2">
      <c r="C48" s="3" t="s">
        <v>39</v>
      </c>
      <c r="D48" s="2"/>
      <c r="E48" s="2"/>
      <c r="F48" s="190"/>
      <c r="G48" s="191"/>
      <c r="H48" s="191"/>
      <c r="I48" s="191"/>
      <c r="J48" s="191"/>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0"/>
      <c r="G49" s="191"/>
      <c r="H49" s="191"/>
      <c r="I49" s="191"/>
      <c r="J49" s="191"/>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0">
        <v>86</v>
      </c>
      <c r="G50" s="191">
        <v>96</v>
      </c>
      <c r="H50" s="191">
        <v>71</v>
      </c>
      <c r="I50" s="191">
        <v>69</v>
      </c>
      <c r="J50" s="191">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0">
        <v>-26</v>
      </c>
      <c r="G51" s="191">
        <v>-30</v>
      </c>
      <c r="H51" s="191">
        <v>-20</v>
      </c>
      <c r="I51" s="191">
        <v>-17</v>
      </c>
      <c r="J51" s="191">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0">
        <f>SUM(F50:F51)</f>
        <v>60</v>
      </c>
      <c r="G52" s="190">
        <f t="shared" ref="G52:J52" si="9">SUM(G50:G51)</f>
        <v>66</v>
      </c>
      <c r="H52" s="190">
        <f t="shared" si="9"/>
        <v>51</v>
      </c>
      <c r="I52" s="190">
        <f t="shared" si="9"/>
        <v>52</v>
      </c>
      <c r="J52" s="190">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0">
        <v>99</v>
      </c>
      <c r="G53" s="191">
        <v>77</v>
      </c>
      <c r="H53" s="191">
        <v>91</v>
      </c>
      <c r="I53" s="191">
        <v>129</v>
      </c>
      <c r="J53" s="191">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0">
        <v>22</v>
      </c>
      <c r="G54" s="191">
        <v>9</v>
      </c>
      <c r="H54" s="191">
        <v>1</v>
      </c>
      <c r="I54" s="191">
        <v>2</v>
      </c>
      <c r="J54" s="191">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0">
        <v>181</v>
      </c>
      <c r="G55" s="191">
        <f t="shared" ref="G55" si="11">SUM(G53,G52,G54)</f>
        <v>152</v>
      </c>
      <c r="H55" s="191">
        <f>SUM(H53,H52,H54)</f>
        <v>143</v>
      </c>
      <c r="I55" s="191">
        <f>SUM(I53,I52,I54)</f>
        <v>183</v>
      </c>
      <c r="J55" s="191">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0">
        <v>3</v>
      </c>
      <c r="G56" s="191">
        <v>7</v>
      </c>
      <c r="H56" s="191">
        <v>4</v>
      </c>
      <c r="I56" s="191">
        <v>4</v>
      </c>
      <c r="J56" s="191">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2">
        <f t="shared" ref="F57:G57" si="12">SUM(F55,F56)</f>
        <v>184</v>
      </c>
      <c r="G57" s="193">
        <f t="shared" si="12"/>
        <v>159</v>
      </c>
      <c r="H57" s="193">
        <f>SUM(H55,H56)</f>
        <v>147</v>
      </c>
      <c r="I57" s="193">
        <f>SUM(I55,I56)</f>
        <v>187</v>
      </c>
      <c r="J57" s="193">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0"/>
      <c r="G58" s="191"/>
      <c r="H58" s="191"/>
      <c r="I58" s="191"/>
      <c r="J58" s="191"/>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0">
        <v>1066</v>
      </c>
      <c r="G59" s="191">
        <v>1054</v>
      </c>
      <c r="H59" s="191">
        <v>929</v>
      </c>
      <c r="I59" s="191">
        <v>1030</v>
      </c>
      <c r="J59" s="191">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0">
        <v>734</v>
      </c>
      <c r="G60" s="191">
        <v>1120</v>
      </c>
      <c r="H60" s="191">
        <v>897</v>
      </c>
      <c r="I60" s="191">
        <v>914</v>
      </c>
      <c r="J60" s="191">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0">
        <v>-315</v>
      </c>
      <c r="G61" s="191">
        <v>-353</v>
      </c>
      <c r="H61" s="191">
        <v>-155</v>
      </c>
      <c r="I61" s="191">
        <v>-163</v>
      </c>
      <c r="J61" s="191">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2">
        <f t="shared" ref="F62:G62" si="16">SUM(F59:F61)</f>
        <v>1485</v>
      </c>
      <c r="G62" s="193">
        <f t="shared" si="16"/>
        <v>1821</v>
      </c>
      <c r="H62" s="193">
        <f>SUM(H59:H61)</f>
        <v>1671</v>
      </c>
      <c r="I62" s="193">
        <f>SUM(I59:I61)</f>
        <v>1781</v>
      </c>
      <c r="J62" s="193">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0"/>
      <c r="G63" s="191"/>
      <c r="H63" s="191"/>
      <c r="I63" s="191"/>
      <c r="J63" s="191"/>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76">
        <v>55</v>
      </c>
      <c r="G64" s="177">
        <v>265</v>
      </c>
      <c r="H64" s="177">
        <v>96</v>
      </c>
      <c r="I64" s="177">
        <v>163</v>
      </c>
      <c r="J64" s="177">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76">
        <v>128</v>
      </c>
      <c r="G65" s="177">
        <v>124</v>
      </c>
      <c r="H65" s="177">
        <v>120</v>
      </c>
      <c r="I65" s="177">
        <v>150</v>
      </c>
      <c r="J65" s="177">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76">
        <v>52</v>
      </c>
      <c r="G66" s="177">
        <v>40</v>
      </c>
      <c r="H66" s="177">
        <v>49</v>
      </c>
      <c r="I66" s="177">
        <v>46</v>
      </c>
      <c r="J66" s="177">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76">
        <v>7</v>
      </c>
      <c r="G67" s="177">
        <v>11</v>
      </c>
      <c r="H67" s="177">
        <v>25</v>
      </c>
      <c r="I67" s="177">
        <v>35</v>
      </c>
      <c r="J67" s="177">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76">
        <v>1</v>
      </c>
      <c r="G68" s="177">
        <v>1</v>
      </c>
      <c r="H68" s="177">
        <v>1</v>
      </c>
      <c r="I68" s="177">
        <v>1</v>
      </c>
      <c r="J68" s="177">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76">
        <v>4</v>
      </c>
      <c r="G69" s="177">
        <v>12</v>
      </c>
      <c r="H69" s="177">
        <v>6</v>
      </c>
      <c r="I69" s="177">
        <v>10</v>
      </c>
      <c r="J69" s="177">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76">
        <v>12</v>
      </c>
      <c r="G70" s="177">
        <v>14</v>
      </c>
      <c r="H70" s="177">
        <v>14</v>
      </c>
      <c r="I70" s="177">
        <v>22</v>
      </c>
      <c r="J70" s="177">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76">
        <v>19</v>
      </c>
      <c r="G71" s="177">
        <v>9</v>
      </c>
      <c r="H71" s="177">
        <v>2</v>
      </c>
      <c r="I71" s="177">
        <v>2</v>
      </c>
      <c r="J71" s="177">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76">
        <v>3</v>
      </c>
      <c r="G72" s="177">
        <v>3</v>
      </c>
      <c r="H72" s="177">
        <v>3</v>
      </c>
      <c r="I72" s="177">
        <v>3</v>
      </c>
      <c r="J72" s="177">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76">
        <v>1</v>
      </c>
      <c r="G73" s="177">
        <v>0</v>
      </c>
      <c r="H73" s="177">
        <v>1</v>
      </c>
      <c r="I73" s="177">
        <v>1</v>
      </c>
      <c r="J73" s="177">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76">
        <v>1</v>
      </c>
      <c r="G74" s="177">
        <v>1</v>
      </c>
      <c r="H74" s="177">
        <v>1</v>
      </c>
      <c r="I74" s="177">
        <v>1</v>
      </c>
      <c r="J74" s="177">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6.2">
      <c r="C75" s="55" t="s">
        <v>162</v>
      </c>
      <c r="D75" s="2"/>
      <c r="E75" s="2"/>
      <c r="F75" s="176">
        <v>1</v>
      </c>
      <c r="G75" s="177">
        <v>0</v>
      </c>
      <c r="H75" s="177">
        <v>0</v>
      </c>
      <c r="I75" s="177">
        <v>0</v>
      </c>
      <c r="J75" s="177">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76">
        <v>12</v>
      </c>
      <c r="G76" s="177">
        <v>13</v>
      </c>
      <c r="H76" s="177">
        <v>0</v>
      </c>
      <c r="I76" s="177">
        <v>0</v>
      </c>
      <c r="J76" s="177">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76">
        <v>5</v>
      </c>
      <c r="G77" s="177">
        <v>5</v>
      </c>
      <c r="H77" s="177">
        <v>3</v>
      </c>
      <c r="I77" s="177">
        <v>0</v>
      </c>
      <c r="J77" s="177">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76">
        <v>1</v>
      </c>
      <c r="G78" s="177">
        <v>1</v>
      </c>
      <c r="H78" s="177">
        <v>1</v>
      </c>
      <c r="I78" s="177">
        <v>2</v>
      </c>
      <c r="J78" s="177">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76">
        <v>0</v>
      </c>
      <c r="G79" s="177">
        <v>3</v>
      </c>
      <c r="H79" s="177">
        <v>3</v>
      </c>
      <c r="I79" s="177">
        <v>2</v>
      </c>
      <c r="J79" s="177">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76">
        <v>0</v>
      </c>
      <c r="G80" s="177">
        <v>3</v>
      </c>
      <c r="H80" s="177">
        <v>0</v>
      </c>
      <c r="I80" s="177">
        <v>0</v>
      </c>
      <c r="J80" s="177">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76">
        <v>9</v>
      </c>
      <c r="G81" s="177">
        <v>8</v>
      </c>
      <c r="H81" s="177">
        <v>11</v>
      </c>
      <c r="I81" s="177">
        <v>25</v>
      </c>
      <c r="J81" s="177">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2">
        <f>SUM(F64,F65)</f>
        <v>183</v>
      </c>
      <c r="G82" s="193">
        <f>SUM(G64,G65)</f>
        <v>389</v>
      </c>
      <c r="H82" s="193">
        <f>SUM(H64,H65)</f>
        <v>216</v>
      </c>
      <c r="I82" s="193">
        <f>SUM(I64,I65)</f>
        <v>313</v>
      </c>
      <c r="J82" s="193">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0"/>
      <c r="G83" s="191"/>
      <c r="H83" s="191"/>
      <c r="I83" s="191"/>
      <c r="J83" s="191"/>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76">
        <v>165</v>
      </c>
      <c r="G84" s="177">
        <v>206</v>
      </c>
      <c r="H84" s="177">
        <v>7</v>
      </c>
      <c r="I84" s="177">
        <v>15</v>
      </c>
      <c r="J84" s="177">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76">
        <v>6</v>
      </c>
      <c r="G85" s="177">
        <v>10</v>
      </c>
      <c r="H85" s="177">
        <v>1</v>
      </c>
      <c r="I85" s="177">
        <v>1</v>
      </c>
      <c r="J85" s="177">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76">
        <v>0</v>
      </c>
      <c r="G86" s="177">
        <v>2</v>
      </c>
      <c r="H86" s="177">
        <v>0</v>
      </c>
      <c r="I86" s="177">
        <v>0</v>
      </c>
      <c r="J86" s="177">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2">
        <f>SUM(F84:F86)</f>
        <v>171</v>
      </c>
      <c r="G87" s="193">
        <f>SUM(G84:G86)</f>
        <v>218</v>
      </c>
      <c r="H87" s="193">
        <f>SUM(H84:H86)</f>
        <v>8</v>
      </c>
      <c r="I87" s="193">
        <f>SUM(I84:I86)</f>
        <v>16</v>
      </c>
      <c r="J87" s="193">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4">
        <v>171</v>
      </c>
      <c r="G88" s="195">
        <v>218</v>
      </c>
      <c r="H88" s="195">
        <v>8</v>
      </c>
      <c r="I88" s="195">
        <v>16</v>
      </c>
      <c r="J88" s="195">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2">
        <v>71</v>
      </c>
      <c r="G89" s="203">
        <v>70</v>
      </c>
      <c r="H89" s="203">
        <v>107</v>
      </c>
      <c r="I89" s="203">
        <v>49</v>
      </c>
      <c r="J89" s="203">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2">
        <v>636</v>
      </c>
      <c r="G90" s="203">
        <v>402</v>
      </c>
      <c r="H90" s="203">
        <v>691</v>
      </c>
      <c r="I90" s="203">
        <v>624</v>
      </c>
      <c r="J90" s="203">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4">
        <f>SUM(F90,F89,F87,F82,F62,F57,)</f>
        <v>2730</v>
      </c>
      <c r="G91" s="205">
        <f>SUM(G90,G89,G87,G82,G62,G57,)</f>
        <v>3059</v>
      </c>
      <c r="H91" s="205">
        <f>SUM(H90,H89,H87,H82,H62,H57,)</f>
        <v>2840</v>
      </c>
      <c r="I91" s="205">
        <f>SUM(I90,I89,I87,I82,I62,I57,)</f>
        <v>2970</v>
      </c>
      <c r="J91" s="205">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06"/>
      <c r="G92" s="191"/>
      <c r="H92" s="191"/>
      <c r="I92" s="191"/>
      <c r="J92" s="191"/>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2">
        <v>205</v>
      </c>
      <c r="G93" s="203">
        <v>6</v>
      </c>
      <c r="H93" s="203">
        <v>224</v>
      </c>
      <c r="I93" s="203">
        <v>112</v>
      </c>
      <c r="J93" s="203">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0">
        <v>9801</v>
      </c>
      <c r="G94" s="191">
        <v>10387</v>
      </c>
      <c r="H94" s="191">
        <v>9949</v>
      </c>
      <c r="I94" s="191">
        <v>10333</v>
      </c>
      <c r="J94" s="191">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07">
        <f ca="1">SUM(F93,F91,F46)</f>
        <v>9801</v>
      </c>
      <c r="G95" s="208">
        <f ca="1">SUM(G93,G91,G46)</f>
        <v>10387</v>
      </c>
      <c r="H95" s="208">
        <f ca="1">SUM(H93,H91,H46)</f>
        <v>9949</v>
      </c>
      <c r="I95" s="208">
        <f ca="1">SUM(I93,I91,I46)</f>
        <v>10333</v>
      </c>
      <c r="J95" s="208">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0"/>
      <c r="G96" s="191"/>
      <c r="H96" s="191"/>
      <c r="I96" s="191"/>
      <c r="J96" s="191"/>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09"/>
      <c r="G97" s="191"/>
      <c r="H97" s="191"/>
      <c r="I97" s="191"/>
      <c r="J97" s="191"/>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9.2">
      <c r="C98" s="3" t="s">
        <v>85</v>
      </c>
      <c r="D98" s="2" t="s">
        <v>86</v>
      </c>
      <c r="E98" s="2"/>
      <c r="F98" s="190"/>
      <c r="G98" s="191"/>
      <c r="H98" s="191"/>
      <c r="I98" s="191"/>
      <c r="J98" s="191"/>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0">
        <v>1629</v>
      </c>
      <c r="G99" s="191">
        <v>1629</v>
      </c>
      <c r="H99" s="191">
        <v>1629</v>
      </c>
      <c r="I99" s="191">
        <v>1629</v>
      </c>
      <c r="J99" s="191">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0">
        <v>-61</v>
      </c>
      <c r="G100" s="191">
        <v>-54</v>
      </c>
      <c r="H100" s="191">
        <v>-54</v>
      </c>
      <c r="I100" s="191">
        <v>-54</v>
      </c>
      <c r="J100" s="191">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0">
        <v>1005</v>
      </c>
      <c r="G101" s="191">
        <v>919</v>
      </c>
      <c r="H101" s="191">
        <v>1010</v>
      </c>
      <c r="I101" s="191">
        <v>1216</v>
      </c>
      <c r="J101" s="191">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4"/>
      <c r="G102" s="195"/>
      <c r="H102" s="195"/>
      <c r="I102" s="195"/>
      <c r="J102" s="195"/>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28.8">
      <c r="C103" s="20" t="s">
        <v>91</v>
      </c>
      <c r="D103" s="11"/>
      <c r="E103" s="11"/>
      <c r="F103" s="194">
        <v>-33</v>
      </c>
      <c r="G103" s="195">
        <v>-2</v>
      </c>
      <c r="H103" s="195">
        <v>-27</v>
      </c>
      <c r="I103" s="195">
        <v>-9</v>
      </c>
      <c r="J103" s="195">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4">
        <v>8</v>
      </c>
      <c r="G104" s="195">
        <v>0</v>
      </c>
      <c r="H104" s="195">
        <v>7</v>
      </c>
      <c r="I104" s="195">
        <v>2</v>
      </c>
      <c r="J104" s="195">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0">
        <v>-25</v>
      </c>
      <c r="G105" s="191">
        <f>SUM(G103:G104)</f>
        <v>-2</v>
      </c>
      <c r="H105" s="191">
        <f>SUM(H103:H104)</f>
        <v>-20</v>
      </c>
      <c r="I105" s="191">
        <f>SUM(I103:I104)</f>
        <v>-7</v>
      </c>
      <c r="J105" s="191">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0">
        <v>-64</v>
      </c>
      <c r="G106" s="191">
        <v>-91</v>
      </c>
      <c r="H106" s="191">
        <v>-72</v>
      </c>
      <c r="I106" s="191">
        <v>-70</v>
      </c>
      <c r="J106" s="191">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0">
        <v>16</v>
      </c>
      <c r="G107" s="191">
        <v>26</v>
      </c>
      <c r="H107" s="191">
        <v>19</v>
      </c>
      <c r="I107" s="191">
        <v>18</v>
      </c>
      <c r="J107" s="191">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0">
        <v>-48</v>
      </c>
      <c r="G108" s="191">
        <f>SUM(G106:G107)</f>
        <v>-65</v>
      </c>
      <c r="H108" s="191">
        <f>SUM(H106:H107)</f>
        <v>-53</v>
      </c>
      <c r="I108" s="191">
        <f>SUM(I106:I107)</f>
        <v>-52</v>
      </c>
      <c r="J108" s="191">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0">
        <v>73</v>
      </c>
      <c r="G109" s="191">
        <v>232</v>
      </c>
      <c r="H109" s="191">
        <v>293</v>
      </c>
      <c r="I109" s="191">
        <v>344</v>
      </c>
      <c r="J109" s="191">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4">
        <f t="shared" ref="F110:G110" si="29">SUM(F99,F100,F101,F109,)</f>
        <v>2646</v>
      </c>
      <c r="G110" s="205">
        <f t="shared" si="29"/>
        <v>2726</v>
      </c>
      <c r="H110" s="205">
        <f>SUM(H99,H100,H101,H109,)</f>
        <v>2878</v>
      </c>
      <c r="I110" s="205">
        <f>SUM(I99,I100,I101,I109,)</f>
        <v>3135</v>
      </c>
      <c r="J110" s="205">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0">
        <v>613</v>
      </c>
      <c r="G111" s="191">
        <v>553</v>
      </c>
      <c r="H111" s="191">
        <v>135</v>
      </c>
      <c r="I111" s="191">
        <v>388</v>
      </c>
      <c r="J111" s="191">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0">
        <f t="shared" ref="F112:G112" si="30">SUM(F111,F110)</f>
        <v>3259</v>
      </c>
      <c r="G112" s="211">
        <f t="shared" si="30"/>
        <v>3279</v>
      </c>
      <c r="H112" s="211">
        <f>SUM(H111,H110)</f>
        <v>3013</v>
      </c>
      <c r="I112" s="211">
        <f>SUM(I111,I110)</f>
        <v>3523</v>
      </c>
      <c r="J112" s="211">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0"/>
      <c r="G113" s="191"/>
      <c r="H113" s="191"/>
      <c r="I113" s="191"/>
      <c r="J113" s="191"/>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9.2">
      <c r="C114" s="3" t="s">
        <v>103</v>
      </c>
      <c r="D114" s="2"/>
      <c r="E114" s="2"/>
      <c r="F114" s="190"/>
      <c r="G114" s="191"/>
      <c r="H114" s="191"/>
      <c r="I114" s="191"/>
      <c r="J114" s="191"/>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6.2">
      <c r="C115" s="109" t="s">
        <v>104</v>
      </c>
      <c r="D115" s="2"/>
      <c r="E115" s="2"/>
      <c r="F115" s="190"/>
      <c r="G115" s="191"/>
      <c r="H115" s="191"/>
      <c r="I115" s="191"/>
      <c r="J115" s="191"/>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0"/>
      <c r="G116" s="191"/>
      <c r="H116" s="191"/>
      <c r="I116" s="191"/>
      <c r="J116" s="191"/>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0">
        <v>2431</v>
      </c>
      <c r="G117" s="191">
        <v>2480</v>
      </c>
      <c r="H117" s="191">
        <v>2650</v>
      </c>
      <c r="I117" s="191">
        <v>2180</v>
      </c>
      <c r="J117" s="191">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0">
        <v>657</v>
      </c>
      <c r="G118" s="191">
        <v>946</v>
      </c>
      <c r="H118" s="191">
        <v>807</v>
      </c>
      <c r="I118" s="191">
        <v>755</v>
      </c>
      <c r="J118" s="191">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0">
        <v>1</v>
      </c>
      <c r="G119" s="191">
        <v>5</v>
      </c>
      <c r="H119" s="191">
        <v>40</v>
      </c>
      <c r="I119" s="191">
        <v>46</v>
      </c>
      <c r="J119" s="191">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2">
        <v>0</v>
      </c>
      <c r="G120" s="191">
        <v>5</v>
      </c>
      <c r="H120" s="191">
        <v>4</v>
      </c>
      <c r="I120" s="191">
        <v>3</v>
      </c>
      <c r="J120" s="191">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2">
        <f t="shared" ref="F121:G121" si="33">SUM(F117:F120)</f>
        <v>3089</v>
      </c>
      <c r="G121" s="193">
        <f t="shared" si="33"/>
        <v>3436</v>
      </c>
      <c r="H121" s="193">
        <f>SUM(H117:H120)</f>
        <v>3501</v>
      </c>
      <c r="I121" s="193">
        <f>SUM(I117:I120)</f>
        <v>2984</v>
      </c>
      <c r="J121" s="193">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0"/>
      <c r="G122" s="191"/>
      <c r="H122" s="191"/>
      <c r="I122" s="191"/>
      <c r="J122" s="191"/>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0">
        <v>164</v>
      </c>
      <c r="G123" s="191">
        <v>176</v>
      </c>
      <c r="H123" s="191">
        <v>168</v>
      </c>
      <c r="I123" s="191">
        <v>165</v>
      </c>
      <c r="J123" s="191">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0">
        <v>168</v>
      </c>
      <c r="G124" s="191">
        <v>189</v>
      </c>
      <c r="H124" s="191">
        <v>151</v>
      </c>
      <c r="I124" s="191">
        <v>149</v>
      </c>
      <c r="J124" s="191">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2">
        <f t="shared" ref="F125:G125" si="35">SUM(F123:F124)</f>
        <v>332</v>
      </c>
      <c r="G125" s="193">
        <f t="shared" si="35"/>
        <v>365</v>
      </c>
      <c r="H125" s="193">
        <f>SUM(H123:H124)</f>
        <v>319</v>
      </c>
      <c r="I125" s="193">
        <f>SUM(I123:I124)</f>
        <v>314</v>
      </c>
      <c r="J125" s="193">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0"/>
      <c r="G126" s="191"/>
      <c r="H126" s="191"/>
      <c r="I126" s="191"/>
      <c r="J126" s="191"/>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0">
        <v>170</v>
      </c>
      <c r="G127" s="191">
        <v>210</v>
      </c>
      <c r="H127" s="191">
        <v>226</v>
      </c>
      <c r="I127" s="191">
        <v>238</v>
      </c>
      <c r="J127" s="191">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0">
        <v>145</v>
      </c>
      <c r="G128" s="191">
        <v>188</v>
      </c>
      <c r="H128" s="191">
        <v>188</v>
      </c>
      <c r="I128" s="191">
        <v>196</v>
      </c>
      <c r="J128" s="191">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0">
        <v>59</v>
      </c>
      <c r="G129" s="191">
        <v>48</v>
      </c>
      <c r="H129" s="191">
        <v>50</v>
      </c>
      <c r="I129" s="191">
        <v>34</v>
      </c>
      <c r="J129" s="191">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0">
        <v>131</v>
      </c>
      <c r="G130" s="191">
        <v>111</v>
      </c>
      <c r="H130" s="191">
        <v>61</v>
      </c>
      <c r="I130" s="191">
        <v>56</v>
      </c>
      <c r="J130" s="191">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0">
        <v>71</v>
      </c>
      <c r="G131" s="191">
        <v>114</v>
      </c>
      <c r="H131" s="191">
        <v>100</v>
      </c>
      <c r="I131" s="191">
        <v>118</v>
      </c>
      <c r="J131" s="191">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2">
        <f t="shared" ref="F132:G132" si="38">SUM(F127:F131)</f>
        <v>576</v>
      </c>
      <c r="G132" s="193">
        <f t="shared" si="38"/>
        <v>671</v>
      </c>
      <c r="H132" s="193">
        <f>SUM(H127:H131)</f>
        <v>625</v>
      </c>
      <c r="I132" s="193">
        <f>SUM(I127:I131)</f>
        <v>642</v>
      </c>
      <c r="J132" s="193">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0"/>
      <c r="G133" s="191"/>
      <c r="H133" s="191"/>
      <c r="I133" s="191"/>
      <c r="J133" s="191"/>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0">
        <v>72</v>
      </c>
      <c r="G134" s="191">
        <v>90</v>
      </c>
      <c r="H134" s="191">
        <v>125</v>
      </c>
      <c r="I134" s="191">
        <v>134</v>
      </c>
      <c r="J134" s="191">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0">
        <v>27</v>
      </c>
      <c r="G135" s="191">
        <v>19</v>
      </c>
      <c r="H135" s="191">
        <v>23</v>
      </c>
      <c r="I135" s="191">
        <v>14</v>
      </c>
      <c r="J135" s="191">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2">
        <f t="shared" ref="F136:G136" si="42">SUM(F134:F135)</f>
        <v>99</v>
      </c>
      <c r="G136" s="193">
        <f t="shared" si="42"/>
        <v>109</v>
      </c>
      <c r="H136" s="193">
        <f>SUM(H134:H135)</f>
        <v>148</v>
      </c>
      <c r="I136" s="193">
        <f>SUM(I134:I135)</f>
        <v>148</v>
      </c>
      <c r="J136" s="193">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4">
        <f t="shared" ref="F137:G137" si="43">SUM(F136,F132,F125,F121)</f>
        <v>4096</v>
      </c>
      <c r="G137" s="205">
        <f t="shared" si="43"/>
        <v>4581</v>
      </c>
      <c r="H137" s="205">
        <f>SUM(H136,H132,H125,H121)</f>
        <v>4593</v>
      </c>
      <c r="I137" s="205">
        <f>SUM(I136,I132,I125,I121)</f>
        <v>4088</v>
      </c>
      <c r="J137" s="205">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0"/>
      <c r="G138" s="191"/>
      <c r="H138" s="191"/>
      <c r="I138" s="191"/>
      <c r="J138" s="191"/>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6.2">
      <c r="C139" s="109" t="s">
        <v>123</v>
      </c>
      <c r="D139" s="2"/>
      <c r="E139" s="2"/>
      <c r="F139" s="190"/>
      <c r="G139" s="191"/>
      <c r="H139" s="191"/>
      <c r="I139" s="191"/>
      <c r="J139" s="191"/>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0"/>
      <c r="G140" s="191"/>
      <c r="H140" s="191"/>
      <c r="I140" s="191"/>
      <c r="J140" s="191"/>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0">
        <v>5</v>
      </c>
      <c r="G141" s="191">
        <v>3</v>
      </c>
      <c r="H141" s="191">
        <v>2</v>
      </c>
      <c r="I141" s="191">
        <v>3</v>
      </c>
      <c r="J141" s="191">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0">
        <v>1165</v>
      </c>
      <c r="G142" s="191">
        <v>1381</v>
      </c>
      <c r="H142" s="191">
        <v>1379</v>
      </c>
      <c r="I142" s="191">
        <v>1410</v>
      </c>
      <c r="J142" s="191">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2">
        <f t="shared" ref="F143:G143" si="44">SUM(F141:F142)</f>
        <v>1170</v>
      </c>
      <c r="G143" s="193">
        <f t="shared" si="44"/>
        <v>1384</v>
      </c>
      <c r="H143" s="193">
        <f>SUM(H141:H142)</f>
        <v>1381</v>
      </c>
      <c r="I143" s="193">
        <f>SUM(I141:I142)</f>
        <v>1413</v>
      </c>
      <c r="J143" s="193">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0"/>
      <c r="G144" s="191"/>
      <c r="H144" s="191"/>
      <c r="I144" s="191"/>
      <c r="J144" s="191"/>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76">
        <v>37</v>
      </c>
      <c r="G145" s="177">
        <v>39</v>
      </c>
      <c r="H145" s="177">
        <v>38</v>
      </c>
      <c r="I145" s="177">
        <v>43</v>
      </c>
      <c r="J145" s="177">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76">
        <v>51</v>
      </c>
      <c r="G146" s="177">
        <v>253</v>
      </c>
      <c r="H146" s="177">
        <v>86</v>
      </c>
      <c r="I146" s="177">
        <v>156</v>
      </c>
      <c r="J146" s="177">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76">
        <v>433</v>
      </c>
      <c r="G147" s="177">
        <v>452</v>
      </c>
      <c r="H147" s="177">
        <v>397</v>
      </c>
      <c r="I147" s="177">
        <v>382</v>
      </c>
      <c r="J147" s="177">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76">
        <v>72</v>
      </c>
      <c r="G148" s="177">
        <v>81</v>
      </c>
      <c r="H148" s="177">
        <v>69</v>
      </c>
      <c r="I148" s="177">
        <v>77</v>
      </c>
      <c r="J148" s="177">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76">
        <v>100</v>
      </c>
      <c r="G149" s="177">
        <v>72</v>
      </c>
      <c r="H149" s="177">
        <v>85</v>
      </c>
      <c r="I149" s="177">
        <v>80</v>
      </c>
      <c r="J149" s="177">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76">
        <v>44</v>
      </c>
      <c r="G150" s="177">
        <v>58</v>
      </c>
      <c r="H150" s="177">
        <v>80</v>
      </c>
      <c r="I150" s="177">
        <v>42</v>
      </c>
      <c r="J150" s="177">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76">
        <v>8</v>
      </c>
      <c r="G151" s="177">
        <v>7</v>
      </c>
      <c r="H151" s="177">
        <v>7</v>
      </c>
      <c r="I151" s="177">
        <v>7</v>
      </c>
      <c r="J151" s="177">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76">
        <v>105</v>
      </c>
      <c r="G152" s="177">
        <v>115</v>
      </c>
      <c r="H152" s="177">
        <v>85</v>
      </c>
      <c r="I152" s="177">
        <v>75</v>
      </c>
      <c r="J152" s="177">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76">
        <v>0</v>
      </c>
      <c r="G153" s="177">
        <v>5</v>
      </c>
      <c r="H153" s="177">
        <v>0</v>
      </c>
      <c r="I153" s="177">
        <v>0</v>
      </c>
      <c r="J153" s="177">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76">
        <v>20</v>
      </c>
      <c r="G154" s="177">
        <v>20</v>
      </c>
      <c r="H154" s="177">
        <v>0</v>
      </c>
      <c r="I154" s="177">
        <v>0</v>
      </c>
      <c r="J154" s="177">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76">
        <v>7</v>
      </c>
      <c r="G155" s="177">
        <v>6</v>
      </c>
      <c r="H155" s="177">
        <v>7</v>
      </c>
      <c r="I155" s="177">
        <v>7</v>
      </c>
      <c r="J155" s="177">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76">
        <v>14</v>
      </c>
      <c r="G156" s="177">
        <v>12</v>
      </c>
      <c r="H156" s="177">
        <v>11</v>
      </c>
      <c r="I156" s="177">
        <v>14</v>
      </c>
      <c r="J156" s="177">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76">
        <v>3</v>
      </c>
      <c r="G157" s="177">
        <v>3</v>
      </c>
      <c r="H157" s="177">
        <v>3</v>
      </c>
      <c r="I157" s="177">
        <v>3</v>
      </c>
      <c r="J157" s="177">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76">
        <v>21</v>
      </c>
      <c r="G158" s="177">
        <v>25</v>
      </c>
      <c r="H158" s="177">
        <v>0</v>
      </c>
      <c r="I158" s="177">
        <v>0</v>
      </c>
      <c r="J158" s="177">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76">
        <v>1</v>
      </c>
      <c r="G159" s="177">
        <v>0</v>
      </c>
      <c r="H159" s="177">
        <v>0</v>
      </c>
      <c r="I159" s="177">
        <v>4</v>
      </c>
      <c r="J159" s="177">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76">
        <v>0</v>
      </c>
      <c r="G160" s="177">
        <v>0</v>
      </c>
      <c r="H160" s="177">
        <v>0</v>
      </c>
      <c r="I160" s="177">
        <v>8</v>
      </c>
      <c r="J160" s="177">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76">
        <v>1</v>
      </c>
      <c r="G161" s="177">
        <v>1</v>
      </c>
      <c r="H161" s="177">
        <v>1</v>
      </c>
      <c r="I161" s="177">
        <v>12</v>
      </c>
      <c r="J161" s="177">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76">
        <v>8</v>
      </c>
      <c r="G162" s="177">
        <v>9</v>
      </c>
      <c r="H162" s="177">
        <v>8</v>
      </c>
      <c r="I162" s="177">
        <v>7</v>
      </c>
      <c r="J162" s="177">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76">
        <v>3</v>
      </c>
      <c r="G163" s="177">
        <v>3</v>
      </c>
      <c r="H163" s="177">
        <v>4</v>
      </c>
      <c r="I163" s="177">
        <v>5</v>
      </c>
      <c r="J163" s="177">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76">
        <v>6</v>
      </c>
      <c r="G164" s="177">
        <v>6</v>
      </c>
      <c r="H164" s="177">
        <v>6</v>
      </c>
      <c r="I164" s="177">
        <v>6</v>
      </c>
      <c r="J164" s="177">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76">
        <v>3</v>
      </c>
      <c r="G165" s="177">
        <v>2</v>
      </c>
      <c r="H165" s="177">
        <v>2</v>
      </c>
      <c r="I165" s="177">
        <v>3</v>
      </c>
      <c r="J165" s="177">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76">
        <v>0</v>
      </c>
      <c r="G166" s="177">
        <v>6</v>
      </c>
      <c r="H166" s="177">
        <v>6</v>
      </c>
      <c r="I166" s="177">
        <v>5</v>
      </c>
      <c r="J166" s="177">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76">
        <v>16</v>
      </c>
      <c r="G167" s="177">
        <v>21</v>
      </c>
      <c r="H167" s="177">
        <v>23</v>
      </c>
      <c r="I167" s="177">
        <v>27</v>
      </c>
      <c r="J167" s="177">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2">
        <f t="shared" ref="F168:G168" si="49">SUM(F145,F146,F147)</f>
        <v>521</v>
      </c>
      <c r="G168" s="193">
        <f t="shared" si="49"/>
        <v>744</v>
      </c>
      <c r="H168" s="193">
        <f>SUM(H145,H146,H147)</f>
        <v>521</v>
      </c>
      <c r="I168" s="193">
        <f>SUM(I145,I146,I147)</f>
        <v>581</v>
      </c>
      <c r="J168" s="193">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0"/>
      <c r="G169" s="191"/>
      <c r="H169" s="191"/>
      <c r="I169" s="191"/>
      <c r="J169" s="191"/>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76">
        <v>571</v>
      </c>
      <c r="G170" s="177">
        <v>47</v>
      </c>
      <c r="H170" s="177">
        <v>345</v>
      </c>
      <c r="I170" s="177">
        <v>558</v>
      </c>
      <c r="J170" s="177">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76">
        <v>119</v>
      </c>
      <c r="G171" s="177">
        <v>303</v>
      </c>
      <c r="H171" s="177">
        <v>82</v>
      </c>
      <c r="I171" s="177">
        <v>128</v>
      </c>
      <c r="J171" s="177">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76">
        <v>1</v>
      </c>
      <c r="G172" s="177">
        <v>2</v>
      </c>
      <c r="H172" s="177">
        <v>5</v>
      </c>
      <c r="I172" s="177">
        <v>5</v>
      </c>
      <c r="J172" s="177">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76">
        <v>1</v>
      </c>
      <c r="G173" s="177">
        <v>2</v>
      </c>
      <c r="H173" s="177">
        <v>1</v>
      </c>
      <c r="I173" s="177">
        <v>2</v>
      </c>
      <c r="J173" s="177">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76">
        <v>0</v>
      </c>
      <c r="G174" s="177">
        <v>5</v>
      </c>
      <c r="H174" s="177">
        <v>4</v>
      </c>
      <c r="I174" s="177">
        <v>1</v>
      </c>
      <c r="J174" s="177">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2">
        <f t="shared" ref="F175:G175" si="50">SUM(F170:F174)</f>
        <v>692</v>
      </c>
      <c r="G175" s="193">
        <f t="shared" si="50"/>
        <v>359</v>
      </c>
      <c r="H175" s="193">
        <f>SUM(H170:H174)</f>
        <v>437</v>
      </c>
      <c r="I175" s="193">
        <f>SUM(I170:I174)</f>
        <v>694</v>
      </c>
      <c r="J175" s="193">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2">
        <v>43</v>
      </c>
      <c r="G176" s="203">
        <v>33</v>
      </c>
      <c r="H176" s="203">
        <v>4</v>
      </c>
      <c r="I176" s="203">
        <v>34</v>
      </c>
      <c r="J176" s="203">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4">
        <f t="shared" ref="F177:G177" si="51">SUM(F143,F168,F175,F176)</f>
        <v>2426</v>
      </c>
      <c r="G177" s="205">
        <f t="shared" si="51"/>
        <v>2520</v>
      </c>
      <c r="H177" s="205">
        <f>SUM(H143,H168,H175,H176)</f>
        <v>2343</v>
      </c>
      <c r="I177" s="205">
        <f>SUM(I143,I168,I175,I176)</f>
        <v>2722</v>
      </c>
      <c r="J177" s="205">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0"/>
      <c r="G178" s="191"/>
      <c r="H178" s="191"/>
      <c r="I178" s="191"/>
      <c r="J178" s="191"/>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0">
        <f>SUM(F177,F137)</f>
        <v>6522</v>
      </c>
      <c r="G179" s="211">
        <f>SUM(G177,G137)</f>
        <v>7101</v>
      </c>
      <c r="H179" s="211">
        <f>SUM(H177,H137)</f>
        <v>6936</v>
      </c>
      <c r="I179" s="211">
        <f>SUM(I177,I137)</f>
        <v>6810</v>
      </c>
      <c r="J179" s="211">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0"/>
      <c r="G180" s="191"/>
      <c r="H180" s="191"/>
      <c r="I180" s="191"/>
      <c r="J180" s="191"/>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28.8">
      <c r="C181" s="23" t="s">
        <v>156</v>
      </c>
      <c r="D181" s="2"/>
      <c r="E181" s="2"/>
      <c r="F181" s="190">
        <v>20</v>
      </c>
      <c r="G181" s="191">
        <v>7</v>
      </c>
      <c r="H181" s="173">
        <v>0</v>
      </c>
      <c r="I181" s="173">
        <v>0</v>
      </c>
      <c r="J181" s="173">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0"/>
      <c r="G182" s="191"/>
      <c r="H182" s="191"/>
      <c r="I182" s="191"/>
      <c r="J182" s="191"/>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07">
        <f>SUM(F179,F112,F181)</f>
        <v>9801</v>
      </c>
      <c r="G183" s="208">
        <f>SUM(G179,G112,G181)</f>
        <v>10387</v>
      </c>
      <c r="H183" s="208">
        <f>SUM(H179,H112)</f>
        <v>9949</v>
      </c>
      <c r="I183" s="208">
        <f>SUM(I179,I112)</f>
        <v>10333</v>
      </c>
      <c r="J183" s="208">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6">
      <c r="B189" s="59"/>
      <c r="C189" s="236"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37"/>
      <c r="D190" s="237"/>
      <c r="E190" s="237"/>
      <c r="F190" s="237"/>
      <c r="G190" s="237"/>
      <c r="H190" s="238"/>
      <c r="I190" s="237"/>
      <c r="J190" s="239"/>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3"/>
      <c r="G191" s="123"/>
      <c r="H191" s="123"/>
      <c r="I191" s="123"/>
      <c r="J191" s="123"/>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2"/>
      <c r="G193" s="177"/>
      <c r="H193" s="177"/>
      <c r="I193" s="177"/>
      <c r="J193" s="177"/>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2">
        <v>3947</v>
      </c>
      <c r="G194" s="177">
        <v>3734</v>
      </c>
      <c r="H194" s="177">
        <v>4633</v>
      </c>
      <c r="I194" s="177">
        <v>5268</v>
      </c>
      <c r="J194" s="177">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2">
        <v>785</v>
      </c>
      <c r="G195" s="177">
        <v>847</v>
      </c>
      <c r="H195" s="177">
        <v>957</v>
      </c>
      <c r="I195" s="177">
        <v>1003</v>
      </c>
      <c r="J195" s="177">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6" t="s">
        <v>172</v>
      </c>
      <c r="E196" s="126"/>
      <c r="F196" s="213">
        <f>SUM(F194:F195)</f>
        <v>4732</v>
      </c>
      <c r="G196" s="214">
        <f>SUM(G194:G195)</f>
        <v>4581</v>
      </c>
      <c r="H196" s="214">
        <f>SUM(H194:H195)</f>
        <v>5590</v>
      </c>
      <c r="I196" s="214">
        <f>SUM(I194:I195)</f>
        <v>6271</v>
      </c>
      <c r="J196" s="214">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2">
        <v>189</v>
      </c>
      <c r="G197" s="177">
        <v>279</v>
      </c>
      <c r="H197" s="177">
        <v>206</v>
      </c>
      <c r="I197" s="177">
        <v>223</v>
      </c>
      <c r="J197" s="177">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6.2">
      <c r="C198" s="112" t="s">
        <v>110</v>
      </c>
      <c r="D198" s="60" t="s">
        <v>175</v>
      </c>
      <c r="E198" s="60"/>
      <c r="F198" s="232">
        <f>SUM(F196:F197)</f>
        <v>4921</v>
      </c>
      <c r="G198" s="233">
        <f>SUM(G196:G197)</f>
        <v>4860</v>
      </c>
      <c r="H198" s="233">
        <f>SUM(H196:H197)</f>
        <v>5796</v>
      </c>
      <c r="I198" s="233">
        <f>SUM(I196:I197)</f>
        <v>6494</v>
      </c>
      <c r="J198" s="233">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2"/>
      <c r="G199" s="177"/>
      <c r="H199" s="177"/>
      <c r="I199" s="175"/>
      <c r="J199" s="175"/>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2"/>
      <c r="G200" s="177"/>
      <c r="H200" s="177"/>
      <c r="I200" s="177"/>
      <c r="J200" s="177"/>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2">
        <v>2286</v>
      </c>
      <c r="G201" s="177">
        <v>2101</v>
      </c>
      <c r="H201" s="177">
        <v>2831</v>
      </c>
      <c r="I201" s="177">
        <v>3346</v>
      </c>
      <c r="J201" s="177">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2">
        <v>706</v>
      </c>
      <c r="G202" s="177">
        <v>758</v>
      </c>
      <c r="H202" s="177">
        <v>850</v>
      </c>
      <c r="I202" s="177">
        <v>986</v>
      </c>
      <c r="J202" s="177">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17">
        <f>SUM(F201:F202)</f>
        <v>2992</v>
      </c>
      <c r="G203" s="187">
        <f>SUM(G201:G202)</f>
        <v>2859</v>
      </c>
      <c r="H203" s="187">
        <f>SUM(H201:H202)</f>
        <v>3681</v>
      </c>
      <c r="I203" s="187">
        <f>SUM(I201:I202)</f>
        <v>4332</v>
      </c>
      <c r="J203" s="187">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2">
        <v>252</v>
      </c>
      <c r="G204" s="177">
        <v>243</v>
      </c>
      <c r="H204" s="177">
        <v>281</v>
      </c>
      <c r="I204" s="177">
        <v>266</v>
      </c>
      <c r="J204" s="177">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5">
        <f>SUM(F203:F204)</f>
        <v>3244</v>
      </c>
      <c r="G205" s="216">
        <f>SUM(G203:G204)</f>
        <v>3102</v>
      </c>
      <c r="H205" s="216">
        <f>SUM(H203:H204)</f>
        <v>3962</v>
      </c>
      <c r="I205" s="216">
        <f>SUM(I203:I204)</f>
        <v>4598</v>
      </c>
      <c r="J205" s="216">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18"/>
      <c r="G206" s="219"/>
      <c r="H206" s="219"/>
      <c r="I206" s="219"/>
      <c r="J206" s="219"/>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2"/>
      <c r="G207" s="177"/>
      <c r="H207" s="177"/>
      <c r="I207" s="177"/>
      <c r="J207" s="177"/>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2">
        <v>441</v>
      </c>
      <c r="G208" s="177">
        <v>433</v>
      </c>
      <c r="H208" s="177">
        <v>471</v>
      </c>
      <c r="I208" s="177">
        <v>494</v>
      </c>
      <c r="J208" s="177">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2">
        <v>163</v>
      </c>
      <c r="G209" s="177">
        <v>146</v>
      </c>
      <c r="H209" s="177">
        <v>160</v>
      </c>
      <c r="I209" s="177">
        <v>173</v>
      </c>
      <c r="J209" s="177">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2">
        <v>25</v>
      </c>
      <c r="G210" s="177">
        <v>26</v>
      </c>
      <c r="H210" s="177">
        <v>29</v>
      </c>
      <c r="I210" s="177">
        <v>31</v>
      </c>
      <c r="J210" s="177">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2">
        <v>27</v>
      </c>
      <c r="G211" s="177">
        <v>36</v>
      </c>
      <c r="H211" s="177">
        <v>27</v>
      </c>
      <c r="I211" s="177">
        <v>33</v>
      </c>
      <c r="J211" s="177">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17">
        <f>SUM(F208:F211)</f>
        <v>656</v>
      </c>
      <c r="G212" s="187">
        <f>SUM(G208:G211)</f>
        <v>641</v>
      </c>
      <c r="H212" s="187">
        <f>SUM(H208:H211)</f>
        <v>687</v>
      </c>
      <c r="I212" s="187">
        <f>SUM(I208:I211)</f>
        <v>731</v>
      </c>
      <c r="J212" s="187">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2">
        <v>-27</v>
      </c>
      <c r="G213" s="177">
        <v>-45</v>
      </c>
      <c r="H213" s="177">
        <v>-52</v>
      </c>
      <c r="I213" s="177">
        <v>-66</v>
      </c>
      <c r="J213" s="177">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6.2">
      <c r="C214" s="112" t="s">
        <v>110</v>
      </c>
      <c r="D214" s="60" t="s">
        <v>195</v>
      </c>
      <c r="E214" s="60"/>
      <c r="F214" s="232">
        <f>SUM(F212:F213)</f>
        <v>629</v>
      </c>
      <c r="G214" s="233">
        <f>SUM(G212:G213)</f>
        <v>596</v>
      </c>
      <c r="H214" s="233">
        <f>SUM(H212:H213)</f>
        <v>635</v>
      </c>
      <c r="I214" s="233">
        <f>SUM(I212:I213)</f>
        <v>665</v>
      </c>
      <c r="J214" s="233">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2"/>
      <c r="G215" s="177"/>
      <c r="H215" s="177"/>
      <c r="I215" s="177"/>
      <c r="J215" s="177"/>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0">
        <f>SUM(F198,-F205,-F214)</f>
        <v>1048</v>
      </c>
      <c r="G216" s="188">
        <f>SUM(G198,-G205,-G214)</f>
        <v>1162</v>
      </c>
      <c r="H216" s="188">
        <f>SUM(H198,-H205,-H214)</f>
        <v>1199</v>
      </c>
      <c r="I216" s="188">
        <f>SUM(I198,-I205,-I214)</f>
        <v>1231</v>
      </c>
      <c r="J216" s="188">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2"/>
      <c r="G217" s="177"/>
      <c r="H217" s="177"/>
      <c r="I217" s="175"/>
      <c r="J217" s="175"/>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c r="C218" s="23" t="s">
        <v>200</v>
      </c>
      <c r="D218" s="2" t="s">
        <v>201</v>
      </c>
      <c r="E218" s="2"/>
      <c r="F218" s="212"/>
      <c r="G218" s="177"/>
      <c r="H218" s="177"/>
      <c r="I218" s="175"/>
      <c r="J218" s="175"/>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2">
        <v>54</v>
      </c>
      <c r="G219" s="177">
        <v>55</v>
      </c>
      <c r="H219" s="177">
        <v>72</v>
      </c>
      <c r="I219" s="177">
        <v>91</v>
      </c>
      <c r="J219" s="177">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2">
        <v>341</v>
      </c>
      <c r="G220" s="177">
        <v>348</v>
      </c>
      <c r="H220" s="177">
        <v>338</v>
      </c>
      <c r="I220" s="177">
        <v>372</v>
      </c>
      <c r="J220" s="177">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2">
        <v>359</v>
      </c>
      <c r="G221" s="177">
        <v>245</v>
      </c>
      <c r="H221" s="177">
        <v>34</v>
      </c>
      <c r="I221" s="177">
        <v>160</v>
      </c>
      <c r="J221" s="177">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1">
        <f>SUM(F219:F221)</f>
        <v>754</v>
      </c>
      <c r="G222" s="222">
        <f>SUM(G219:G221)</f>
        <v>648</v>
      </c>
      <c r="H222" s="222">
        <f>SUM(H219:H221)</f>
        <v>444</v>
      </c>
      <c r="I222" s="222">
        <f>SUM(I219:I221)</f>
        <v>623</v>
      </c>
      <c r="J222" s="222">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2">
        <v>57</v>
      </c>
      <c r="G223" s="177">
        <v>50</v>
      </c>
      <c r="H223" s="177">
        <v>10</v>
      </c>
      <c r="I223" s="177">
        <v>-5</v>
      </c>
      <c r="J223" s="177">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2">
        <v>22</v>
      </c>
      <c r="G224" s="177">
        <v>21</v>
      </c>
      <c r="H224" s="177">
        <v>35</v>
      </c>
      <c r="I224" s="177">
        <v>25</v>
      </c>
      <c r="J224" s="177">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5">
        <f>SUM(F222:F224)</f>
        <v>833</v>
      </c>
      <c r="G225" s="216">
        <f>SUM(G222:G224)</f>
        <v>719</v>
      </c>
      <c r="H225" s="216">
        <f>SUM(H222:H224)</f>
        <v>489</v>
      </c>
      <c r="I225" s="216">
        <f>SUM(I222:I224)</f>
        <v>643</v>
      </c>
      <c r="J225" s="216">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2"/>
      <c r="G226" s="177"/>
      <c r="H226" s="177"/>
      <c r="I226" s="175"/>
      <c r="J226" s="175"/>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3">
        <f>SUM(F216,-F225)</f>
        <v>215</v>
      </c>
      <c r="G227" s="189">
        <f>SUM(G216,-G225)</f>
        <v>443</v>
      </c>
      <c r="H227" s="189">
        <f>SUM(H216,-H225)</f>
        <v>710</v>
      </c>
      <c r="I227" s="189">
        <f>SUM(I216,-I225)</f>
        <v>588</v>
      </c>
      <c r="J227" s="189">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2"/>
      <c r="G228" s="177"/>
      <c r="H228" s="177"/>
      <c r="I228" s="175"/>
      <c r="J228" s="175"/>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2">
        <v>1</v>
      </c>
      <c r="G229" s="177">
        <v>52</v>
      </c>
      <c r="H229" s="177">
        <v>0</v>
      </c>
      <c r="I229" s="175">
        <v>14</v>
      </c>
      <c r="J229" s="175">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2"/>
      <c r="G230" s="177"/>
      <c r="H230" s="177"/>
      <c r="I230" s="175"/>
      <c r="J230" s="175"/>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2"/>
      <c r="G231" s="177"/>
      <c r="H231" s="177"/>
      <c r="I231" s="177"/>
      <c r="J231" s="177"/>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0" t="s">
        <v>221</v>
      </c>
      <c r="D232" s="2" t="s">
        <v>222</v>
      </c>
      <c r="E232" s="2"/>
      <c r="F232" s="212"/>
      <c r="G232" s="177"/>
      <c r="H232" s="177"/>
      <c r="I232" s="177"/>
      <c r="J232" s="177"/>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2"/>
      <c r="G233" s="177"/>
      <c r="H233" s="177"/>
      <c r="I233" s="177">
        <v>0</v>
      </c>
      <c r="J233" s="177">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2"/>
      <c r="G234" s="177"/>
      <c r="H234" s="177"/>
      <c r="I234" s="177">
        <v>16</v>
      </c>
      <c r="J234" s="177">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5">
        <v>28</v>
      </c>
      <c r="G235" s="216">
        <v>34</v>
      </c>
      <c r="H235" s="216">
        <v>19</v>
      </c>
      <c r="I235" s="216">
        <f t="shared" ref="I235" si="53">SUM(I233:I234)</f>
        <v>16</v>
      </c>
      <c r="J235" s="216">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0" t="s">
        <v>226</v>
      </c>
      <c r="D236" s="2" t="s">
        <v>227</v>
      </c>
      <c r="E236" s="2"/>
      <c r="F236" s="212"/>
      <c r="G236" s="177"/>
      <c r="H236" s="177"/>
      <c r="I236" s="177"/>
      <c r="J236" s="177"/>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2">
        <v>125</v>
      </c>
      <c r="G237" s="177">
        <v>125</v>
      </c>
      <c r="H237" s="177">
        <v>104</v>
      </c>
      <c r="I237" s="177">
        <v>102</v>
      </c>
      <c r="J237" s="177">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2">
        <v>15</v>
      </c>
      <c r="G238" s="177">
        <v>9</v>
      </c>
      <c r="H238" s="177">
        <v>9</v>
      </c>
      <c r="I238" s="177">
        <v>6</v>
      </c>
      <c r="J238" s="177">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2">
        <v>5</v>
      </c>
      <c r="G239" s="177">
        <v>6</v>
      </c>
      <c r="H239" s="177">
        <v>8</v>
      </c>
      <c r="I239" s="177">
        <v>8</v>
      </c>
      <c r="J239" s="177">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2">
        <v>0</v>
      </c>
      <c r="G240" s="177">
        <v>1</v>
      </c>
      <c r="H240" s="177">
        <v>2</v>
      </c>
      <c r="I240" s="177">
        <v>2</v>
      </c>
      <c r="J240" s="177">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2">
        <v>17</v>
      </c>
      <c r="G241" s="177">
        <v>51</v>
      </c>
      <c r="H241" s="177">
        <v>35</v>
      </c>
      <c r="I241" s="177">
        <v>14</v>
      </c>
      <c r="J241" s="177">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4">
        <v>162</v>
      </c>
      <c r="G242" s="225">
        <f>SUM(G237:G241)</f>
        <v>192</v>
      </c>
      <c r="H242" s="225">
        <f>SUM(H237:H241)</f>
        <v>158</v>
      </c>
      <c r="I242" s="225">
        <f>SUM(I237:I241)</f>
        <v>132</v>
      </c>
      <c r="J242" s="225">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2">
        <v>0</v>
      </c>
      <c r="G243" s="177">
        <v>0</v>
      </c>
      <c r="H243" s="177">
        <v>0</v>
      </c>
      <c r="I243" s="177">
        <v>0</v>
      </c>
      <c r="J243" s="177">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5">
        <f>SUM(F242:F243)</f>
        <v>162</v>
      </c>
      <c r="G244" s="216">
        <f>SUM(G242:G243)</f>
        <v>192</v>
      </c>
      <c r="H244" s="216">
        <f>SUM(H242:H243)</f>
        <v>158</v>
      </c>
      <c r="I244" s="216">
        <f>SUM(I242:I243)</f>
        <v>132</v>
      </c>
      <c r="J244" s="216">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3.2">
      <c r="C245" s="2" t="s">
        <v>244</v>
      </c>
      <c r="D245" s="106" t="s">
        <v>245</v>
      </c>
      <c r="E245" s="106"/>
      <c r="F245" s="212">
        <v>-4</v>
      </c>
      <c r="G245" s="177">
        <v>-3</v>
      </c>
      <c r="H245" s="177">
        <v>5</v>
      </c>
      <c r="I245" s="177">
        <v>4</v>
      </c>
      <c r="J245" s="177">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2">
        <v>0</v>
      </c>
      <c r="G246" s="177">
        <v>0</v>
      </c>
      <c r="H246" s="177">
        <v>0</v>
      </c>
      <c r="I246" s="177">
        <v>0</v>
      </c>
      <c r="J246" s="177">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0">
        <f>SUM(F235,-F244,F245)</f>
        <v>-138</v>
      </c>
      <c r="G247" s="188">
        <f>SUM(G235,-G244,G245)</f>
        <v>-161</v>
      </c>
      <c r="H247" s="188">
        <f>SUM(H235,-H244,H245)</f>
        <v>-134</v>
      </c>
      <c r="I247" s="188">
        <f>SUM(I235,-I244,I245)</f>
        <v>-112</v>
      </c>
      <c r="J247" s="188">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2"/>
      <c r="G248" s="177"/>
      <c r="H248" s="177"/>
      <c r="I248" s="175"/>
      <c r="J248" s="175"/>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3">
        <f>SUM(F227,F229,F247)</f>
        <v>78</v>
      </c>
      <c r="G249" s="189">
        <f>SUM(G227,G229,G247)</f>
        <v>334</v>
      </c>
      <c r="H249" s="189">
        <f>SUM(H227,H229,H247)</f>
        <v>576</v>
      </c>
      <c r="I249" s="189">
        <f>SUM(I227,I229,I247)</f>
        <v>490</v>
      </c>
      <c r="J249" s="189">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2"/>
      <c r="G250" s="177"/>
      <c r="H250" s="177"/>
      <c r="I250" s="175"/>
      <c r="J250" s="175"/>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2"/>
      <c r="G251" s="177"/>
      <c r="H251" s="177"/>
      <c r="I251" s="175"/>
      <c r="J251" s="175"/>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2">
        <v>105</v>
      </c>
      <c r="G252" s="177">
        <v>138</v>
      </c>
      <c r="H252" s="177">
        <v>107</v>
      </c>
      <c r="I252" s="177">
        <v>146</v>
      </c>
      <c r="J252" s="177">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2">
        <v>23</v>
      </c>
      <c r="G253" s="177">
        <v>25</v>
      </c>
      <c r="H253" s="177">
        <v>26</v>
      </c>
      <c r="I253" s="177">
        <v>30</v>
      </c>
      <c r="J253" s="177">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2">
        <v>-17</v>
      </c>
      <c r="G254" s="177">
        <v>4</v>
      </c>
      <c r="H254" s="177">
        <v>-1</v>
      </c>
      <c r="I254" s="177">
        <v>2</v>
      </c>
      <c r="J254" s="177">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26">
        <f>SUM(F252:F254)</f>
        <v>111</v>
      </c>
      <c r="G255" s="227">
        <f>SUM(G252:G254)</f>
        <v>167</v>
      </c>
      <c r="H255" s="227">
        <f>SUM(H252:H254)</f>
        <v>132</v>
      </c>
      <c r="I255" s="227">
        <f>SUM(I252:I254)</f>
        <v>178</v>
      </c>
      <c r="J255" s="227">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2">
        <v>142</v>
      </c>
      <c r="G256" s="177">
        <v>44</v>
      </c>
      <c r="H256" s="177">
        <v>88</v>
      </c>
      <c r="I256" s="177">
        <v>33</v>
      </c>
      <c r="J256" s="177">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2">
        <v>-120</v>
      </c>
      <c r="G257" s="177">
        <v>-89</v>
      </c>
      <c r="H257" s="177">
        <v>-28</v>
      </c>
      <c r="I257" s="177">
        <v>-54</v>
      </c>
      <c r="J257" s="177">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28">
        <f>SUM(F255:F257)</f>
        <v>133</v>
      </c>
      <c r="G258" s="229">
        <f>SUM(G255:G257)</f>
        <v>122</v>
      </c>
      <c r="H258" s="229">
        <f>SUM(H255:H257)</f>
        <v>192</v>
      </c>
      <c r="I258" s="229">
        <f>SUM(I255:I257)</f>
        <v>157</v>
      </c>
      <c r="J258" s="229">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0">
        <f>SUM(F249,-F258)</f>
        <v>-55</v>
      </c>
      <c r="G259" s="175">
        <f>SUM(G249,-G258)</f>
        <v>212</v>
      </c>
      <c r="H259" s="175">
        <f>SUM(H249,-H258)</f>
        <v>384</v>
      </c>
      <c r="I259" s="175">
        <f>SUM(I249,-I258)</f>
        <v>333</v>
      </c>
      <c r="J259" s="175">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2">
        <v>0</v>
      </c>
      <c r="G260" s="177">
        <v>19</v>
      </c>
      <c r="H260" s="177">
        <v>-85</v>
      </c>
      <c r="I260" s="175">
        <v>21</v>
      </c>
      <c r="J260" s="175">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2"/>
      <c r="G261" s="177"/>
      <c r="H261" s="177"/>
      <c r="I261" s="175"/>
      <c r="J261" s="175"/>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0">
        <f>SUM(F259:F260)</f>
        <v>-55</v>
      </c>
      <c r="G262" s="188">
        <f>SUM(G259:G260)</f>
        <v>231</v>
      </c>
      <c r="H262" s="188">
        <f>SUM(H259:H260)</f>
        <v>299</v>
      </c>
      <c r="I262" s="188">
        <f>SUM(I259:I260)</f>
        <v>354</v>
      </c>
      <c r="J262" s="188">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2">
        <v>130</v>
      </c>
      <c r="G263" s="177">
        <v>1</v>
      </c>
      <c r="H263" s="177">
        <v>-6</v>
      </c>
      <c r="I263" s="177">
        <v>-10</v>
      </c>
      <c r="J263" s="177">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2"/>
      <c r="G264" s="177"/>
      <c r="H264" s="177"/>
      <c r="I264" s="177"/>
      <c r="J264" s="177"/>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1">
        <v>73</v>
      </c>
      <c r="G265" s="179">
        <v>232</v>
      </c>
      <c r="H265" s="179">
        <v>293</v>
      </c>
      <c r="I265" s="189">
        <f t="shared" ref="I265" si="54">SUM(I262:I263)</f>
        <v>344</v>
      </c>
      <c r="J265" s="189">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1"/>
      <c r="F274" s="1"/>
      <c r="G274" s="1"/>
      <c r="H274" s="1"/>
      <c r="I274" s="1"/>
      <c r="J274" s="1"/>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1"/>
      <c r="F275" s="1"/>
      <c r="G275" s="1"/>
      <c r="H275" s="1"/>
      <c r="I275" s="1"/>
      <c r="J275" s="1"/>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4.4"/>
  <cols>
    <col min="1" max="1" width="2.33203125" style="1" customWidth="1"/>
    <col min="2" max="2" width="64.109375" customWidth="1"/>
    <col min="3" max="3" width="61.109375" hidden="1" customWidth="1"/>
    <col min="4" max="4" width="5" customWidth="1"/>
    <col min="5" max="6" width="14.5546875" bestFit="1" customWidth="1"/>
    <col min="7" max="7" width="16.33203125" customWidth="1"/>
    <col min="8" max="9" width="14.5546875" bestFit="1" customWidth="1"/>
    <col min="10" max="11" width="11.5546875" bestFit="1" customWidth="1"/>
    <col min="13" max="13" width="11.5546875" bestFit="1" customWidth="1"/>
    <col min="15" max="15" width="11.5546875" bestFit="1" customWidth="1"/>
    <col min="17" max="17" width="11.5546875" bestFit="1" customWidth="1"/>
  </cols>
  <sheetData>
    <row r="1" spans="1:20" ht="27" customHeight="1">
      <c r="A1" s="59"/>
      <c r="B1" s="236" t="s">
        <v>308</v>
      </c>
      <c r="C1" s="118"/>
      <c r="D1" s="118"/>
      <c r="E1" s="118"/>
      <c r="F1" s="118"/>
      <c r="G1" s="118"/>
      <c r="H1" s="118"/>
      <c r="I1" s="60"/>
      <c r="J1" s="52"/>
      <c r="K1" s="52"/>
      <c r="L1" s="52"/>
      <c r="M1" s="52"/>
      <c r="N1" s="52"/>
      <c r="O1" s="52"/>
      <c r="P1" s="52"/>
      <c r="Q1" s="52"/>
      <c r="R1" s="52"/>
    </row>
    <row r="2" spans="1:20" ht="15" customHeight="1">
      <c r="A2" s="59"/>
      <c r="B2" s="237"/>
      <c r="C2" s="237"/>
      <c r="D2" s="237"/>
      <c r="E2" s="237"/>
      <c r="F2" s="237"/>
      <c r="G2" s="238" t="s">
        <v>163</v>
      </c>
      <c r="H2" s="237"/>
      <c r="I2" s="239"/>
      <c r="J2" s="52"/>
      <c r="K2" s="52"/>
      <c r="L2" s="52"/>
      <c r="M2" s="52"/>
      <c r="N2" s="52"/>
      <c r="O2" s="52"/>
      <c r="P2" s="52"/>
      <c r="Q2" s="52"/>
      <c r="R2" s="52"/>
    </row>
    <row r="3" spans="1:20" ht="18" customHeight="1" thickBot="1">
      <c r="A3" s="62"/>
      <c r="B3" s="61"/>
      <c r="C3" s="61"/>
      <c r="D3" s="122" t="s">
        <v>1</v>
      </c>
      <c r="E3" s="123">
        <v>42369</v>
      </c>
      <c r="F3" s="123">
        <v>42735</v>
      </c>
      <c r="G3" s="123">
        <v>43100</v>
      </c>
      <c r="H3" s="123">
        <v>43465</v>
      </c>
      <c r="I3" s="123">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2"/>
      <c r="F5" s="177"/>
      <c r="G5" s="177"/>
      <c r="H5" s="177"/>
      <c r="I5" s="177"/>
      <c r="J5" s="52"/>
      <c r="K5" s="52"/>
      <c r="L5" s="52"/>
      <c r="M5" s="52"/>
      <c r="N5" s="52"/>
      <c r="O5" s="52"/>
      <c r="P5" s="52"/>
      <c r="Q5" s="52"/>
      <c r="R5" s="52"/>
      <c r="T5" s="65"/>
    </row>
    <row r="6" spans="1:20">
      <c r="B6" s="2" t="s">
        <v>167</v>
      </c>
      <c r="C6" s="2" t="s">
        <v>168</v>
      </c>
      <c r="D6" s="2"/>
      <c r="E6" s="212">
        <v>3947</v>
      </c>
      <c r="F6" s="177">
        <v>3734</v>
      </c>
      <c r="G6" s="177">
        <v>4633</v>
      </c>
      <c r="H6" s="177">
        <v>5268</v>
      </c>
      <c r="I6" s="177">
        <v>6046</v>
      </c>
      <c r="J6" s="52"/>
      <c r="K6" s="52"/>
      <c r="L6" s="52"/>
      <c r="M6" s="52"/>
      <c r="N6" s="52"/>
      <c r="O6" s="52"/>
      <c r="P6" s="52"/>
      <c r="Q6" s="52"/>
      <c r="R6" s="52"/>
      <c r="T6" s="67">
        <f>(SUM(I6,-H6))/H6</f>
        <v>0.14768413059984814</v>
      </c>
    </row>
    <row r="7" spans="1:20">
      <c r="B7" s="2" t="s">
        <v>169</v>
      </c>
      <c r="C7" s="2" t="s">
        <v>170</v>
      </c>
      <c r="D7" s="2"/>
      <c r="E7" s="212">
        <v>785</v>
      </c>
      <c r="F7" s="177">
        <v>847</v>
      </c>
      <c r="G7" s="177">
        <v>957</v>
      </c>
      <c r="H7" s="177">
        <v>1003</v>
      </c>
      <c r="I7" s="177">
        <v>1076</v>
      </c>
      <c r="J7" s="52"/>
      <c r="K7" s="52"/>
      <c r="L7" s="52"/>
      <c r="M7" s="52"/>
      <c r="N7" s="52"/>
      <c r="O7" s="52"/>
      <c r="P7" s="52"/>
      <c r="Q7" s="52"/>
      <c r="R7" s="52"/>
      <c r="T7" s="67">
        <f>(SUM(I7,-H7))/H7</f>
        <v>7.278165503489531E-2</v>
      </c>
    </row>
    <row r="8" spans="1:20">
      <c r="B8" s="113" t="s">
        <v>345</v>
      </c>
      <c r="C8" s="126" t="s">
        <v>172</v>
      </c>
      <c r="D8" s="126"/>
      <c r="E8" s="213">
        <f>SUM(E6:E7)</f>
        <v>4732</v>
      </c>
      <c r="F8" s="214">
        <f>SUM(F6:F7)</f>
        <v>4581</v>
      </c>
      <c r="G8" s="214">
        <f>SUM(G6:G7)</f>
        <v>5590</v>
      </c>
      <c r="H8" s="214">
        <f>SUM(H6:H7)</f>
        <v>6271</v>
      </c>
      <c r="I8" s="214">
        <f>SUM(I6:I7)</f>
        <v>7122</v>
      </c>
      <c r="J8" s="52"/>
      <c r="K8" s="52"/>
      <c r="L8" s="52"/>
      <c r="M8" s="52"/>
      <c r="N8" s="52"/>
      <c r="O8" s="52"/>
      <c r="P8" s="52"/>
      <c r="Q8" s="52"/>
      <c r="R8" s="52"/>
      <c r="T8" s="67">
        <f>(SUM(I8,-H8))/H8</f>
        <v>0.13570403444426726</v>
      </c>
    </row>
    <row r="9" spans="1:20">
      <c r="B9" s="2" t="s">
        <v>173</v>
      </c>
      <c r="C9" s="2" t="s">
        <v>174</v>
      </c>
      <c r="D9" s="2"/>
      <c r="E9" s="212">
        <v>189</v>
      </c>
      <c r="F9" s="177">
        <v>279</v>
      </c>
      <c r="G9" s="177">
        <v>206</v>
      </c>
      <c r="H9" s="177">
        <v>223</v>
      </c>
      <c r="I9" s="177">
        <v>202</v>
      </c>
      <c r="J9" s="52"/>
      <c r="K9" s="52"/>
      <c r="L9" s="52"/>
      <c r="M9" s="52"/>
      <c r="N9" s="52"/>
      <c r="O9" s="52"/>
      <c r="P9" s="52"/>
      <c r="Q9" s="52"/>
      <c r="R9" s="52"/>
      <c r="T9" s="67">
        <f>(SUM(I9,-H9))/H9</f>
        <v>-9.417040358744394E-2</v>
      </c>
    </row>
    <row r="10" spans="1:20" ht="16.2">
      <c r="B10" s="112" t="s">
        <v>110</v>
      </c>
      <c r="C10" s="60" t="s">
        <v>175</v>
      </c>
      <c r="D10" s="60"/>
      <c r="E10" s="232">
        <f>SUM(E8:E9)</f>
        <v>4921</v>
      </c>
      <c r="F10" s="233">
        <f>SUM(F8:F9)</f>
        <v>4860</v>
      </c>
      <c r="G10" s="233">
        <f>SUM(G8:G9)</f>
        <v>5796</v>
      </c>
      <c r="H10" s="233">
        <f>SUM(H8:H9)</f>
        <v>6494</v>
      </c>
      <c r="I10" s="233">
        <f>SUM(I8:I9)</f>
        <v>7324</v>
      </c>
      <c r="J10" s="52"/>
      <c r="K10" s="52"/>
      <c r="L10" s="52"/>
      <c r="M10" s="52"/>
      <c r="N10" s="52"/>
      <c r="O10" s="52"/>
      <c r="P10" s="52"/>
      <c r="Q10" s="52"/>
      <c r="R10" s="52"/>
      <c r="T10" s="67">
        <f>(SUM(I10,-H10))/H10</f>
        <v>0.12781028641823222</v>
      </c>
    </row>
    <row r="11" spans="1:20">
      <c r="B11" s="5"/>
      <c r="C11" s="2"/>
      <c r="D11" s="2"/>
      <c r="E11" s="212"/>
      <c r="F11" s="177"/>
      <c r="G11" s="177"/>
      <c r="H11" s="175"/>
      <c r="I11" s="175"/>
      <c r="J11" s="52"/>
      <c r="K11" s="52"/>
      <c r="L11" s="52"/>
      <c r="M11" s="52"/>
      <c r="N11" s="52"/>
      <c r="O11" s="52"/>
      <c r="P11" s="52"/>
      <c r="Q11" s="52"/>
      <c r="R11" s="52"/>
      <c r="T11" s="67"/>
    </row>
    <row r="12" spans="1:20">
      <c r="B12" s="5" t="s">
        <v>309</v>
      </c>
      <c r="C12" s="2" t="s">
        <v>176</v>
      </c>
      <c r="D12" s="2"/>
      <c r="E12" s="212"/>
      <c r="F12" s="177"/>
      <c r="G12" s="177"/>
      <c r="H12" s="177"/>
      <c r="I12" s="177"/>
      <c r="J12" s="52"/>
      <c r="K12" s="52"/>
      <c r="L12" s="52"/>
      <c r="M12" s="52"/>
      <c r="N12" s="52"/>
      <c r="O12" s="52"/>
      <c r="P12" s="52"/>
      <c r="Q12" s="52"/>
      <c r="R12" s="52"/>
      <c r="T12" s="67"/>
    </row>
    <row r="13" spans="1:20">
      <c r="B13" s="2" t="s">
        <v>177</v>
      </c>
      <c r="C13" s="2" t="s">
        <v>178</v>
      </c>
      <c r="D13" s="2"/>
      <c r="E13" s="212">
        <v>2286</v>
      </c>
      <c r="F13" s="177">
        <v>2101</v>
      </c>
      <c r="G13" s="177">
        <v>2831</v>
      </c>
      <c r="H13" s="177">
        <v>3346</v>
      </c>
      <c r="I13" s="177">
        <v>4004</v>
      </c>
      <c r="J13" s="52"/>
      <c r="K13" s="52"/>
      <c r="L13" s="52"/>
      <c r="M13" s="52"/>
      <c r="N13" s="52"/>
      <c r="O13" s="52"/>
      <c r="P13" s="52"/>
      <c r="Q13" s="52"/>
      <c r="R13" s="52"/>
      <c r="T13" s="67">
        <f>(SUM(I13,-H13))/H13</f>
        <v>0.19665271966527198</v>
      </c>
    </row>
    <row r="14" spans="1:20">
      <c r="B14" s="2" t="s">
        <v>179</v>
      </c>
      <c r="C14" s="2" t="s">
        <v>180</v>
      </c>
      <c r="D14" s="2"/>
      <c r="E14" s="212">
        <v>706</v>
      </c>
      <c r="F14" s="177">
        <v>758</v>
      </c>
      <c r="G14" s="177">
        <v>850</v>
      </c>
      <c r="H14" s="177">
        <v>986</v>
      </c>
      <c r="I14" s="177">
        <v>1152</v>
      </c>
      <c r="J14" s="52"/>
      <c r="K14" s="52"/>
      <c r="L14" s="52"/>
      <c r="M14" s="52"/>
      <c r="N14" s="52"/>
      <c r="O14" s="52"/>
      <c r="P14" s="52"/>
      <c r="Q14" s="52"/>
      <c r="R14" s="52"/>
      <c r="T14" s="67">
        <f>(SUM(I14,-H14))/H14</f>
        <v>0.16835699797160245</v>
      </c>
    </row>
    <row r="15" spans="1:20">
      <c r="B15" s="11" t="s">
        <v>181</v>
      </c>
      <c r="C15" s="2" t="s">
        <v>182</v>
      </c>
      <c r="D15" s="2"/>
      <c r="E15" s="217">
        <f>SUM(E13:E14)</f>
        <v>2992</v>
      </c>
      <c r="F15" s="187">
        <f>SUM(F13:F14)</f>
        <v>2859</v>
      </c>
      <c r="G15" s="187">
        <f>SUM(G13:G14)</f>
        <v>3681</v>
      </c>
      <c r="H15" s="187">
        <f>SUM(H13:H14)</f>
        <v>4332</v>
      </c>
      <c r="I15" s="187">
        <f>SUM(I13:I14)</f>
        <v>5156</v>
      </c>
      <c r="J15" s="52"/>
      <c r="K15" s="52"/>
      <c r="L15" s="52"/>
      <c r="M15" s="52"/>
      <c r="N15" s="52"/>
      <c r="O15" s="52"/>
      <c r="P15" s="52"/>
      <c r="Q15" s="52"/>
      <c r="R15" s="52"/>
      <c r="T15" s="67">
        <f>(SUM(I15,-H15))/H15</f>
        <v>0.19021237303785779</v>
      </c>
    </row>
    <row r="16" spans="1:20">
      <c r="B16" s="2" t="s">
        <v>183</v>
      </c>
      <c r="C16" s="2" t="s">
        <v>184</v>
      </c>
      <c r="D16" s="2"/>
      <c r="E16" s="212">
        <v>252</v>
      </c>
      <c r="F16" s="177">
        <v>243</v>
      </c>
      <c r="G16" s="177">
        <v>281</v>
      </c>
      <c r="H16" s="177">
        <v>266</v>
      </c>
      <c r="I16" s="177">
        <v>234</v>
      </c>
      <c r="J16" s="52"/>
      <c r="K16" s="52"/>
      <c r="L16" s="52"/>
      <c r="M16" s="52"/>
      <c r="N16" s="52"/>
      <c r="O16" s="52"/>
      <c r="P16" s="52"/>
      <c r="Q16" s="52"/>
      <c r="R16" s="52"/>
      <c r="T16" s="67">
        <f>(SUM(I16,-H16))/H16</f>
        <v>-0.12030075187969924</v>
      </c>
    </row>
    <row r="17" spans="2:20">
      <c r="B17" s="112" t="s">
        <v>110</v>
      </c>
      <c r="C17" s="60" t="s">
        <v>185</v>
      </c>
      <c r="D17" s="60"/>
      <c r="E17" s="215">
        <f>SUM(E15:E16)</f>
        <v>3244</v>
      </c>
      <c r="F17" s="216">
        <f>SUM(F15:F16)</f>
        <v>3102</v>
      </c>
      <c r="G17" s="216">
        <f>SUM(G15:G16)</f>
        <v>3962</v>
      </c>
      <c r="H17" s="216">
        <f>SUM(H15:H16)</f>
        <v>4598</v>
      </c>
      <c r="I17" s="216">
        <f>SUM(I15:I16)</f>
        <v>5390</v>
      </c>
      <c r="J17" s="52"/>
      <c r="K17" s="52"/>
      <c r="L17" s="52"/>
      <c r="M17" s="52"/>
      <c r="N17" s="52"/>
      <c r="O17" s="52"/>
      <c r="P17" s="52"/>
      <c r="Q17" s="52"/>
      <c r="R17" s="52"/>
      <c r="T17" s="67">
        <f>(SUM(I17,-H17))/H17</f>
        <v>0.17224880382775121</v>
      </c>
    </row>
    <row r="18" spans="2:20">
      <c r="B18" s="5"/>
      <c r="C18" s="2"/>
      <c r="D18" s="2"/>
      <c r="E18" s="218"/>
      <c r="F18" s="219"/>
      <c r="G18" s="219"/>
      <c r="H18" s="219"/>
      <c r="I18" s="219"/>
      <c r="J18" s="52"/>
      <c r="K18" s="52"/>
      <c r="L18" s="52"/>
      <c r="M18" s="52"/>
      <c r="N18" s="52"/>
      <c r="O18" s="52"/>
      <c r="P18" s="52"/>
      <c r="Q18" s="52"/>
      <c r="R18" s="52"/>
      <c r="T18" s="67"/>
    </row>
    <row r="19" spans="2:20">
      <c r="B19" s="5" t="s">
        <v>310</v>
      </c>
      <c r="C19" s="2" t="s">
        <v>186</v>
      </c>
      <c r="D19" s="2"/>
      <c r="E19" s="212"/>
      <c r="F19" s="177"/>
      <c r="G19" s="177"/>
      <c r="H19" s="177"/>
      <c r="I19" s="177"/>
      <c r="J19" s="52"/>
      <c r="K19" s="52"/>
      <c r="L19" s="52"/>
      <c r="M19" s="52"/>
      <c r="N19" s="52"/>
      <c r="O19" s="52"/>
      <c r="P19" s="52"/>
      <c r="Q19" s="52"/>
      <c r="R19" s="52"/>
      <c r="T19" s="67">
        <f t="shared" ref="T19:T25" si="0">(SUM(I20,-H20))/H20</f>
        <v>6.6801619433198386E-2</v>
      </c>
    </row>
    <row r="20" spans="2:20">
      <c r="B20" s="2" t="s">
        <v>187</v>
      </c>
      <c r="C20" s="2" t="s">
        <v>188</v>
      </c>
      <c r="D20" s="2"/>
      <c r="E20" s="212">
        <v>441</v>
      </c>
      <c r="F20" s="177">
        <v>433</v>
      </c>
      <c r="G20" s="177">
        <v>471</v>
      </c>
      <c r="H20" s="177">
        <v>494</v>
      </c>
      <c r="I20" s="177">
        <v>527</v>
      </c>
      <c r="J20" s="52"/>
      <c r="K20" s="52"/>
      <c r="L20" s="52"/>
      <c r="M20" s="52"/>
      <c r="N20" s="52"/>
      <c r="O20" s="52"/>
      <c r="P20" s="52"/>
      <c r="Q20" s="52"/>
      <c r="R20" s="52"/>
      <c r="T20" s="67">
        <f t="shared" si="0"/>
        <v>3.4682080924855488E-2</v>
      </c>
    </row>
    <row r="21" spans="2:20">
      <c r="B21" s="2" t="s">
        <v>189</v>
      </c>
      <c r="C21" s="2" t="s">
        <v>190</v>
      </c>
      <c r="D21" s="2"/>
      <c r="E21" s="212">
        <v>163</v>
      </c>
      <c r="F21" s="177">
        <v>146</v>
      </c>
      <c r="G21" s="177">
        <v>160</v>
      </c>
      <c r="H21" s="177">
        <v>173</v>
      </c>
      <c r="I21" s="177">
        <v>179</v>
      </c>
      <c r="J21" s="52"/>
      <c r="K21" s="52"/>
      <c r="L21" s="52"/>
      <c r="M21" s="52"/>
      <c r="N21" s="52"/>
      <c r="O21" s="52"/>
      <c r="P21" s="52"/>
      <c r="Q21" s="52"/>
      <c r="R21" s="52"/>
      <c r="T21" s="67">
        <f t="shared" si="0"/>
        <v>0</v>
      </c>
    </row>
    <row r="22" spans="2:20">
      <c r="B22" s="2" t="s">
        <v>191</v>
      </c>
      <c r="C22" s="2" t="s">
        <v>191</v>
      </c>
      <c r="D22" s="2"/>
      <c r="E22" s="212">
        <v>25</v>
      </c>
      <c r="F22" s="177">
        <v>26</v>
      </c>
      <c r="G22" s="177">
        <v>29</v>
      </c>
      <c r="H22" s="177">
        <v>31</v>
      </c>
      <c r="I22" s="177">
        <v>31</v>
      </c>
      <c r="J22" s="52"/>
      <c r="K22" s="52"/>
      <c r="L22" s="52"/>
      <c r="M22" s="52"/>
      <c r="N22" s="52"/>
      <c r="O22" s="52"/>
      <c r="P22" s="52"/>
      <c r="Q22" s="52"/>
      <c r="R22" s="52"/>
      <c r="T22" s="67">
        <f t="shared" si="0"/>
        <v>0.27272727272727271</v>
      </c>
    </row>
    <row r="23" spans="2:20">
      <c r="B23" s="2" t="s">
        <v>192</v>
      </c>
      <c r="C23" s="2" t="s">
        <v>193</v>
      </c>
      <c r="D23" s="2"/>
      <c r="E23" s="212">
        <v>27</v>
      </c>
      <c r="F23" s="177">
        <v>36</v>
      </c>
      <c r="G23" s="177">
        <v>27</v>
      </c>
      <c r="H23" s="177">
        <v>33</v>
      </c>
      <c r="I23" s="177">
        <v>42</v>
      </c>
      <c r="J23" s="52"/>
      <c r="K23" s="52"/>
      <c r="L23" s="52"/>
      <c r="M23" s="52"/>
      <c r="N23" s="52"/>
      <c r="O23" s="52"/>
      <c r="P23" s="52"/>
      <c r="Q23" s="52"/>
      <c r="R23" s="52"/>
      <c r="T23" s="67">
        <f t="shared" si="0"/>
        <v>6.5663474692202461E-2</v>
      </c>
    </row>
    <row r="24" spans="2:20">
      <c r="B24" s="11" t="s">
        <v>194</v>
      </c>
      <c r="C24" s="2" t="s">
        <v>195</v>
      </c>
      <c r="D24" s="2"/>
      <c r="E24" s="217">
        <f>SUM(E20:E23)</f>
        <v>656</v>
      </c>
      <c r="F24" s="187">
        <f>SUM(F20:F23)</f>
        <v>641</v>
      </c>
      <c r="G24" s="187">
        <f>SUM(G20:G23)</f>
        <v>687</v>
      </c>
      <c r="H24" s="187">
        <f>SUM(H20:H23)</f>
        <v>731</v>
      </c>
      <c r="I24" s="187">
        <f>SUM(I20:I23)</f>
        <v>779</v>
      </c>
      <c r="J24" s="52"/>
      <c r="K24" s="52"/>
      <c r="L24" s="52"/>
      <c r="M24" s="52"/>
      <c r="N24" s="52"/>
      <c r="O24" s="52"/>
      <c r="P24" s="52"/>
      <c r="Q24" s="52"/>
      <c r="R24" s="52"/>
      <c r="T24" s="67">
        <f t="shared" si="0"/>
        <v>0.19696969696969696</v>
      </c>
    </row>
    <row r="25" spans="2:20">
      <c r="B25" s="2" t="s">
        <v>196</v>
      </c>
      <c r="C25" s="2" t="s">
        <v>197</v>
      </c>
      <c r="D25" s="2"/>
      <c r="E25" s="212">
        <v>-27</v>
      </c>
      <c r="F25" s="177">
        <v>-45</v>
      </c>
      <c r="G25" s="177">
        <v>-52</v>
      </c>
      <c r="H25" s="177">
        <v>-66</v>
      </c>
      <c r="I25" s="177">
        <v>-79</v>
      </c>
      <c r="J25" s="52"/>
      <c r="K25" s="52"/>
      <c r="L25" s="52"/>
      <c r="M25" s="52"/>
      <c r="N25" s="52"/>
      <c r="O25" s="52"/>
      <c r="P25" s="52"/>
      <c r="Q25" s="52"/>
      <c r="R25" s="52"/>
      <c r="T25" s="67">
        <f t="shared" si="0"/>
        <v>5.2631578947368418E-2</v>
      </c>
    </row>
    <row r="26" spans="2:20" ht="16.2">
      <c r="B26" s="112" t="s">
        <v>110</v>
      </c>
      <c r="C26" s="60" t="s">
        <v>195</v>
      </c>
      <c r="D26" s="60"/>
      <c r="E26" s="232">
        <f>SUM(E24:E25)</f>
        <v>629</v>
      </c>
      <c r="F26" s="233">
        <f>SUM(F24:F25)</f>
        <v>596</v>
      </c>
      <c r="G26" s="233">
        <f>SUM(G24:G25)</f>
        <v>635</v>
      </c>
      <c r="H26" s="233">
        <f>SUM(H24:H25)</f>
        <v>665</v>
      </c>
      <c r="I26" s="233">
        <f>SUM(I24:I25)</f>
        <v>700</v>
      </c>
      <c r="J26" s="52"/>
      <c r="K26" s="52"/>
      <c r="L26" s="52"/>
      <c r="M26" s="52"/>
      <c r="N26" s="52"/>
      <c r="O26" s="52"/>
      <c r="P26" s="52"/>
      <c r="Q26" s="52"/>
      <c r="R26" s="52"/>
      <c r="T26" s="67"/>
    </row>
    <row r="27" spans="2:20">
      <c r="B27" s="5"/>
      <c r="C27" s="2"/>
      <c r="D27" s="2"/>
      <c r="E27" s="212"/>
      <c r="F27" s="177"/>
      <c r="G27" s="177"/>
      <c r="H27" s="177"/>
      <c r="I27" s="177"/>
      <c r="J27" s="52"/>
      <c r="K27" s="52"/>
      <c r="L27" s="52"/>
      <c r="M27" s="52"/>
      <c r="N27" s="52"/>
      <c r="O27" s="52"/>
      <c r="P27" s="52"/>
      <c r="Q27" s="52"/>
      <c r="R27" s="52"/>
      <c r="T27" s="67">
        <f>(SUM(I28,-H28))/H28</f>
        <v>2.437043054427295E-3</v>
      </c>
    </row>
    <row r="28" spans="2:20">
      <c r="B28" s="12" t="s">
        <v>198</v>
      </c>
      <c r="C28" s="13" t="s">
        <v>199</v>
      </c>
      <c r="D28" s="13"/>
      <c r="E28" s="220">
        <f>SUM(E10,-E17,-E26)</f>
        <v>1048</v>
      </c>
      <c r="F28" s="188">
        <f>SUM(F10,-F17,-F26)</f>
        <v>1162</v>
      </c>
      <c r="G28" s="188">
        <f>SUM(G10,-G17,-G26)</f>
        <v>1199</v>
      </c>
      <c r="H28" s="188">
        <f>SUM(H10,-H17,-H26)</f>
        <v>1231</v>
      </c>
      <c r="I28" s="188">
        <f>SUM(I10,-I17,-I26)</f>
        <v>1234</v>
      </c>
      <c r="J28" s="52"/>
      <c r="K28" s="52"/>
      <c r="L28" s="52"/>
      <c r="M28" s="52"/>
      <c r="N28" s="52"/>
      <c r="O28" s="52"/>
      <c r="P28" s="52"/>
      <c r="Q28" s="52"/>
      <c r="R28" s="52"/>
      <c r="T28" s="67"/>
    </row>
    <row r="29" spans="2:20">
      <c r="B29" s="5"/>
      <c r="C29" s="2"/>
      <c r="D29" s="2"/>
      <c r="E29" s="212"/>
      <c r="F29" s="177"/>
      <c r="G29" s="177"/>
      <c r="H29" s="175"/>
      <c r="I29" s="175"/>
      <c r="J29" s="52"/>
      <c r="K29" s="52"/>
      <c r="L29" s="52"/>
      <c r="M29" s="52"/>
      <c r="N29" s="52"/>
      <c r="O29" s="52"/>
      <c r="P29" s="52"/>
      <c r="Q29" s="52"/>
      <c r="R29" s="52"/>
      <c r="T29" s="67"/>
    </row>
    <row r="30" spans="2:20" ht="28.8">
      <c r="B30" s="23" t="s">
        <v>200</v>
      </c>
      <c r="C30" s="2" t="s">
        <v>201</v>
      </c>
      <c r="D30" s="2"/>
      <c r="E30" s="212"/>
      <c r="F30" s="177"/>
      <c r="G30" s="177"/>
      <c r="H30" s="175"/>
      <c r="I30" s="175"/>
      <c r="J30" s="52"/>
      <c r="K30" s="52"/>
      <c r="L30" s="52"/>
      <c r="M30" s="52"/>
      <c r="N30" s="52"/>
      <c r="O30" s="52"/>
      <c r="P30" s="52"/>
      <c r="Q30" s="52"/>
      <c r="R30" s="52"/>
      <c r="T30" s="67">
        <f t="shared" ref="T30:T36" si="1">(SUM(I31,-H31))/H31</f>
        <v>0.35164835164835168</v>
      </c>
    </row>
    <row r="31" spans="2:20">
      <c r="B31" s="2" t="s">
        <v>202</v>
      </c>
      <c r="C31" s="2" t="s">
        <v>203</v>
      </c>
      <c r="D31" s="2"/>
      <c r="E31" s="212">
        <v>54</v>
      </c>
      <c r="F31" s="177">
        <v>55</v>
      </c>
      <c r="G31" s="177">
        <v>72</v>
      </c>
      <c r="H31" s="177">
        <v>91</v>
      </c>
      <c r="I31" s="177">
        <v>123</v>
      </c>
      <c r="J31" s="52"/>
      <c r="K31" s="52"/>
      <c r="L31" s="52"/>
      <c r="M31" s="52"/>
      <c r="N31" s="52"/>
      <c r="O31" s="52"/>
      <c r="P31" s="52"/>
      <c r="Q31" s="52"/>
      <c r="R31" s="52"/>
      <c r="T31" s="67">
        <f t="shared" si="1"/>
        <v>1.8817204301075269E-2</v>
      </c>
    </row>
    <row r="32" spans="2:20">
      <c r="B32" s="2" t="s">
        <v>204</v>
      </c>
      <c r="C32" s="2" t="s">
        <v>205</v>
      </c>
      <c r="D32" s="2"/>
      <c r="E32" s="212">
        <v>341</v>
      </c>
      <c r="F32" s="177">
        <v>348</v>
      </c>
      <c r="G32" s="177">
        <v>338</v>
      </c>
      <c r="H32" s="177">
        <v>372</v>
      </c>
      <c r="I32" s="177">
        <v>379</v>
      </c>
      <c r="J32" s="52"/>
      <c r="K32" s="52"/>
      <c r="L32" s="52"/>
      <c r="M32" s="52"/>
      <c r="N32" s="52"/>
      <c r="O32" s="52"/>
      <c r="P32" s="52"/>
      <c r="Q32" s="52"/>
      <c r="R32" s="52"/>
      <c r="T32" s="67">
        <f t="shared" si="1"/>
        <v>-0.94374999999999998</v>
      </c>
    </row>
    <row r="33" spans="2:20">
      <c r="B33" s="2" t="s">
        <v>206</v>
      </c>
      <c r="C33" s="2" t="s">
        <v>207</v>
      </c>
      <c r="D33" s="2"/>
      <c r="E33" s="212">
        <v>359</v>
      </c>
      <c r="F33" s="177">
        <v>245</v>
      </c>
      <c r="G33" s="177">
        <v>34</v>
      </c>
      <c r="H33" s="177">
        <v>160</v>
      </c>
      <c r="I33" s="177">
        <v>9</v>
      </c>
      <c r="J33" s="52"/>
      <c r="K33" s="52"/>
      <c r="L33" s="52"/>
      <c r="M33" s="52"/>
      <c r="N33" s="52"/>
      <c r="O33" s="52"/>
      <c r="P33" s="52"/>
      <c r="Q33" s="52"/>
      <c r="R33" s="52"/>
      <c r="T33" s="67">
        <f t="shared" si="1"/>
        <v>-0.1797752808988764</v>
      </c>
    </row>
    <row r="34" spans="2:20">
      <c r="B34" s="113" t="s">
        <v>208</v>
      </c>
      <c r="C34" s="114" t="s">
        <v>209</v>
      </c>
      <c r="D34" s="114"/>
      <c r="E34" s="221">
        <f>SUM(E31:E33)</f>
        <v>754</v>
      </c>
      <c r="F34" s="222">
        <f>SUM(F31:F33)</f>
        <v>648</v>
      </c>
      <c r="G34" s="222">
        <f>SUM(G31:G33)</f>
        <v>444</v>
      </c>
      <c r="H34" s="222">
        <f>SUM(H31:H33)</f>
        <v>623</v>
      </c>
      <c r="I34" s="222">
        <f>SUM(I31:I33)</f>
        <v>511</v>
      </c>
      <c r="J34" s="52"/>
      <c r="K34" s="52"/>
      <c r="L34" s="52"/>
      <c r="M34" s="52"/>
      <c r="N34" s="52"/>
      <c r="O34" s="52"/>
      <c r="P34" s="52"/>
      <c r="Q34" s="52"/>
      <c r="R34" s="52"/>
      <c r="T34" s="67">
        <f t="shared" si="1"/>
        <v>-5.2</v>
      </c>
    </row>
    <row r="35" spans="2:20">
      <c r="B35" s="2" t="s">
        <v>210</v>
      </c>
      <c r="C35" s="2" t="s">
        <v>211</v>
      </c>
      <c r="D35" s="2"/>
      <c r="E35" s="212">
        <v>57</v>
      </c>
      <c r="F35" s="177">
        <v>50</v>
      </c>
      <c r="G35" s="177">
        <v>10</v>
      </c>
      <c r="H35" s="177">
        <v>-5</v>
      </c>
      <c r="I35" s="177">
        <v>21</v>
      </c>
      <c r="J35" s="52"/>
      <c r="K35" s="52"/>
      <c r="L35" s="52"/>
      <c r="M35" s="52"/>
      <c r="N35" s="52"/>
      <c r="O35" s="52"/>
      <c r="P35" s="52"/>
      <c r="Q35" s="52"/>
      <c r="R35" s="52"/>
      <c r="T35" s="67">
        <f t="shared" si="1"/>
        <v>-0.4</v>
      </c>
    </row>
    <row r="36" spans="2:20">
      <c r="B36" s="2" t="s">
        <v>212</v>
      </c>
      <c r="C36" s="2" t="s">
        <v>213</v>
      </c>
      <c r="D36" s="2"/>
      <c r="E36" s="212">
        <v>22</v>
      </c>
      <c r="F36" s="177">
        <v>21</v>
      </c>
      <c r="G36" s="177">
        <v>35</v>
      </c>
      <c r="H36" s="177">
        <v>25</v>
      </c>
      <c r="I36" s="177">
        <v>15</v>
      </c>
      <c r="J36" s="52"/>
      <c r="K36" s="52"/>
      <c r="L36" s="52"/>
      <c r="M36" s="52"/>
      <c r="N36" s="52"/>
      <c r="O36" s="52"/>
      <c r="P36" s="52"/>
      <c r="Q36" s="52"/>
      <c r="R36" s="52"/>
      <c r="T36" s="67">
        <f t="shared" si="1"/>
        <v>-0.14930015552099535</v>
      </c>
    </row>
    <row r="37" spans="2:20">
      <c r="B37" s="112" t="s">
        <v>110</v>
      </c>
      <c r="C37" s="60" t="s">
        <v>214</v>
      </c>
      <c r="D37" s="60"/>
      <c r="E37" s="215">
        <f>SUM(E34:E36)</f>
        <v>833</v>
      </c>
      <c r="F37" s="216">
        <f>SUM(F34:F36)</f>
        <v>719</v>
      </c>
      <c r="G37" s="216">
        <f>SUM(G34:G36)</f>
        <v>489</v>
      </c>
      <c r="H37" s="216">
        <f>SUM(H34:H36)</f>
        <v>643</v>
      </c>
      <c r="I37" s="216">
        <f>SUM(I34:I36)</f>
        <v>547</v>
      </c>
      <c r="J37" s="52"/>
      <c r="K37" s="52"/>
      <c r="L37" s="52"/>
      <c r="M37" s="52"/>
      <c r="N37" s="52"/>
      <c r="O37" s="52"/>
      <c r="P37" s="52"/>
      <c r="Q37" s="52"/>
      <c r="R37" s="52"/>
      <c r="T37" s="67"/>
    </row>
    <row r="38" spans="2:20">
      <c r="B38" s="5"/>
      <c r="C38" s="2"/>
      <c r="D38" s="2"/>
      <c r="E38" s="212"/>
      <c r="F38" s="177"/>
      <c r="G38" s="177"/>
      <c r="H38" s="175"/>
      <c r="I38" s="175"/>
      <c r="J38" s="52"/>
      <c r="K38" s="52"/>
      <c r="L38" s="52"/>
      <c r="M38" s="52"/>
      <c r="N38" s="52"/>
      <c r="O38" s="52"/>
      <c r="P38" s="52"/>
      <c r="Q38" s="52"/>
      <c r="R38" s="52"/>
      <c r="T38" s="67">
        <f>(SUM(I39,-H39))/H39</f>
        <v>0.1683673469387755</v>
      </c>
    </row>
    <row r="39" spans="2:20">
      <c r="B39" s="21" t="s">
        <v>215</v>
      </c>
      <c r="C39" s="22" t="s">
        <v>216</v>
      </c>
      <c r="D39" s="22"/>
      <c r="E39" s="223">
        <f>SUM(E28,-E37)</f>
        <v>215</v>
      </c>
      <c r="F39" s="189">
        <f>SUM(F28,-F37)</f>
        <v>443</v>
      </c>
      <c r="G39" s="189">
        <f>SUM(G28,-G37)</f>
        <v>710</v>
      </c>
      <c r="H39" s="189">
        <f>SUM(H28,-H37)</f>
        <v>588</v>
      </c>
      <c r="I39" s="189">
        <f>SUM(I28,-I37)</f>
        <v>687</v>
      </c>
      <c r="J39" s="52"/>
      <c r="K39" s="52"/>
      <c r="L39" s="52"/>
      <c r="M39" s="52"/>
      <c r="N39" s="52"/>
      <c r="O39" s="52"/>
      <c r="P39" s="52"/>
      <c r="Q39" s="52"/>
      <c r="R39" s="52"/>
      <c r="T39" s="67"/>
    </row>
    <row r="40" spans="2:20">
      <c r="B40" s="5"/>
      <c r="C40" s="2"/>
      <c r="D40" s="2"/>
      <c r="E40" s="212"/>
      <c r="F40" s="177"/>
      <c r="G40" s="177"/>
      <c r="H40" s="175"/>
      <c r="I40" s="175"/>
      <c r="J40" s="52"/>
      <c r="K40" s="52"/>
      <c r="L40" s="52"/>
      <c r="M40" s="52"/>
      <c r="N40" s="52"/>
      <c r="O40" s="52"/>
      <c r="P40" s="52"/>
      <c r="Q40" s="52"/>
      <c r="R40" s="52"/>
      <c r="T40" s="67">
        <f>(SUM(I41,-H41))/H41</f>
        <v>-0.7142857142857143</v>
      </c>
    </row>
    <row r="41" spans="2:20">
      <c r="B41" s="5" t="s">
        <v>217</v>
      </c>
      <c r="C41" s="2" t="s">
        <v>218</v>
      </c>
      <c r="D41" s="2"/>
      <c r="E41" s="212">
        <v>1</v>
      </c>
      <c r="F41" s="177">
        <v>52</v>
      </c>
      <c r="G41" s="177">
        <v>0</v>
      </c>
      <c r="H41" s="175">
        <v>14</v>
      </c>
      <c r="I41" s="175">
        <v>4</v>
      </c>
      <c r="J41" s="52"/>
      <c r="K41" s="52"/>
      <c r="L41" s="52"/>
      <c r="M41" s="52"/>
      <c r="N41" s="52"/>
      <c r="O41" s="52"/>
      <c r="P41" s="52"/>
      <c r="Q41" s="52"/>
      <c r="R41" s="52"/>
      <c r="T41" s="67"/>
    </row>
    <row r="42" spans="2:20">
      <c r="B42" s="5"/>
      <c r="C42" s="2"/>
      <c r="D42" s="2"/>
      <c r="E42" s="212"/>
      <c r="F42" s="177"/>
      <c r="G42" s="177"/>
      <c r="H42" s="175"/>
      <c r="I42" s="175"/>
      <c r="J42" s="52"/>
      <c r="K42" s="52"/>
      <c r="L42" s="52"/>
      <c r="M42" s="52"/>
      <c r="N42" s="52"/>
      <c r="O42" s="52"/>
      <c r="P42" s="52"/>
      <c r="Q42" s="52"/>
      <c r="R42" s="52"/>
      <c r="T42" s="67"/>
    </row>
    <row r="43" spans="2:20">
      <c r="B43" s="5" t="s">
        <v>219</v>
      </c>
      <c r="C43" s="2" t="s">
        <v>220</v>
      </c>
      <c r="D43" s="2"/>
      <c r="E43" s="212"/>
      <c r="F43" s="177"/>
      <c r="G43" s="177"/>
      <c r="H43" s="177"/>
      <c r="I43" s="177"/>
      <c r="J43" s="52"/>
      <c r="K43" s="52"/>
      <c r="L43" s="52"/>
      <c r="M43" s="52"/>
      <c r="N43" s="52"/>
      <c r="O43" s="52"/>
      <c r="P43" s="52"/>
      <c r="Q43" s="52"/>
      <c r="R43" s="52"/>
      <c r="T43" s="67"/>
    </row>
    <row r="44" spans="2:20">
      <c r="B44" s="170" t="s">
        <v>221</v>
      </c>
      <c r="C44" s="2" t="s">
        <v>222</v>
      </c>
      <c r="D44" s="2"/>
      <c r="E44" s="212"/>
      <c r="F44" s="177"/>
      <c r="G44" s="177"/>
      <c r="H44" s="177"/>
      <c r="I44" s="177"/>
      <c r="J44" s="52"/>
      <c r="K44" s="52"/>
      <c r="L44" s="52"/>
      <c r="M44" s="52"/>
      <c r="N44" s="52"/>
      <c r="O44" s="52"/>
      <c r="P44" s="52"/>
      <c r="Q44" s="52"/>
      <c r="R44" s="52"/>
      <c r="T44" s="67"/>
    </row>
    <row r="45" spans="2:20">
      <c r="B45" s="2" t="s">
        <v>223</v>
      </c>
      <c r="C45" s="2"/>
      <c r="D45" s="2"/>
      <c r="E45" s="212"/>
      <c r="F45" s="177"/>
      <c r="G45" s="177"/>
      <c r="H45" s="177">
        <v>0</v>
      </c>
      <c r="I45" s="177">
        <v>4</v>
      </c>
      <c r="J45" s="52"/>
      <c r="K45" s="52"/>
      <c r="L45" s="52"/>
      <c r="M45" s="52"/>
      <c r="N45" s="52"/>
      <c r="O45" s="52"/>
      <c r="P45" s="52"/>
      <c r="Q45" s="52"/>
      <c r="R45" s="52"/>
      <c r="T45" s="67">
        <f>(SUM(I46,-H46))/H46</f>
        <v>-0.25</v>
      </c>
    </row>
    <row r="46" spans="2:20">
      <c r="B46" s="2" t="s">
        <v>224</v>
      </c>
      <c r="C46" s="2"/>
      <c r="D46" s="2"/>
      <c r="E46" s="212"/>
      <c r="F46" s="177"/>
      <c r="G46" s="177"/>
      <c r="H46" s="177">
        <v>16</v>
      </c>
      <c r="I46" s="177">
        <v>12</v>
      </c>
      <c r="J46" s="52"/>
      <c r="K46" s="52"/>
      <c r="L46" s="52"/>
      <c r="M46" s="52"/>
      <c r="N46" s="52"/>
      <c r="O46" s="52"/>
      <c r="P46" s="52"/>
      <c r="Q46" s="52"/>
      <c r="R46" s="52"/>
      <c r="T46" s="67">
        <f>(SUM(I47,-H47))/H47</f>
        <v>0</v>
      </c>
    </row>
    <row r="47" spans="2:20">
      <c r="B47" s="112" t="s">
        <v>110</v>
      </c>
      <c r="C47" s="110"/>
      <c r="D47" s="110"/>
      <c r="E47" s="215">
        <v>28</v>
      </c>
      <c r="F47" s="216">
        <v>34</v>
      </c>
      <c r="G47" s="216">
        <v>19</v>
      </c>
      <c r="H47" s="216">
        <f t="shared" ref="H47" si="2">SUM(H45:H46)</f>
        <v>16</v>
      </c>
      <c r="I47" s="216">
        <f>SUM(I45:I46)</f>
        <v>16</v>
      </c>
      <c r="J47" s="52"/>
      <c r="K47" s="52"/>
      <c r="L47" s="52"/>
      <c r="M47" s="52"/>
      <c r="N47" s="52"/>
      <c r="O47" s="52"/>
      <c r="P47" s="52"/>
      <c r="Q47" s="52"/>
      <c r="R47" s="52"/>
      <c r="T47" s="67"/>
    </row>
    <row r="48" spans="2:20">
      <c r="B48" s="170" t="s">
        <v>226</v>
      </c>
      <c r="C48" s="2" t="s">
        <v>227</v>
      </c>
      <c r="D48" s="2"/>
      <c r="E48" s="212"/>
      <c r="F48" s="177"/>
      <c r="G48" s="177"/>
      <c r="H48" s="177"/>
      <c r="I48" s="177"/>
      <c r="J48" s="52"/>
      <c r="K48" s="52"/>
      <c r="L48" s="52"/>
      <c r="M48" s="52"/>
      <c r="N48" s="52"/>
      <c r="O48" s="52"/>
      <c r="P48" s="52"/>
      <c r="Q48" s="52"/>
      <c r="R48" s="52"/>
      <c r="T48" s="67">
        <f t="shared" ref="T48:T53" si="3">(SUM(I49,-H49))/H49</f>
        <v>-7.8431372549019607E-2</v>
      </c>
    </row>
    <row r="49" spans="2:20">
      <c r="B49" s="2" t="s">
        <v>228</v>
      </c>
      <c r="C49" s="2" t="s">
        <v>229</v>
      </c>
      <c r="D49" s="2"/>
      <c r="E49" s="212">
        <v>125</v>
      </c>
      <c r="F49" s="177">
        <v>125</v>
      </c>
      <c r="G49" s="177">
        <v>104</v>
      </c>
      <c r="H49" s="177">
        <v>102</v>
      </c>
      <c r="I49" s="177">
        <v>94</v>
      </c>
      <c r="J49" s="52"/>
      <c r="K49" s="52"/>
      <c r="L49" s="52"/>
      <c r="M49" s="52"/>
      <c r="N49" s="52"/>
      <c r="O49" s="52"/>
      <c r="P49" s="52"/>
      <c r="Q49" s="52"/>
      <c r="R49" s="52"/>
      <c r="T49" s="67">
        <f t="shared" si="3"/>
        <v>-0.33333333333333331</v>
      </c>
    </row>
    <row r="50" spans="2:20">
      <c r="B50" s="2" t="s">
        <v>230</v>
      </c>
      <c r="C50" s="2" t="s">
        <v>231</v>
      </c>
      <c r="D50" s="2"/>
      <c r="E50" s="212">
        <v>15</v>
      </c>
      <c r="F50" s="177">
        <v>9</v>
      </c>
      <c r="G50" s="177">
        <v>9</v>
      </c>
      <c r="H50" s="177">
        <v>6</v>
      </c>
      <c r="I50" s="177">
        <v>4</v>
      </c>
      <c r="J50" s="52"/>
      <c r="K50" s="52"/>
      <c r="L50" s="52"/>
      <c r="M50" s="52"/>
      <c r="N50" s="52"/>
      <c r="O50" s="52"/>
      <c r="P50" s="52"/>
      <c r="Q50" s="52"/>
      <c r="R50" s="52"/>
      <c r="T50" s="67">
        <f t="shared" si="3"/>
        <v>-0.125</v>
      </c>
    </row>
    <row r="51" spans="2:20">
      <c r="B51" s="2" t="s">
        <v>232</v>
      </c>
      <c r="C51" s="2" t="s">
        <v>233</v>
      </c>
      <c r="D51" s="2"/>
      <c r="E51" s="212">
        <v>5</v>
      </c>
      <c r="F51" s="177">
        <v>6</v>
      </c>
      <c r="G51" s="177">
        <v>8</v>
      </c>
      <c r="H51" s="177">
        <v>8</v>
      </c>
      <c r="I51" s="177">
        <v>7</v>
      </c>
      <c r="J51" s="52"/>
      <c r="K51" s="52"/>
      <c r="L51" s="52"/>
      <c r="M51" s="52"/>
      <c r="N51" s="52"/>
      <c r="O51" s="52"/>
      <c r="P51" s="52"/>
      <c r="Q51" s="52"/>
      <c r="R51" s="52"/>
      <c r="T51" s="67">
        <f t="shared" si="3"/>
        <v>-0.5</v>
      </c>
    </row>
    <row r="52" spans="2:20">
      <c r="B52" s="2" t="s">
        <v>234</v>
      </c>
      <c r="C52" s="2" t="s">
        <v>235</v>
      </c>
      <c r="D52" s="2"/>
      <c r="E52" s="212">
        <v>0</v>
      </c>
      <c r="F52" s="177">
        <v>1</v>
      </c>
      <c r="G52" s="177">
        <v>2</v>
      </c>
      <c r="H52" s="177">
        <v>2</v>
      </c>
      <c r="I52" s="177">
        <v>1</v>
      </c>
      <c r="J52" s="52"/>
      <c r="K52" s="52"/>
      <c r="L52" s="52"/>
      <c r="M52" s="52"/>
      <c r="N52" s="52"/>
      <c r="O52" s="52"/>
      <c r="P52" s="52"/>
      <c r="Q52" s="52"/>
      <c r="R52" s="52"/>
      <c r="T52" s="67">
        <f t="shared" si="3"/>
        <v>0.7142857142857143</v>
      </c>
    </row>
    <row r="53" spans="2:20">
      <c r="B53" s="2" t="s">
        <v>236</v>
      </c>
      <c r="C53" s="2" t="s">
        <v>237</v>
      </c>
      <c r="D53" s="2"/>
      <c r="E53" s="212">
        <v>17</v>
      </c>
      <c r="F53" s="177">
        <v>51</v>
      </c>
      <c r="G53" s="177">
        <v>35</v>
      </c>
      <c r="H53" s="177">
        <v>14</v>
      </c>
      <c r="I53" s="177">
        <v>24</v>
      </c>
      <c r="J53" s="52"/>
      <c r="K53" s="52"/>
      <c r="L53" s="52"/>
      <c r="M53" s="52"/>
      <c r="N53" s="52"/>
      <c r="O53" s="52"/>
      <c r="P53" s="52"/>
      <c r="Q53" s="52"/>
      <c r="R53" s="52"/>
      <c r="T53" s="67">
        <f t="shared" si="3"/>
        <v>-1.5151515151515152E-2</v>
      </c>
    </row>
    <row r="54" spans="2:20">
      <c r="B54" s="115" t="s">
        <v>110</v>
      </c>
      <c r="C54" s="114" t="s">
        <v>239</v>
      </c>
      <c r="D54" s="114"/>
      <c r="E54" s="224">
        <v>162</v>
      </c>
      <c r="F54" s="225">
        <f>SUM(F49:F53)</f>
        <v>192</v>
      </c>
      <c r="G54" s="225">
        <f>SUM(G49:G53)</f>
        <v>158</v>
      </c>
      <c r="H54" s="225">
        <f>SUM(H49:H53)</f>
        <v>132</v>
      </c>
      <c r="I54" s="225">
        <f>SUM(I49:I53)</f>
        <v>130</v>
      </c>
      <c r="J54" s="52"/>
      <c r="K54" s="52"/>
      <c r="L54" s="52"/>
      <c r="M54" s="52"/>
      <c r="N54" s="52"/>
      <c r="O54" s="52"/>
      <c r="P54" s="52"/>
      <c r="Q54" s="52"/>
      <c r="R54" s="52"/>
      <c r="T54" s="67"/>
    </row>
    <row r="55" spans="2:20">
      <c r="B55" s="2" t="s">
        <v>240</v>
      </c>
      <c r="C55" s="2" t="s">
        <v>241</v>
      </c>
      <c r="D55" s="2"/>
      <c r="E55" s="212">
        <v>0</v>
      </c>
      <c r="F55" s="177">
        <v>0</v>
      </c>
      <c r="G55" s="177">
        <v>0</v>
      </c>
      <c r="H55" s="177">
        <v>0</v>
      </c>
      <c r="I55" s="177">
        <v>0</v>
      </c>
      <c r="J55" s="52"/>
      <c r="K55" s="52"/>
      <c r="L55" s="52"/>
      <c r="M55" s="52"/>
      <c r="N55" s="52"/>
      <c r="O55" s="52"/>
      <c r="P55" s="52"/>
      <c r="Q55" s="52"/>
      <c r="R55" s="52"/>
      <c r="T55" s="67">
        <f>(SUM(I56,-H56))/H56</f>
        <v>-1.5151515151515152E-2</v>
      </c>
    </row>
    <row r="56" spans="2:20">
      <c r="B56" s="112" t="s">
        <v>110</v>
      </c>
      <c r="C56" s="110" t="s">
        <v>243</v>
      </c>
      <c r="D56" s="110"/>
      <c r="E56" s="215">
        <f>SUM(E54:E55)</f>
        <v>162</v>
      </c>
      <c r="F56" s="216">
        <f>SUM(F54:F55)</f>
        <v>192</v>
      </c>
      <c r="G56" s="216">
        <f>SUM(G54:G55)</f>
        <v>158</v>
      </c>
      <c r="H56" s="216">
        <f>SUM(H54:H55)</f>
        <v>132</v>
      </c>
      <c r="I56" s="216">
        <f>SUM(I54:I55)</f>
        <v>130</v>
      </c>
      <c r="J56" s="52"/>
      <c r="K56" s="52"/>
      <c r="L56" s="52"/>
      <c r="M56" s="52"/>
      <c r="N56" s="52"/>
      <c r="O56" s="52"/>
      <c r="P56" s="52"/>
      <c r="Q56" s="52"/>
      <c r="R56" s="52"/>
      <c r="T56" s="67">
        <f>(SUM(I57,-H57))/H57</f>
        <v>0</v>
      </c>
    </row>
    <row r="57" spans="2:20" ht="24" customHeight="1">
      <c r="B57" s="2" t="s">
        <v>244</v>
      </c>
      <c r="C57" s="106" t="s">
        <v>245</v>
      </c>
      <c r="D57" s="106"/>
      <c r="E57" s="212">
        <v>-4</v>
      </c>
      <c r="F57" s="177">
        <v>-3</v>
      </c>
      <c r="G57" s="177">
        <v>5</v>
      </c>
      <c r="H57" s="177">
        <v>4</v>
      </c>
      <c r="I57" s="177">
        <v>4</v>
      </c>
      <c r="J57" s="52"/>
      <c r="K57" s="52"/>
      <c r="L57" s="52"/>
      <c r="M57" s="52"/>
      <c r="N57" s="52"/>
      <c r="O57" s="52"/>
      <c r="P57" s="52"/>
      <c r="Q57" s="52"/>
      <c r="R57" s="52"/>
      <c r="T57" s="67"/>
    </row>
    <row r="58" spans="2:20">
      <c r="B58" s="2" t="s">
        <v>246</v>
      </c>
      <c r="C58" s="2" t="s">
        <v>247</v>
      </c>
      <c r="D58" s="2"/>
      <c r="E58" s="212">
        <v>0</v>
      </c>
      <c r="F58" s="177">
        <v>0</v>
      </c>
      <c r="G58" s="177">
        <v>0</v>
      </c>
      <c r="H58" s="177">
        <v>0</v>
      </c>
      <c r="I58" s="177">
        <v>0</v>
      </c>
      <c r="J58" s="52"/>
      <c r="K58" s="52"/>
      <c r="L58" s="52"/>
      <c r="M58" s="52"/>
      <c r="N58" s="52"/>
      <c r="O58" s="52"/>
      <c r="P58" s="52"/>
      <c r="Q58" s="52"/>
      <c r="R58" s="52"/>
      <c r="T58" s="67">
        <f>(SUM(I59,-H59))/H59</f>
        <v>-1.7857142857142856E-2</v>
      </c>
    </row>
    <row r="59" spans="2:20">
      <c r="B59" s="12" t="s">
        <v>248</v>
      </c>
      <c r="C59" s="13" t="s">
        <v>249</v>
      </c>
      <c r="D59" s="13"/>
      <c r="E59" s="220">
        <f>SUM(E47,-E56,E57)</f>
        <v>-138</v>
      </c>
      <c r="F59" s="188">
        <f>SUM(F47,-F56,F57)</f>
        <v>-161</v>
      </c>
      <c r="G59" s="188">
        <f>SUM(G47,-G56,G57)</f>
        <v>-134</v>
      </c>
      <c r="H59" s="188">
        <f>SUM(H47,-H56,H57)</f>
        <v>-112</v>
      </c>
      <c r="I59" s="188">
        <f>SUM(I47,-I56,I57)</f>
        <v>-110</v>
      </c>
      <c r="J59" s="52"/>
      <c r="K59" s="52"/>
      <c r="L59" s="52"/>
      <c r="M59" s="52"/>
      <c r="N59" s="52"/>
      <c r="O59" s="52"/>
      <c r="P59" s="52"/>
      <c r="Q59" s="52"/>
      <c r="R59" s="52"/>
      <c r="T59" s="67"/>
    </row>
    <row r="60" spans="2:20">
      <c r="B60" s="5"/>
      <c r="C60" s="2"/>
      <c r="D60" s="2"/>
      <c r="E60" s="212"/>
      <c r="F60" s="177"/>
      <c r="G60" s="177"/>
      <c r="H60" s="175"/>
      <c r="I60" s="175"/>
      <c r="J60" s="52"/>
      <c r="K60" s="52"/>
      <c r="L60" s="52"/>
      <c r="M60" s="52"/>
      <c r="N60" s="52"/>
      <c r="O60" s="52"/>
      <c r="P60" s="52"/>
      <c r="Q60" s="52"/>
      <c r="R60" s="52"/>
      <c r="T60" s="67">
        <f>(SUM(I61,-H61))/H61</f>
        <v>0.18571428571428572</v>
      </c>
    </row>
    <row r="61" spans="2:20">
      <c r="B61" s="21" t="s">
        <v>250</v>
      </c>
      <c r="C61" s="22" t="s">
        <v>251</v>
      </c>
      <c r="D61" s="22"/>
      <c r="E61" s="223">
        <f>SUM(E39,E41,E59)</f>
        <v>78</v>
      </c>
      <c r="F61" s="189">
        <f>SUM(F39,F41,F59)</f>
        <v>334</v>
      </c>
      <c r="G61" s="189">
        <f>SUM(G39,G41,G59)</f>
        <v>576</v>
      </c>
      <c r="H61" s="189">
        <f>SUM(H39,H41,H59)</f>
        <v>490</v>
      </c>
      <c r="I61" s="189">
        <f>SUM(I39,I41,I59)</f>
        <v>581</v>
      </c>
      <c r="J61" s="52"/>
      <c r="K61" s="52"/>
      <c r="L61" s="52"/>
      <c r="M61" s="52"/>
      <c r="N61" s="52"/>
      <c r="O61" s="52"/>
      <c r="P61" s="52"/>
      <c r="Q61" s="52"/>
      <c r="R61" s="52"/>
      <c r="T61" s="67"/>
    </row>
    <row r="62" spans="2:20">
      <c r="B62" s="5"/>
      <c r="C62" s="2"/>
      <c r="D62" s="2"/>
      <c r="E62" s="212"/>
      <c r="F62" s="177"/>
      <c r="G62" s="177"/>
      <c r="H62" s="175"/>
      <c r="I62" s="175"/>
      <c r="J62" s="52"/>
      <c r="K62" s="52"/>
      <c r="L62" s="52"/>
      <c r="M62" s="52"/>
      <c r="N62" s="52"/>
      <c r="O62" s="52"/>
      <c r="P62" s="52"/>
      <c r="Q62" s="52"/>
      <c r="R62" s="52"/>
      <c r="T62" s="67"/>
    </row>
    <row r="63" spans="2:20">
      <c r="B63" s="5" t="s">
        <v>252</v>
      </c>
      <c r="C63" s="2" t="s">
        <v>253</v>
      </c>
      <c r="D63" s="2"/>
      <c r="E63" s="212"/>
      <c r="F63" s="177"/>
      <c r="G63" s="177"/>
      <c r="H63" s="175"/>
      <c r="I63" s="175"/>
      <c r="J63" s="52"/>
      <c r="K63" s="52"/>
      <c r="L63" s="52"/>
      <c r="M63" s="52"/>
      <c r="N63" s="52"/>
      <c r="O63" s="52"/>
      <c r="P63" s="52"/>
      <c r="Q63" s="52"/>
      <c r="R63" s="52"/>
      <c r="T63" s="67">
        <f t="shared" ref="T63:T71" si="4">(SUM(I64,-H64))/H64</f>
        <v>6.8493150684931503E-3</v>
      </c>
    </row>
    <row r="64" spans="2:20">
      <c r="B64" s="2" t="s">
        <v>254</v>
      </c>
      <c r="C64" s="2" t="s">
        <v>255</v>
      </c>
      <c r="D64" s="2"/>
      <c r="E64" s="212">
        <v>105</v>
      </c>
      <c r="F64" s="177">
        <v>138</v>
      </c>
      <c r="G64" s="177">
        <v>107</v>
      </c>
      <c r="H64" s="177">
        <v>146</v>
      </c>
      <c r="I64" s="177">
        <v>147</v>
      </c>
      <c r="J64" s="52"/>
      <c r="K64" s="52"/>
      <c r="L64" s="52"/>
      <c r="M64" s="52"/>
      <c r="N64" s="52"/>
      <c r="O64" s="52"/>
      <c r="P64" s="52"/>
      <c r="Q64" s="52"/>
      <c r="R64" s="52"/>
      <c r="T64" s="67">
        <f t="shared" si="4"/>
        <v>0</v>
      </c>
    </row>
    <row r="65" spans="2:20">
      <c r="B65" s="2" t="s">
        <v>256</v>
      </c>
      <c r="C65" s="2" t="s">
        <v>257</v>
      </c>
      <c r="D65" s="2"/>
      <c r="E65" s="212">
        <v>23</v>
      </c>
      <c r="F65" s="177">
        <v>25</v>
      </c>
      <c r="G65" s="177">
        <v>26</v>
      </c>
      <c r="H65" s="177">
        <v>30</v>
      </c>
      <c r="I65" s="177">
        <v>30</v>
      </c>
      <c r="J65" s="52"/>
      <c r="K65" s="52"/>
      <c r="L65" s="52"/>
      <c r="M65" s="52"/>
      <c r="N65" s="52"/>
      <c r="O65" s="52"/>
      <c r="P65" s="52"/>
      <c r="Q65" s="52"/>
      <c r="R65" s="52"/>
      <c r="T65" s="67">
        <f t="shared" si="4"/>
        <v>1.5</v>
      </c>
    </row>
    <row r="66" spans="2:20">
      <c r="B66" s="2" t="s">
        <v>258</v>
      </c>
      <c r="C66" s="2" t="s">
        <v>259</v>
      </c>
      <c r="D66" s="2"/>
      <c r="E66" s="212">
        <v>-17</v>
      </c>
      <c r="F66" s="177">
        <v>4</v>
      </c>
      <c r="G66" s="177">
        <v>-1</v>
      </c>
      <c r="H66" s="177">
        <v>2</v>
      </c>
      <c r="I66" s="177">
        <v>5</v>
      </c>
      <c r="J66" s="52"/>
      <c r="K66" s="52"/>
      <c r="L66" s="52"/>
      <c r="M66" s="52"/>
      <c r="N66" s="52"/>
      <c r="O66" s="52"/>
      <c r="P66" s="52"/>
      <c r="Q66" s="52"/>
      <c r="R66" s="52"/>
      <c r="T66" s="67">
        <f t="shared" si="4"/>
        <v>2.247191011235955E-2</v>
      </c>
    </row>
    <row r="67" spans="2:20">
      <c r="B67" s="111" t="s">
        <v>260</v>
      </c>
      <c r="C67" s="60" t="s">
        <v>261</v>
      </c>
      <c r="D67" s="60"/>
      <c r="E67" s="226">
        <f>SUM(E64:E66)</f>
        <v>111</v>
      </c>
      <c r="F67" s="227">
        <f>SUM(F64:F66)</f>
        <v>167</v>
      </c>
      <c r="G67" s="227">
        <f>SUM(G64:G66)</f>
        <v>132</v>
      </c>
      <c r="H67" s="227">
        <f>SUM(H64:H66)</f>
        <v>178</v>
      </c>
      <c r="I67" s="227">
        <f>SUM(I64:I66)</f>
        <v>182</v>
      </c>
      <c r="J67" s="52"/>
      <c r="K67" s="52"/>
      <c r="L67" s="52"/>
      <c r="M67" s="52"/>
      <c r="N67" s="52"/>
      <c r="O67" s="52"/>
      <c r="P67" s="52"/>
      <c r="Q67" s="52"/>
      <c r="R67" s="52"/>
      <c r="T67" s="67">
        <f t="shared" si="4"/>
        <v>1.1515151515151516</v>
      </c>
    </row>
    <row r="68" spans="2:20">
      <c r="B68" s="2" t="s">
        <v>33</v>
      </c>
      <c r="C68" s="2" t="s">
        <v>262</v>
      </c>
      <c r="D68" s="2"/>
      <c r="E68" s="212">
        <v>142</v>
      </c>
      <c r="F68" s="177">
        <v>44</v>
      </c>
      <c r="G68" s="177">
        <v>88</v>
      </c>
      <c r="H68" s="177">
        <v>33</v>
      </c>
      <c r="I68" s="177">
        <v>71</v>
      </c>
      <c r="J68" s="52"/>
      <c r="K68" s="52"/>
      <c r="L68" s="52"/>
      <c r="M68" s="52"/>
      <c r="N68" s="52"/>
      <c r="O68" s="52"/>
      <c r="P68" s="52"/>
      <c r="Q68" s="52"/>
      <c r="R68" s="52"/>
      <c r="T68" s="67">
        <f t="shared" si="4"/>
        <v>0.18518518518518517</v>
      </c>
    </row>
    <row r="69" spans="2:20">
      <c r="B69" s="2" t="s">
        <v>263</v>
      </c>
      <c r="C69" s="2" t="s">
        <v>264</v>
      </c>
      <c r="D69" s="2"/>
      <c r="E69" s="212">
        <v>-120</v>
      </c>
      <c r="F69" s="177">
        <v>-89</v>
      </c>
      <c r="G69" s="177">
        <v>-28</v>
      </c>
      <c r="H69" s="177">
        <v>-54</v>
      </c>
      <c r="I69" s="177">
        <v>-64</v>
      </c>
      <c r="J69" s="52"/>
      <c r="K69" s="52"/>
      <c r="L69" s="52"/>
      <c r="M69" s="52"/>
      <c r="N69" s="52"/>
      <c r="O69" s="52"/>
      <c r="P69" s="52"/>
      <c r="Q69" s="52"/>
      <c r="R69" s="52"/>
      <c r="T69" s="67">
        <f t="shared" si="4"/>
        <v>0.20382165605095542</v>
      </c>
    </row>
    <row r="70" spans="2:20">
      <c r="B70" s="116" t="s">
        <v>265</v>
      </c>
      <c r="C70" s="117" t="s">
        <v>266</v>
      </c>
      <c r="D70" s="117"/>
      <c r="E70" s="228">
        <f>SUM(E67:E69)</f>
        <v>133</v>
      </c>
      <c r="F70" s="229">
        <f>SUM(F67:F69)</f>
        <v>122</v>
      </c>
      <c r="G70" s="229">
        <f>SUM(G67:G69)</f>
        <v>192</v>
      </c>
      <c r="H70" s="229">
        <f>SUM(H67:H69)</f>
        <v>157</v>
      </c>
      <c r="I70" s="229">
        <f>SUM(I67:I69)</f>
        <v>189</v>
      </c>
      <c r="J70" s="52"/>
      <c r="K70" s="52"/>
      <c r="L70" s="52"/>
      <c r="M70" s="52"/>
      <c r="N70" s="52"/>
      <c r="O70" s="52"/>
      <c r="P70" s="52"/>
      <c r="Q70" s="52"/>
      <c r="R70" s="52"/>
      <c r="T70" s="67">
        <f t="shared" si="4"/>
        <v>0.17717717717717718</v>
      </c>
    </row>
    <row r="71" spans="2:20">
      <c r="B71" s="5" t="s">
        <v>267</v>
      </c>
      <c r="C71" s="2" t="s">
        <v>268</v>
      </c>
      <c r="D71" s="2"/>
      <c r="E71" s="230">
        <f>SUM(E61,-E70)</f>
        <v>-55</v>
      </c>
      <c r="F71" s="175">
        <f>SUM(F61,-F70)</f>
        <v>212</v>
      </c>
      <c r="G71" s="175">
        <f>SUM(G61,-G70)</f>
        <v>384</v>
      </c>
      <c r="H71" s="175">
        <f>SUM(H61,-H70)</f>
        <v>333</v>
      </c>
      <c r="I71" s="175">
        <f>SUM(I61,-I70)</f>
        <v>392</v>
      </c>
      <c r="J71" s="52"/>
      <c r="K71" s="52"/>
      <c r="L71" s="52"/>
      <c r="M71" s="52"/>
      <c r="N71" s="52"/>
      <c r="O71" s="52"/>
      <c r="P71" s="52"/>
      <c r="Q71" s="52"/>
      <c r="R71" s="52"/>
      <c r="T71" s="67">
        <f t="shared" si="4"/>
        <v>-0.95238095238095233</v>
      </c>
    </row>
    <row r="72" spans="2:20">
      <c r="B72" s="5" t="s">
        <v>269</v>
      </c>
      <c r="C72" s="2" t="s">
        <v>270</v>
      </c>
      <c r="D72" s="2"/>
      <c r="E72" s="212">
        <v>0</v>
      </c>
      <c r="F72" s="177">
        <v>19</v>
      </c>
      <c r="G72" s="177">
        <v>-85</v>
      </c>
      <c r="H72" s="175">
        <v>21</v>
      </c>
      <c r="I72" s="175">
        <v>1</v>
      </c>
      <c r="J72" s="52"/>
      <c r="K72" s="52"/>
      <c r="L72" s="52"/>
      <c r="M72" s="52"/>
      <c r="N72" s="52"/>
      <c r="O72" s="52"/>
      <c r="P72" s="52"/>
      <c r="Q72" s="52"/>
      <c r="R72" s="52"/>
      <c r="T72" s="67"/>
    </row>
    <row r="73" spans="2:20">
      <c r="B73" s="5"/>
      <c r="C73" s="2"/>
      <c r="D73" s="2"/>
      <c r="E73" s="212"/>
      <c r="F73" s="177"/>
      <c r="G73" s="177"/>
      <c r="H73" s="175"/>
      <c r="I73" s="175"/>
      <c r="J73" s="52"/>
      <c r="K73" s="52"/>
      <c r="L73" s="52"/>
      <c r="M73" s="52"/>
      <c r="N73" s="52"/>
      <c r="O73" s="52"/>
      <c r="P73" s="52"/>
      <c r="Q73" s="52"/>
      <c r="R73" s="52"/>
      <c r="T73" s="67">
        <f>(SUM(I74,-H74))/H74</f>
        <v>0.11016949152542373</v>
      </c>
    </row>
    <row r="74" spans="2:20">
      <c r="B74" s="12" t="s">
        <v>271</v>
      </c>
      <c r="C74" s="13" t="s">
        <v>272</v>
      </c>
      <c r="D74" s="13"/>
      <c r="E74" s="220">
        <f>SUM(E71:E72)</f>
        <v>-55</v>
      </c>
      <c r="F74" s="188">
        <f>SUM(F71:F72)</f>
        <v>231</v>
      </c>
      <c r="G74" s="188">
        <f>SUM(G71:G72)</f>
        <v>299</v>
      </c>
      <c r="H74" s="188">
        <f>SUM(H71:H72)</f>
        <v>354</v>
      </c>
      <c r="I74" s="188">
        <f>SUM(I71:I72)</f>
        <v>393</v>
      </c>
      <c r="J74" s="52"/>
      <c r="K74" s="52"/>
      <c r="L74" s="52"/>
      <c r="M74" s="52"/>
      <c r="N74" s="52"/>
      <c r="O74" s="52"/>
      <c r="P74" s="52"/>
      <c r="Q74" s="52"/>
      <c r="R74" s="52"/>
      <c r="T74" s="67"/>
    </row>
    <row r="75" spans="2:20">
      <c r="B75" s="2" t="s">
        <v>273</v>
      </c>
      <c r="C75" s="2" t="s">
        <v>274</v>
      </c>
      <c r="D75" s="2"/>
      <c r="E75" s="212">
        <v>130</v>
      </c>
      <c r="F75" s="177">
        <v>1</v>
      </c>
      <c r="G75" s="177">
        <v>-6</v>
      </c>
      <c r="H75" s="177">
        <v>-10</v>
      </c>
      <c r="I75" s="177">
        <v>-4</v>
      </c>
      <c r="J75" s="52"/>
      <c r="K75" s="52"/>
      <c r="L75" s="52"/>
      <c r="M75" s="52"/>
      <c r="N75" s="52"/>
      <c r="O75" s="52"/>
      <c r="P75" s="52"/>
      <c r="Q75" s="52"/>
      <c r="R75" s="52"/>
      <c r="T75" s="67"/>
    </row>
    <row r="76" spans="2:20" ht="15" thickBot="1">
      <c r="B76" s="2"/>
      <c r="C76" s="2"/>
      <c r="D76" s="2"/>
      <c r="E76" s="212"/>
      <c r="F76" s="177"/>
      <c r="G76" s="177"/>
      <c r="H76" s="177"/>
      <c r="I76" s="177"/>
      <c r="J76" s="52"/>
      <c r="K76" s="52"/>
      <c r="L76" s="52"/>
      <c r="M76" s="52"/>
      <c r="N76" s="52"/>
      <c r="O76" s="52"/>
      <c r="P76" s="52"/>
      <c r="Q76" s="52"/>
      <c r="R76" s="52"/>
      <c r="T76" s="70">
        <f>(SUM(I77,-H77))/H77</f>
        <v>0.1308139534883721</v>
      </c>
    </row>
    <row r="77" spans="2:20">
      <c r="B77" s="21" t="s">
        <v>275</v>
      </c>
      <c r="C77" s="22" t="s">
        <v>276</v>
      </c>
      <c r="D77" s="22"/>
      <c r="E77" s="231">
        <v>73</v>
      </c>
      <c r="F77" s="179">
        <v>232</v>
      </c>
      <c r="G77" s="179">
        <v>293</v>
      </c>
      <c r="H77" s="189">
        <f t="shared" ref="H77" si="5">SUM(H74:H75)</f>
        <v>344</v>
      </c>
      <c r="I77" s="189">
        <f>SUM(I74:I75)</f>
        <v>389</v>
      </c>
      <c r="J77" s="52"/>
      <c r="K77" s="52"/>
      <c r="L77" s="52"/>
      <c r="M77" s="100"/>
      <c r="N77" s="52"/>
      <c r="O77" s="52"/>
      <c r="P77" s="52"/>
      <c r="Q77" s="52"/>
      <c r="R77" s="52"/>
    </row>
    <row r="78" spans="2:20">
      <c r="B78" s="100"/>
      <c r="C78" s="52"/>
      <c r="D78" s="52"/>
      <c r="E78" s="52"/>
      <c r="F78" s="52"/>
      <c r="G78" s="52"/>
      <c r="H78" s="52"/>
      <c r="I78" s="52"/>
      <c r="M78" s="96"/>
    </row>
    <row r="79" spans="2:20" ht="1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 thickBot="1">
      <c r="B84" s="73" t="s">
        <v>287</v>
      </c>
      <c r="C84" s="74" t="s">
        <v>288</v>
      </c>
      <c r="D84" s="102"/>
      <c r="E84" s="69"/>
      <c r="F84" s="66">
        <v>7.4499999999999997E-2</v>
      </c>
      <c r="G84" s="66">
        <v>9.4399999999999998E-2</v>
      </c>
      <c r="H84" s="66">
        <v>0.1106</v>
      </c>
      <c r="I84" s="66">
        <v>0.1249</v>
      </c>
      <c r="M84" s="77"/>
    </row>
    <row r="85" spans="2:13" ht="15" thickBot="1">
      <c r="B85" s="75" t="s">
        <v>289</v>
      </c>
      <c r="C85" s="76" t="s">
        <v>290</v>
      </c>
      <c r="D85" s="103"/>
      <c r="E85" s="69"/>
      <c r="F85" s="66">
        <v>6.8400000000000002E-2</v>
      </c>
      <c r="G85" s="66">
        <v>0.1215</v>
      </c>
      <c r="H85" s="66">
        <v>0.104</v>
      </c>
      <c r="I85" s="66">
        <v>0.12470000000000001</v>
      </c>
    </row>
    <row r="86" spans="2:13" ht="15" thickBot="1">
      <c r="E86" s="78"/>
      <c r="F86" s="77">
        <v>6.1999999999999998E-3</v>
      </c>
      <c r="G86" s="77">
        <v>-2.7099999999999999E-2</v>
      </c>
      <c r="H86" s="77">
        <v>6.6E-3</v>
      </c>
      <c r="I86" s="77">
        <v>2E-3</v>
      </c>
    </row>
    <row r="87" spans="2:13" ht="15" thickBot="1">
      <c r="M87" s="80"/>
    </row>
    <row r="88" spans="2:13" ht="1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 thickBot="1">
      <c r="E93" s="89">
        <f>SUM(1,-E92)</f>
        <v>-0.74446575342465748</v>
      </c>
      <c r="F93" s="89">
        <f>SUM(1,-F92)</f>
        <v>0.34063859605517244</v>
      </c>
      <c r="G93" s="89">
        <f>SUM(1,-G92)</f>
        <v>0.38665246799726971</v>
      </c>
      <c r="H93" s="89">
        <f>SUM(1,-H92)</f>
        <v>0.36731723860465104</v>
      </c>
      <c r="I93" s="89">
        <f>SUM(1,-I92)</f>
        <v>0.38056105696658094</v>
      </c>
    </row>
    <row r="94" spans="2:13" ht="15" thickBot="1">
      <c r="M94" s="63"/>
    </row>
    <row r="95" spans="2:13" ht="15" thickBot="1">
      <c r="B95" s="90" t="s">
        <v>301</v>
      </c>
      <c r="C95" s="63"/>
      <c r="D95" s="105"/>
    </row>
    <row r="96" spans="2:13" ht="15" thickBot="1">
      <c r="B96" s="93" t="s">
        <v>279</v>
      </c>
      <c r="E96" s="72"/>
      <c r="F96" s="82"/>
      <c r="G96" s="82"/>
      <c r="H96" s="92"/>
      <c r="I96" s="91"/>
    </row>
    <row r="97" spans="5:9" ht="1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D434"/>
  <sheetViews>
    <sheetView topLeftCell="B118" zoomScale="74" zoomScaleNormal="60" workbookViewId="0">
      <selection activeCell="J1" sqref="J1:R3"/>
    </sheetView>
  </sheetViews>
  <sheetFormatPr defaultRowHeight="14.4" outlineLevelRow="1"/>
  <cols>
    <col min="1" max="1" width="53.44140625" customWidth="1"/>
    <col min="2" max="2" width="8.109375" customWidth="1"/>
    <col min="3" max="7" width="14.33203125" bestFit="1" customWidth="1"/>
    <col min="8" max="8" width="28.6640625" customWidth="1"/>
    <col min="10" max="10" width="53.6640625" customWidth="1"/>
  </cols>
  <sheetData>
    <row r="1" spans="1:30" ht="27" customHeight="1">
      <c r="A1" s="948" t="s">
        <v>315</v>
      </c>
      <c r="B1" s="948"/>
      <c r="C1" s="124"/>
      <c r="D1" s="124"/>
      <c r="E1" s="124"/>
      <c r="F1" s="124"/>
      <c r="G1" s="282"/>
      <c r="H1" s="1"/>
      <c r="I1" s="52"/>
      <c r="J1" s="328" t="s">
        <v>802</v>
      </c>
      <c r="K1" s="953" t="s">
        <v>158</v>
      </c>
      <c r="L1" s="953"/>
      <c r="M1" s="953"/>
      <c r="N1" s="953"/>
      <c r="O1" s="953"/>
      <c r="P1" s="953"/>
      <c r="Q1" s="933"/>
      <c r="R1" s="934"/>
      <c r="S1" s="1"/>
      <c r="T1" s="1"/>
      <c r="U1" s="1"/>
      <c r="V1" s="1"/>
      <c r="W1" s="1"/>
      <c r="X1" s="1"/>
      <c r="Y1" s="1"/>
      <c r="Z1" s="1"/>
      <c r="AA1" s="1"/>
      <c r="AB1" s="1"/>
      <c r="AC1" s="1"/>
      <c r="AD1" s="1"/>
    </row>
    <row r="2" spans="1:30">
      <c r="A2" s="892"/>
      <c r="B2" s="946" t="s">
        <v>158</v>
      </c>
      <c r="C2" s="946"/>
      <c r="D2" s="946"/>
      <c r="E2" s="946"/>
      <c r="F2" s="946"/>
      <c r="G2" s="947"/>
      <c r="H2" s="1"/>
      <c r="I2" s="52"/>
      <c r="J2" s="935"/>
      <c r="K2" s="954" t="s">
        <v>158</v>
      </c>
      <c r="L2" s="954"/>
      <c r="M2" s="954"/>
      <c r="N2" s="954"/>
      <c r="O2" s="954"/>
      <c r="P2" s="954"/>
      <c r="Q2" s="936"/>
      <c r="R2" s="937"/>
      <c r="S2" s="1"/>
      <c r="T2" s="1"/>
      <c r="U2" s="1"/>
      <c r="V2" s="1"/>
      <c r="W2" s="1"/>
      <c r="X2" s="1"/>
      <c r="Y2" s="1"/>
      <c r="Z2" s="1"/>
      <c r="AA2" s="1"/>
      <c r="AB2" s="1"/>
      <c r="AC2" s="1"/>
      <c r="AD2" s="1"/>
    </row>
    <row r="3" spans="1:30" ht="18" customHeight="1" thickBot="1">
      <c r="A3" s="244"/>
      <c r="B3" s="122" t="s">
        <v>1</v>
      </c>
      <c r="C3" s="123">
        <v>42369</v>
      </c>
      <c r="D3" s="123">
        <v>42735</v>
      </c>
      <c r="E3" s="123">
        <v>43100</v>
      </c>
      <c r="F3" s="123">
        <v>43465</v>
      </c>
      <c r="G3" s="284">
        <v>43830</v>
      </c>
      <c r="H3" s="1"/>
      <c r="I3" s="52"/>
      <c r="J3" s="938"/>
      <c r="K3" s="939"/>
      <c r="L3" s="939"/>
      <c r="M3" s="939"/>
      <c r="N3" s="939"/>
      <c r="O3" s="939"/>
      <c r="P3" s="939"/>
      <c r="Q3" s="939"/>
      <c r="R3" s="940"/>
      <c r="S3" s="1"/>
      <c r="T3" s="1"/>
      <c r="U3" s="1"/>
      <c r="V3" s="1"/>
      <c r="W3" s="1"/>
      <c r="X3" s="1"/>
      <c r="Y3" s="1"/>
      <c r="Z3" s="1"/>
      <c r="AA3" s="1"/>
      <c r="AB3" s="1"/>
      <c r="AC3" s="1"/>
    </row>
    <row r="4" spans="1:30">
      <c r="A4" s="5"/>
      <c r="B4" s="2"/>
      <c r="C4" s="28"/>
      <c r="D4" s="26"/>
      <c r="E4" s="26"/>
      <c r="F4" s="26"/>
      <c r="G4" s="254"/>
      <c r="H4" s="1"/>
      <c r="I4" s="52"/>
      <c r="J4" s="1"/>
      <c r="K4" s="1"/>
      <c r="L4" s="1"/>
      <c r="M4" s="1"/>
      <c r="N4" s="1"/>
      <c r="O4" s="1"/>
      <c r="P4" s="1"/>
      <c r="Q4" s="1"/>
      <c r="R4" s="1"/>
      <c r="S4" s="1"/>
      <c r="T4" s="1"/>
      <c r="U4" s="1"/>
      <c r="V4" s="1"/>
      <c r="W4" s="1"/>
      <c r="X4" s="1"/>
      <c r="Y4" s="1"/>
      <c r="Z4" s="1"/>
      <c r="AA4" s="1"/>
      <c r="AB4" s="1"/>
      <c r="AC4" s="1"/>
    </row>
    <row r="5" spans="1:30">
      <c r="A5" s="134" t="s">
        <v>326</v>
      </c>
      <c r="B5" s="134"/>
      <c r="C5" s="144">
        <f>'Financial statements'!F18</f>
        <v>5067</v>
      </c>
      <c r="D5" s="136">
        <f>'Financial statements'!G18</f>
        <v>5129</v>
      </c>
      <c r="E5" s="136">
        <f>'Financial statements'!H18</f>
        <v>4606</v>
      </c>
      <c r="F5" s="136">
        <f>'Financial statements'!I18</f>
        <v>4620</v>
      </c>
      <c r="G5" s="287">
        <f>'Financial statements'!J18</f>
        <v>4869</v>
      </c>
      <c r="H5" s="1"/>
      <c r="I5" s="52"/>
      <c r="J5" s="1"/>
      <c r="K5" s="1"/>
      <c r="L5" s="1"/>
      <c r="M5" s="1"/>
      <c r="N5" s="1"/>
      <c r="O5" s="1"/>
      <c r="P5" s="1"/>
      <c r="Q5" s="1"/>
      <c r="R5" s="1"/>
      <c r="S5" s="1"/>
      <c r="T5" s="1"/>
      <c r="U5" s="1"/>
      <c r="V5" s="1"/>
      <c r="W5" s="1"/>
      <c r="X5" s="1"/>
      <c r="Y5" s="1"/>
      <c r="Z5" s="1"/>
      <c r="AA5" s="1"/>
      <c r="AB5" s="1"/>
      <c r="AC5" s="1"/>
    </row>
    <row r="6" spans="1:30">
      <c r="A6" s="134" t="s">
        <v>327</v>
      </c>
      <c r="B6" s="134"/>
      <c r="C6" s="144">
        <f>'Financial statements'!F29</f>
        <v>1348</v>
      </c>
      <c r="D6" s="136">
        <f>'Financial statements'!G29</f>
        <v>1704</v>
      </c>
      <c r="E6" s="136">
        <f>'Financial statements'!H29</f>
        <v>1863</v>
      </c>
      <c r="F6" s="136">
        <f>'Financial statements'!I29</f>
        <v>2302</v>
      </c>
      <c r="G6" s="287">
        <f>'Financial statements'!J29</f>
        <v>2379</v>
      </c>
      <c r="H6" s="1"/>
      <c r="I6" s="52"/>
      <c r="J6" s="1"/>
      <c r="K6" s="1"/>
      <c r="L6" s="1"/>
      <c r="M6" s="1"/>
      <c r="N6" s="1"/>
      <c r="O6" s="1"/>
      <c r="P6" s="1"/>
      <c r="Q6" s="1"/>
      <c r="R6" s="1"/>
      <c r="S6" s="1"/>
      <c r="T6" s="1"/>
      <c r="U6" s="1"/>
      <c r="V6" s="1"/>
      <c r="W6" s="1"/>
      <c r="X6" s="1"/>
      <c r="Y6" s="1"/>
      <c r="Z6" s="1"/>
      <c r="AA6" s="1"/>
      <c r="AB6" s="1"/>
      <c r="AC6" s="1"/>
    </row>
    <row r="7" spans="1:30">
      <c r="A7" s="134" t="s">
        <v>322</v>
      </c>
      <c r="B7" s="134"/>
      <c r="C7" s="144">
        <v>137</v>
      </c>
      <c r="D7" s="136">
        <v>136</v>
      </c>
      <c r="E7" s="136">
        <v>107</v>
      </c>
      <c r="F7" s="136">
        <v>45</v>
      </c>
      <c r="G7" s="287">
        <v>65</v>
      </c>
      <c r="H7" s="1"/>
      <c r="I7" s="52"/>
      <c r="J7" s="1"/>
      <c r="K7" s="1"/>
      <c r="L7" s="1"/>
      <c r="M7" s="1"/>
      <c r="N7" s="1"/>
      <c r="O7" s="1"/>
      <c r="P7" s="1"/>
      <c r="Q7" s="1"/>
      <c r="R7" s="1"/>
      <c r="S7" s="1"/>
      <c r="T7" s="1"/>
      <c r="U7" s="1"/>
      <c r="V7" s="1"/>
      <c r="W7" s="1"/>
      <c r="X7" s="1"/>
      <c r="Y7" s="1"/>
      <c r="Z7" s="1"/>
      <c r="AA7" s="1"/>
      <c r="AB7" s="1"/>
      <c r="AC7" s="1"/>
    </row>
    <row r="8" spans="1:30">
      <c r="A8" s="289" t="s">
        <v>328</v>
      </c>
      <c r="B8" s="289"/>
      <c r="C8" s="149">
        <f>SUM(C5:C7)</f>
        <v>6552</v>
      </c>
      <c r="D8" s="139">
        <f>SUM(D5:D7)</f>
        <v>6969</v>
      </c>
      <c r="E8" s="139">
        <f>SUM(E5:E7)</f>
        <v>6576</v>
      </c>
      <c r="F8" s="139">
        <f>SUM(F5:F7)</f>
        <v>6967</v>
      </c>
      <c r="G8" s="290">
        <f>SUM(G5:G7)</f>
        <v>7313</v>
      </c>
      <c r="H8" s="1"/>
      <c r="I8" s="52"/>
      <c r="J8" s="1"/>
      <c r="K8" s="1"/>
      <c r="L8" s="1"/>
      <c r="M8" s="1"/>
      <c r="N8" s="1"/>
      <c r="O8" s="1"/>
      <c r="P8" s="1"/>
      <c r="Q8" s="1"/>
      <c r="R8" s="1"/>
      <c r="S8" s="1"/>
      <c r="T8" s="1"/>
      <c r="U8" s="1"/>
      <c r="V8" s="1"/>
      <c r="W8" s="1"/>
      <c r="X8" s="1"/>
      <c r="Y8" s="1"/>
      <c r="Z8" s="1"/>
      <c r="AA8" s="1"/>
      <c r="AB8" s="1"/>
      <c r="AC8" s="1"/>
    </row>
    <row r="9" spans="1:30">
      <c r="A9" s="134"/>
      <c r="B9" s="134"/>
      <c r="C9" s="144"/>
      <c r="D9" s="136"/>
      <c r="E9" s="136"/>
      <c r="F9" s="136"/>
      <c r="G9" s="287"/>
      <c r="H9" s="1"/>
      <c r="I9" s="52"/>
      <c r="J9" s="1"/>
      <c r="K9" s="1"/>
      <c r="L9" s="1"/>
      <c r="M9" s="1"/>
      <c r="N9" s="1"/>
      <c r="O9" s="1"/>
      <c r="P9" s="1"/>
      <c r="Q9" s="1"/>
      <c r="R9" s="1"/>
      <c r="S9" s="1"/>
      <c r="T9" s="1"/>
      <c r="U9" s="1"/>
      <c r="V9" s="1"/>
      <c r="W9" s="1"/>
      <c r="X9" s="1"/>
      <c r="Y9" s="1"/>
      <c r="Z9" s="1"/>
      <c r="AA9" s="1"/>
      <c r="AB9" s="1"/>
      <c r="AC9" s="1"/>
    </row>
    <row r="10" spans="1:30">
      <c r="A10" s="134" t="s">
        <v>317</v>
      </c>
      <c r="B10" s="134"/>
      <c r="C10" s="144">
        <v>184</v>
      </c>
      <c r="D10" s="136">
        <v>159</v>
      </c>
      <c r="E10" s="136">
        <v>147</v>
      </c>
      <c r="F10" s="136">
        <v>187</v>
      </c>
      <c r="G10" s="287">
        <v>184</v>
      </c>
      <c r="H10" s="1"/>
      <c r="I10" s="52"/>
      <c r="J10" s="1"/>
      <c r="K10" s="1"/>
      <c r="L10" s="1"/>
      <c r="M10" s="1"/>
      <c r="N10" s="1"/>
      <c r="O10" s="1"/>
      <c r="P10" s="1"/>
      <c r="Q10" s="1"/>
      <c r="R10" s="1"/>
      <c r="S10" s="1"/>
      <c r="T10" s="1"/>
      <c r="U10" s="1"/>
      <c r="V10" s="1"/>
      <c r="W10" s="1"/>
      <c r="X10" s="1"/>
      <c r="Y10" s="1"/>
      <c r="Z10" s="1"/>
      <c r="AA10" s="1"/>
      <c r="AB10" s="1"/>
      <c r="AC10" s="1"/>
    </row>
    <row r="11" spans="1:30">
      <c r="A11" s="134" t="s">
        <v>318</v>
      </c>
      <c r="B11" s="134"/>
      <c r="C11" s="144">
        <v>1485</v>
      </c>
      <c r="D11" s="136">
        <v>1821</v>
      </c>
      <c r="E11" s="136">
        <v>1671</v>
      </c>
      <c r="F11" s="136">
        <v>1781</v>
      </c>
      <c r="G11" s="287">
        <v>1852</v>
      </c>
      <c r="H11" s="1"/>
      <c r="I11" s="52"/>
      <c r="J11" s="1"/>
      <c r="K11" s="1"/>
      <c r="L11" s="1"/>
      <c r="M11" s="1"/>
      <c r="N11" s="1"/>
      <c r="O11" s="1"/>
      <c r="P11" s="1"/>
      <c r="Q11" s="1"/>
      <c r="R11" s="1"/>
      <c r="S11" s="1"/>
      <c r="T11" s="1"/>
      <c r="U11" s="1"/>
      <c r="V11" s="1"/>
      <c r="W11" s="1"/>
      <c r="X11" s="1"/>
      <c r="Y11" s="1"/>
      <c r="Z11" s="1"/>
      <c r="AA11" s="1"/>
      <c r="AB11" s="1"/>
      <c r="AC11" s="1"/>
    </row>
    <row r="12" spans="1:30">
      <c r="A12" s="134" t="s">
        <v>323</v>
      </c>
      <c r="B12" s="134"/>
      <c r="C12" s="144">
        <v>-1170</v>
      </c>
      <c r="D12" s="136">
        <v>-1384</v>
      </c>
      <c r="E12" s="136">
        <v>-1381</v>
      </c>
      <c r="F12" s="136">
        <v>-1413</v>
      </c>
      <c r="G12" s="287">
        <v>-1481</v>
      </c>
      <c r="H12" s="1"/>
      <c r="I12" s="52"/>
      <c r="J12" s="1"/>
      <c r="K12" s="1"/>
      <c r="L12" s="1"/>
      <c r="M12" s="1"/>
      <c r="N12" s="1"/>
      <c r="O12" s="1"/>
      <c r="P12" s="1"/>
      <c r="Q12" s="1"/>
      <c r="R12" s="1"/>
      <c r="S12" s="1"/>
      <c r="T12" s="1"/>
      <c r="U12" s="1"/>
      <c r="V12" s="1"/>
      <c r="W12" s="1"/>
      <c r="X12" s="1"/>
      <c r="Y12" s="1"/>
      <c r="Z12" s="1"/>
      <c r="AA12" s="1"/>
      <c r="AB12" s="1"/>
      <c r="AC12" s="1"/>
    </row>
    <row r="13" spans="1:30">
      <c r="A13" s="292" t="s">
        <v>329</v>
      </c>
      <c r="B13" s="292"/>
      <c r="C13" s="152">
        <f>SUM(C10:C12)</f>
        <v>499</v>
      </c>
      <c r="D13" s="153">
        <f>SUM(D10:D12)</f>
        <v>596</v>
      </c>
      <c r="E13" s="153">
        <f>SUM(E10:E12)</f>
        <v>437</v>
      </c>
      <c r="F13" s="153">
        <f>SUM(F10:F12)</f>
        <v>555</v>
      </c>
      <c r="G13" s="293">
        <f>SUM(G10:G12)</f>
        <v>555</v>
      </c>
      <c r="H13" s="1"/>
      <c r="I13" s="52"/>
      <c r="J13" s="1"/>
      <c r="K13" s="1"/>
      <c r="L13" s="1"/>
      <c r="M13" s="1"/>
      <c r="N13" s="1"/>
      <c r="O13" s="1"/>
      <c r="P13" s="1"/>
      <c r="Q13" s="1"/>
      <c r="R13" s="1"/>
      <c r="S13" s="1"/>
      <c r="T13" s="1"/>
      <c r="U13" s="1"/>
      <c r="V13" s="1"/>
      <c r="W13" s="1"/>
      <c r="X13" s="1"/>
      <c r="Y13" s="1"/>
      <c r="Z13" s="1"/>
      <c r="AA13" s="1"/>
      <c r="AB13" s="1"/>
      <c r="AC13" s="1"/>
    </row>
    <row r="14" spans="1:30">
      <c r="A14" s="133"/>
      <c r="B14" s="133"/>
      <c r="C14" s="143"/>
      <c r="D14" s="138"/>
      <c r="E14" s="138"/>
      <c r="F14" s="138"/>
      <c r="G14" s="295"/>
      <c r="H14" s="1"/>
      <c r="I14" s="52"/>
      <c r="J14" s="1"/>
      <c r="K14" s="1"/>
      <c r="L14" s="1"/>
      <c r="M14" s="1"/>
      <c r="N14" s="1"/>
      <c r="O14" s="1"/>
      <c r="P14" s="1"/>
      <c r="Q14" s="1"/>
      <c r="R14" s="1"/>
      <c r="S14" s="1"/>
      <c r="T14" s="1"/>
      <c r="U14" s="1"/>
      <c r="V14" s="1"/>
      <c r="W14" s="1"/>
      <c r="X14" s="1"/>
      <c r="Y14" s="1"/>
      <c r="Z14" s="1"/>
      <c r="AA14" s="1"/>
      <c r="AB14" s="1"/>
      <c r="AC14" s="1"/>
    </row>
    <row r="15" spans="1:30" ht="17.25" customHeight="1">
      <c r="A15" s="134" t="s">
        <v>11</v>
      </c>
      <c r="B15" s="134"/>
      <c r="C15" s="144">
        <f>SUM(C16:C19)+C20</f>
        <v>636</v>
      </c>
      <c r="D15" s="136">
        <f>SUM(D16:D19)+D20</f>
        <v>695</v>
      </c>
      <c r="E15" s="136">
        <f>SUM(E16:E19)+E20</f>
        <v>563</v>
      </c>
      <c r="F15" s="136">
        <f>SUM(F16:F19)+F20</f>
        <v>510</v>
      </c>
      <c r="G15" s="287">
        <f>SUM(G16:G19)+G20</f>
        <v>665</v>
      </c>
      <c r="H15" s="1"/>
      <c r="I15" s="52"/>
      <c r="J15" s="1"/>
      <c r="K15" s="1"/>
      <c r="L15" s="1"/>
      <c r="M15" s="1"/>
      <c r="N15" s="1"/>
      <c r="O15" s="1"/>
      <c r="P15" s="1"/>
      <c r="Q15" s="1"/>
      <c r="R15" s="1"/>
      <c r="S15" s="1"/>
      <c r="T15" s="1"/>
      <c r="U15" s="1"/>
      <c r="V15" s="1"/>
      <c r="W15" s="1"/>
      <c r="X15" s="1"/>
      <c r="Y15" s="1"/>
      <c r="Z15" s="1"/>
      <c r="AA15" s="1"/>
      <c r="AB15" s="1"/>
      <c r="AC15" s="1"/>
    </row>
    <row r="16" spans="1:30" hidden="1" outlineLevel="1">
      <c r="A16" s="134" t="s">
        <v>319</v>
      </c>
      <c r="B16" s="134"/>
      <c r="C16" s="144">
        <f>'Financial statements'!F82</f>
        <v>183</v>
      </c>
      <c r="D16" s="136">
        <f>'Financial statements'!G82</f>
        <v>389</v>
      </c>
      <c r="E16" s="136">
        <f>'Financial statements'!H82</f>
        <v>216</v>
      </c>
      <c r="F16" s="136">
        <f>'Financial statements'!I82</f>
        <v>313</v>
      </c>
      <c r="G16" s="287">
        <f>'Financial statements'!J82</f>
        <v>567</v>
      </c>
      <c r="H16" s="1"/>
      <c r="I16" s="52"/>
      <c r="J16" s="1"/>
      <c r="K16" s="1"/>
      <c r="L16" s="1"/>
      <c r="M16" s="1"/>
      <c r="N16" s="1"/>
      <c r="O16" s="1"/>
      <c r="P16" s="1"/>
      <c r="Q16" s="1"/>
      <c r="R16" s="1"/>
      <c r="S16" s="1"/>
      <c r="T16" s="1"/>
      <c r="U16" s="1"/>
      <c r="V16" s="1"/>
      <c r="W16" s="1"/>
      <c r="X16" s="1"/>
      <c r="Y16" s="1"/>
      <c r="Z16" s="1"/>
      <c r="AA16" s="1"/>
      <c r="AB16" s="1"/>
      <c r="AC16" s="1"/>
    </row>
    <row r="17" spans="1:29" hidden="1" outlineLevel="1">
      <c r="A17" s="134" t="s">
        <v>320</v>
      </c>
      <c r="B17" s="134"/>
      <c r="C17" s="144">
        <f>'Financial statements'!F87</f>
        <v>171</v>
      </c>
      <c r="D17" s="136">
        <f>'Financial statements'!G87</f>
        <v>218</v>
      </c>
      <c r="E17" s="136">
        <f>'Financial statements'!H87</f>
        <v>8</v>
      </c>
      <c r="F17" s="136">
        <f>'Financial statements'!I87</f>
        <v>16</v>
      </c>
      <c r="G17" s="287">
        <f>'Financial statements'!J87</f>
        <v>10</v>
      </c>
      <c r="H17" s="1"/>
      <c r="I17" s="52"/>
      <c r="J17" s="1"/>
      <c r="K17" s="1"/>
      <c r="L17" s="1"/>
      <c r="M17" s="1"/>
      <c r="N17" s="1"/>
      <c r="O17" s="1"/>
      <c r="P17" s="1"/>
      <c r="Q17" s="1"/>
      <c r="R17" s="1"/>
      <c r="S17" s="1"/>
      <c r="T17" s="1"/>
      <c r="U17" s="1"/>
      <c r="V17" s="1"/>
      <c r="W17" s="1"/>
      <c r="X17" s="1"/>
      <c r="Y17" s="1"/>
      <c r="Z17" s="1"/>
      <c r="AA17" s="1"/>
      <c r="AB17" s="1"/>
      <c r="AC17" s="1"/>
    </row>
    <row r="18" spans="1:29" hidden="1" outlineLevel="1">
      <c r="A18" s="146" t="s">
        <v>31</v>
      </c>
      <c r="B18" s="146"/>
      <c r="C18" s="144">
        <f>'Financial statements'!F42</f>
        <v>6</v>
      </c>
      <c r="D18" s="136">
        <f>'Financial statements'!G42</f>
        <v>12</v>
      </c>
      <c r="E18" s="136">
        <f>'Financial statements'!H42</f>
        <v>8</v>
      </c>
      <c r="F18" s="136">
        <f>'Financial statements'!I42</f>
        <v>20</v>
      </c>
      <c r="G18" s="287">
        <f>'Financial statements'!J42</f>
        <v>25</v>
      </c>
      <c r="H18" s="1"/>
      <c r="I18" s="52"/>
      <c r="J18" s="1"/>
      <c r="K18" s="1"/>
      <c r="L18" s="1"/>
      <c r="M18" s="1"/>
      <c r="N18" s="1"/>
      <c r="O18" s="1"/>
      <c r="P18" s="1"/>
      <c r="Q18" s="1"/>
      <c r="R18" s="1"/>
      <c r="S18" s="1"/>
      <c r="T18" s="1"/>
      <c r="U18" s="1"/>
      <c r="V18" s="1"/>
      <c r="W18" s="1"/>
      <c r="X18" s="1"/>
      <c r="Y18" s="1"/>
      <c r="Z18" s="1"/>
      <c r="AA18" s="1"/>
      <c r="AB18" s="1"/>
      <c r="AC18" s="1"/>
    </row>
    <row r="19" spans="1:29" hidden="1" outlineLevel="1">
      <c r="A19" s="134" t="s">
        <v>75</v>
      </c>
      <c r="B19" s="134"/>
      <c r="C19" s="143">
        <f>71</f>
        <v>71</v>
      </c>
      <c r="D19" s="138">
        <f>70</f>
        <v>70</v>
      </c>
      <c r="E19" s="138">
        <f>107</f>
        <v>107</v>
      </c>
      <c r="F19" s="138">
        <f>49</f>
        <v>49</v>
      </c>
      <c r="G19" s="295">
        <f>63</f>
        <v>63</v>
      </c>
      <c r="H19" s="1"/>
      <c r="I19" s="52"/>
      <c r="J19" s="1"/>
      <c r="K19" s="1"/>
      <c r="L19" s="1"/>
      <c r="M19" s="1"/>
      <c r="N19" s="1"/>
      <c r="O19" s="1"/>
      <c r="P19" s="1"/>
      <c r="Q19" s="1"/>
      <c r="R19" s="1"/>
      <c r="S19" s="1"/>
      <c r="T19" s="1"/>
      <c r="U19" s="1"/>
      <c r="V19" s="1"/>
      <c r="W19" s="1"/>
      <c r="X19" s="1"/>
      <c r="Y19" s="1"/>
      <c r="Z19" s="1"/>
      <c r="AA19" s="1"/>
      <c r="AB19" s="1"/>
      <c r="AC19" s="1"/>
    </row>
    <row r="20" spans="1:29" ht="15" hidden="1" customHeight="1" outlineLevel="1">
      <c r="A20" s="146" t="s">
        <v>321</v>
      </c>
      <c r="B20" s="134"/>
      <c r="C20" s="144">
        <f>'Financial statements'!F93</f>
        <v>205</v>
      </c>
      <c r="D20" s="136">
        <f>'Financial statements'!G93</f>
        <v>6</v>
      </c>
      <c r="E20" s="136">
        <f>'Financial statements'!H93</f>
        <v>224</v>
      </c>
      <c r="F20" s="136">
        <f>'Financial statements'!I93</f>
        <v>112</v>
      </c>
      <c r="G20" s="287">
        <f>'Financial statements'!J93</f>
        <v>0</v>
      </c>
      <c r="H20" s="1"/>
      <c r="I20" s="52"/>
      <c r="J20" s="1"/>
      <c r="K20" s="1"/>
      <c r="L20" s="1"/>
      <c r="M20" s="1"/>
      <c r="N20" s="1"/>
      <c r="O20" s="1"/>
      <c r="P20" s="1"/>
      <c r="Q20" s="1"/>
      <c r="R20" s="1"/>
      <c r="S20" s="1"/>
      <c r="T20" s="1"/>
      <c r="U20" s="1"/>
      <c r="V20" s="1"/>
      <c r="W20" s="1"/>
      <c r="X20" s="1"/>
      <c r="Y20" s="1"/>
      <c r="Z20" s="1"/>
      <c r="AA20" s="1"/>
      <c r="AB20" s="1"/>
      <c r="AC20" s="1"/>
    </row>
    <row r="21" spans="1:29" collapsed="1">
      <c r="A21" s="134" t="s">
        <v>341</v>
      </c>
      <c r="B21" s="134"/>
      <c r="C21" s="144">
        <f>SUM(C22:C25)</f>
        <v>-683</v>
      </c>
      <c r="D21" s="144">
        <f>SUM(D22:D25)</f>
        <v>-893</v>
      </c>
      <c r="E21" s="144">
        <f>SUM(E22:E25)</f>
        <v>-673</v>
      </c>
      <c r="F21" s="144">
        <f>SUM(F22:F25)</f>
        <v>-763</v>
      </c>
      <c r="G21" s="298">
        <f>SUM(G22:G25)</f>
        <v>-999</v>
      </c>
      <c r="H21" s="1"/>
      <c r="I21" s="52"/>
      <c r="J21" s="1"/>
      <c r="K21" s="1"/>
      <c r="L21" s="1"/>
      <c r="M21" s="1"/>
      <c r="N21" s="1"/>
      <c r="O21" s="1"/>
      <c r="P21" s="1"/>
      <c r="Q21" s="1"/>
      <c r="R21" s="1"/>
      <c r="S21" s="1"/>
      <c r="T21" s="1"/>
      <c r="U21" s="1"/>
      <c r="V21" s="1"/>
      <c r="W21" s="1"/>
      <c r="X21" s="1"/>
      <c r="Y21" s="1"/>
      <c r="Z21" s="1"/>
      <c r="AA21" s="1"/>
      <c r="AB21" s="1"/>
      <c r="AC21" s="1"/>
    </row>
    <row r="22" spans="1:29" hidden="1" outlineLevel="1">
      <c r="A22" s="134" t="s">
        <v>120</v>
      </c>
      <c r="B22" s="134"/>
      <c r="C22" s="144">
        <v>-99</v>
      </c>
      <c r="D22" s="136">
        <v>-109</v>
      </c>
      <c r="E22" s="136">
        <v>-148</v>
      </c>
      <c r="F22" s="136">
        <v>-148</v>
      </c>
      <c r="G22" s="287">
        <v>-149</v>
      </c>
      <c r="H22" s="1"/>
      <c r="I22" s="52"/>
      <c r="J22" s="1"/>
      <c r="K22" s="1"/>
      <c r="L22" s="1"/>
      <c r="M22" s="1"/>
      <c r="N22" s="1"/>
      <c r="O22" s="1"/>
      <c r="P22" s="1"/>
      <c r="Q22" s="1"/>
      <c r="R22" s="1"/>
      <c r="S22" s="1"/>
      <c r="T22" s="1"/>
      <c r="U22" s="1"/>
      <c r="V22" s="1"/>
      <c r="W22" s="1"/>
      <c r="X22" s="1"/>
      <c r="Y22" s="1"/>
      <c r="Z22" s="1"/>
      <c r="AA22" s="1"/>
      <c r="AB22" s="1"/>
      <c r="AC22" s="1"/>
    </row>
    <row r="23" spans="1:29" hidden="1" outlineLevel="1">
      <c r="A23" s="134" t="s">
        <v>153</v>
      </c>
      <c r="B23" s="134"/>
      <c r="C23" s="144">
        <v>-43</v>
      </c>
      <c r="D23" s="136">
        <v>-33</v>
      </c>
      <c r="E23" s="136">
        <v>-4</v>
      </c>
      <c r="F23" s="136">
        <v>-34</v>
      </c>
      <c r="G23" s="287">
        <v>-6</v>
      </c>
      <c r="H23" s="1"/>
      <c r="I23" s="52"/>
      <c r="J23" s="1"/>
      <c r="K23" s="1"/>
      <c r="L23" s="1"/>
      <c r="M23" s="1"/>
      <c r="N23" s="1"/>
      <c r="O23" s="1"/>
      <c r="P23" s="1"/>
      <c r="Q23" s="1"/>
      <c r="R23" s="1"/>
      <c r="S23" s="1"/>
      <c r="T23" s="1"/>
      <c r="U23" s="1"/>
      <c r="V23" s="1"/>
      <c r="W23" s="1"/>
      <c r="X23" s="1"/>
      <c r="Y23" s="1"/>
      <c r="Z23" s="1"/>
      <c r="AA23" s="1"/>
      <c r="AB23" s="1"/>
      <c r="AC23" s="1"/>
    </row>
    <row r="24" spans="1:29" hidden="1" outlineLevel="1">
      <c r="A24" s="134" t="s">
        <v>324</v>
      </c>
      <c r="B24" s="134"/>
      <c r="C24" s="144">
        <v>-521</v>
      </c>
      <c r="D24" s="136">
        <v>-744</v>
      </c>
      <c r="E24" s="136">
        <v>-521</v>
      </c>
      <c r="F24" s="136">
        <v>-581</v>
      </c>
      <c r="G24" s="287">
        <v>-844</v>
      </c>
      <c r="H24" s="1"/>
      <c r="I24" s="52"/>
      <c r="J24" s="1"/>
      <c r="K24" s="1"/>
      <c r="L24" s="1"/>
      <c r="M24" s="1"/>
      <c r="N24" s="1"/>
      <c r="O24" s="1"/>
      <c r="P24" s="1"/>
      <c r="Q24" s="1"/>
      <c r="R24" s="1"/>
      <c r="S24" s="1"/>
      <c r="T24" s="1"/>
      <c r="U24" s="1"/>
      <c r="V24" s="1"/>
      <c r="W24" s="1"/>
      <c r="X24" s="1"/>
      <c r="Y24" s="1"/>
      <c r="Z24" s="1"/>
      <c r="AA24" s="1"/>
      <c r="AB24" s="1"/>
      <c r="AC24" s="1"/>
    </row>
    <row r="25" spans="1:29" hidden="1" outlineLevel="1">
      <c r="A25" s="134" t="s">
        <v>375</v>
      </c>
      <c r="B25" s="134"/>
      <c r="C25" s="144">
        <v>-20</v>
      </c>
      <c r="D25" s="136">
        <v>-7</v>
      </c>
      <c r="E25" s="136">
        <v>0</v>
      </c>
      <c r="F25" s="136">
        <v>0</v>
      </c>
      <c r="G25" s="287">
        <v>0</v>
      </c>
      <c r="H25" s="1"/>
      <c r="I25" s="52"/>
      <c r="J25" s="1"/>
      <c r="K25" s="1"/>
      <c r="L25" s="1"/>
      <c r="M25" s="1"/>
      <c r="N25" s="1"/>
      <c r="O25" s="1"/>
      <c r="P25" s="1"/>
      <c r="Q25" s="1"/>
      <c r="R25" s="1"/>
      <c r="S25" s="1"/>
      <c r="T25" s="1"/>
      <c r="U25" s="1"/>
      <c r="V25" s="1"/>
      <c r="W25" s="1"/>
      <c r="X25" s="1"/>
      <c r="Y25" s="1"/>
      <c r="Z25" s="1"/>
      <c r="AA25" s="1"/>
      <c r="AB25" s="1"/>
      <c r="AC25" s="1"/>
    </row>
    <row r="26" spans="1:29" collapsed="1">
      <c r="A26" s="289" t="s">
        <v>330</v>
      </c>
      <c r="B26" s="289"/>
      <c r="C26" s="149">
        <f>C13+C15+C21</f>
        <v>452</v>
      </c>
      <c r="D26" s="149">
        <f>D13+D15+D21</f>
        <v>398</v>
      </c>
      <c r="E26" s="149">
        <f>E13+E15+E21</f>
        <v>327</v>
      </c>
      <c r="F26" s="149">
        <f>F13+F15+F21</f>
        <v>302</v>
      </c>
      <c r="G26" s="299">
        <f>G13+G15+G21</f>
        <v>221</v>
      </c>
      <c r="H26" s="1"/>
      <c r="I26" s="52"/>
      <c r="J26" s="1"/>
      <c r="K26" s="1"/>
      <c r="L26" s="1"/>
      <c r="M26" s="1"/>
      <c r="N26" s="1"/>
      <c r="O26" s="1"/>
      <c r="P26" s="1"/>
      <c r="Q26" s="1"/>
      <c r="R26" s="1"/>
      <c r="S26" s="1"/>
      <c r="T26" s="1"/>
      <c r="U26" s="1"/>
      <c r="V26" s="1"/>
      <c r="W26" s="1"/>
      <c r="X26" s="1"/>
      <c r="Y26" s="1"/>
      <c r="Z26" s="1"/>
      <c r="AA26" s="1"/>
      <c r="AB26" s="1"/>
      <c r="AC26" s="1"/>
    </row>
    <row r="27" spans="1:29">
      <c r="A27" s="134"/>
      <c r="B27" s="134"/>
      <c r="C27" s="144"/>
      <c r="D27" s="136"/>
      <c r="E27" s="136"/>
      <c r="F27" s="136"/>
      <c r="G27" s="287"/>
      <c r="H27" s="1"/>
      <c r="I27" s="52"/>
      <c r="J27" s="1"/>
      <c r="K27" s="1"/>
      <c r="L27" s="1"/>
      <c r="M27" s="1"/>
      <c r="N27" s="1"/>
      <c r="O27" s="1"/>
      <c r="P27" s="1"/>
      <c r="Q27" s="1"/>
      <c r="R27" s="1"/>
      <c r="S27" s="1"/>
      <c r="T27" s="1"/>
      <c r="U27" s="1"/>
      <c r="V27" s="1"/>
      <c r="W27" s="1"/>
      <c r="X27" s="1"/>
      <c r="Y27" s="1"/>
      <c r="Z27" s="1"/>
      <c r="AA27" s="1"/>
      <c r="AB27" s="1"/>
      <c r="AC27" s="1"/>
    </row>
    <row r="28" spans="1:29">
      <c r="A28" s="134" t="s">
        <v>374</v>
      </c>
      <c r="B28" s="134"/>
      <c r="C28" s="144">
        <v>308</v>
      </c>
      <c r="D28" s="136">
        <v>341</v>
      </c>
      <c r="E28" s="136">
        <v>301</v>
      </c>
      <c r="F28" s="136">
        <v>264</v>
      </c>
      <c r="G28" s="287">
        <v>277</v>
      </c>
      <c r="H28" s="1"/>
      <c r="I28" s="52"/>
      <c r="J28" s="1"/>
      <c r="K28" s="1"/>
      <c r="L28" s="1"/>
      <c r="M28" s="1"/>
      <c r="N28" s="1"/>
      <c r="O28" s="1"/>
      <c r="P28" s="1"/>
      <c r="Q28" s="1"/>
      <c r="R28" s="1"/>
      <c r="S28" s="1"/>
      <c r="T28" s="1"/>
      <c r="U28" s="1"/>
      <c r="V28" s="1"/>
      <c r="W28" s="1"/>
      <c r="X28" s="1"/>
      <c r="Y28" s="1"/>
      <c r="Z28" s="1"/>
      <c r="AA28" s="1"/>
      <c r="AB28" s="1"/>
      <c r="AC28" s="1"/>
    </row>
    <row r="29" spans="1:29">
      <c r="A29" s="134" t="s">
        <v>113</v>
      </c>
      <c r="B29" s="134"/>
      <c r="C29" s="144">
        <v>-332</v>
      </c>
      <c r="D29" s="136">
        <v>-365</v>
      </c>
      <c r="E29" s="136">
        <v>-319</v>
      </c>
      <c r="F29" s="136">
        <v>-314</v>
      </c>
      <c r="G29" s="287">
        <v>-307</v>
      </c>
      <c r="H29" s="1"/>
      <c r="I29" s="52"/>
      <c r="J29" s="1"/>
      <c r="K29" s="1"/>
      <c r="L29" s="1"/>
      <c r="M29" s="1"/>
      <c r="N29" s="1"/>
      <c r="O29" s="1"/>
      <c r="P29" s="1"/>
      <c r="Q29" s="1"/>
      <c r="R29" s="1"/>
      <c r="S29" s="1"/>
      <c r="T29" s="1"/>
      <c r="U29" s="1"/>
      <c r="V29" s="1"/>
      <c r="W29" s="1"/>
      <c r="X29" s="1"/>
      <c r="Y29" s="1"/>
      <c r="Z29" s="1"/>
      <c r="AA29" s="1"/>
      <c r="AB29" s="1"/>
      <c r="AC29" s="1"/>
    </row>
    <row r="30" spans="1:29">
      <c r="A30" s="134" t="s">
        <v>325</v>
      </c>
      <c r="B30" s="134"/>
      <c r="C30" s="144">
        <v>-576</v>
      </c>
      <c r="D30" s="136">
        <v>-671</v>
      </c>
      <c r="E30" s="136">
        <v>-625</v>
      </c>
      <c r="F30" s="136">
        <v>-642</v>
      </c>
      <c r="G30" s="287">
        <v>-676</v>
      </c>
      <c r="H30" s="1"/>
      <c r="I30" s="52"/>
      <c r="J30" s="1"/>
      <c r="K30" s="1"/>
      <c r="L30" s="1"/>
      <c r="M30" s="1"/>
      <c r="N30" s="1"/>
      <c r="O30" s="1"/>
      <c r="P30" s="1"/>
      <c r="Q30" s="1"/>
      <c r="R30" s="1"/>
      <c r="S30" s="1"/>
      <c r="T30" s="1"/>
      <c r="U30" s="1"/>
      <c r="V30" s="1"/>
      <c r="W30" s="1"/>
      <c r="X30" s="1"/>
      <c r="Y30" s="1"/>
      <c r="Z30" s="1"/>
      <c r="AA30" s="1"/>
      <c r="AB30" s="1"/>
      <c r="AC30" s="1"/>
    </row>
    <row r="31" spans="1:29" ht="15" customHeight="1">
      <c r="A31" s="301" t="s">
        <v>331</v>
      </c>
      <c r="B31" s="301"/>
      <c r="C31" s="148">
        <f>C8+C26+C28+C29+C30</f>
        <v>6404</v>
      </c>
      <c r="D31" s="148">
        <f>D8+D26+D28+D29+D30</f>
        <v>6672</v>
      </c>
      <c r="E31" s="148">
        <f>E8+E26+E28+E29+E30</f>
        <v>6260</v>
      </c>
      <c r="F31" s="148">
        <f>F8+F26+F28+F29+F30</f>
        <v>6577</v>
      </c>
      <c r="G31" s="302">
        <f>G8+G26+G28+G29+G30</f>
        <v>6828</v>
      </c>
      <c r="H31" s="1"/>
      <c r="I31" s="52"/>
      <c r="J31" s="1"/>
      <c r="K31" s="1"/>
      <c r="L31" s="1"/>
      <c r="M31" s="1"/>
      <c r="N31" s="1"/>
      <c r="O31" s="1"/>
      <c r="P31" s="1"/>
      <c r="Q31" s="1"/>
      <c r="R31" s="1"/>
      <c r="S31" s="1"/>
      <c r="T31" s="1"/>
      <c r="U31" s="1"/>
      <c r="V31" s="1"/>
      <c r="W31" s="1"/>
      <c r="X31" s="1"/>
      <c r="Y31" s="1"/>
      <c r="Z31" s="1"/>
      <c r="AA31" s="1"/>
      <c r="AB31" s="1"/>
      <c r="AC31" s="1"/>
    </row>
    <row r="32" spans="1:29">
      <c r="A32" s="134"/>
      <c r="B32" s="134"/>
      <c r="C32" s="144"/>
      <c r="D32" s="136"/>
      <c r="E32" s="136"/>
      <c r="F32" s="136"/>
      <c r="G32" s="287"/>
      <c r="H32" s="1"/>
      <c r="I32" s="52"/>
      <c r="J32" s="1"/>
      <c r="K32" s="1"/>
      <c r="L32" s="1"/>
      <c r="M32" s="1"/>
      <c r="N32" s="1"/>
      <c r="O32" s="1"/>
      <c r="P32" s="1"/>
      <c r="Q32" s="1"/>
      <c r="R32" s="1"/>
      <c r="S32" s="1"/>
      <c r="T32" s="1"/>
      <c r="U32" s="1"/>
      <c r="V32" s="1"/>
      <c r="W32" s="1"/>
      <c r="X32" s="1"/>
      <c r="Y32" s="1"/>
      <c r="Z32" s="1"/>
      <c r="AA32" s="1"/>
      <c r="AB32" s="1"/>
      <c r="AC32" s="1"/>
    </row>
    <row r="33" spans="1:29">
      <c r="A33" s="134"/>
      <c r="B33" s="134"/>
      <c r="C33" s="144"/>
      <c r="D33" s="136"/>
      <c r="E33" s="136"/>
      <c r="F33" s="136"/>
      <c r="G33" s="287"/>
      <c r="H33" s="1"/>
      <c r="I33" s="52"/>
      <c r="J33" s="1"/>
      <c r="K33" s="1"/>
      <c r="L33" s="1"/>
      <c r="M33" s="1"/>
      <c r="N33" s="1"/>
      <c r="O33" s="1"/>
      <c r="P33" s="1"/>
      <c r="Q33" s="1"/>
      <c r="R33" s="1"/>
      <c r="S33" s="1"/>
      <c r="T33" s="1"/>
      <c r="U33" s="1"/>
      <c r="V33" s="1"/>
      <c r="W33" s="1"/>
      <c r="X33" s="1"/>
      <c r="Y33" s="1"/>
      <c r="Z33" s="1"/>
      <c r="AA33" s="1"/>
      <c r="AB33" s="1"/>
      <c r="AC33" s="1"/>
    </row>
    <row r="34" spans="1:29">
      <c r="A34" s="134"/>
      <c r="B34" s="134"/>
      <c r="C34" s="144"/>
      <c r="D34" s="136"/>
      <c r="E34" s="136"/>
      <c r="F34" s="136"/>
      <c r="G34" s="287"/>
      <c r="H34" s="1"/>
      <c r="I34" s="52"/>
      <c r="J34" s="1"/>
      <c r="K34" s="1"/>
      <c r="L34" s="1"/>
      <c r="M34" s="1"/>
      <c r="N34" s="1"/>
      <c r="O34" s="1"/>
      <c r="P34" s="1"/>
      <c r="Q34" s="1"/>
      <c r="R34" s="1"/>
      <c r="S34" s="1"/>
      <c r="T34" s="1"/>
      <c r="U34" s="1"/>
      <c r="V34" s="1"/>
      <c r="W34" s="1"/>
      <c r="X34" s="1"/>
      <c r="Y34" s="1"/>
      <c r="Z34" s="1"/>
      <c r="AA34" s="1"/>
      <c r="AB34" s="1"/>
      <c r="AC34" s="1"/>
    </row>
    <row r="35" spans="1:29" ht="15" customHeight="1">
      <c r="A35" s="304" t="s">
        <v>338</v>
      </c>
      <c r="B35" s="304"/>
      <c r="C35" s="150">
        <v>-3259</v>
      </c>
      <c r="D35" s="151">
        <v>-3279</v>
      </c>
      <c r="E35" s="151">
        <v>-3013</v>
      </c>
      <c r="F35" s="151">
        <v>-3523</v>
      </c>
      <c r="G35" s="325">
        <v>-3651</v>
      </c>
      <c r="H35" s="1"/>
      <c r="I35" s="52"/>
      <c r="J35" s="1"/>
      <c r="K35" s="1"/>
      <c r="L35" s="1"/>
      <c r="M35" s="1"/>
      <c r="N35" s="1"/>
      <c r="O35" s="1"/>
      <c r="P35" s="1"/>
      <c r="Q35" s="1"/>
      <c r="R35" s="1"/>
      <c r="S35" s="1"/>
      <c r="T35" s="1"/>
      <c r="U35" s="1"/>
      <c r="V35" s="1"/>
      <c r="W35" s="1"/>
      <c r="X35" s="1"/>
      <c r="Y35" s="1"/>
      <c r="Z35" s="1"/>
      <c r="AA35" s="1"/>
      <c r="AB35" s="1"/>
      <c r="AC35" s="1"/>
    </row>
    <row r="36" spans="1:29">
      <c r="A36" s="134"/>
      <c r="B36" s="134"/>
      <c r="C36" s="144"/>
      <c r="D36" s="136"/>
      <c r="E36" s="136"/>
      <c r="F36" s="136"/>
      <c r="G36" s="287"/>
      <c r="H36" s="1"/>
      <c r="I36" s="52"/>
      <c r="J36" s="1"/>
      <c r="K36" s="1"/>
      <c r="L36" s="1"/>
      <c r="M36" s="1"/>
      <c r="N36" s="1"/>
      <c r="O36" s="1"/>
      <c r="P36" s="1"/>
      <c r="Q36" s="1"/>
      <c r="R36" s="1"/>
      <c r="S36" s="1"/>
      <c r="T36" s="1"/>
      <c r="U36" s="1"/>
      <c r="V36" s="1"/>
      <c r="W36" s="1"/>
      <c r="X36" s="1"/>
      <c r="Y36" s="1"/>
      <c r="Z36" s="1"/>
      <c r="AA36" s="1"/>
      <c r="AB36" s="1"/>
      <c r="AC36" s="1"/>
    </row>
    <row r="37" spans="1:29" ht="15" customHeight="1">
      <c r="A37" s="134" t="s">
        <v>105</v>
      </c>
      <c r="B37" s="134"/>
      <c r="C37" s="144">
        <v>-3089</v>
      </c>
      <c r="D37" s="136">
        <v>-3436</v>
      </c>
      <c r="E37" s="136">
        <v>-3501</v>
      </c>
      <c r="F37" s="136">
        <v>-2984</v>
      </c>
      <c r="G37" s="287">
        <v>-3307</v>
      </c>
      <c r="H37" s="1"/>
      <c r="I37" s="52"/>
      <c r="J37" s="1"/>
      <c r="K37" s="1"/>
      <c r="L37" s="1"/>
      <c r="M37" s="1"/>
      <c r="N37" s="1"/>
      <c r="O37" s="1"/>
      <c r="P37" s="1"/>
      <c r="Q37" s="1"/>
      <c r="R37" s="1"/>
      <c r="S37" s="1"/>
      <c r="T37" s="1"/>
      <c r="U37" s="1"/>
      <c r="V37" s="1"/>
      <c r="W37" s="1"/>
      <c r="X37" s="1"/>
      <c r="Y37" s="1"/>
      <c r="Z37" s="1"/>
      <c r="AA37" s="1"/>
      <c r="AB37" s="1"/>
      <c r="AC37" s="1"/>
    </row>
    <row r="38" spans="1:29">
      <c r="A38" s="134" t="s">
        <v>150</v>
      </c>
      <c r="B38" s="134"/>
      <c r="C38" s="144">
        <v>-692</v>
      </c>
      <c r="D38" s="136">
        <v>-359</v>
      </c>
      <c r="E38" s="136">
        <v>-437</v>
      </c>
      <c r="F38" s="136">
        <v>-694</v>
      </c>
      <c r="G38" s="287">
        <v>-304</v>
      </c>
      <c r="H38" s="1"/>
      <c r="I38" s="52"/>
      <c r="J38" s="1"/>
      <c r="K38" s="1"/>
      <c r="L38" s="1"/>
      <c r="M38" s="1"/>
      <c r="N38" s="1"/>
      <c r="O38" s="1"/>
      <c r="P38" s="1"/>
      <c r="Q38" s="1"/>
      <c r="R38" s="1"/>
      <c r="S38" s="1"/>
      <c r="T38" s="1"/>
      <c r="U38" s="1"/>
      <c r="V38" s="1"/>
      <c r="W38" s="1"/>
      <c r="X38" s="1"/>
      <c r="Y38" s="1"/>
      <c r="Z38" s="1"/>
      <c r="AA38" s="1"/>
      <c r="AB38" s="1"/>
      <c r="AC38" s="1"/>
    </row>
    <row r="39" spans="1:29">
      <c r="A39" s="306" t="s">
        <v>337</v>
      </c>
      <c r="B39" s="306"/>
      <c r="C39" s="154">
        <f>C37+C38</f>
        <v>-3781</v>
      </c>
      <c r="D39" s="155">
        <f>D37+D38</f>
        <v>-3795</v>
      </c>
      <c r="E39" s="155">
        <f>E37+E38</f>
        <v>-3938</v>
      </c>
      <c r="F39" s="155">
        <f>F37+F38</f>
        <v>-3678</v>
      </c>
      <c r="G39" s="339">
        <f>G37+G38</f>
        <v>-3611</v>
      </c>
      <c r="H39" s="1"/>
      <c r="I39" s="52"/>
      <c r="J39" s="1"/>
      <c r="K39" s="1"/>
      <c r="L39" s="1"/>
      <c r="M39" s="1"/>
      <c r="N39" s="1"/>
      <c r="O39" s="1"/>
      <c r="P39" s="1"/>
      <c r="Q39" s="1"/>
      <c r="R39" s="1"/>
      <c r="S39" s="1"/>
      <c r="T39" s="1"/>
      <c r="U39" s="1"/>
      <c r="V39" s="1"/>
      <c r="W39" s="1"/>
      <c r="X39" s="1"/>
      <c r="Y39" s="1"/>
      <c r="Z39" s="1"/>
      <c r="AA39" s="1"/>
      <c r="AB39" s="1"/>
      <c r="AC39" s="1"/>
    </row>
    <row r="40" spans="1:29">
      <c r="A40" s="135"/>
      <c r="B40" s="135"/>
      <c r="C40" s="145"/>
      <c r="D40" s="137"/>
      <c r="E40" s="137"/>
      <c r="F40" s="137"/>
      <c r="G40" s="308"/>
      <c r="H40" s="1"/>
      <c r="I40" s="52"/>
      <c r="J40" s="1"/>
      <c r="K40" s="1"/>
      <c r="L40" s="1"/>
      <c r="M40" s="1"/>
      <c r="N40" s="1"/>
      <c r="O40" s="1"/>
      <c r="P40" s="1"/>
      <c r="Q40" s="1"/>
      <c r="R40" s="1"/>
      <c r="S40" s="1"/>
      <c r="T40" s="1"/>
      <c r="U40" s="1"/>
      <c r="V40" s="1"/>
      <c r="W40" s="1"/>
      <c r="X40" s="1"/>
      <c r="Y40" s="1"/>
      <c r="Z40" s="1"/>
      <c r="AA40" s="1"/>
      <c r="AB40" s="1"/>
      <c r="AC40" s="1"/>
    </row>
    <row r="41" spans="1:29">
      <c r="A41" s="134" t="s">
        <v>77</v>
      </c>
      <c r="B41" s="134"/>
      <c r="C41" s="144">
        <v>636</v>
      </c>
      <c r="D41" s="136">
        <v>402</v>
      </c>
      <c r="E41" s="136">
        <v>691</v>
      </c>
      <c r="F41" s="136">
        <v>624</v>
      </c>
      <c r="G41" s="287">
        <v>434</v>
      </c>
      <c r="H41" s="1"/>
      <c r="I41" s="52"/>
      <c r="J41" s="1"/>
      <c r="K41" s="1"/>
      <c r="L41" s="1"/>
      <c r="M41" s="1"/>
      <c r="N41" s="1"/>
      <c r="O41" s="1"/>
      <c r="P41" s="1"/>
      <c r="Q41" s="1"/>
      <c r="R41" s="1"/>
      <c r="S41" s="1"/>
      <c r="T41" s="1"/>
      <c r="U41" s="1"/>
      <c r="V41" s="1"/>
      <c r="W41" s="1"/>
      <c r="X41" s="1"/>
      <c r="Y41" s="1"/>
      <c r="Z41" s="1"/>
      <c r="AA41" s="1"/>
      <c r="AB41" s="1"/>
      <c r="AC41" s="1"/>
    </row>
    <row r="42" spans="1:29">
      <c r="A42" s="289" t="s">
        <v>332</v>
      </c>
      <c r="B42" s="289"/>
      <c r="C42" s="139">
        <f>C39+C41</f>
        <v>-3145</v>
      </c>
      <c r="D42" s="139">
        <f>D39+D41</f>
        <v>-3393</v>
      </c>
      <c r="E42" s="139">
        <f>E39+E41</f>
        <v>-3247</v>
      </c>
      <c r="F42" s="139">
        <f>F39+F41</f>
        <v>-3054</v>
      </c>
      <c r="G42" s="290">
        <f>G39+G41</f>
        <v>-3177</v>
      </c>
      <c r="H42" s="1"/>
      <c r="I42" s="52"/>
      <c r="J42" s="1"/>
      <c r="K42" s="1"/>
      <c r="L42" s="1"/>
      <c r="M42" s="1"/>
      <c r="N42" s="1"/>
      <c r="O42" s="1"/>
      <c r="P42" s="1"/>
      <c r="Q42" s="1"/>
      <c r="R42" s="1"/>
      <c r="S42" s="1"/>
      <c r="T42" s="1"/>
      <c r="U42" s="1"/>
      <c r="V42" s="1"/>
      <c r="W42" s="1"/>
      <c r="X42" s="1"/>
      <c r="Y42" s="1"/>
      <c r="Z42" s="1"/>
      <c r="AA42" s="1"/>
      <c r="AB42" s="1"/>
      <c r="AC42" s="1"/>
    </row>
    <row r="43" spans="1:29">
      <c r="A43" s="134"/>
      <c r="B43" s="134"/>
      <c r="C43" s="144"/>
      <c r="D43" s="136"/>
      <c r="E43" s="136"/>
      <c r="F43" s="136"/>
      <c r="G43" s="287"/>
      <c r="H43" s="1"/>
      <c r="I43" s="52"/>
      <c r="J43" s="1"/>
      <c r="K43" s="1"/>
      <c r="L43" s="1"/>
      <c r="M43" s="1"/>
      <c r="N43" s="1"/>
      <c r="O43" s="1"/>
      <c r="P43" s="1"/>
      <c r="Q43" s="1"/>
      <c r="R43" s="1"/>
      <c r="S43" s="1"/>
      <c r="T43" s="1"/>
      <c r="U43" s="1"/>
      <c r="V43" s="1"/>
      <c r="W43" s="1"/>
      <c r="X43" s="1"/>
      <c r="Y43" s="1"/>
      <c r="Z43" s="1"/>
      <c r="AA43" s="1"/>
      <c r="AB43" s="1"/>
      <c r="AC43" s="1"/>
    </row>
    <row r="44" spans="1:29">
      <c r="A44" s="301" t="s">
        <v>331</v>
      </c>
      <c r="B44" s="301"/>
      <c r="C44" s="148">
        <f>C35+C42</f>
        <v>-6404</v>
      </c>
      <c r="D44" s="141">
        <f>D35+D42</f>
        <v>-6672</v>
      </c>
      <c r="E44" s="141">
        <f>E35+E42</f>
        <v>-6260</v>
      </c>
      <c r="F44" s="141">
        <f>F35+F42</f>
        <v>-6577</v>
      </c>
      <c r="G44" s="363">
        <f>G35+G42</f>
        <v>-6828</v>
      </c>
      <c r="H44" s="1"/>
      <c r="I44" s="52"/>
      <c r="J44" s="1"/>
      <c r="K44" s="1"/>
      <c r="L44" s="1"/>
      <c r="M44" s="1"/>
      <c r="N44" s="1"/>
      <c r="O44" s="1"/>
      <c r="P44" s="1"/>
      <c r="Q44" s="1"/>
      <c r="R44" s="1"/>
      <c r="S44" s="1"/>
      <c r="T44" s="1"/>
      <c r="U44" s="1"/>
      <c r="V44" s="1"/>
      <c r="W44" s="1"/>
      <c r="X44" s="1"/>
      <c r="Y44" s="1"/>
      <c r="Z44" s="1"/>
      <c r="AA44" s="1"/>
      <c r="AB44" s="1"/>
      <c r="AC44" s="1"/>
    </row>
    <row r="45" spans="1:29" ht="15" thickBot="1">
      <c r="A45" s="341" t="s">
        <v>344</v>
      </c>
      <c r="B45" s="341"/>
      <c r="C45" s="342">
        <f>C31+C44</f>
        <v>0</v>
      </c>
      <c r="D45" s="342">
        <f>D31+D44</f>
        <v>0</v>
      </c>
      <c r="E45" s="342">
        <f>E31+E44</f>
        <v>0</v>
      </c>
      <c r="F45" s="342">
        <f>F31+F44</f>
        <v>0</v>
      </c>
      <c r="G45" s="343">
        <f>G31+G44</f>
        <v>0</v>
      </c>
      <c r="H45" s="1"/>
      <c r="I45" s="52"/>
      <c r="J45" s="1"/>
      <c r="K45" s="1"/>
      <c r="L45" s="1"/>
      <c r="M45" s="1"/>
      <c r="N45" s="1"/>
      <c r="O45" s="1"/>
      <c r="P45" s="1"/>
      <c r="Q45" s="1"/>
      <c r="R45" s="1"/>
      <c r="S45" s="1"/>
      <c r="T45" s="1"/>
      <c r="U45" s="1"/>
      <c r="V45" s="1"/>
      <c r="W45" s="1"/>
      <c r="X45" s="1"/>
      <c r="Y45" s="1"/>
      <c r="Z45" s="1"/>
      <c r="AA45" s="1"/>
      <c r="AB45" s="1"/>
      <c r="AC45" s="1"/>
    </row>
    <row r="46" spans="1:29">
      <c r="A46" s="161"/>
      <c r="B46" s="162"/>
      <c r="C46" s="162"/>
      <c r="D46" s="162"/>
      <c r="E46" s="162"/>
      <c r="F46" s="162"/>
      <c r="G46" s="162"/>
      <c r="I46" s="52"/>
      <c r="J46" s="1"/>
      <c r="K46" s="1"/>
      <c r="L46" s="1"/>
      <c r="M46" s="1"/>
      <c r="N46" s="1"/>
      <c r="O46" s="1"/>
      <c r="P46" s="1"/>
      <c r="Q46" s="1"/>
      <c r="R46" s="1"/>
      <c r="S46" s="1"/>
      <c r="T46" s="1"/>
      <c r="U46" s="1"/>
      <c r="V46" s="1"/>
      <c r="W46" s="1"/>
      <c r="X46" s="1"/>
      <c r="Y46" s="1"/>
      <c r="Z46" s="1"/>
      <c r="AA46" s="1"/>
      <c r="AB46" s="1"/>
      <c r="AC46" s="1"/>
    </row>
    <row r="47" spans="1:29" ht="15" thickBot="1">
      <c r="A47" s="163"/>
      <c r="B47" s="164"/>
      <c r="C47" s="163"/>
      <c r="D47" s="163"/>
      <c r="E47" s="163"/>
      <c r="F47" s="163"/>
      <c r="G47" s="163"/>
      <c r="H47" s="1"/>
      <c r="I47" s="2"/>
      <c r="J47" s="1"/>
      <c r="K47" s="1"/>
      <c r="L47" s="1"/>
      <c r="M47" s="1"/>
      <c r="N47" s="1"/>
      <c r="O47" s="1"/>
      <c r="P47" s="1"/>
      <c r="Q47" s="1"/>
      <c r="R47" s="1"/>
      <c r="S47" s="1"/>
      <c r="T47" s="1"/>
      <c r="U47" s="1"/>
      <c r="V47" s="1"/>
      <c r="W47" s="1"/>
      <c r="X47" s="1"/>
      <c r="Y47" s="1"/>
      <c r="Z47" s="1"/>
      <c r="AA47" s="1"/>
      <c r="AB47" s="1"/>
      <c r="AC47" s="1"/>
    </row>
    <row r="48" spans="1:29" ht="27" customHeight="1">
      <c r="A48" s="893" t="s">
        <v>302</v>
      </c>
      <c r="B48" s="314"/>
      <c r="C48" s="314"/>
      <c r="D48" s="314"/>
      <c r="E48" s="314"/>
      <c r="F48" s="314"/>
      <c r="G48" s="315"/>
      <c r="H48" s="1"/>
      <c r="I48" s="142"/>
      <c r="J48" s="1"/>
      <c r="K48" s="1"/>
      <c r="L48" s="1"/>
      <c r="M48" s="1"/>
      <c r="N48" s="1"/>
      <c r="O48" s="1"/>
      <c r="P48" s="1"/>
      <c r="Q48" s="1"/>
      <c r="R48" s="1"/>
      <c r="S48" s="1"/>
      <c r="T48" s="1"/>
      <c r="U48" s="1"/>
      <c r="V48" s="1"/>
      <c r="W48" s="1"/>
      <c r="X48" s="1"/>
      <c r="Y48" s="1"/>
      <c r="Z48" s="1"/>
      <c r="AA48" s="1"/>
      <c r="AB48" s="1"/>
      <c r="AC48" s="1"/>
    </row>
    <row r="49" spans="1:29" ht="15" customHeight="1">
      <c r="A49" s="107"/>
      <c r="B49" s="107"/>
      <c r="C49" s="949" t="s">
        <v>163</v>
      </c>
      <c r="D49" s="949"/>
      <c r="E49" s="949"/>
      <c r="F49" s="949"/>
      <c r="G49" s="950"/>
      <c r="H49" s="2"/>
      <c r="I49" s="52"/>
      <c r="J49" s="1"/>
      <c r="K49" s="1"/>
      <c r="L49" s="1"/>
      <c r="M49" s="1"/>
      <c r="N49" s="1"/>
      <c r="O49" s="1"/>
      <c r="P49" s="1"/>
      <c r="Q49" s="1"/>
      <c r="R49" s="1"/>
      <c r="S49" s="1"/>
      <c r="T49" s="1"/>
      <c r="U49" s="1"/>
      <c r="V49" s="1"/>
      <c r="W49" s="1"/>
      <c r="X49" s="1"/>
      <c r="Y49" s="1"/>
      <c r="Z49" s="1"/>
      <c r="AA49" s="1"/>
      <c r="AB49" s="1"/>
      <c r="AC49" s="1"/>
    </row>
    <row r="50" spans="1:29" ht="15" customHeight="1">
      <c r="A50" s="894"/>
      <c r="B50" s="121" t="s">
        <v>1</v>
      </c>
      <c r="C50" s="108">
        <v>42369</v>
      </c>
      <c r="D50" s="108">
        <v>42735</v>
      </c>
      <c r="E50" s="108">
        <v>43100</v>
      </c>
      <c r="F50" s="108">
        <v>43465</v>
      </c>
      <c r="G50" s="252">
        <v>43830</v>
      </c>
      <c r="H50" s="142"/>
      <c r="I50" s="52"/>
      <c r="J50" s="1"/>
      <c r="K50" s="1"/>
      <c r="L50" s="1"/>
      <c r="M50" s="1"/>
      <c r="N50" s="1"/>
      <c r="O50" s="1"/>
      <c r="P50" s="1"/>
      <c r="Q50" s="1"/>
      <c r="R50" s="1"/>
      <c r="S50" s="1"/>
      <c r="T50" s="1"/>
      <c r="U50" s="1"/>
      <c r="V50" s="1"/>
      <c r="W50" s="1"/>
      <c r="X50" s="1"/>
      <c r="Y50" s="1"/>
      <c r="Z50" s="1"/>
      <c r="AA50" s="1"/>
      <c r="AB50" s="1"/>
      <c r="AC50" s="1"/>
    </row>
    <row r="51" spans="1:29">
      <c r="A51" s="162"/>
      <c r="B51" s="162"/>
      <c r="C51" s="168"/>
      <c r="D51" s="169"/>
      <c r="E51" s="169"/>
      <c r="F51" s="169"/>
      <c r="G51" s="320"/>
      <c r="H51" s="1"/>
      <c r="I51" s="52"/>
      <c r="J51" s="1"/>
      <c r="K51" s="1"/>
      <c r="L51" s="1"/>
      <c r="M51" s="1"/>
      <c r="N51" s="1"/>
      <c r="O51" s="1"/>
      <c r="P51" s="1"/>
      <c r="Q51" s="1"/>
      <c r="R51" s="1"/>
      <c r="S51" s="1"/>
      <c r="T51" s="1"/>
      <c r="U51" s="1"/>
      <c r="V51" s="1"/>
      <c r="W51" s="1"/>
      <c r="X51" s="1"/>
      <c r="Y51" s="1"/>
      <c r="Z51" s="1"/>
      <c r="AA51" s="1"/>
      <c r="AB51" s="1"/>
      <c r="AC51" s="1"/>
    </row>
    <row r="52" spans="1:29">
      <c r="A52" s="5" t="s">
        <v>343</v>
      </c>
      <c r="B52" s="162"/>
      <c r="C52" s="143">
        <f>SUM(C55:C56)</f>
        <v>4921</v>
      </c>
      <c r="D52" s="138">
        <f>SUM(D55:D56)</f>
        <v>4860</v>
      </c>
      <c r="E52" s="138">
        <f>SUM(E55:E56)</f>
        <v>5796</v>
      </c>
      <c r="F52" s="138">
        <f>SUM(F55:F56)</f>
        <v>6494</v>
      </c>
      <c r="G52" s="295">
        <f>SUM(G55:G56)</f>
        <v>7324</v>
      </c>
      <c r="H52" s="1"/>
      <c r="I52" s="52"/>
      <c r="J52" s="1"/>
      <c r="K52" s="1"/>
      <c r="L52" s="1"/>
      <c r="M52" s="1"/>
      <c r="N52" s="1"/>
      <c r="O52" s="1"/>
      <c r="P52" s="1"/>
      <c r="Q52" s="1"/>
      <c r="R52" s="1"/>
      <c r="S52" s="1"/>
      <c r="T52" s="1"/>
      <c r="U52" s="1"/>
      <c r="V52" s="1"/>
      <c r="W52" s="1"/>
      <c r="X52" s="1"/>
      <c r="Y52" s="1"/>
      <c r="Z52" s="1"/>
      <c r="AA52" s="1"/>
      <c r="AB52" s="1"/>
      <c r="AC52" s="1"/>
    </row>
    <row r="53" spans="1:29" hidden="1" outlineLevel="1">
      <c r="A53" s="2" t="s">
        <v>167</v>
      </c>
      <c r="B53" s="162"/>
      <c r="C53" s="144">
        <v>3947</v>
      </c>
      <c r="D53" s="136">
        <v>3734</v>
      </c>
      <c r="E53" s="136">
        <v>4633</v>
      </c>
      <c r="F53" s="136">
        <v>5268</v>
      </c>
      <c r="G53" s="287">
        <v>6046</v>
      </c>
      <c r="H53" s="1"/>
      <c r="I53" s="52"/>
      <c r="J53" s="1"/>
      <c r="K53" s="1"/>
      <c r="L53" s="1"/>
      <c r="M53" s="1"/>
      <c r="N53" s="1"/>
      <c r="O53" s="1"/>
      <c r="P53" s="1"/>
      <c r="Q53" s="1"/>
      <c r="R53" s="1"/>
      <c r="S53" s="1"/>
      <c r="T53" s="1"/>
      <c r="U53" s="1"/>
      <c r="V53" s="1"/>
      <c r="W53" s="1"/>
      <c r="X53" s="1"/>
      <c r="Y53" s="1"/>
      <c r="Z53" s="1"/>
      <c r="AA53" s="1"/>
      <c r="AB53" s="1"/>
      <c r="AC53" s="1"/>
    </row>
    <row r="54" spans="1:29" hidden="1" outlineLevel="1">
      <c r="A54" s="2" t="s">
        <v>169</v>
      </c>
      <c r="B54" s="162"/>
      <c r="C54" s="144">
        <v>785</v>
      </c>
      <c r="D54" s="136">
        <v>847</v>
      </c>
      <c r="E54" s="136">
        <v>957</v>
      </c>
      <c r="F54" s="136">
        <v>1003</v>
      </c>
      <c r="G54" s="287">
        <v>1076</v>
      </c>
      <c r="H54" s="1"/>
      <c r="I54" s="52"/>
      <c r="J54" s="1"/>
      <c r="K54" s="1"/>
      <c r="L54" s="1"/>
      <c r="M54" s="1"/>
      <c r="N54" s="1"/>
      <c r="O54" s="1"/>
      <c r="P54" s="1"/>
      <c r="Q54" s="1"/>
      <c r="R54" s="1"/>
      <c r="S54" s="1"/>
      <c r="T54" s="1"/>
      <c r="U54" s="1"/>
      <c r="V54" s="1"/>
      <c r="W54" s="1"/>
      <c r="X54" s="1"/>
      <c r="Y54" s="1"/>
      <c r="Z54" s="1"/>
      <c r="AA54" s="1"/>
      <c r="AB54" s="1"/>
      <c r="AC54" s="1"/>
    </row>
    <row r="55" spans="1:29" hidden="1" outlineLevel="1">
      <c r="A55" s="11" t="s">
        <v>171</v>
      </c>
      <c r="B55" s="162"/>
      <c r="C55" s="145">
        <f>SUM(C53:C54)</f>
        <v>4732</v>
      </c>
      <c r="D55" s="137">
        <f>SUM(D53:D54)</f>
        <v>4581</v>
      </c>
      <c r="E55" s="137">
        <f>SUM(E53:E54)</f>
        <v>5590</v>
      </c>
      <c r="F55" s="137">
        <f>SUM(F53:F54)</f>
        <v>6271</v>
      </c>
      <c r="G55" s="308">
        <f>SUM(G53:G54)</f>
        <v>7122</v>
      </c>
      <c r="H55" s="1"/>
      <c r="I55" s="52"/>
      <c r="J55" s="1"/>
      <c r="K55" s="1"/>
      <c r="L55" s="1"/>
      <c r="M55" s="1"/>
      <c r="N55" s="1"/>
      <c r="O55" s="1"/>
      <c r="P55" s="1"/>
      <c r="Q55" s="1"/>
      <c r="R55" s="1"/>
      <c r="S55" s="1"/>
      <c r="T55" s="1"/>
      <c r="U55" s="1"/>
      <c r="V55" s="1"/>
      <c r="W55" s="1"/>
      <c r="X55" s="1"/>
      <c r="Y55" s="1"/>
      <c r="Z55" s="1"/>
      <c r="AA55" s="1"/>
      <c r="AB55" s="1"/>
      <c r="AC55" s="1"/>
    </row>
    <row r="56" spans="1:29" hidden="1" outlineLevel="1">
      <c r="A56" s="2" t="s">
        <v>173</v>
      </c>
      <c r="B56" s="162"/>
      <c r="C56" s="144">
        <v>189</v>
      </c>
      <c r="D56" s="136">
        <v>279</v>
      </c>
      <c r="E56" s="136">
        <v>206</v>
      </c>
      <c r="F56" s="134">
        <v>223</v>
      </c>
      <c r="G56" s="287">
        <v>202</v>
      </c>
      <c r="H56" s="1"/>
      <c r="I56" s="52"/>
      <c r="J56" s="1"/>
      <c r="K56" s="1"/>
      <c r="L56" s="1"/>
      <c r="M56" s="1"/>
      <c r="N56" s="1"/>
      <c r="O56" s="1"/>
      <c r="P56" s="1"/>
      <c r="Q56" s="1"/>
      <c r="R56" s="1"/>
      <c r="S56" s="1"/>
      <c r="T56" s="1"/>
      <c r="U56" s="1"/>
      <c r="V56" s="1"/>
      <c r="W56" s="1"/>
      <c r="X56" s="1"/>
      <c r="Y56" s="1"/>
      <c r="Z56" s="1"/>
      <c r="AA56" s="1"/>
      <c r="AB56" s="1"/>
      <c r="AC56" s="1"/>
    </row>
    <row r="57" spans="1:29" collapsed="1">
      <c r="A57" s="2"/>
      <c r="B57" s="162"/>
      <c r="C57" s="144"/>
      <c r="D57" s="144"/>
      <c r="E57" s="136"/>
      <c r="F57" s="136"/>
      <c r="G57" s="287"/>
      <c r="H57" s="1"/>
      <c r="I57" s="52"/>
      <c r="J57" s="1"/>
      <c r="K57" s="1"/>
      <c r="L57" s="1"/>
      <c r="M57" s="1"/>
      <c r="N57" s="1"/>
      <c r="O57" s="1"/>
      <c r="P57" s="1"/>
      <c r="Q57" s="1"/>
      <c r="R57" s="1"/>
      <c r="S57" s="1"/>
      <c r="T57" s="1"/>
      <c r="U57" s="1"/>
      <c r="V57" s="1"/>
      <c r="W57" s="1"/>
      <c r="X57" s="1"/>
      <c r="Y57" s="1"/>
      <c r="Z57" s="1"/>
      <c r="AA57" s="1"/>
      <c r="AB57" s="1"/>
      <c r="AC57" s="1"/>
    </row>
    <row r="58" spans="1:29">
      <c r="A58" s="2" t="s">
        <v>177</v>
      </c>
      <c r="B58" s="162"/>
      <c r="C58" s="144">
        <v>-2286</v>
      </c>
      <c r="D58" s="144">
        <v>-2101</v>
      </c>
      <c r="E58" s="136">
        <v>-2831</v>
      </c>
      <c r="F58" s="136">
        <v>-3346</v>
      </c>
      <c r="G58" s="287">
        <v>-4004</v>
      </c>
      <c r="H58" s="1"/>
      <c r="I58" s="52"/>
      <c r="J58" s="1"/>
      <c r="K58" s="1"/>
      <c r="L58" s="1"/>
      <c r="M58" s="1"/>
      <c r="N58" s="1"/>
      <c r="O58" s="1"/>
      <c r="P58" s="1"/>
      <c r="Q58" s="1"/>
      <c r="R58" s="1"/>
      <c r="S58" s="1"/>
      <c r="T58" s="1"/>
      <c r="U58" s="1"/>
      <c r="V58" s="1"/>
      <c r="W58" s="1"/>
      <c r="X58" s="1"/>
      <c r="Y58" s="1"/>
      <c r="Z58" s="1"/>
      <c r="AA58" s="1"/>
      <c r="AB58" s="1"/>
      <c r="AC58" s="1"/>
    </row>
    <row r="59" spans="1:29">
      <c r="A59" s="2" t="s">
        <v>179</v>
      </c>
      <c r="B59" s="162"/>
      <c r="C59" s="144">
        <v>-706</v>
      </c>
      <c r="D59" s="144">
        <v>-758</v>
      </c>
      <c r="E59" s="136">
        <v>-850</v>
      </c>
      <c r="F59" s="136">
        <v>-986</v>
      </c>
      <c r="G59" s="287">
        <v>-1152</v>
      </c>
      <c r="H59" s="1"/>
      <c r="I59" s="52"/>
      <c r="J59" s="1"/>
      <c r="K59" s="1"/>
      <c r="L59" s="1"/>
      <c r="M59" s="1"/>
      <c r="N59" s="1"/>
      <c r="O59" s="1"/>
      <c r="P59" s="1"/>
      <c r="Q59" s="1"/>
      <c r="R59" s="1"/>
      <c r="S59" s="1"/>
      <c r="T59" s="1"/>
      <c r="U59" s="1"/>
      <c r="V59" s="1"/>
      <c r="W59" s="1"/>
      <c r="X59" s="1"/>
      <c r="Y59" s="1"/>
      <c r="Z59" s="1"/>
      <c r="AA59" s="1"/>
      <c r="AB59" s="1"/>
      <c r="AC59" s="1"/>
    </row>
    <row r="60" spans="1:29">
      <c r="A60" s="2" t="s">
        <v>183</v>
      </c>
      <c r="B60" s="162"/>
      <c r="C60" s="144">
        <v>-252</v>
      </c>
      <c r="D60" s="144">
        <v>-243</v>
      </c>
      <c r="E60" s="136">
        <v>-281</v>
      </c>
      <c r="F60" s="136">
        <v>-266</v>
      </c>
      <c r="G60" s="287">
        <v>-234</v>
      </c>
      <c r="H60" s="1"/>
      <c r="I60" s="52"/>
      <c r="J60" s="1"/>
      <c r="K60" s="1"/>
      <c r="L60" s="1"/>
      <c r="M60" s="1"/>
      <c r="N60" s="1"/>
      <c r="O60" s="1"/>
      <c r="P60" s="1"/>
      <c r="Q60" s="1"/>
      <c r="R60" s="1"/>
      <c r="S60" s="1"/>
      <c r="T60" s="1"/>
      <c r="U60" s="1"/>
      <c r="V60" s="1"/>
      <c r="W60" s="1"/>
      <c r="X60" s="1"/>
      <c r="Y60" s="1"/>
      <c r="Z60" s="1"/>
      <c r="AA60" s="1"/>
      <c r="AB60" s="1"/>
      <c r="AC60" s="1"/>
    </row>
    <row r="61" spans="1:29">
      <c r="A61" s="2" t="s">
        <v>333</v>
      </c>
      <c r="B61" s="162"/>
      <c r="C61" s="144">
        <f>-SUM(C66:C67)</f>
        <v>-629</v>
      </c>
      <c r="D61" s="144">
        <f>-SUM(D66:D67)</f>
        <v>-596</v>
      </c>
      <c r="E61" s="136">
        <f>-SUM(E66:E67)</f>
        <v>-635</v>
      </c>
      <c r="F61" s="136">
        <f>-SUM(F66:F67)</f>
        <v>-665</v>
      </c>
      <c r="G61" s="287">
        <f>-SUM(G66:G67)</f>
        <v>-700</v>
      </c>
      <c r="H61" s="1"/>
      <c r="I61" s="52"/>
      <c r="J61" s="1"/>
      <c r="K61" s="1"/>
      <c r="L61" s="1"/>
      <c r="M61" s="1"/>
      <c r="N61" s="1"/>
      <c r="O61" s="1"/>
      <c r="P61" s="1"/>
      <c r="Q61" s="1"/>
      <c r="R61" s="1"/>
      <c r="S61" s="1"/>
      <c r="T61" s="1"/>
      <c r="U61" s="1"/>
      <c r="V61" s="1"/>
      <c r="W61" s="1"/>
      <c r="X61" s="1"/>
      <c r="Y61" s="1"/>
      <c r="Z61" s="1"/>
      <c r="AA61" s="1"/>
      <c r="AB61" s="1"/>
      <c r="AC61" s="1"/>
    </row>
    <row r="62" spans="1:29" hidden="1" outlineLevel="1">
      <c r="A62" s="2" t="s">
        <v>187</v>
      </c>
      <c r="B62" s="162"/>
      <c r="C62" s="144">
        <v>441</v>
      </c>
      <c r="D62" s="144">
        <v>433</v>
      </c>
      <c r="E62" s="136">
        <v>471</v>
      </c>
      <c r="F62" s="136">
        <v>494</v>
      </c>
      <c r="G62" s="287">
        <v>527</v>
      </c>
      <c r="H62" s="1"/>
      <c r="I62" s="52"/>
      <c r="J62" s="1"/>
      <c r="K62" s="1"/>
      <c r="L62" s="1"/>
      <c r="M62" s="1"/>
      <c r="N62" s="1"/>
      <c r="O62" s="1"/>
      <c r="P62" s="1"/>
      <c r="Q62" s="1"/>
      <c r="R62" s="1"/>
      <c r="S62" s="1"/>
      <c r="T62" s="1"/>
      <c r="U62" s="1"/>
      <c r="V62" s="1"/>
      <c r="W62" s="1"/>
      <c r="X62" s="1"/>
      <c r="Y62" s="1"/>
      <c r="Z62" s="1"/>
      <c r="AA62" s="1"/>
      <c r="AB62" s="1"/>
      <c r="AC62" s="1"/>
    </row>
    <row r="63" spans="1:29" hidden="1" outlineLevel="1">
      <c r="A63" s="2" t="s">
        <v>189</v>
      </c>
      <c r="B63" s="162"/>
      <c r="C63" s="144">
        <v>163</v>
      </c>
      <c r="D63" s="144">
        <v>146</v>
      </c>
      <c r="E63" s="136">
        <v>160</v>
      </c>
      <c r="F63" s="136">
        <v>173</v>
      </c>
      <c r="G63" s="287">
        <v>179</v>
      </c>
      <c r="H63" s="1"/>
      <c r="I63" s="52"/>
      <c r="J63" s="1"/>
      <c r="K63" s="1"/>
      <c r="L63" s="1"/>
      <c r="M63" s="1"/>
      <c r="N63" s="1"/>
      <c r="O63" s="1"/>
      <c r="P63" s="1"/>
      <c r="Q63" s="1"/>
      <c r="R63" s="1"/>
      <c r="S63" s="1"/>
      <c r="T63" s="1"/>
      <c r="U63" s="1"/>
      <c r="V63" s="1"/>
      <c r="W63" s="1"/>
      <c r="X63" s="1"/>
      <c r="Y63" s="1"/>
      <c r="Z63" s="1"/>
      <c r="AA63" s="1"/>
      <c r="AB63" s="1"/>
      <c r="AC63" s="1"/>
    </row>
    <row r="64" spans="1:29" hidden="1" outlineLevel="1">
      <c r="A64" s="2" t="s">
        <v>191</v>
      </c>
      <c r="B64" s="162"/>
      <c r="C64" s="144">
        <v>25</v>
      </c>
      <c r="D64" s="144">
        <v>26</v>
      </c>
      <c r="E64" s="136">
        <v>29</v>
      </c>
      <c r="F64" s="136">
        <v>31</v>
      </c>
      <c r="G64" s="287">
        <v>31</v>
      </c>
      <c r="H64" s="1"/>
      <c r="I64" s="52"/>
      <c r="J64" s="1"/>
      <c r="K64" s="1"/>
      <c r="L64" s="1"/>
      <c r="M64" s="1"/>
      <c r="N64" s="1"/>
      <c r="O64" s="1"/>
      <c r="P64" s="1"/>
      <c r="Q64" s="1"/>
      <c r="R64" s="1"/>
      <c r="S64" s="1"/>
      <c r="T64" s="1"/>
      <c r="U64" s="1"/>
      <c r="V64" s="1"/>
      <c r="W64" s="1"/>
      <c r="X64" s="1"/>
      <c r="Y64" s="1"/>
      <c r="Z64" s="1"/>
      <c r="AA64" s="1"/>
      <c r="AB64" s="1"/>
      <c r="AC64" s="1"/>
    </row>
    <row r="65" spans="1:29" hidden="1" outlineLevel="1">
      <c r="A65" s="2" t="s">
        <v>192</v>
      </c>
      <c r="B65" s="162"/>
      <c r="C65" s="144">
        <v>27</v>
      </c>
      <c r="D65" s="144">
        <v>36</v>
      </c>
      <c r="E65" s="136">
        <v>27</v>
      </c>
      <c r="F65" s="136">
        <v>33</v>
      </c>
      <c r="G65" s="287">
        <v>42</v>
      </c>
      <c r="H65" s="1"/>
      <c r="I65" s="52"/>
      <c r="J65" s="1"/>
      <c r="K65" s="1"/>
      <c r="L65" s="1"/>
      <c r="M65" s="1"/>
      <c r="N65" s="1"/>
      <c r="O65" s="1"/>
      <c r="P65" s="1"/>
      <c r="Q65" s="1"/>
      <c r="R65" s="1"/>
      <c r="S65" s="1"/>
      <c r="T65" s="1"/>
      <c r="U65" s="1"/>
      <c r="V65" s="1"/>
      <c r="W65" s="1"/>
      <c r="X65" s="1"/>
      <c r="Y65" s="1"/>
      <c r="Z65" s="1"/>
      <c r="AA65" s="1"/>
      <c r="AB65" s="1"/>
      <c r="AC65" s="1"/>
    </row>
    <row r="66" spans="1:29" hidden="1" outlineLevel="1">
      <c r="A66" s="11" t="s">
        <v>194</v>
      </c>
      <c r="B66" s="162"/>
      <c r="C66" s="145">
        <f>SUM(C62:C65)</f>
        <v>656</v>
      </c>
      <c r="D66" s="145">
        <f>SUM(D62:D65)</f>
        <v>641</v>
      </c>
      <c r="E66" s="137">
        <f>SUM(E62:E65)</f>
        <v>687</v>
      </c>
      <c r="F66" s="137">
        <f t="shared" ref="F66" si="0">SUM(F62:F65)</f>
        <v>731</v>
      </c>
      <c r="G66" s="308">
        <f>SUM(G62:G65)</f>
        <v>779</v>
      </c>
      <c r="H66" s="1"/>
      <c r="I66" s="52"/>
      <c r="J66" s="1"/>
      <c r="K66" s="1"/>
      <c r="L66" s="1"/>
      <c r="M66" s="1"/>
      <c r="N66" s="1"/>
      <c r="O66" s="1"/>
      <c r="P66" s="1"/>
      <c r="Q66" s="1"/>
      <c r="R66" s="1"/>
      <c r="S66" s="1"/>
      <c r="T66" s="1"/>
      <c r="U66" s="1"/>
      <c r="V66" s="1"/>
      <c r="W66" s="1"/>
      <c r="X66" s="1"/>
      <c r="Y66" s="1"/>
      <c r="Z66" s="1"/>
      <c r="AA66" s="1"/>
      <c r="AB66" s="1"/>
      <c r="AC66" s="1"/>
    </row>
    <row r="67" spans="1:29" hidden="1" outlineLevel="1">
      <c r="A67" s="2" t="s">
        <v>196</v>
      </c>
      <c r="B67" s="162"/>
      <c r="C67" s="144">
        <v>-27</v>
      </c>
      <c r="D67" s="144">
        <v>-45</v>
      </c>
      <c r="E67" s="136">
        <v>-52</v>
      </c>
      <c r="F67" s="136">
        <v>-66</v>
      </c>
      <c r="G67" s="287">
        <v>-79</v>
      </c>
      <c r="H67" s="1"/>
      <c r="I67" s="52"/>
      <c r="J67" s="1"/>
      <c r="K67" s="1"/>
      <c r="L67" s="1"/>
      <c r="M67" s="1"/>
      <c r="N67" s="1"/>
      <c r="O67" s="1"/>
      <c r="P67" s="1"/>
      <c r="Q67" s="1"/>
      <c r="R67" s="1"/>
      <c r="S67" s="1"/>
      <c r="T67" s="1"/>
      <c r="U67" s="1"/>
      <c r="V67" s="1"/>
      <c r="W67" s="1"/>
      <c r="X67" s="1"/>
      <c r="Y67" s="1"/>
      <c r="Z67" s="1"/>
      <c r="AA67" s="1"/>
      <c r="AB67" s="1"/>
      <c r="AC67" s="1"/>
    </row>
    <row r="68" spans="1:29" collapsed="1">
      <c r="A68" s="12" t="s">
        <v>342</v>
      </c>
      <c r="B68" s="165"/>
      <c r="C68" s="152">
        <f>SUM(C58:C61)</f>
        <v>-3873</v>
      </c>
      <c r="D68" s="152">
        <f>SUM(D58:D61)</f>
        <v>-3698</v>
      </c>
      <c r="E68" s="153">
        <f>SUM(E58:E61)</f>
        <v>-4597</v>
      </c>
      <c r="F68" s="153">
        <f>SUM(F58:F61)</f>
        <v>-5263</v>
      </c>
      <c r="G68" s="293">
        <f>SUM(G58:G61)</f>
        <v>-6090</v>
      </c>
      <c r="H68" s="1"/>
      <c r="I68" s="52"/>
      <c r="J68" s="1"/>
      <c r="K68" s="1"/>
      <c r="L68" s="1"/>
      <c r="M68" s="1"/>
      <c r="N68" s="1"/>
      <c r="O68" s="1"/>
      <c r="P68" s="1"/>
      <c r="Q68" s="1"/>
      <c r="R68" s="1"/>
      <c r="S68" s="1"/>
      <c r="T68" s="1"/>
      <c r="U68" s="1"/>
      <c r="V68" s="1"/>
      <c r="W68" s="1"/>
      <c r="X68" s="1"/>
      <c r="Y68" s="1"/>
      <c r="Z68" s="1"/>
      <c r="AA68" s="1"/>
      <c r="AB68" s="1"/>
      <c r="AC68" s="1"/>
    </row>
    <row r="69" spans="1:29">
      <c r="A69" s="5"/>
      <c r="B69" s="162"/>
      <c r="C69" s="144"/>
      <c r="D69" s="144"/>
      <c r="E69" s="136"/>
      <c r="F69" s="136"/>
      <c r="G69" s="287"/>
      <c r="H69" s="1"/>
      <c r="I69" s="52"/>
      <c r="J69" s="1"/>
      <c r="K69" s="1"/>
      <c r="L69" s="1"/>
      <c r="M69" s="1"/>
      <c r="N69" s="1"/>
      <c r="O69" s="1"/>
      <c r="P69" s="1"/>
      <c r="Q69" s="1"/>
      <c r="R69" s="1"/>
      <c r="S69" s="1"/>
      <c r="T69" s="1"/>
      <c r="U69" s="1"/>
      <c r="V69" s="1"/>
      <c r="W69" s="1"/>
      <c r="X69" s="1"/>
      <c r="Y69" s="1"/>
      <c r="Z69" s="1"/>
      <c r="AA69" s="1"/>
      <c r="AB69" s="1"/>
      <c r="AC69" s="1"/>
    </row>
    <row r="70" spans="1:29">
      <c r="A70" s="21" t="s">
        <v>306</v>
      </c>
      <c r="B70" s="166"/>
      <c r="C70" s="149">
        <f>SUM(C52,C68)</f>
        <v>1048</v>
      </c>
      <c r="D70" s="149">
        <f>SUM(D52,D68)</f>
        <v>1162</v>
      </c>
      <c r="E70" s="139">
        <f>SUM(E52,E68)</f>
        <v>1199</v>
      </c>
      <c r="F70" s="139">
        <f>SUM(F52,F68)</f>
        <v>1231</v>
      </c>
      <c r="G70" s="290">
        <f>SUM(G52,G68)</f>
        <v>1234</v>
      </c>
      <c r="H70" s="1"/>
      <c r="I70" s="52"/>
      <c r="J70" s="1"/>
      <c r="K70" s="1"/>
      <c r="L70" s="1"/>
      <c r="M70" s="1"/>
      <c r="N70" s="1"/>
      <c r="O70" s="1"/>
      <c r="P70" s="1"/>
      <c r="Q70" s="1"/>
      <c r="R70" s="1"/>
      <c r="S70" s="1"/>
      <c r="T70" s="1"/>
      <c r="U70" s="1"/>
      <c r="V70" s="1"/>
      <c r="W70" s="1"/>
      <c r="X70" s="1"/>
      <c r="Y70" s="1"/>
      <c r="Z70" s="1"/>
      <c r="AA70" s="1"/>
      <c r="AB70" s="1"/>
      <c r="AC70" s="1"/>
    </row>
    <row r="71" spans="1:29">
      <c r="A71" s="2"/>
      <c r="B71" s="162"/>
      <c r="C71" s="234"/>
      <c r="D71" s="234"/>
      <c r="E71" s="140"/>
      <c r="F71" s="140"/>
      <c r="G71" s="348"/>
      <c r="H71" s="1"/>
      <c r="I71" s="52"/>
      <c r="J71" s="1"/>
      <c r="K71" s="1"/>
      <c r="L71" s="1"/>
      <c r="M71" s="1"/>
      <c r="N71" s="1"/>
      <c r="O71" s="1"/>
      <c r="P71" s="1"/>
      <c r="Q71" s="1"/>
      <c r="R71" s="1"/>
      <c r="S71" s="1"/>
      <c r="T71" s="1"/>
      <c r="U71" s="1"/>
      <c r="V71" s="1"/>
      <c r="W71" s="1"/>
      <c r="X71" s="1"/>
      <c r="Y71" s="1"/>
      <c r="Z71" s="1"/>
      <c r="AA71" s="1"/>
      <c r="AB71" s="1"/>
      <c r="AC71" s="1"/>
    </row>
    <row r="72" spans="1:29">
      <c r="A72" s="2" t="s">
        <v>334</v>
      </c>
      <c r="B72" s="162"/>
      <c r="C72" s="144">
        <f>-SUM(C73:C75)</f>
        <v>-754</v>
      </c>
      <c r="D72" s="144">
        <f t="shared" ref="D72:G72" si="1">-SUM(D73:D75)</f>
        <v>-648</v>
      </c>
      <c r="E72" s="136">
        <f t="shared" si="1"/>
        <v>-444</v>
      </c>
      <c r="F72" s="136">
        <f t="shared" si="1"/>
        <v>-623</v>
      </c>
      <c r="G72" s="287">
        <f t="shared" si="1"/>
        <v>-511</v>
      </c>
      <c r="H72" s="1"/>
      <c r="I72" s="52"/>
      <c r="J72" s="1"/>
      <c r="K72" s="1"/>
      <c r="L72" s="1"/>
      <c r="M72" s="1"/>
      <c r="N72" s="1"/>
      <c r="O72" s="1"/>
      <c r="P72" s="1"/>
      <c r="Q72" s="1"/>
      <c r="R72" s="1"/>
      <c r="S72" s="1"/>
      <c r="T72" s="1"/>
      <c r="U72" s="1"/>
      <c r="V72" s="1"/>
      <c r="W72" s="1"/>
      <c r="X72" s="1"/>
      <c r="Y72" s="1"/>
      <c r="Z72" s="1"/>
      <c r="AA72" s="1"/>
      <c r="AB72" s="1"/>
      <c r="AC72" s="1"/>
    </row>
    <row r="73" spans="1:29" hidden="1" outlineLevel="1">
      <c r="A73" s="2" t="s">
        <v>202</v>
      </c>
      <c r="B73" s="162"/>
      <c r="C73" s="144">
        <v>54</v>
      </c>
      <c r="D73" s="144">
        <v>55</v>
      </c>
      <c r="E73" s="136">
        <v>72</v>
      </c>
      <c r="F73" s="136">
        <v>91</v>
      </c>
      <c r="G73" s="287">
        <v>123</v>
      </c>
      <c r="H73" s="1"/>
      <c r="I73" s="52"/>
      <c r="J73" s="1"/>
      <c r="K73" s="1"/>
      <c r="L73" s="1"/>
      <c r="M73" s="1"/>
      <c r="N73" s="1"/>
      <c r="O73" s="1"/>
      <c r="P73" s="1"/>
      <c r="Q73" s="1"/>
      <c r="R73" s="1"/>
      <c r="S73" s="1"/>
      <c r="T73" s="1"/>
      <c r="U73" s="1"/>
      <c r="V73" s="1"/>
      <c r="W73" s="1"/>
      <c r="X73" s="1"/>
      <c r="Y73" s="1"/>
      <c r="Z73" s="1"/>
      <c r="AA73" s="1"/>
      <c r="AB73" s="1"/>
      <c r="AC73" s="1"/>
    </row>
    <row r="74" spans="1:29" hidden="1" outlineLevel="1">
      <c r="A74" s="2" t="s">
        <v>204</v>
      </c>
      <c r="B74" s="162"/>
      <c r="C74" s="144">
        <v>341</v>
      </c>
      <c r="D74" s="144">
        <v>348</v>
      </c>
      <c r="E74" s="136">
        <v>338</v>
      </c>
      <c r="F74" s="136">
        <v>372</v>
      </c>
      <c r="G74" s="287">
        <v>379</v>
      </c>
      <c r="H74" s="1"/>
      <c r="I74" s="52"/>
      <c r="J74" s="1"/>
      <c r="K74" s="1"/>
      <c r="L74" s="1"/>
      <c r="M74" s="1"/>
      <c r="N74" s="1"/>
      <c r="O74" s="1"/>
      <c r="P74" s="1"/>
      <c r="Q74" s="1"/>
      <c r="R74" s="1"/>
      <c r="S74" s="1"/>
      <c r="T74" s="1"/>
      <c r="U74" s="1"/>
      <c r="V74" s="1"/>
      <c r="W74" s="1"/>
      <c r="X74" s="1"/>
      <c r="Y74" s="1"/>
      <c r="Z74" s="1"/>
      <c r="AA74" s="1"/>
      <c r="AB74" s="1"/>
      <c r="AC74" s="1"/>
    </row>
    <row r="75" spans="1:29" hidden="1" outlineLevel="1">
      <c r="A75" s="2" t="s">
        <v>206</v>
      </c>
      <c r="B75" s="162"/>
      <c r="C75" s="144">
        <v>359</v>
      </c>
      <c r="D75" s="144">
        <v>245</v>
      </c>
      <c r="E75" s="136">
        <v>34</v>
      </c>
      <c r="F75" s="136">
        <v>160</v>
      </c>
      <c r="G75" s="287">
        <v>9</v>
      </c>
      <c r="H75" s="1"/>
      <c r="I75" s="52"/>
      <c r="J75" s="1"/>
      <c r="K75" s="1"/>
      <c r="L75" s="1"/>
      <c r="M75" s="1"/>
      <c r="N75" s="1"/>
      <c r="O75" s="1"/>
      <c r="P75" s="1"/>
      <c r="Q75" s="1"/>
      <c r="R75" s="1"/>
      <c r="S75" s="1"/>
      <c r="T75" s="1"/>
      <c r="U75" s="1"/>
      <c r="V75" s="1"/>
      <c r="W75" s="1"/>
      <c r="X75" s="1"/>
      <c r="Y75" s="1"/>
      <c r="Z75" s="1"/>
      <c r="AA75" s="1"/>
      <c r="AB75" s="1"/>
      <c r="AC75" s="1"/>
    </row>
    <row r="76" spans="1:29" collapsed="1">
      <c r="A76" s="2" t="s">
        <v>456</v>
      </c>
      <c r="B76" s="162"/>
      <c r="C76" s="145">
        <f>-SUM(C77:C78)</f>
        <v>-79</v>
      </c>
      <c r="D76" s="145">
        <f t="shared" ref="D76:G76" si="2">-SUM(D77:D78)</f>
        <v>-71</v>
      </c>
      <c r="E76" s="137">
        <f t="shared" si="2"/>
        <v>-45</v>
      </c>
      <c r="F76" s="137">
        <f t="shared" si="2"/>
        <v>-20</v>
      </c>
      <c r="G76" s="308">
        <f t="shared" si="2"/>
        <v>-36</v>
      </c>
      <c r="H76" s="1"/>
      <c r="I76" s="52"/>
      <c r="J76" s="1"/>
      <c r="K76" s="1"/>
      <c r="L76" s="1"/>
      <c r="M76" s="1"/>
      <c r="N76" s="1"/>
      <c r="O76" s="1"/>
      <c r="P76" s="1"/>
      <c r="Q76" s="1"/>
      <c r="R76" s="1"/>
      <c r="S76" s="1"/>
      <c r="T76" s="1"/>
      <c r="U76" s="1"/>
      <c r="V76" s="1"/>
      <c r="W76" s="1"/>
      <c r="X76" s="1"/>
      <c r="Y76" s="1"/>
      <c r="Z76" s="1"/>
      <c r="AA76" s="1"/>
      <c r="AB76" s="1"/>
      <c r="AC76" s="1"/>
    </row>
    <row r="77" spans="1:29" hidden="1" outlineLevel="1">
      <c r="A77" s="2" t="s">
        <v>210</v>
      </c>
      <c r="B77" s="162"/>
      <c r="C77" s="144">
        <v>57</v>
      </c>
      <c r="D77" s="144">
        <v>50</v>
      </c>
      <c r="E77" s="136">
        <v>10</v>
      </c>
      <c r="F77" s="136">
        <v>-5</v>
      </c>
      <c r="G77" s="287">
        <v>21</v>
      </c>
      <c r="H77" s="1"/>
      <c r="I77" s="52"/>
      <c r="J77" s="1"/>
      <c r="K77" s="1"/>
      <c r="L77" s="1"/>
      <c r="M77" s="1"/>
      <c r="N77" s="1"/>
      <c r="O77" s="1"/>
      <c r="P77" s="1"/>
      <c r="Q77" s="1"/>
      <c r="R77" s="1"/>
      <c r="S77" s="1"/>
      <c r="T77" s="1"/>
      <c r="U77" s="1"/>
      <c r="V77" s="1"/>
      <c r="W77" s="1"/>
      <c r="X77" s="1"/>
      <c r="Y77" s="1"/>
      <c r="Z77" s="1"/>
      <c r="AA77" s="1"/>
      <c r="AB77" s="1"/>
      <c r="AC77" s="1"/>
    </row>
    <row r="78" spans="1:29" ht="28.8" hidden="1" outlineLevel="1">
      <c r="A78" s="106" t="s">
        <v>212</v>
      </c>
      <c r="B78" s="162"/>
      <c r="C78" s="144">
        <v>22</v>
      </c>
      <c r="D78" s="144">
        <v>21</v>
      </c>
      <c r="E78" s="136">
        <v>35</v>
      </c>
      <c r="F78" s="136">
        <v>25</v>
      </c>
      <c r="G78" s="287">
        <v>15</v>
      </c>
      <c r="H78" s="1"/>
      <c r="I78" s="52"/>
      <c r="J78" s="1"/>
      <c r="K78" s="1"/>
      <c r="L78" s="1"/>
      <c r="M78" s="1"/>
      <c r="N78" s="1"/>
      <c r="O78" s="1"/>
      <c r="P78" s="1"/>
      <c r="Q78" s="1"/>
      <c r="R78" s="1"/>
      <c r="S78" s="1"/>
      <c r="T78" s="1"/>
      <c r="U78" s="1"/>
      <c r="V78" s="1"/>
      <c r="W78" s="1"/>
      <c r="X78" s="1"/>
      <c r="Y78" s="1"/>
      <c r="Z78" s="1"/>
      <c r="AA78" s="1"/>
      <c r="AB78" s="1"/>
      <c r="AC78" s="1"/>
    </row>
    <row r="79" spans="1:29" collapsed="1">
      <c r="A79" s="5"/>
      <c r="B79" s="162"/>
      <c r="C79" s="143"/>
      <c r="D79" s="144"/>
      <c r="E79" s="138"/>
      <c r="F79" s="138"/>
      <c r="G79" s="295"/>
      <c r="H79" s="1"/>
      <c r="I79" s="52"/>
      <c r="J79" s="1"/>
      <c r="K79" s="1"/>
      <c r="L79" s="1"/>
      <c r="M79" s="1"/>
      <c r="N79" s="1"/>
      <c r="O79" s="1"/>
      <c r="P79" s="1"/>
      <c r="Q79" s="1"/>
      <c r="R79" s="1"/>
      <c r="S79" s="1"/>
      <c r="T79" s="1"/>
      <c r="U79" s="1"/>
      <c r="V79" s="1"/>
      <c r="W79" s="1"/>
      <c r="X79" s="1"/>
      <c r="Y79" s="1"/>
      <c r="Z79" s="1"/>
      <c r="AA79" s="1"/>
      <c r="AB79" s="1"/>
      <c r="AC79" s="1"/>
    </row>
    <row r="80" spans="1:29">
      <c r="A80" s="21" t="s">
        <v>303</v>
      </c>
      <c r="B80" s="166"/>
      <c r="C80" s="149">
        <f>SUM(C70,C72,C76)</f>
        <v>215</v>
      </c>
      <c r="D80" s="149">
        <f>SUM(D70,D72,D76)</f>
        <v>443</v>
      </c>
      <c r="E80" s="139">
        <f>SUM(E70,E72,E76)</f>
        <v>710</v>
      </c>
      <c r="F80" s="139">
        <f>SUM(F70,F72,F76)</f>
        <v>588</v>
      </c>
      <c r="G80" s="290">
        <f>SUM(G70,G72,G76)</f>
        <v>687</v>
      </c>
      <c r="H80" s="1"/>
      <c r="I80" s="52"/>
      <c r="J80" s="1"/>
      <c r="K80" s="1"/>
      <c r="L80" s="1"/>
      <c r="M80" s="1"/>
      <c r="N80" s="1"/>
      <c r="O80" s="1"/>
      <c r="P80" s="1"/>
      <c r="Q80" s="1"/>
      <c r="R80" s="1"/>
      <c r="S80" s="1"/>
      <c r="T80" s="1"/>
      <c r="U80" s="1"/>
      <c r="V80" s="1"/>
      <c r="W80" s="1"/>
      <c r="X80" s="1"/>
      <c r="Y80" s="1"/>
      <c r="Z80" s="1"/>
      <c r="AA80" s="1"/>
      <c r="AB80" s="1"/>
      <c r="AC80" s="1"/>
    </row>
    <row r="81" spans="1:29" ht="15" customHeight="1">
      <c r="A81" s="5"/>
      <c r="B81" s="162"/>
      <c r="C81" s="143"/>
      <c r="D81" s="144"/>
      <c r="E81" s="138"/>
      <c r="F81" s="138"/>
      <c r="G81" s="295"/>
      <c r="H81" s="1"/>
      <c r="I81" s="52"/>
      <c r="J81" s="1"/>
      <c r="K81" s="1"/>
      <c r="L81" s="1"/>
      <c r="M81" s="1"/>
      <c r="N81" s="1"/>
      <c r="O81" s="1"/>
      <c r="P81" s="1"/>
      <c r="Q81" s="1"/>
      <c r="R81" s="1"/>
      <c r="S81" s="1"/>
      <c r="T81" s="1"/>
      <c r="U81" s="1"/>
      <c r="V81" s="1"/>
      <c r="W81" s="1"/>
      <c r="X81" s="1"/>
      <c r="Y81" s="1"/>
      <c r="Z81" s="1"/>
      <c r="AA81" s="1"/>
      <c r="AB81" s="1"/>
      <c r="AC81" s="1"/>
    </row>
    <row r="82" spans="1:29">
      <c r="A82" s="2" t="s">
        <v>217</v>
      </c>
      <c r="B82" s="162"/>
      <c r="C82" s="144">
        <v>1</v>
      </c>
      <c r="D82" s="144">
        <v>52</v>
      </c>
      <c r="E82" s="136">
        <v>0</v>
      </c>
      <c r="F82" s="136">
        <v>14</v>
      </c>
      <c r="G82" s="287">
        <v>4</v>
      </c>
      <c r="H82" s="1"/>
      <c r="I82" s="52"/>
      <c r="J82" s="1"/>
      <c r="K82" s="1"/>
      <c r="L82" s="1"/>
      <c r="M82" s="1"/>
      <c r="N82" s="1"/>
      <c r="O82" s="1"/>
      <c r="P82" s="1"/>
      <c r="Q82" s="1"/>
      <c r="R82" s="1"/>
      <c r="S82" s="1"/>
      <c r="T82" s="1"/>
      <c r="U82" s="1"/>
      <c r="V82" s="1"/>
      <c r="W82" s="1"/>
      <c r="X82" s="1"/>
      <c r="Y82" s="1"/>
      <c r="Z82" s="1"/>
      <c r="AA82" s="1"/>
      <c r="AB82" s="1"/>
      <c r="AC82" s="1"/>
    </row>
    <row r="83" spans="1:29">
      <c r="A83" s="2" t="s">
        <v>219</v>
      </c>
      <c r="B83" s="162"/>
      <c r="C83" s="144">
        <f>SUM(C87,-C96,C97)</f>
        <v>-138</v>
      </c>
      <c r="D83" s="144">
        <f t="shared" ref="D83:G83" si="3">SUM(D87,-D96,D97)</f>
        <v>-161</v>
      </c>
      <c r="E83" s="136">
        <f t="shared" si="3"/>
        <v>-134</v>
      </c>
      <c r="F83" s="136">
        <f t="shared" si="3"/>
        <v>-112</v>
      </c>
      <c r="G83" s="287">
        <f t="shared" si="3"/>
        <v>-110</v>
      </c>
      <c r="H83" s="1"/>
      <c r="I83" s="52"/>
      <c r="J83" s="1"/>
      <c r="K83" s="1"/>
      <c r="L83" s="1"/>
      <c r="M83" s="1"/>
      <c r="N83" s="1"/>
      <c r="O83" s="1"/>
      <c r="P83" s="1"/>
      <c r="Q83" s="1"/>
      <c r="R83" s="1"/>
      <c r="S83" s="1"/>
      <c r="T83" s="1"/>
      <c r="U83" s="1"/>
      <c r="V83" s="1"/>
      <c r="W83" s="1"/>
      <c r="X83" s="1"/>
      <c r="Y83" s="1"/>
      <c r="Z83" s="1"/>
      <c r="AA83" s="1"/>
      <c r="AB83" s="1"/>
      <c r="AC83" s="1"/>
    </row>
    <row r="84" spans="1:29" hidden="1" outlineLevel="1">
      <c r="A84" s="2" t="s">
        <v>221</v>
      </c>
      <c r="B84" s="162"/>
      <c r="C84" s="144"/>
      <c r="D84" s="144"/>
      <c r="E84" s="136"/>
      <c r="F84" s="136"/>
      <c r="G84" s="287"/>
      <c r="H84" s="1"/>
      <c r="I84" s="52"/>
      <c r="J84" s="1"/>
      <c r="K84" s="1"/>
      <c r="L84" s="1"/>
      <c r="M84" s="1"/>
      <c r="N84" s="1"/>
      <c r="O84" s="1"/>
      <c r="P84" s="1"/>
      <c r="Q84" s="1"/>
      <c r="R84" s="1"/>
      <c r="S84" s="1"/>
      <c r="T84" s="1"/>
      <c r="U84" s="1"/>
      <c r="V84" s="1"/>
      <c r="W84" s="1"/>
      <c r="X84" s="1"/>
      <c r="Y84" s="1"/>
      <c r="Z84" s="1"/>
      <c r="AA84" s="1"/>
      <c r="AB84" s="1"/>
      <c r="AC84" s="1"/>
    </row>
    <row r="85" spans="1:29" hidden="1" outlineLevel="1">
      <c r="A85" s="2" t="s">
        <v>223</v>
      </c>
      <c r="B85" s="162"/>
      <c r="C85" s="144"/>
      <c r="D85" s="144"/>
      <c r="E85" s="136"/>
      <c r="F85" s="136">
        <v>0</v>
      </c>
      <c r="G85" s="287">
        <v>4</v>
      </c>
      <c r="H85" s="1"/>
      <c r="I85" s="52"/>
      <c r="J85" s="1"/>
      <c r="K85" s="1"/>
      <c r="L85" s="1"/>
      <c r="M85" s="1"/>
      <c r="N85" s="1"/>
      <c r="O85" s="1"/>
      <c r="P85" s="1"/>
      <c r="Q85" s="1"/>
      <c r="R85" s="1"/>
      <c r="S85" s="1"/>
      <c r="T85" s="1"/>
      <c r="U85" s="1"/>
      <c r="V85" s="1"/>
      <c r="W85" s="1"/>
      <c r="X85" s="1"/>
      <c r="Y85" s="1"/>
      <c r="Z85" s="1"/>
      <c r="AA85" s="1"/>
      <c r="AB85" s="1"/>
      <c r="AC85" s="1"/>
    </row>
    <row r="86" spans="1:29" hidden="1" outlineLevel="1">
      <c r="A86" s="2" t="s">
        <v>224</v>
      </c>
      <c r="B86" s="162"/>
      <c r="C86" s="144"/>
      <c r="D86" s="144"/>
      <c r="E86" s="136"/>
      <c r="F86" s="136">
        <v>16</v>
      </c>
      <c r="G86" s="287">
        <v>12</v>
      </c>
      <c r="H86" s="1"/>
      <c r="I86" s="52"/>
      <c r="J86" s="1"/>
      <c r="K86" s="1"/>
      <c r="L86" s="1"/>
      <c r="M86" s="1"/>
      <c r="N86" s="1"/>
      <c r="O86" s="1"/>
      <c r="P86" s="1"/>
      <c r="Q86" s="1"/>
      <c r="R86" s="1"/>
      <c r="S86" s="1"/>
      <c r="T86" s="1"/>
      <c r="U86" s="1"/>
      <c r="V86" s="1"/>
      <c r="W86" s="1"/>
      <c r="X86" s="1"/>
      <c r="Y86" s="1"/>
      <c r="Z86" s="1"/>
      <c r="AA86" s="1"/>
      <c r="AB86" s="1"/>
      <c r="AC86" s="1"/>
    </row>
    <row r="87" spans="1:29" hidden="1" outlineLevel="1">
      <c r="A87" s="2" t="s">
        <v>225</v>
      </c>
      <c r="B87" s="162"/>
      <c r="C87" s="144">
        <v>28</v>
      </c>
      <c r="D87" s="144">
        <v>34</v>
      </c>
      <c r="E87" s="136">
        <v>19</v>
      </c>
      <c r="F87" s="136">
        <f t="shared" ref="F87" si="4">SUM(F85:F86)</f>
        <v>16</v>
      </c>
      <c r="G87" s="287">
        <f>SUM(G85:G86)</f>
        <v>16</v>
      </c>
      <c r="H87" s="1"/>
      <c r="I87" s="52"/>
      <c r="J87" s="1"/>
      <c r="K87" s="1"/>
      <c r="L87" s="1"/>
      <c r="M87" s="1"/>
      <c r="N87" s="1"/>
      <c r="O87" s="1"/>
      <c r="P87" s="1"/>
      <c r="Q87" s="1"/>
      <c r="R87" s="1"/>
      <c r="S87" s="1"/>
      <c r="T87" s="1"/>
      <c r="U87" s="1"/>
      <c r="V87" s="1"/>
      <c r="W87" s="1"/>
      <c r="X87" s="1"/>
      <c r="Y87" s="1"/>
      <c r="Z87" s="1"/>
      <c r="AA87" s="1"/>
      <c r="AB87" s="1"/>
      <c r="AC87" s="1"/>
    </row>
    <row r="88" spans="1:29" hidden="1" outlineLevel="1">
      <c r="A88" s="2" t="s">
        <v>226</v>
      </c>
      <c r="B88" s="162"/>
      <c r="C88" s="144"/>
      <c r="D88" s="144"/>
      <c r="E88" s="136"/>
      <c r="F88" s="136"/>
      <c r="G88" s="287"/>
      <c r="H88" s="1"/>
      <c r="I88" s="52"/>
      <c r="J88" s="1"/>
      <c r="K88" s="1"/>
      <c r="L88" s="1"/>
      <c r="M88" s="1"/>
      <c r="N88" s="1"/>
      <c r="O88" s="1"/>
      <c r="P88" s="1"/>
      <c r="Q88" s="1"/>
      <c r="R88" s="1"/>
      <c r="S88" s="1"/>
      <c r="T88" s="1"/>
      <c r="U88" s="1"/>
      <c r="V88" s="1"/>
      <c r="W88" s="1"/>
      <c r="X88" s="1"/>
      <c r="Y88" s="1"/>
      <c r="Z88" s="1"/>
      <c r="AA88" s="1"/>
      <c r="AB88" s="1"/>
      <c r="AC88" s="1"/>
    </row>
    <row r="89" spans="1:29" hidden="1" outlineLevel="1">
      <c r="A89" s="2" t="s">
        <v>228</v>
      </c>
      <c r="B89" s="162"/>
      <c r="C89" s="144">
        <v>125</v>
      </c>
      <c r="D89" s="144">
        <v>125</v>
      </c>
      <c r="E89" s="136">
        <v>104</v>
      </c>
      <c r="F89" s="136">
        <v>102</v>
      </c>
      <c r="G89" s="287">
        <v>94</v>
      </c>
      <c r="H89" s="1"/>
      <c r="I89" s="52"/>
      <c r="J89" s="1"/>
      <c r="K89" s="1"/>
      <c r="L89" s="1"/>
      <c r="M89" s="1"/>
      <c r="N89" s="1"/>
      <c r="O89" s="1"/>
      <c r="P89" s="1"/>
      <c r="Q89" s="1"/>
      <c r="R89" s="1"/>
      <c r="S89" s="1"/>
      <c r="T89" s="1"/>
      <c r="U89" s="1"/>
      <c r="V89" s="1"/>
      <c r="W89" s="1"/>
      <c r="X89" s="1"/>
      <c r="Y89" s="1"/>
      <c r="Z89" s="1"/>
      <c r="AA89" s="1"/>
      <c r="AB89" s="1"/>
      <c r="AC89" s="1"/>
    </row>
    <row r="90" spans="1:29" hidden="1" outlineLevel="1">
      <c r="A90" s="2" t="s">
        <v>230</v>
      </c>
      <c r="B90" s="162"/>
      <c r="C90" s="144">
        <v>15</v>
      </c>
      <c r="D90" s="144">
        <v>9</v>
      </c>
      <c r="E90" s="136">
        <v>9</v>
      </c>
      <c r="F90" s="136">
        <v>6</v>
      </c>
      <c r="G90" s="287">
        <v>4</v>
      </c>
      <c r="H90" s="1"/>
      <c r="I90" s="52"/>
      <c r="J90" s="1"/>
      <c r="K90" s="1"/>
      <c r="L90" s="1"/>
      <c r="M90" s="1"/>
      <c r="N90" s="1"/>
      <c r="O90" s="1"/>
      <c r="P90" s="1"/>
      <c r="Q90" s="1"/>
      <c r="R90" s="1"/>
      <c r="S90" s="1"/>
      <c r="T90" s="1"/>
      <c r="U90" s="1"/>
      <c r="V90" s="1"/>
      <c r="W90" s="1"/>
      <c r="X90" s="1"/>
      <c r="Y90" s="1"/>
      <c r="Z90" s="1"/>
      <c r="AA90" s="1"/>
      <c r="AB90" s="1"/>
      <c r="AC90" s="1"/>
    </row>
    <row r="91" spans="1:29" hidden="1" outlineLevel="1">
      <c r="A91" s="2" t="s">
        <v>232</v>
      </c>
      <c r="B91" s="162"/>
      <c r="C91" s="144">
        <v>5</v>
      </c>
      <c r="D91" s="144">
        <v>6</v>
      </c>
      <c r="E91" s="136">
        <v>8</v>
      </c>
      <c r="F91" s="136">
        <v>8</v>
      </c>
      <c r="G91" s="287">
        <v>7</v>
      </c>
      <c r="H91" s="1"/>
      <c r="I91" s="52"/>
      <c r="J91" s="1"/>
      <c r="K91" s="1"/>
      <c r="L91" s="1"/>
      <c r="M91" s="1"/>
      <c r="N91" s="1"/>
      <c r="O91" s="1"/>
      <c r="P91" s="1"/>
      <c r="Q91" s="1"/>
      <c r="R91" s="1"/>
      <c r="S91" s="1"/>
      <c r="T91" s="1"/>
      <c r="U91" s="1"/>
      <c r="V91" s="1"/>
      <c r="W91" s="1"/>
      <c r="X91" s="1"/>
      <c r="Y91" s="1"/>
      <c r="Z91" s="1"/>
      <c r="AA91" s="1"/>
      <c r="AB91" s="1"/>
      <c r="AC91" s="1"/>
    </row>
    <row r="92" spans="1:29" hidden="1" outlineLevel="1">
      <c r="A92" s="2" t="s">
        <v>234</v>
      </c>
      <c r="B92" s="162"/>
      <c r="C92" s="144">
        <v>0</v>
      </c>
      <c r="D92" s="144">
        <v>1</v>
      </c>
      <c r="E92" s="136">
        <v>2</v>
      </c>
      <c r="F92" s="136">
        <v>2</v>
      </c>
      <c r="G92" s="287">
        <v>1</v>
      </c>
      <c r="H92" s="1"/>
      <c r="I92" s="52"/>
      <c r="J92" s="1"/>
      <c r="K92" s="1"/>
      <c r="L92" s="1"/>
      <c r="M92" s="1"/>
      <c r="N92" s="1"/>
      <c r="O92" s="1"/>
      <c r="P92" s="1"/>
      <c r="Q92" s="1"/>
      <c r="R92" s="1"/>
      <c r="S92" s="1"/>
      <c r="T92" s="1"/>
      <c r="U92" s="1"/>
      <c r="V92" s="1"/>
      <c r="W92" s="1"/>
      <c r="X92" s="1"/>
      <c r="Y92" s="1"/>
      <c r="Z92" s="1"/>
      <c r="AA92" s="1"/>
      <c r="AB92" s="1"/>
      <c r="AC92" s="1"/>
    </row>
    <row r="93" spans="1:29" hidden="1" outlineLevel="1">
      <c r="A93" s="2" t="s">
        <v>236</v>
      </c>
      <c r="B93" s="162"/>
      <c r="C93" s="144">
        <v>17</v>
      </c>
      <c r="D93" s="144">
        <v>51</v>
      </c>
      <c r="E93" s="136">
        <v>35</v>
      </c>
      <c r="F93" s="136">
        <v>14</v>
      </c>
      <c r="G93" s="287">
        <v>24</v>
      </c>
      <c r="H93" s="1"/>
      <c r="I93" s="52"/>
      <c r="J93" s="1"/>
      <c r="K93" s="1"/>
      <c r="L93" s="1"/>
      <c r="M93" s="1"/>
      <c r="N93" s="1"/>
      <c r="O93" s="1"/>
      <c r="P93" s="1"/>
      <c r="Q93" s="1"/>
      <c r="R93" s="1"/>
      <c r="S93" s="1"/>
      <c r="T93" s="1"/>
      <c r="U93" s="1"/>
      <c r="V93" s="1"/>
      <c r="W93" s="1"/>
      <c r="X93" s="1"/>
      <c r="Y93" s="1"/>
      <c r="Z93" s="1"/>
      <c r="AA93" s="1"/>
      <c r="AB93" s="1"/>
      <c r="AC93" s="1"/>
    </row>
    <row r="94" spans="1:29" hidden="1" outlineLevel="1">
      <c r="A94" s="2" t="s">
        <v>238</v>
      </c>
      <c r="B94" s="162"/>
      <c r="C94" s="144">
        <v>162</v>
      </c>
      <c r="D94" s="144">
        <f>SUM(D89:D93)</f>
        <v>192</v>
      </c>
      <c r="E94" s="136">
        <f>SUM(E89:E93)</f>
        <v>158</v>
      </c>
      <c r="F94" s="136">
        <f>SUM(F89:F93)</f>
        <v>132</v>
      </c>
      <c r="G94" s="287">
        <f>SUM(G89:G93)</f>
        <v>130</v>
      </c>
      <c r="H94" s="1"/>
      <c r="I94" s="52"/>
      <c r="J94" s="1"/>
      <c r="K94" s="1"/>
      <c r="L94" s="1"/>
      <c r="M94" s="1"/>
      <c r="N94" s="1"/>
      <c r="O94" s="1"/>
      <c r="P94" s="1"/>
      <c r="Q94" s="1"/>
      <c r="R94" s="1"/>
      <c r="S94" s="1"/>
      <c r="T94" s="1"/>
      <c r="U94" s="1"/>
      <c r="V94" s="1"/>
      <c r="W94" s="1"/>
      <c r="X94" s="1"/>
      <c r="Y94" s="1"/>
      <c r="Z94" s="1"/>
      <c r="AA94" s="1"/>
      <c r="AB94" s="1"/>
      <c r="AC94" s="1"/>
    </row>
    <row r="95" spans="1:29" hidden="1" outlineLevel="1">
      <c r="A95" s="2" t="s">
        <v>240</v>
      </c>
      <c r="B95" s="162"/>
      <c r="C95" s="144">
        <v>0</v>
      </c>
      <c r="D95" s="144">
        <v>0</v>
      </c>
      <c r="E95" s="136">
        <v>0</v>
      </c>
      <c r="F95" s="136">
        <v>0</v>
      </c>
      <c r="G95" s="287">
        <v>0</v>
      </c>
      <c r="H95" s="1"/>
      <c r="I95" s="52"/>
      <c r="J95" s="1"/>
      <c r="K95" s="1"/>
      <c r="L95" s="1"/>
      <c r="M95" s="1"/>
      <c r="N95" s="1"/>
      <c r="O95" s="1"/>
      <c r="P95" s="1"/>
      <c r="Q95" s="1"/>
      <c r="R95" s="1"/>
      <c r="S95" s="1"/>
      <c r="T95" s="1"/>
      <c r="U95" s="1"/>
      <c r="V95" s="1"/>
      <c r="W95" s="1"/>
      <c r="X95" s="1"/>
      <c r="Y95" s="1"/>
      <c r="Z95" s="1"/>
      <c r="AA95" s="1"/>
      <c r="AB95" s="1"/>
      <c r="AC95" s="1"/>
    </row>
    <row r="96" spans="1:29" hidden="1" outlineLevel="1">
      <c r="A96" s="2" t="s">
        <v>242</v>
      </c>
      <c r="B96" s="162"/>
      <c r="C96" s="144">
        <f>SUM(C94:C95)</f>
        <v>162</v>
      </c>
      <c r="D96" s="144">
        <f>SUM(D94:D95)</f>
        <v>192</v>
      </c>
      <c r="E96" s="136">
        <f>SUM(E94:E95)</f>
        <v>158</v>
      </c>
      <c r="F96" s="136">
        <f>SUM(F94:F95)</f>
        <v>132</v>
      </c>
      <c r="G96" s="287">
        <f>SUM(G94:G95)</f>
        <v>130</v>
      </c>
      <c r="H96" s="1"/>
      <c r="I96" s="52"/>
      <c r="J96" s="1"/>
      <c r="K96" s="1"/>
      <c r="L96" s="1"/>
      <c r="M96" s="1"/>
      <c r="N96" s="1"/>
      <c r="O96" s="1"/>
      <c r="P96" s="1"/>
      <c r="Q96" s="1"/>
      <c r="R96" s="1"/>
      <c r="S96" s="1"/>
      <c r="T96" s="1"/>
      <c r="U96" s="1"/>
      <c r="V96" s="1"/>
      <c r="W96" s="1"/>
      <c r="X96" s="1"/>
      <c r="Y96" s="1"/>
      <c r="Z96" s="1"/>
      <c r="AA96" s="1"/>
      <c r="AB96" s="1"/>
      <c r="AC96" s="1"/>
    </row>
    <row r="97" spans="1:29" hidden="1" outlineLevel="1">
      <c r="A97" s="2" t="s">
        <v>244</v>
      </c>
      <c r="B97" s="162"/>
      <c r="C97" s="144">
        <v>-4</v>
      </c>
      <c r="D97" s="144">
        <v>-3</v>
      </c>
      <c r="E97" s="136">
        <v>5</v>
      </c>
      <c r="F97" s="136">
        <v>4</v>
      </c>
      <c r="G97" s="287">
        <v>4</v>
      </c>
      <c r="H97" s="1"/>
      <c r="I97" s="52"/>
      <c r="J97" s="1"/>
      <c r="K97" s="1"/>
      <c r="L97" s="1"/>
      <c r="M97" s="1"/>
      <c r="N97" s="1"/>
      <c r="O97" s="1"/>
      <c r="P97" s="1"/>
      <c r="Q97" s="1"/>
      <c r="R97" s="1"/>
      <c r="S97" s="1"/>
      <c r="T97" s="1"/>
      <c r="U97" s="1"/>
      <c r="V97" s="1"/>
      <c r="W97" s="1"/>
      <c r="X97" s="1"/>
      <c r="Y97" s="1"/>
      <c r="Z97" s="1"/>
      <c r="AA97" s="1"/>
      <c r="AB97" s="1"/>
      <c r="AC97" s="1"/>
    </row>
    <row r="98" spans="1:29" hidden="1" outlineLevel="1">
      <c r="A98" s="2" t="s">
        <v>246</v>
      </c>
      <c r="B98" s="162"/>
      <c r="C98" s="144"/>
      <c r="D98" s="144">
        <v>0</v>
      </c>
      <c r="E98" s="136">
        <v>0</v>
      </c>
      <c r="F98" s="136">
        <v>0</v>
      </c>
      <c r="G98" s="287">
        <v>0</v>
      </c>
      <c r="H98" s="1"/>
      <c r="I98" s="52"/>
      <c r="J98" s="1"/>
      <c r="K98" s="1"/>
      <c r="L98" s="1"/>
      <c r="M98" s="1"/>
      <c r="N98" s="1"/>
      <c r="O98" s="1"/>
      <c r="P98" s="1"/>
      <c r="Q98" s="1"/>
      <c r="R98" s="1"/>
      <c r="S98" s="1"/>
      <c r="T98" s="1"/>
      <c r="U98" s="1"/>
      <c r="V98" s="1"/>
      <c r="W98" s="1"/>
      <c r="X98" s="1"/>
      <c r="Y98" s="1"/>
      <c r="Z98" s="1"/>
      <c r="AA98" s="1"/>
      <c r="AB98" s="1"/>
      <c r="AC98" s="1"/>
    </row>
    <row r="99" spans="1:29" collapsed="1">
      <c r="A99" s="11" t="s">
        <v>373</v>
      </c>
      <c r="B99" s="162"/>
      <c r="C99" s="144">
        <f>SUM(C82:C83)</f>
        <v>-137</v>
      </c>
      <c r="D99" s="144">
        <f t="shared" ref="D99:G99" si="5">SUM(D82:D83)</f>
        <v>-109</v>
      </c>
      <c r="E99" s="136">
        <f t="shared" si="5"/>
        <v>-134</v>
      </c>
      <c r="F99" s="136">
        <f t="shared" si="5"/>
        <v>-98</v>
      </c>
      <c r="G99" s="287">
        <f t="shared" si="5"/>
        <v>-106</v>
      </c>
      <c r="H99" s="1"/>
      <c r="I99" s="52"/>
      <c r="J99" s="1"/>
      <c r="K99" s="1"/>
      <c r="L99" s="1"/>
      <c r="M99" s="1"/>
      <c r="N99" s="1"/>
      <c r="O99" s="1"/>
      <c r="P99" s="1"/>
      <c r="Q99" s="1"/>
      <c r="R99" s="1"/>
      <c r="S99" s="1"/>
      <c r="T99" s="1"/>
      <c r="U99" s="1"/>
      <c r="V99" s="1"/>
      <c r="W99" s="1"/>
      <c r="X99" s="1"/>
      <c r="Y99" s="1"/>
      <c r="Z99" s="1"/>
      <c r="AA99" s="1"/>
      <c r="AB99" s="1"/>
      <c r="AC99" s="1"/>
    </row>
    <row r="100" spans="1:29">
      <c r="A100" s="161"/>
      <c r="B100" s="162"/>
      <c r="C100" s="235"/>
      <c r="D100" s="235"/>
      <c r="E100" s="167"/>
      <c r="F100" s="167"/>
      <c r="G100" s="364"/>
      <c r="H100" s="1"/>
      <c r="I100" s="52"/>
      <c r="J100" s="1"/>
      <c r="K100" s="1"/>
      <c r="L100" s="1"/>
      <c r="M100" s="1"/>
      <c r="N100" s="1"/>
      <c r="O100" s="1"/>
      <c r="P100" s="1"/>
      <c r="Q100" s="1"/>
      <c r="R100" s="1"/>
      <c r="S100" s="1"/>
      <c r="T100" s="1"/>
      <c r="U100" s="1"/>
      <c r="V100" s="1"/>
      <c r="W100" s="1"/>
      <c r="X100" s="1"/>
      <c r="Y100" s="1"/>
      <c r="Z100" s="1"/>
      <c r="AA100" s="1"/>
      <c r="AB100" s="1"/>
      <c r="AC100" s="1"/>
    </row>
    <row r="101" spans="1:29">
      <c r="A101" s="21" t="s">
        <v>304</v>
      </c>
      <c r="B101" s="166"/>
      <c r="C101" s="149">
        <f>SUM(C80,C82,C83)</f>
        <v>78</v>
      </c>
      <c r="D101" s="149">
        <f>SUM(D80,D82,D83)</f>
        <v>334</v>
      </c>
      <c r="E101" s="139">
        <f>SUM(E80,E82,E83)</f>
        <v>576</v>
      </c>
      <c r="F101" s="139">
        <f>SUM(F80,F82,F83)</f>
        <v>490</v>
      </c>
      <c r="G101" s="290">
        <f>SUM(G80,G82,G83)</f>
        <v>581</v>
      </c>
      <c r="H101" s="1"/>
      <c r="I101" s="52"/>
      <c r="J101" s="1"/>
      <c r="K101" s="1"/>
      <c r="L101" s="1"/>
      <c r="M101" s="1"/>
      <c r="N101" s="1"/>
      <c r="O101" s="1"/>
      <c r="P101" s="1"/>
      <c r="Q101" s="1"/>
      <c r="R101" s="1"/>
      <c r="S101" s="1"/>
      <c r="T101" s="1"/>
      <c r="U101" s="1"/>
      <c r="V101" s="1"/>
      <c r="W101" s="1"/>
      <c r="X101" s="1"/>
      <c r="Y101" s="1"/>
      <c r="Z101" s="1"/>
      <c r="AA101" s="1"/>
      <c r="AB101" s="1"/>
      <c r="AC101" s="1"/>
    </row>
    <row r="102" spans="1:29">
      <c r="A102" s="161"/>
      <c r="B102" s="162"/>
      <c r="C102" s="235"/>
      <c r="D102" s="235"/>
      <c r="E102" s="167"/>
      <c r="F102" s="167"/>
      <c r="G102" s="364"/>
      <c r="H102" s="1"/>
      <c r="I102" s="52"/>
      <c r="J102" s="1"/>
      <c r="K102" s="1"/>
      <c r="L102" s="1"/>
      <c r="M102" s="1"/>
      <c r="N102" s="1"/>
      <c r="O102" s="1"/>
      <c r="P102" s="1"/>
      <c r="Q102" s="1"/>
      <c r="R102" s="1"/>
      <c r="S102" s="1"/>
      <c r="T102" s="1"/>
      <c r="U102" s="1"/>
      <c r="V102" s="1"/>
      <c r="W102" s="1"/>
      <c r="X102" s="1"/>
      <c r="Y102" s="1"/>
      <c r="Z102" s="1"/>
      <c r="AA102" s="1"/>
      <c r="AB102" s="1"/>
      <c r="AC102" s="1"/>
    </row>
    <row r="103" spans="1:29" hidden="1" outlineLevel="1">
      <c r="A103" s="2" t="s">
        <v>254</v>
      </c>
      <c r="B103" s="162"/>
      <c r="C103" s="144">
        <v>105</v>
      </c>
      <c r="D103" s="144">
        <v>138</v>
      </c>
      <c r="E103" s="136">
        <v>107</v>
      </c>
      <c r="F103" s="136">
        <v>146</v>
      </c>
      <c r="G103" s="287">
        <v>147</v>
      </c>
      <c r="H103" s="1"/>
      <c r="I103" s="52"/>
      <c r="J103" s="1"/>
      <c r="K103" s="1"/>
      <c r="L103" s="1"/>
      <c r="M103" s="1"/>
      <c r="N103" s="1"/>
      <c r="O103" s="1"/>
      <c r="P103" s="1"/>
      <c r="Q103" s="1"/>
      <c r="R103" s="1"/>
      <c r="S103" s="1"/>
      <c r="T103" s="1"/>
      <c r="U103" s="1"/>
      <c r="V103" s="1"/>
      <c r="W103" s="1"/>
      <c r="X103" s="1"/>
      <c r="Y103" s="1"/>
      <c r="Z103" s="1"/>
      <c r="AA103" s="1"/>
      <c r="AB103" s="1"/>
      <c r="AC103" s="1"/>
    </row>
    <row r="104" spans="1:29" hidden="1" outlineLevel="1">
      <c r="A104" s="2" t="s">
        <v>256</v>
      </c>
      <c r="B104" s="162"/>
      <c r="C104" s="144">
        <v>23</v>
      </c>
      <c r="D104" s="144">
        <v>25</v>
      </c>
      <c r="E104" s="136">
        <v>26</v>
      </c>
      <c r="F104" s="136">
        <v>30</v>
      </c>
      <c r="G104" s="287">
        <v>30</v>
      </c>
      <c r="H104" s="1"/>
      <c r="I104" s="52"/>
      <c r="J104" s="1"/>
      <c r="K104" s="1"/>
      <c r="L104" s="1"/>
      <c r="M104" s="1"/>
      <c r="N104" s="1"/>
      <c r="O104" s="1"/>
      <c r="P104" s="1"/>
      <c r="Q104" s="1"/>
      <c r="R104" s="1"/>
      <c r="S104" s="1"/>
      <c r="T104" s="1"/>
      <c r="U104" s="1"/>
      <c r="V104" s="1"/>
      <c r="W104" s="1"/>
      <c r="X104" s="1"/>
      <c r="Y104" s="1"/>
      <c r="Z104" s="1"/>
      <c r="AA104" s="1"/>
      <c r="AB104" s="1"/>
      <c r="AC104" s="1"/>
    </row>
    <row r="105" spans="1:29" hidden="1" outlineLevel="1">
      <c r="A105" s="2" t="s">
        <v>258</v>
      </c>
      <c r="B105" s="162"/>
      <c r="C105" s="144">
        <v>-17</v>
      </c>
      <c r="D105" s="144">
        <v>4</v>
      </c>
      <c r="E105" s="136">
        <v>-1</v>
      </c>
      <c r="F105" s="136">
        <v>2</v>
      </c>
      <c r="G105" s="287">
        <v>5</v>
      </c>
      <c r="H105" s="1"/>
      <c r="I105" s="52"/>
      <c r="J105" s="1"/>
      <c r="K105" s="1"/>
      <c r="L105" s="1"/>
      <c r="M105" s="1"/>
      <c r="N105" s="1"/>
      <c r="O105" s="1"/>
      <c r="P105" s="1"/>
      <c r="Q105" s="1"/>
      <c r="R105" s="1"/>
      <c r="S105" s="1"/>
      <c r="T105" s="1"/>
      <c r="U105" s="1"/>
      <c r="V105" s="1"/>
      <c r="W105" s="1"/>
      <c r="X105" s="1"/>
      <c r="Y105" s="1"/>
      <c r="Z105" s="1"/>
      <c r="AA105" s="1"/>
      <c r="AB105" s="1"/>
      <c r="AC105" s="1"/>
    </row>
    <row r="106" spans="1:29" hidden="1" outlineLevel="1">
      <c r="A106" s="11" t="s">
        <v>260</v>
      </c>
      <c r="B106" s="162"/>
      <c r="C106" s="145">
        <f>SUM(C103:C105)</f>
        <v>111</v>
      </c>
      <c r="D106" s="145">
        <f>SUM(D103:D105)</f>
        <v>167</v>
      </c>
      <c r="E106" s="137">
        <f>SUM(E103:E105)</f>
        <v>132</v>
      </c>
      <c r="F106" s="137">
        <f>SUM(F103:F105)</f>
        <v>178</v>
      </c>
      <c r="G106" s="308">
        <f>SUM(G103:G105)</f>
        <v>182</v>
      </c>
      <c r="H106" s="1"/>
      <c r="I106" s="52"/>
      <c r="J106" s="1"/>
      <c r="K106" s="1"/>
      <c r="L106" s="1"/>
      <c r="M106" s="1"/>
      <c r="N106" s="1"/>
      <c r="O106" s="1"/>
      <c r="P106" s="1"/>
      <c r="Q106" s="1"/>
      <c r="R106" s="1"/>
      <c r="S106" s="1"/>
      <c r="T106" s="1"/>
      <c r="U106" s="1"/>
      <c r="V106" s="1"/>
      <c r="W106" s="1"/>
      <c r="X106" s="1"/>
      <c r="Y106" s="1"/>
      <c r="Z106" s="1"/>
      <c r="AA106" s="1"/>
      <c r="AB106" s="1"/>
      <c r="AC106" s="1"/>
    </row>
    <row r="107" spans="1:29" hidden="1" outlineLevel="1">
      <c r="A107" s="2" t="s">
        <v>339</v>
      </c>
      <c r="B107" s="162"/>
      <c r="C107" s="144">
        <v>142</v>
      </c>
      <c r="D107" s="144">
        <v>44</v>
      </c>
      <c r="E107" s="136">
        <v>88</v>
      </c>
      <c r="F107" s="136">
        <v>33</v>
      </c>
      <c r="G107" s="287">
        <v>71</v>
      </c>
      <c r="H107" s="1"/>
      <c r="I107" s="52"/>
      <c r="J107" s="1"/>
      <c r="K107" s="1"/>
      <c r="L107" s="1"/>
      <c r="M107" s="1"/>
      <c r="N107" s="1"/>
      <c r="O107" s="1"/>
      <c r="P107" s="1"/>
      <c r="Q107" s="1"/>
      <c r="R107" s="1"/>
      <c r="S107" s="1"/>
      <c r="T107" s="1"/>
      <c r="U107" s="1"/>
      <c r="V107" s="1"/>
      <c r="W107" s="1"/>
      <c r="X107" s="1"/>
      <c r="Y107" s="1"/>
      <c r="Z107" s="1"/>
      <c r="AA107" s="1"/>
      <c r="AB107" s="1"/>
      <c r="AC107" s="1"/>
    </row>
    <row r="108" spans="1:29" hidden="1" outlineLevel="1">
      <c r="A108" s="2" t="s">
        <v>340</v>
      </c>
      <c r="B108" s="162"/>
      <c r="C108" s="144">
        <v>-120</v>
      </c>
      <c r="D108" s="144">
        <v>-89</v>
      </c>
      <c r="E108" s="136">
        <v>-28</v>
      </c>
      <c r="F108" s="136">
        <v>-54</v>
      </c>
      <c r="G108" s="287">
        <v>-64</v>
      </c>
      <c r="H108" s="1"/>
      <c r="I108" s="52"/>
      <c r="J108" s="1"/>
      <c r="K108" s="1"/>
      <c r="L108" s="1"/>
      <c r="M108" s="1"/>
      <c r="N108" s="1"/>
      <c r="O108" s="1"/>
      <c r="P108" s="1"/>
      <c r="Q108" s="1"/>
      <c r="R108" s="1"/>
      <c r="S108" s="1"/>
      <c r="T108" s="1"/>
      <c r="U108" s="1"/>
      <c r="V108" s="1"/>
      <c r="W108" s="1"/>
      <c r="X108" s="1"/>
      <c r="Y108" s="1"/>
      <c r="Z108" s="1"/>
      <c r="AA108" s="1"/>
      <c r="AB108" s="1"/>
      <c r="AC108" s="1"/>
    </row>
    <row r="109" spans="1:29" collapsed="1">
      <c r="A109" s="2" t="s">
        <v>305</v>
      </c>
      <c r="B109" s="162"/>
      <c r="C109" s="144">
        <f>-SUM(C106:C108)</f>
        <v>-133</v>
      </c>
      <c r="D109" s="144">
        <f t="shared" ref="D109:G109" si="6">-SUM(D106:D108)</f>
        <v>-122</v>
      </c>
      <c r="E109" s="136">
        <f t="shared" si="6"/>
        <v>-192</v>
      </c>
      <c r="F109" s="136">
        <f t="shared" si="6"/>
        <v>-157</v>
      </c>
      <c r="G109" s="287">
        <f t="shared" si="6"/>
        <v>-189</v>
      </c>
      <c r="H109" s="1"/>
      <c r="I109" s="52"/>
      <c r="J109" s="1"/>
      <c r="K109" s="1"/>
      <c r="L109" s="1"/>
      <c r="M109" s="1"/>
      <c r="N109" s="1"/>
      <c r="O109" s="1"/>
      <c r="P109" s="1"/>
      <c r="Q109" s="1"/>
      <c r="R109" s="1"/>
      <c r="S109" s="1"/>
      <c r="T109" s="1"/>
      <c r="U109" s="1"/>
      <c r="V109" s="1"/>
      <c r="W109" s="1"/>
      <c r="X109" s="1"/>
      <c r="Y109" s="1"/>
      <c r="Z109" s="1"/>
      <c r="AA109" s="1"/>
      <c r="AB109" s="1"/>
      <c r="AC109" s="1"/>
    </row>
    <row r="110" spans="1:29">
      <c r="A110" s="2" t="s">
        <v>335</v>
      </c>
      <c r="B110" s="162"/>
      <c r="C110" s="144">
        <f>SUM(C111:C112)</f>
        <v>130</v>
      </c>
      <c r="D110" s="144">
        <f t="shared" ref="D110:G110" si="7">SUM(D111:D112)</f>
        <v>20</v>
      </c>
      <c r="E110" s="136">
        <f t="shared" si="7"/>
        <v>-91</v>
      </c>
      <c r="F110" s="136">
        <f t="shared" si="7"/>
        <v>11</v>
      </c>
      <c r="G110" s="287">
        <f t="shared" si="7"/>
        <v>-3</v>
      </c>
      <c r="H110" s="1"/>
      <c r="I110" s="52"/>
      <c r="J110" s="1"/>
      <c r="K110" s="1"/>
      <c r="L110" s="1"/>
      <c r="M110" s="1"/>
      <c r="N110" s="1"/>
      <c r="O110" s="1"/>
      <c r="P110" s="1"/>
      <c r="Q110" s="1"/>
      <c r="R110" s="1"/>
      <c r="S110" s="1"/>
      <c r="T110" s="1"/>
      <c r="U110" s="1"/>
      <c r="V110" s="1"/>
      <c r="W110" s="1"/>
      <c r="X110" s="1"/>
      <c r="Y110" s="1"/>
      <c r="Z110" s="1"/>
      <c r="AA110" s="1"/>
      <c r="AB110" s="1"/>
      <c r="AC110" s="1"/>
    </row>
    <row r="111" spans="1:29" hidden="1" outlineLevel="1">
      <c r="A111" s="2" t="s">
        <v>269</v>
      </c>
      <c r="B111" s="162"/>
      <c r="C111" s="144">
        <v>0</v>
      </c>
      <c r="D111" s="144">
        <v>19</v>
      </c>
      <c r="E111" s="136">
        <v>-85</v>
      </c>
      <c r="F111" s="136">
        <v>21</v>
      </c>
      <c r="G111" s="287">
        <v>1</v>
      </c>
      <c r="H111" s="1"/>
      <c r="I111" s="120"/>
      <c r="J111" s="1"/>
      <c r="K111" s="1"/>
      <c r="L111" s="1"/>
      <c r="M111" s="1"/>
      <c r="N111" s="1"/>
      <c r="O111" s="1"/>
      <c r="P111" s="1"/>
      <c r="Q111" s="1"/>
      <c r="R111" s="1"/>
      <c r="S111" s="1"/>
      <c r="T111" s="1"/>
      <c r="U111" s="1"/>
      <c r="V111" s="1"/>
      <c r="W111" s="1"/>
      <c r="X111" s="1"/>
      <c r="Y111" s="1"/>
      <c r="Z111" s="1"/>
      <c r="AA111" s="1"/>
      <c r="AB111" s="1"/>
      <c r="AC111" s="1"/>
    </row>
    <row r="112" spans="1:29" hidden="1" outlineLevel="1">
      <c r="A112" s="2" t="s">
        <v>273</v>
      </c>
      <c r="B112" s="162"/>
      <c r="C112" s="144">
        <v>130</v>
      </c>
      <c r="D112" s="144">
        <v>1</v>
      </c>
      <c r="E112" s="136">
        <v>-6</v>
      </c>
      <c r="F112" s="136">
        <v>-10</v>
      </c>
      <c r="G112" s="287">
        <v>-4</v>
      </c>
      <c r="H112" s="1"/>
      <c r="I112" s="133"/>
      <c r="J112" s="1"/>
      <c r="K112" s="1"/>
      <c r="L112" s="1"/>
      <c r="M112" s="1"/>
      <c r="N112" s="1"/>
      <c r="O112" s="1"/>
      <c r="P112" s="1"/>
      <c r="Q112" s="1"/>
      <c r="R112" s="1"/>
      <c r="S112" s="1"/>
      <c r="T112" s="1"/>
      <c r="U112" s="1"/>
      <c r="V112" s="1"/>
      <c r="W112" s="1"/>
      <c r="X112" s="1"/>
      <c r="Y112" s="1"/>
      <c r="Z112" s="1"/>
      <c r="AA112" s="1"/>
      <c r="AB112" s="1"/>
      <c r="AC112" s="1"/>
    </row>
    <row r="113" spans="1:29" collapsed="1">
      <c r="A113" s="2"/>
      <c r="B113" s="162"/>
      <c r="C113" s="144"/>
      <c r="D113" s="144"/>
      <c r="E113" s="136"/>
      <c r="F113" s="136"/>
      <c r="G113" s="287"/>
      <c r="H113" s="1"/>
      <c r="I113" s="134"/>
      <c r="J113" s="1"/>
      <c r="K113" s="1"/>
      <c r="L113" s="1"/>
      <c r="M113" s="1"/>
      <c r="N113" s="1"/>
      <c r="O113" s="1"/>
      <c r="P113" s="1"/>
      <c r="Q113" s="1"/>
      <c r="R113" s="1"/>
      <c r="S113" s="1"/>
      <c r="T113" s="1"/>
      <c r="U113" s="1"/>
      <c r="V113" s="1"/>
      <c r="W113" s="1"/>
      <c r="X113" s="1"/>
      <c r="Y113" s="1"/>
      <c r="Z113" s="1"/>
      <c r="AA113" s="1"/>
      <c r="AB113" s="1"/>
      <c r="AC113" s="1"/>
    </row>
    <row r="114" spans="1:29" ht="15" thickBot="1">
      <c r="A114" s="895" t="s">
        <v>336</v>
      </c>
      <c r="B114" s="327"/>
      <c r="C114" s="311">
        <f>SUM(C101,C109:C110)</f>
        <v>75</v>
      </c>
      <c r="D114" s="311">
        <f>SUM(D101,D109:D110)</f>
        <v>232</v>
      </c>
      <c r="E114" s="352">
        <f>SUM(E101,E109:E110)</f>
        <v>293</v>
      </c>
      <c r="F114" s="352">
        <f>SUM(F101,F109:F110)</f>
        <v>344</v>
      </c>
      <c r="G114" s="312">
        <f>SUM(G101,G109:G110)</f>
        <v>389</v>
      </c>
      <c r="H114" s="120"/>
      <c r="I114" s="134"/>
      <c r="J114" s="1"/>
      <c r="K114" s="1"/>
      <c r="L114" s="1"/>
      <c r="M114" s="1"/>
      <c r="N114" s="1"/>
      <c r="O114" s="1"/>
      <c r="P114" s="1"/>
      <c r="Q114" s="1"/>
      <c r="R114" s="1"/>
      <c r="S114" s="1"/>
      <c r="T114" s="1"/>
      <c r="U114" s="1"/>
      <c r="V114" s="1"/>
      <c r="W114" s="1"/>
      <c r="X114" s="1"/>
      <c r="Y114" s="1"/>
      <c r="Z114" s="1"/>
      <c r="AA114" s="1"/>
      <c r="AB114" s="1"/>
      <c r="AC114" s="1"/>
    </row>
    <row r="115" spans="1:29">
      <c r="A115" s="1"/>
      <c r="B115" s="5"/>
      <c r="C115" s="2"/>
      <c r="D115" s="2"/>
      <c r="E115" s="120"/>
      <c r="F115" s="120"/>
      <c r="G115" s="120"/>
      <c r="H115" s="133"/>
      <c r="I115" s="135"/>
      <c r="J115" s="1"/>
      <c r="K115" s="1"/>
      <c r="L115" s="1"/>
      <c r="M115" s="1"/>
      <c r="N115" s="1"/>
      <c r="O115" s="1"/>
      <c r="P115" s="1"/>
      <c r="Q115" s="1"/>
      <c r="R115" s="1"/>
      <c r="S115" s="1"/>
      <c r="T115" s="1"/>
      <c r="U115" s="1"/>
      <c r="V115" s="1"/>
      <c r="W115" s="1"/>
      <c r="X115" s="1"/>
      <c r="Y115" s="1"/>
      <c r="Z115" s="1"/>
      <c r="AA115" s="1"/>
      <c r="AB115" s="1"/>
      <c r="AC115" s="1"/>
    </row>
    <row r="116" spans="1:29" ht="15" thickBot="1">
      <c r="A116" s="1"/>
      <c r="B116" s="5"/>
      <c r="C116" s="2"/>
      <c r="D116" s="2"/>
      <c r="E116" s="133"/>
      <c r="F116" s="133"/>
      <c r="G116" s="133"/>
      <c r="H116" s="134"/>
      <c r="I116" s="134"/>
      <c r="J116" s="1"/>
      <c r="K116" s="1"/>
      <c r="L116" s="1"/>
      <c r="M116" s="1"/>
      <c r="N116" s="1"/>
      <c r="O116" s="1"/>
      <c r="P116" s="1"/>
      <c r="Q116" s="1"/>
      <c r="R116" s="1"/>
      <c r="S116" s="1"/>
      <c r="T116" s="1"/>
      <c r="U116" s="1"/>
      <c r="V116" s="1"/>
      <c r="W116" s="1"/>
      <c r="X116" s="1"/>
      <c r="Y116" s="1"/>
      <c r="Z116" s="1"/>
      <c r="AA116" s="1"/>
      <c r="AB116" s="1"/>
      <c r="AC116" s="1"/>
    </row>
    <row r="117" spans="1:29" ht="24.6">
      <c r="A117" s="246" t="s">
        <v>346</v>
      </c>
      <c r="B117" s="247"/>
      <c r="C117" s="248"/>
      <c r="D117" s="248"/>
      <c r="E117" s="248"/>
      <c r="F117" s="249"/>
      <c r="G117" s="134"/>
      <c r="H117" s="134"/>
      <c r="I117" s="134"/>
      <c r="J117" s="1"/>
      <c r="K117" s="1"/>
      <c r="L117" s="1"/>
      <c r="M117" s="1"/>
      <c r="N117" s="1"/>
      <c r="O117" s="1"/>
      <c r="P117" s="1"/>
      <c r="Q117" s="1"/>
      <c r="R117" s="1"/>
      <c r="S117" s="1"/>
      <c r="T117" s="1"/>
      <c r="U117" s="1"/>
      <c r="V117" s="1"/>
      <c r="W117" s="1"/>
      <c r="X117" s="1"/>
      <c r="Y117" s="1"/>
      <c r="Z117" s="1"/>
      <c r="AA117" s="1"/>
      <c r="AB117" s="1"/>
      <c r="AC117" s="1"/>
    </row>
    <row r="118" spans="1:29">
      <c r="A118" s="243"/>
      <c r="B118" s="60"/>
      <c r="C118" s="951" t="s">
        <v>163</v>
      </c>
      <c r="D118" s="951"/>
      <c r="E118" s="951"/>
      <c r="F118" s="952"/>
      <c r="G118" s="134"/>
      <c r="H118" s="135"/>
      <c r="I118" s="134"/>
      <c r="J118" s="52"/>
      <c r="K118" s="1"/>
      <c r="L118" s="1"/>
      <c r="M118" s="1"/>
      <c r="N118" s="1"/>
      <c r="O118" s="1"/>
      <c r="P118" s="1"/>
      <c r="Q118" s="1"/>
      <c r="R118" s="1"/>
      <c r="S118" s="1"/>
      <c r="T118" s="1"/>
      <c r="U118" s="1"/>
      <c r="V118" s="1"/>
      <c r="W118" s="1"/>
      <c r="X118" s="1"/>
      <c r="Y118" s="1"/>
      <c r="Z118" s="1"/>
      <c r="AA118" s="1"/>
      <c r="AB118" s="1"/>
      <c r="AC118" s="1"/>
    </row>
    <row r="119" spans="1:29">
      <c r="A119" s="244"/>
      <c r="B119" s="121" t="s">
        <v>1</v>
      </c>
      <c r="C119" s="108">
        <v>42735</v>
      </c>
      <c r="D119" s="108">
        <v>43100</v>
      </c>
      <c r="E119" s="108">
        <v>43465</v>
      </c>
      <c r="F119" s="252">
        <v>43830</v>
      </c>
      <c r="G119" s="135"/>
      <c r="H119" s="134"/>
      <c r="I119" s="134"/>
      <c r="J119" s="52"/>
      <c r="K119" s="1"/>
      <c r="L119" s="1"/>
      <c r="M119" s="1"/>
      <c r="N119" s="1"/>
      <c r="O119" s="1"/>
      <c r="P119" s="1"/>
      <c r="Q119" s="1"/>
      <c r="R119" s="1"/>
      <c r="S119" s="1"/>
      <c r="T119" s="1"/>
      <c r="U119" s="1"/>
      <c r="V119" s="1"/>
      <c r="W119" s="1"/>
      <c r="X119" s="1"/>
      <c r="Y119" s="1"/>
      <c r="Z119" s="1"/>
      <c r="AA119" s="1"/>
      <c r="AB119" s="1"/>
      <c r="AC119" s="1"/>
    </row>
    <row r="120" spans="1:29">
      <c r="A120" s="2"/>
      <c r="B120" s="2"/>
      <c r="C120" s="28"/>
      <c r="D120" s="26"/>
      <c r="E120" s="26"/>
      <c r="F120" s="254"/>
      <c r="G120" s="134"/>
      <c r="H120" s="134"/>
      <c r="I120" s="134"/>
      <c r="J120" s="52"/>
      <c r="K120" s="1"/>
      <c r="L120" s="1"/>
      <c r="M120" s="1"/>
      <c r="N120" s="1"/>
      <c r="O120" s="1"/>
      <c r="P120" s="1"/>
      <c r="Q120" s="1"/>
      <c r="R120" s="1"/>
      <c r="S120" s="1"/>
      <c r="T120" s="1"/>
      <c r="U120" s="1"/>
      <c r="V120" s="1"/>
      <c r="W120" s="1"/>
      <c r="X120" s="1"/>
      <c r="Y120" s="1"/>
      <c r="Z120" s="1"/>
      <c r="AA120" s="1"/>
      <c r="AB120" s="1"/>
      <c r="AC120" s="1"/>
    </row>
    <row r="121" spans="1:29">
      <c r="A121" s="5" t="s">
        <v>303</v>
      </c>
      <c r="B121" s="2"/>
      <c r="C121" s="174">
        <v>443</v>
      </c>
      <c r="D121" s="175">
        <v>710</v>
      </c>
      <c r="E121" s="175">
        <v>588</v>
      </c>
      <c r="F121" s="255">
        <v>687</v>
      </c>
      <c r="G121" s="134"/>
      <c r="H121" s="134"/>
      <c r="I121" s="134"/>
      <c r="J121" s="52"/>
      <c r="K121" s="1"/>
      <c r="L121" s="1"/>
      <c r="M121" s="1"/>
      <c r="N121" s="1"/>
      <c r="O121" s="1"/>
      <c r="P121" s="1"/>
      <c r="Q121" s="1"/>
      <c r="R121" s="1"/>
      <c r="S121" s="1"/>
      <c r="T121" s="1"/>
      <c r="U121" s="1"/>
      <c r="V121" s="1"/>
      <c r="W121" s="1"/>
      <c r="X121" s="1"/>
      <c r="Y121" s="1"/>
      <c r="Z121" s="1"/>
      <c r="AA121" s="1"/>
      <c r="AB121" s="1"/>
      <c r="AC121" s="1"/>
    </row>
    <row r="122" spans="1:29">
      <c r="A122" s="2" t="s">
        <v>347</v>
      </c>
      <c r="B122" s="2"/>
      <c r="C122" s="176">
        <v>-122</v>
      </c>
      <c r="D122" s="177">
        <v>-192</v>
      </c>
      <c r="E122" s="177">
        <v>-157</v>
      </c>
      <c r="F122" s="256">
        <v>-189</v>
      </c>
      <c r="G122" s="134"/>
      <c r="H122" s="134"/>
      <c r="I122" s="134"/>
      <c r="J122" s="52"/>
      <c r="K122" s="1"/>
      <c r="L122" s="1"/>
      <c r="M122" s="1"/>
      <c r="N122" s="1"/>
      <c r="O122" s="1"/>
      <c r="P122" s="1"/>
      <c r="Q122" s="1"/>
      <c r="R122" s="1"/>
      <c r="S122" s="1"/>
      <c r="T122" s="1"/>
      <c r="U122" s="1"/>
      <c r="V122" s="1"/>
      <c r="W122" s="1"/>
      <c r="X122" s="1"/>
      <c r="Y122" s="1"/>
      <c r="Z122" s="1"/>
      <c r="AA122" s="1"/>
      <c r="AB122" s="1"/>
      <c r="AC122" s="1"/>
    </row>
    <row r="123" spans="1:29">
      <c r="A123" s="2" t="s">
        <v>376</v>
      </c>
      <c r="B123" s="2"/>
      <c r="C123" s="241">
        <f>-'Reorganised Statements'!D99*('Reorganised Statements'!D109/'Reorganised Statements'!D101)</f>
        <v>-39.814371257485028</v>
      </c>
      <c r="D123" s="241">
        <f>-'Reorganised Statements'!E99*('Reorganised Statements'!E109/'Reorganised Statements'!E101)</f>
        <v>-44.666666666666664</v>
      </c>
      <c r="E123" s="241">
        <f>-'Reorganised Statements'!F99*('Reorganised Statements'!F109/'Reorganised Statements'!F101)</f>
        <v>-31.400000000000002</v>
      </c>
      <c r="F123" s="357">
        <f>-'Reorganised Statements'!G99*('Reorganised Statements'!G109/'Reorganised Statements'!G101)</f>
        <v>-34.481927710843372</v>
      </c>
      <c r="G123" s="134"/>
      <c r="H123" s="134"/>
      <c r="I123" s="134"/>
      <c r="J123" s="52"/>
      <c r="K123" s="1"/>
      <c r="L123" s="1"/>
      <c r="M123" s="1"/>
      <c r="N123" s="1"/>
      <c r="O123" s="1"/>
      <c r="P123" s="1"/>
      <c r="Q123" s="1"/>
      <c r="R123" s="1"/>
      <c r="S123" s="1"/>
      <c r="T123" s="1"/>
      <c r="U123" s="1"/>
      <c r="V123" s="1"/>
      <c r="W123" s="1"/>
      <c r="X123" s="1"/>
      <c r="Y123" s="1"/>
      <c r="Z123" s="1"/>
      <c r="AA123" s="1"/>
      <c r="AB123" s="1"/>
      <c r="AC123" s="1"/>
    </row>
    <row r="124" spans="1:29">
      <c r="A124" s="21" t="s">
        <v>348</v>
      </c>
      <c r="B124" s="22"/>
      <c r="C124" s="178">
        <f>SUM(C121:C123)</f>
        <v>281.18562874251495</v>
      </c>
      <c r="D124" s="179">
        <f t="shared" ref="D124:F124" si="8">SUM(D121:D123)</f>
        <v>473.33333333333331</v>
      </c>
      <c r="E124" s="179">
        <f t="shared" si="8"/>
        <v>399.6</v>
      </c>
      <c r="F124" s="258">
        <f t="shared" si="8"/>
        <v>463.51807228915663</v>
      </c>
      <c r="G124" s="134"/>
      <c r="H124" s="134"/>
      <c r="I124" s="134"/>
      <c r="J124" s="52"/>
      <c r="K124" s="1"/>
      <c r="L124" s="1"/>
      <c r="M124" s="1"/>
      <c r="N124" s="1"/>
      <c r="O124" s="1"/>
      <c r="P124" s="1"/>
      <c r="Q124" s="1"/>
      <c r="R124" s="1"/>
      <c r="S124" s="1"/>
      <c r="T124" s="1"/>
      <c r="U124" s="1"/>
      <c r="V124" s="1"/>
      <c r="W124" s="1"/>
      <c r="X124" s="1"/>
      <c r="Y124" s="1"/>
      <c r="Z124" s="1"/>
      <c r="AA124" s="1"/>
      <c r="AB124" s="1"/>
      <c r="AC124" s="1"/>
    </row>
    <row r="125" spans="1:29">
      <c r="A125" s="2"/>
      <c r="B125" s="2"/>
      <c r="C125" s="176"/>
      <c r="D125" s="177"/>
      <c r="E125" s="177"/>
      <c r="F125" s="256"/>
      <c r="G125" s="134"/>
      <c r="H125" s="134"/>
      <c r="I125" s="134"/>
      <c r="J125" s="52"/>
      <c r="K125" s="1"/>
      <c r="L125" s="1"/>
      <c r="M125" s="1"/>
      <c r="N125" s="1"/>
      <c r="O125" s="1"/>
      <c r="P125" s="1"/>
      <c r="Q125" s="1"/>
      <c r="R125" s="1"/>
      <c r="S125" s="1"/>
      <c r="T125" s="1"/>
      <c r="U125" s="1"/>
      <c r="V125" s="1"/>
      <c r="W125" s="1"/>
      <c r="X125" s="1"/>
      <c r="Y125" s="1"/>
      <c r="Z125" s="1"/>
      <c r="AA125" s="1"/>
      <c r="AB125" s="1"/>
      <c r="AC125" s="1"/>
    </row>
    <row r="126" spans="1:29">
      <c r="A126" s="2" t="s">
        <v>370</v>
      </c>
      <c r="B126" s="2"/>
      <c r="C126" s="176">
        <f ca="1">'Reorganised Statements'!C126-'Reorganised Statements'!D126</f>
        <v>25</v>
      </c>
      <c r="D126" s="177">
        <f ca="1">'Reorganised Statements'!D126-'Reorganised Statements'!E126</f>
        <v>12</v>
      </c>
      <c r="E126" s="177">
        <f ca="1">'Reorganised Statements'!E126-'Reorganised Statements'!F126</f>
        <v>-40</v>
      </c>
      <c r="F126" s="256">
        <f ca="1">'Reorganised Statements'!F126-'Reorganised Statements'!G126</f>
        <v>3</v>
      </c>
      <c r="G126" s="134"/>
      <c r="H126" s="134"/>
      <c r="I126" s="134"/>
      <c r="J126" s="52"/>
      <c r="K126" s="1"/>
      <c r="L126" s="1"/>
      <c r="M126" s="1"/>
      <c r="N126" s="1"/>
      <c r="O126" s="1"/>
      <c r="P126" s="1"/>
      <c r="Q126" s="1"/>
      <c r="R126" s="1"/>
      <c r="S126" s="1"/>
      <c r="T126" s="1"/>
      <c r="U126" s="1"/>
      <c r="V126" s="1"/>
      <c r="W126" s="1"/>
      <c r="X126" s="1"/>
      <c r="Y126" s="1"/>
      <c r="Z126" s="1"/>
      <c r="AA126" s="1"/>
      <c r="AB126" s="1"/>
      <c r="AC126" s="1"/>
    </row>
    <row r="127" spans="1:29">
      <c r="A127" s="2" t="s">
        <v>349</v>
      </c>
      <c r="B127" s="2"/>
      <c r="C127" s="176">
        <f ca="1">'Reorganised Statements'!C127-'Reorganised Statements'!D127</f>
        <v>-336</v>
      </c>
      <c r="D127" s="177">
        <f ca="1">'Reorganised Statements'!D127-'Reorganised Statements'!E127</f>
        <v>150</v>
      </c>
      <c r="E127" s="177">
        <f ca="1">'Reorganised Statements'!E127-'Reorganised Statements'!F127</f>
        <v>-110</v>
      </c>
      <c r="F127" s="256">
        <f ca="1">'Reorganised Statements'!F127-'Reorganised Statements'!G127</f>
        <v>-71</v>
      </c>
      <c r="G127" s="134"/>
      <c r="H127" s="134"/>
      <c r="I127" s="134"/>
      <c r="J127" s="52"/>
      <c r="K127" s="1"/>
      <c r="L127" s="1"/>
      <c r="M127" s="1"/>
      <c r="N127" s="1"/>
      <c r="O127" s="1"/>
      <c r="P127" s="1"/>
      <c r="Q127" s="1"/>
      <c r="R127" s="1"/>
      <c r="S127" s="1"/>
      <c r="T127" s="1"/>
      <c r="U127" s="1"/>
      <c r="V127" s="1"/>
      <c r="W127" s="1"/>
      <c r="X127" s="1"/>
      <c r="Y127" s="1"/>
      <c r="Z127" s="1"/>
      <c r="AA127" s="1"/>
      <c r="AB127" s="1"/>
      <c r="AC127" s="1"/>
    </row>
    <row r="128" spans="1:29">
      <c r="A128" s="2" t="s">
        <v>369</v>
      </c>
      <c r="B128" s="2"/>
      <c r="C128" s="176">
        <f ca="1">'Reorganised Statements'!C128-'Reorganised Statements'!D128</f>
        <v>214</v>
      </c>
      <c r="D128" s="177">
        <f ca="1">'Reorganised Statements'!D128-'Reorganised Statements'!E128</f>
        <v>-3</v>
      </c>
      <c r="E128" s="177">
        <f ca="1">'Reorganised Statements'!E128-'Reorganised Statements'!F128</f>
        <v>32</v>
      </c>
      <c r="F128" s="256">
        <f ca="1">'Reorganised Statements'!F128-'Reorganised Statements'!G128</f>
        <v>68</v>
      </c>
      <c r="G128" s="134"/>
      <c r="H128" s="134"/>
      <c r="I128" s="135"/>
      <c r="J128" s="52"/>
      <c r="K128" s="1"/>
      <c r="L128" s="1"/>
      <c r="M128" s="1"/>
      <c r="N128" s="1"/>
      <c r="O128" s="1"/>
      <c r="P128" s="1"/>
      <c r="Q128" s="1"/>
      <c r="R128" s="1"/>
      <c r="S128" s="1"/>
      <c r="T128" s="1"/>
      <c r="U128" s="1"/>
      <c r="V128" s="1"/>
      <c r="W128" s="1"/>
      <c r="X128" s="1"/>
      <c r="Y128" s="1"/>
      <c r="Z128" s="1"/>
      <c r="AA128" s="1"/>
      <c r="AB128" s="1"/>
      <c r="AC128" s="1"/>
    </row>
    <row r="129" spans="1:29">
      <c r="A129" s="21" t="s">
        <v>371</v>
      </c>
      <c r="B129" s="22"/>
      <c r="C129" s="178">
        <f ca="1">SUM(C126:C128)</f>
        <v>-97</v>
      </c>
      <c r="D129" s="179">
        <f t="shared" ref="D129:E129" ca="1" si="9">SUM(D126:D128)</f>
        <v>159</v>
      </c>
      <c r="E129" s="179">
        <f t="shared" ca="1" si="9"/>
        <v>-118</v>
      </c>
      <c r="F129" s="258">
        <f ca="1">SUM(F126:F128)</f>
        <v>0</v>
      </c>
      <c r="G129" s="134"/>
      <c r="H129" s="134"/>
      <c r="I129" s="134"/>
      <c r="J129" s="52"/>
      <c r="K129" s="1"/>
      <c r="L129" s="1"/>
      <c r="M129" s="1"/>
      <c r="N129" s="1"/>
      <c r="O129" s="1"/>
      <c r="P129" s="1"/>
      <c r="Q129" s="1"/>
      <c r="R129" s="1"/>
      <c r="S129" s="1"/>
      <c r="T129" s="1"/>
      <c r="U129" s="1"/>
      <c r="V129" s="1"/>
      <c r="W129" s="1"/>
      <c r="X129" s="1"/>
      <c r="Y129" s="1"/>
      <c r="Z129" s="1"/>
      <c r="AA129" s="1"/>
      <c r="AB129" s="1"/>
      <c r="AC129" s="1"/>
    </row>
    <row r="130" spans="1:29">
      <c r="A130" s="2"/>
      <c r="B130" s="2"/>
      <c r="C130" s="176"/>
      <c r="D130" s="177"/>
      <c r="E130" s="177"/>
      <c r="F130" s="256"/>
      <c r="G130" s="134"/>
      <c r="H130" s="134"/>
      <c r="I130" s="133"/>
      <c r="J130" s="52"/>
      <c r="K130" s="1"/>
      <c r="L130" s="1"/>
      <c r="M130" s="1"/>
      <c r="N130" s="1"/>
      <c r="O130" s="1"/>
      <c r="P130" s="1"/>
      <c r="Q130" s="1"/>
      <c r="R130" s="1"/>
      <c r="S130" s="1"/>
      <c r="T130" s="1"/>
      <c r="U130" s="1"/>
      <c r="V130" s="1"/>
      <c r="W130" s="1"/>
      <c r="X130" s="1"/>
      <c r="Y130" s="1"/>
      <c r="Z130" s="1"/>
      <c r="AA130" s="1"/>
      <c r="AB130" s="1"/>
      <c r="AC130" s="1"/>
    </row>
    <row r="131" spans="1:29">
      <c r="A131" s="2" t="s">
        <v>350</v>
      </c>
      <c r="B131" s="2"/>
      <c r="C131" s="176">
        <f ca="1">'Reorganised Statements'!C131-'Reorganised Statements'!D131</f>
        <v>-59</v>
      </c>
      <c r="D131" s="177">
        <f ca="1">'Reorganised Statements'!D131-'Reorganised Statements'!E131</f>
        <v>132</v>
      </c>
      <c r="E131" s="177">
        <f ca="1">'Reorganised Statements'!E131-'Reorganised Statements'!F131</f>
        <v>53</v>
      </c>
      <c r="F131" s="256">
        <f ca="1">'Reorganised Statements'!F131-'Reorganised Statements'!G131</f>
        <v>-155</v>
      </c>
      <c r="G131" s="134"/>
      <c r="H131" s="135"/>
      <c r="I131" s="134"/>
      <c r="J131" s="52"/>
      <c r="K131" s="1"/>
      <c r="L131" s="1"/>
      <c r="M131" s="1"/>
      <c r="N131" s="1"/>
      <c r="O131" s="1"/>
      <c r="P131" s="1"/>
      <c r="Q131" s="1"/>
      <c r="R131" s="1"/>
      <c r="S131" s="1"/>
      <c r="T131" s="1"/>
      <c r="U131" s="1"/>
      <c r="V131" s="1"/>
      <c r="W131" s="1"/>
      <c r="X131" s="1"/>
      <c r="Y131" s="1"/>
      <c r="Z131" s="1"/>
      <c r="AA131" s="1"/>
      <c r="AB131" s="1"/>
      <c r="AC131" s="1"/>
    </row>
    <row r="132" spans="1:29">
      <c r="A132" s="2" t="s">
        <v>351</v>
      </c>
      <c r="B132" s="2"/>
      <c r="C132" s="176">
        <f>'Reorganised Statements'!C137-'Reorganised Statements'!D137</f>
        <v>-18.118962075848298</v>
      </c>
      <c r="D132" s="177">
        <f>'Reorganised Statements'!D137-'Reorganised Statements'!E137</f>
        <v>16.348594377510032</v>
      </c>
      <c r="E132" s="177">
        <f>'Reorganised Statements'!E137-'Reorganised Statements'!F137</f>
        <v>-37.563855421686739</v>
      </c>
      <c r="F132" s="256">
        <f>'Reorganised Statements'!F137-'Reorganised Statements'!G137</f>
        <v>34.481927710843372</v>
      </c>
      <c r="G132" s="135"/>
      <c r="H132" s="134"/>
      <c r="I132" s="133"/>
      <c r="J132" s="52"/>
      <c r="K132" s="1"/>
      <c r="L132" s="1"/>
      <c r="M132" s="1"/>
      <c r="N132" s="1"/>
      <c r="O132" s="1"/>
      <c r="P132" s="1"/>
      <c r="Q132" s="1"/>
      <c r="R132" s="1"/>
      <c r="S132" s="1"/>
      <c r="T132" s="1"/>
      <c r="U132" s="1"/>
      <c r="V132" s="1"/>
      <c r="W132" s="1"/>
      <c r="X132" s="1"/>
      <c r="Y132" s="1"/>
      <c r="Z132" s="1"/>
      <c r="AA132" s="1"/>
      <c r="AB132" s="1"/>
      <c r="AC132" s="1"/>
    </row>
    <row r="133" spans="1:29">
      <c r="A133" s="21" t="s">
        <v>372</v>
      </c>
      <c r="B133" s="22"/>
      <c r="C133" s="178">
        <f ca="1">SUM(C129,C131:C132)</f>
        <v>54</v>
      </c>
      <c r="D133" s="179">
        <f t="shared" ref="D133:F133" ca="1" si="10">SUM(D129,D131:D132)</f>
        <v>71</v>
      </c>
      <c r="E133" s="179">
        <f t="shared" ca="1" si="10"/>
        <v>25</v>
      </c>
      <c r="F133" s="258">
        <f t="shared" ca="1" si="10"/>
        <v>81</v>
      </c>
      <c r="G133" s="134"/>
      <c r="H133" s="133"/>
      <c r="I133" s="147"/>
      <c r="J133" s="52"/>
      <c r="K133" s="1"/>
      <c r="L133" s="1"/>
      <c r="M133" s="1"/>
      <c r="N133" s="1"/>
      <c r="O133" s="1"/>
      <c r="P133" s="1"/>
      <c r="Q133" s="1"/>
      <c r="R133" s="1"/>
      <c r="S133" s="1"/>
      <c r="T133" s="1"/>
      <c r="U133" s="1"/>
      <c r="V133" s="1"/>
      <c r="W133" s="1"/>
      <c r="X133" s="1"/>
      <c r="Y133" s="1"/>
      <c r="Z133" s="1"/>
      <c r="AA133" s="1"/>
      <c r="AB133" s="1"/>
      <c r="AC133" s="1"/>
    </row>
    <row r="134" spans="1:29">
      <c r="A134" s="2"/>
      <c r="B134" s="2"/>
      <c r="C134" s="176"/>
      <c r="D134" s="177"/>
      <c r="E134" s="177"/>
      <c r="F134" s="256"/>
      <c r="G134" s="133"/>
      <c r="H134" s="134"/>
      <c r="I134" s="134"/>
      <c r="J134" s="52"/>
      <c r="K134" s="1"/>
      <c r="L134" s="1"/>
      <c r="M134" s="1"/>
      <c r="N134" s="1"/>
      <c r="O134" s="1"/>
      <c r="P134" s="1"/>
      <c r="Q134" s="1"/>
      <c r="R134" s="1"/>
      <c r="S134" s="1"/>
      <c r="T134" s="1"/>
      <c r="U134" s="1"/>
      <c r="V134" s="1"/>
      <c r="W134" s="1"/>
      <c r="X134" s="1"/>
      <c r="Y134" s="1"/>
      <c r="Z134" s="1"/>
      <c r="AA134" s="1"/>
      <c r="AB134" s="1"/>
      <c r="AC134" s="1"/>
    </row>
    <row r="135" spans="1:29">
      <c r="A135" s="2" t="s">
        <v>352</v>
      </c>
      <c r="B135" s="2"/>
      <c r="C135" s="176">
        <f>('Reorganised Statements'!C121+'Reorganised Statements'!C122)-('Reorganised Statements'!D121+'Reorganised Statements'!D122)+'Reorganised Statements'!D188</f>
        <v>-197</v>
      </c>
      <c r="D135" s="177">
        <f>('Reorganised Statements'!D121+'Reorganised Statements'!D122)-('Reorganised Statements'!E121+'Reorganised Statements'!E122)+'Reorganised Statements'!E188</f>
        <v>87</v>
      </c>
      <c r="E135" s="177">
        <f>('Reorganised Statements'!E121+'Reorganised Statements'!E122)-('Reorganised Statements'!F121+'Reorganised Statements'!F122)+'Reorganised Statements'!F188</f>
        <v>-67</v>
      </c>
      <c r="F135" s="256">
        <f>('Reorganised Statements'!F121+'Reorganised Statements'!F122)-('Reorganised Statements'!G121+'Reorganised Statements'!G122)+'Reorganised Statements'!G188</f>
        <v>498</v>
      </c>
      <c r="G135" s="134"/>
      <c r="H135" s="133"/>
      <c r="I135" s="134"/>
      <c r="J135" s="52"/>
      <c r="K135" s="1"/>
      <c r="L135" s="1"/>
      <c r="M135" s="1"/>
      <c r="N135" s="1"/>
      <c r="O135" s="1"/>
      <c r="P135" s="1"/>
      <c r="Q135" s="1"/>
      <c r="R135" s="1"/>
      <c r="S135" s="1"/>
      <c r="T135" s="1"/>
      <c r="U135" s="1"/>
      <c r="V135" s="1"/>
      <c r="W135" s="1"/>
      <c r="X135" s="1"/>
      <c r="Y135" s="1"/>
      <c r="Z135" s="1"/>
      <c r="AA135" s="1"/>
      <c r="AB135" s="1"/>
      <c r="AC135" s="1"/>
    </row>
    <row r="136" spans="1:29">
      <c r="A136" s="2" t="s">
        <v>353</v>
      </c>
      <c r="B136" s="2"/>
      <c r="C136" s="176">
        <v>648</v>
      </c>
      <c r="D136" s="177">
        <v>444</v>
      </c>
      <c r="E136" s="177">
        <v>623</v>
      </c>
      <c r="F136" s="256">
        <v>511</v>
      </c>
      <c r="G136" s="133"/>
      <c r="H136" s="147"/>
      <c r="I136" s="134"/>
      <c r="J136" s="52"/>
      <c r="K136" s="1"/>
      <c r="L136" s="1"/>
      <c r="M136" s="1"/>
      <c r="N136" s="1"/>
      <c r="O136" s="1"/>
      <c r="P136" s="1"/>
      <c r="Q136" s="1"/>
      <c r="R136" s="1"/>
      <c r="S136" s="1"/>
      <c r="T136" s="1"/>
      <c r="U136" s="1"/>
      <c r="V136" s="1"/>
      <c r="W136" s="1"/>
      <c r="X136" s="1"/>
      <c r="Y136" s="1"/>
      <c r="Z136" s="1"/>
      <c r="AA136" s="1"/>
      <c r="AB136" s="1"/>
      <c r="AC136" s="1"/>
    </row>
    <row r="137" spans="1:29">
      <c r="A137" s="2" t="s">
        <v>354</v>
      </c>
      <c r="B137" s="2"/>
      <c r="C137" s="176">
        <f>'Reorganised Statements'!C146-'Reorganised Statements'!D146</f>
        <v>-4.8522954091816359</v>
      </c>
      <c r="D137" s="176">
        <f>'Reorganised Statements'!D146-'Reorganised Statements'!E146</f>
        <v>13.266666666666662</v>
      </c>
      <c r="E137" s="176">
        <f>'Reorganised Statements'!E146-'Reorganised Statements'!F146</f>
        <v>-3.0819277108433702</v>
      </c>
      <c r="F137" s="259">
        <f>'Reorganised Statements'!F146-'Reorganised Statements'!G146</f>
        <v>34.481927710843372</v>
      </c>
      <c r="G137" s="147"/>
      <c r="H137" s="134"/>
      <c r="I137" s="134"/>
      <c r="J137" s="52"/>
      <c r="K137" s="1"/>
      <c r="L137" s="1"/>
      <c r="M137" s="1"/>
      <c r="N137" s="1"/>
      <c r="O137" s="1"/>
      <c r="P137" s="1"/>
      <c r="Q137" s="1"/>
      <c r="R137" s="1"/>
      <c r="S137" s="1"/>
      <c r="T137" s="1"/>
      <c r="U137" s="1"/>
      <c r="V137" s="1"/>
      <c r="W137" s="1"/>
      <c r="X137" s="1"/>
      <c r="Y137" s="1"/>
      <c r="Z137" s="1"/>
      <c r="AA137" s="1"/>
      <c r="AB137" s="1"/>
      <c r="AC137" s="1"/>
    </row>
    <row r="138" spans="1:29">
      <c r="A138" s="2" t="s">
        <v>355</v>
      </c>
      <c r="B138" s="2"/>
      <c r="C138" s="176">
        <f>'Reorganised Statements'!C145-'Reorganised Statements'!D145</f>
        <v>-879</v>
      </c>
      <c r="D138" s="176">
        <f>'Reorganised Statements'!D145-'Reorganised Statements'!E145</f>
        <v>233</v>
      </c>
      <c r="E138" s="176">
        <f>'Reorganised Statements'!E145-'Reorganised Statements'!F145</f>
        <v>313</v>
      </c>
      <c r="F138" s="259">
        <f>'Reorganised Statements'!F145-'Reorganised Statements'!G145</f>
        <v>-190</v>
      </c>
      <c r="G138" s="134"/>
      <c r="H138" s="134"/>
      <c r="I138" s="135"/>
      <c r="J138" s="52"/>
      <c r="K138" s="1"/>
      <c r="L138" s="1"/>
      <c r="M138" s="1"/>
      <c r="N138" s="1"/>
      <c r="O138" s="1"/>
      <c r="P138" s="1"/>
      <c r="Q138" s="1"/>
      <c r="R138" s="1"/>
      <c r="S138" s="1"/>
      <c r="T138" s="1"/>
      <c r="U138" s="1"/>
      <c r="V138" s="1"/>
      <c r="W138" s="1"/>
      <c r="X138" s="1"/>
      <c r="Y138" s="1"/>
      <c r="Z138" s="1"/>
      <c r="AA138" s="1"/>
      <c r="AB138" s="1"/>
      <c r="AC138" s="1"/>
    </row>
    <row r="139" spans="1:29">
      <c r="A139" s="2" t="s">
        <v>368</v>
      </c>
      <c r="B139" s="2"/>
      <c r="C139" s="176">
        <f>'Reorganised Statements'!C144-'Reorganised Statements'!D144</f>
        <v>18.118962075848298</v>
      </c>
      <c r="D139" s="176">
        <f>'Reorganised Statements'!D144-'Reorganised Statements'!E144</f>
        <v>-16.348594377510032</v>
      </c>
      <c r="E139" s="176">
        <f>'Reorganised Statements'!E144-'Reorganised Statements'!F144</f>
        <v>37.563855421686739</v>
      </c>
      <c r="F139" s="259">
        <f>'Reorganised Statements'!F144-'Reorganised Statements'!G144</f>
        <v>-34.481927710843372</v>
      </c>
      <c r="G139" s="134"/>
      <c r="H139" s="134"/>
      <c r="I139" s="134"/>
      <c r="J139" s="52"/>
      <c r="K139" s="1"/>
      <c r="L139" s="1"/>
      <c r="M139" s="1"/>
      <c r="N139" s="1"/>
      <c r="O139" s="1"/>
      <c r="P139" s="1"/>
      <c r="Q139" s="1"/>
      <c r="R139" s="1"/>
      <c r="S139" s="1"/>
      <c r="T139" s="1"/>
      <c r="U139" s="1"/>
      <c r="V139" s="1"/>
      <c r="W139" s="1"/>
      <c r="X139" s="1"/>
      <c r="Y139" s="1"/>
      <c r="Z139" s="1"/>
      <c r="AA139" s="1"/>
      <c r="AB139" s="1"/>
      <c r="AC139" s="1"/>
    </row>
    <row r="140" spans="1:29">
      <c r="A140" s="2" t="s">
        <v>356</v>
      </c>
      <c r="B140" s="2"/>
      <c r="C140" s="176">
        <v>20</v>
      </c>
      <c r="D140" s="177">
        <v>-91</v>
      </c>
      <c r="E140" s="177">
        <v>11</v>
      </c>
      <c r="F140" s="256">
        <v>-3</v>
      </c>
      <c r="G140" s="134"/>
      <c r="H140" s="134"/>
      <c r="I140" s="134"/>
      <c r="J140" s="52"/>
      <c r="K140" s="1"/>
      <c r="L140" s="1"/>
      <c r="M140" s="1"/>
      <c r="N140" s="1"/>
      <c r="O140" s="1"/>
      <c r="P140" s="1"/>
      <c r="Q140" s="1"/>
      <c r="R140" s="1"/>
      <c r="S140" s="1"/>
      <c r="T140" s="1"/>
      <c r="U140" s="1"/>
      <c r="V140" s="1"/>
      <c r="W140" s="1"/>
      <c r="X140" s="1"/>
      <c r="Y140" s="1"/>
      <c r="Z140" s="1"/>
      <c r="AA140" s="1"/>
      <c r="AB140" s="1"/>
      <c r="AC140" s="1"/>
    </row>
    <row r="141" spans="1:29">
      <c r="A141" s="15" t="s">
        <v>357</v>
      </c>
      <c r="B141" s="17"/>
      <c r="C141" s="180">
        <f ca="1">C124+C133+SUM(C135:C140)</f>
        <v>32.18562874251495</v>
      </c>
      <c r="D141" s="180">
        <f t="shared" ref="D141:F141" ca="1" si="11">D124+D133+SUM(D135:D140)</f>
        <v>765.33333333333326</v>
      </c>
      <c r="E141" s="180">
        <f t="shared" ca="1" si="11"/>
        <v>31.600000000000023</v>
      </c>
      <c r="F141" s="260">
        <f t="shared" ca="1" si="11"/>
        <v>229.51807228915663</v>
      </c>
      <c r="G141" s="134"/>
      <c r="H141" s="135"/>
      <c r="I141" s="133"/>
      <c r="J141" s="52"/>
      <c r="K141" s="1"/>
      <c r="L141" s="1"/>
      <c r="M141" s="1"/>
      <c r="N141" s="1"/>
      <c r="O141" s="1"/>
      <c r="P141" s="1"/>
      <c r="Q141" s="1"/>
      <c r="R141" s="1"/>
      <c r="S141" s="1"/>
      <c r="T141" s="1"/>
      <c r="U141" s="1"/>
      <c r="V141" s="1"/>
      <c r="W141" s="1"/>
      <c r="X141" s="1"/>
      <c r="Y141" s="1"/>
      <c r="Z141" s="1"/>
      <c r="AA141" s="1"/>
      <c r="AB141" s="1"/>
      <c r="AC141" s="1"/>
    </row>
    <row r="142" spans="1:29">
      <c r="A142" s="2" t="s">
        <v>358</v>
      </c>
      <c r="B142" s="2"/>
      <c r="C142" s="184">
        <f ca="1">-C141/C121</f>
        <v>-7.2653789486489734E-2</v>
      </c>
      <c r="D142" s="184">
        <f t="shared" ref="D142:F142" ca="1" si="12">D141/D121</f>
        <v>1.0779342723004695</v>
      </c>
      <c r="E142" s="184">
        <f t="shared" ca="1" si="12"/>
        <v>5.3741496598639492E-2</v>
      </c>
      <c r="F142" s="261">
        <f t="shared" ca="1" si="12"/>
        <v>0.33408744146893249</v>
      </c>
      <c r="G142" s="135"/>
      <c r="H142" s="134"/>
      <c r="I142" s="133"/>
      <c r="J142" s="52"/>
      <c r="K142" s="1"/>
      <c r="L142" s="1"/>
      <c r="M142" s="1"/>
      <c r="N142" s="1"/>
      <c r="O142" s="1"/>
      <c r="P142" s="1"/>
      <c r="Q142" s="1"/>
      <c r="R142" s="1"/>
      <c r="S142" s="1"/>
      <c r="T142" s="1"/>
      <c r="U142" s="1"/>
      <c r="V142" s="1"/>
      <c r="W142" s="1"/>
      <c r="X142" s="1"/>
      <c r="Y142" s="1"/>
      <c r="Z142" s="1"/>
      <c r="AA142" s="1"/>
      <c r="AB142" s="1"/>
      <c r="AC142" s="1"/>
    </row>
    <row r="143" spans="1:29">
      <c r="A143" s="2"/>
      <c r="B143" s="2"/>
      <c r="C143" s="176"/>
      <c r="D143" s="177"/>
      <c r="E143" s="177"/>
      <c r="F143" s="256"/>
      <c r="G143" s="134"/>
      <c r="H143" s="134"/>
      <c r="I143" s="133"/>
      <c r="J143" s="52"/>
      <c r="K143" s="1"/>
      <c r="L143" s="1"/>
      <c r="M143" s="1"/>
      <c r="N143" s="1"/>
      <c r="O143" s="1"/>
      <c r="P143" s="1"/>
      <c r="Q143" s="1"/>
      <c r="R143" s="1"/>
      <c r="S143" s="1"/>
      <c r="T143" s="1"/>
      <c r="U143" s="1"/>
      <c r="V143" s="1"/>
      <c r="W143" s="1"/>
      <c r="X143" s="1"/>
      <c r="Y143" s="1"/>
      <c r="Z143" s="1"/>
      <c r="AA143" s="1"/>
      <c r="AB143" s="1"/>
      <c r="AC143" s="1"/>
    </row>
    <row r="144" spans="1:29">
      <c r="A144" s="2" t="s">
        <v>359</v>
      </c>
      <c r="B144" s="2"/>
      <c r="C144" s="176">
        <f>('Reorganised Statements'!C123-'Reorganised Statements'!D123)+'Reorganised Statements'!D215</f>
        <v>4.8522954091816359</v>
      </c>
      <c r="D144" s="176">
        <f>('Reorganised Statements'!D123-'Reorganised Statements'!E123)+'Reorganised Statements'!E215</f>
        <v>-13.266666666666662</v>
      </c>
      <c r="E144" s="176">
        <f>('Reorganised Statements'!E123-'Reorganised Statements'!F123)+'Reorganised Statements'!F215</f>
        <v>3.0819277108433702</v>
      </c>
      <c r="F144" s="259">
        <f>('Reorganised Statements'!F123-'Reorganised Statements'!G123)+'Reorganised Statements'!G215</f>
        <v>-34.481927710843372</v>
      </c>
      <c r="G144" s="134"/>
      <c r="H144" s="133"/>
      <c r="I144" s="133"/>
      <c r="J144" s="52"/>
      <c r="K144" s="1"/>
      <c r="L144" s="1"/>
      <c r="M144" s="1"/>
      <c r="N144" s="1"/>
      <c r="O144" s="1"/>
      <c r="P144" s="1"/>
      <c r="Q144" s="1"/>
      <c r="R144" s="1"/>
      <c r="S144" s="1"/>
      <c r="T144" s="1"/>
      <c r="U144" s="1"/>
      <c r="V144" s="1"/>
      <c r="W144" s="1"/>
      <c r="X144" s="1"/>
      <c r="Y144" s="1"/>
      <c r="Z144" s="1"/>
      <c r="AA144" s="1"/>
      <c r="AB144" s="1"/>
      <c r="AC144" s="1"/>
    </row>
    <row r="145" spans="1:29">
      <c r="A145" s="2" t="s">
        <v>360</v>
      </c>
      <c r="B145" s="2"/>
      <c r="C145" s="176">
        <f>'Reorganised Statements'!C155-'Reorganised Statements'!D155</f>
        <v>-523</v>
      </c>
      <c r="D145" s="176">
        <f>'Reorganised Statements'!D155-'Reorganised Statements'!E155</f>
        <v>356</v>
      </c>
      <c r="E145" s="176">
        <f>'Reorganised Statements'!E155-'Reorganised Statements'!F155</f>
        <v>123</v>
      </c>
      <c r="F145" s="259">
        <f>'Reorganised Statements'!F155-'Reorganised Statements'!G155</f>
        <v>-190</v>
      </c>
      <c r="G145" s="133"/>
      <c r="H145" s="133"/>
      <c r="I145" s="134"/>
      <c r="J145" s="52"/>
      <c r="K145" s="1"/>
      <c r="L145" s="1"/>
      <c r="M145" s="1"/>
      <c r="N145" s="1"/>
      <c r="O145" s="1"/>
      <c r="P145" s="1"/>
      <c r="Q145" s="1"/>
      <c r="R145" s="1"/>
      <c r="S145" s="1"/>
      <c r="T145" s="1"/>
      <c r="U145" s="1"/>
      <c r="V145" s="1"/>
      <c r="W145" s="1"/>
      <c r="X145" s="1"/>
      <c r="Y145" s="1"/>
      <c r="Z145" s="1"/>
      <c r="AA145" s="1"/>
      <c r="AB145" s="1"/>
      <c r="AC145" s="1"/>
    </row>
    <row r="146" spans="1:29">
      <c r="A146" s="2" t="s">
        <v>377</v>
      </c>
      <c r="B146" s="2"/>
      <c r="C146" s="176">
        <f>-C123</f>
        <v>39.814371257485028</v>
      </c>
      <c r="D146" s="176">
        <f t="shared" ref="D146:F146" si="13">-D123</f>
        <v>44.666666666666664</v>
      </c>
      <c r="E146" s="176">
        <f t="shared" si="13"/>
        <v>31.400000000000002</v>
      </c>
      <c r="F146" s="259">
        <f t="shared" si="13"/>
        <v>34.481927710843372</v>
      </c>
      <c r="G146" s="133"/>
      <c r="H146" s="133"/>
      <c r="I146" s="134"/>
      <c r="J146" s="52"/>
      <c r="K146" s="1"/>
      <c r="L146" s="1"/>
      <c r="M146" s="1"/>
      <c r="N146" s="1"/>
      <c r="O146" s="1"/>
      <c r="P146" s="1"/>
      <c r="Q146" s="1"/>
      <c r="R146" s="1"/>
      <c r="S146" s="1"/>
      <c r="T146" s="1"/>
      <c r="U146" s="1"/>
      <c r="V146" s="1"/>
      <c r="W146" s="1"/>
      <c r="X146" s="1"/>
      <c r="Y146" s="1"/>
      <c r="Z146" s="1"/>
      <c r="AA146" s="1"/>
      <c r="AB146" s="1"/>
      <c r="AC146" s="1"/>
    </row>
    <row r="147" spans="1:29">
      <c r="A147" s="15" t="s">
        <v>361</v>
      </c>
      <c r="B147" s="17"/>
      <c r="C147" s="180">
        <f ca="1">C141+C144+C145+C146</f>
        <v>-22.000000000000021</v>
      </c>
      <c r="D147" s="181">
        <f t="shared" ref="D147:F147" ca="1" si="14">D141+D144+D145+D146</f>
        <v>847.99999999999989</v>
      </c>
      <c r="E147" s="181">
        <f t="shared" ca="1" si="14"/>
        <v>-232.99999999999997</v>
      </c>
      <c r="F147" s="262">
        <f t="shared" ca="1" si="14"/>
        <v>71</v>
      </c>
      <c r="G147" s="133"/>
      <c r="H147" s="133"/>
      <c r="I147" s="134"/>
      <c r="J147" s="52"/>
      <c r="K147" s="1"/>
      <c r="L147" s="1"/>
      <c r="M147" s="1"/>
      <c r="N147" s="1"/>
      <c r="O147" s="1"/>
      <c r="P147" s="1"/>
      <c r="Q147" s="1"/>
      <c r="R147" s="1"/>
      <c r="S147" s="1"/>
      <c r="T147" s="1"/>
      <c r="U147" s="1"/>
      <c r="V147" s="1"/>
      <c r="W147" s="1"/>
      <c r="X147" s="1"/>
      <c r="Y147" s="1"/>
      <c r="Z147" s="1"/>
      <c r="AA147" s="1"/>
      <c r="AB147" s="1"/>
      <c r="AC147" s="1"/>
    </row>
    <row r="148" spans="1:29">
      <c r="A148" s="2" t="s">
        <v>362</v>
      </c>
      <c r="B148" s="2"/>
      <c r="C148" s="176"/>
      <c r="D148" s="177"/>
      <c r="E148" s="177"/>
      <c r="F148" s="256"/>
      <c r="G148" s="134"/>
      <c r="H148" s="134"/>
      <c r="I148" s="134"/>
      <c r="J148" s="52"/>
      <c r="K148" s="1"/>
      <c r="L148" s="1"/>
      <c r="M148" s="1"/>
      <c r="N148" s="1"/>
      <c r="O148" s="1"/>
      <c r="P148" s="1"/>
      <c r="Q148" s="1"/>
      <c r="R148" s="1"/>
      <c r="S148" s="1"/>
      <c r="T148" s="1"/>
      <c r="U148" s="1"/>
      <c r="V148" s="1"/>
      <c r="W148" s="1"/>
      <c r="X148" s="1"/>
      <c r="Y148" s="1"/>
      <c r="Z148" s="1"/>
      <c r="AA148" s="1"/>
      <c r="AB148" s="1"/>
      <c r="AC148" s="1"/>
    </row>
    <row r="149" spans="1:29">
      <c r="A149" s="2"/>
      <c r="B149" s="2"/>
      <c r="C149" s="182"/>
      <c r="D149" s="183"/>
      <c r="E149" s="183"/>
      <c r="F149" s="263"/>
      <c r="G149" s="134"/>
      <c r="H149" s="134"/>
      <c r="I149" s="134"/>
      <c r="J149" s="52"/>
      <c r="K149" s="1"/>
      <c r="L149" s="1"/>
      <c r="M149" s="1"/>
      <c r="N149" s="1"/>
      <c r="O149" s="1"/>
      <c r="P149" s="1"/>
      <c r="Q149" s="1"/>
      <c r="R149" s="1"/>
      <c r="S149" s="1"/>
      <c r="T149" s="1"/>
      <c r="U149" s="1"/>
      <c r="V149" s="1"/>
      <c r="W149" s="1"/>
      <c r="X149" s="1"/>
      <c r="Y149" s="1"/>
      <c r="Z149" s="1"/>
      <c r="AA149" s="1"/>
      <c r="AB149" s="1"/>
      <c r="AC149" s="1"/>
    </row>
    <row r="150" spans="1:29">
      <c r="A150" s="2" t="s">
        <v>363</v>
      </c>
      <c r="B150" s="2"/>
      <c r="C150" s="182">
        <f ca="1">('Reorganised Statements'!C151-'Reorganised Statements'!D151)-'Reorganised Statements'!D230</f>
        <v>-212</v>
      </c>
      <c r="D150" s="183">
        <f ca="1">('Reorganised Statements'!D151-'Reorganised Statements'!E151)-'Reorganised Statements'!E230</f>
        <v>-559</v>
      </c>
      <c r="E150" s="183">
        <f ca="1">('Reorganised Statements'!E151-'Reorganised Statements'!F151)-'Reorganised Statements'!F230</f>
        <v>166</v>
      </c>
      <c r="F150" s="263">
        <f ca="1">('Reorganised Statements'!F151-'Reorganised Statements'!G151)-'Reorganised Statements'!G230</f>
        <v>-261</v>
      </c>
      <c r="G150" s="134"/>
      <c r="H150" s="134"/>
      <c r="I150" s="134"/>
      <c r="J150" s="52"/>
      <c r="K150" s="1"/>
      <c r="L150" s="1"/>
      <c r="M150" s="1"/>
      <c r="N150" s="1"/>
      <c r="O150" s="1"/>
      <c r="P150" s="1"/>
      <c r="Q150" s="1"/>
      <c r="R150" s="1"/>
      <c r="S150" s="1"/>
      <c r="T150" s="1"/>
      <c r="U150" s="1"/>
      <c r="V150" s="1"/>
      <c r="W150" s="1"/>
      <c r="X150" s="1"/>
      <c r="Y150" s="1"/>
      <c r="Z150" s="1"/>
      <c r="AA150" s="1"/>
      <c r="AB150" s="1"/>
      <c r="AC150" s="1"/>
    </row>
    <row r="151" spans="1:29">
      <c r="A151" s="5" t="s">
        <v>364</v>
      </c>
      <c r="B151" s="2"/>
      <c r="C151" s="182">
        <f ca="1">C147+C150</f>
        <v>-234.00000000000003</v>
      </c>
      <c r="D151" s="182">
        <f t="shared" ref="D151:F151" ca="1" si="15">D147+D150</f>
        <v>288.99999999999989</v>
      </c>
      <c r="E151" s="182">
        <f t="shared" ca="1" si="15"/>
        <v>-66.999999999999972</v>
      </c>
      <c r="F151" s="264">
        <f t="shared" ca="1" si="15"/>
        <v>-190</v>
      </c>
      <c r="G151" s="134"/>
      <c r="H151" s="134"/>
      <c r="I151" s="134"/>
      <c r="J151" s="52"/>
      <c r="K151" s="1"/>
      <c r="L151" s="1"/>
      <c r="M151" s="1"/>
      <c r="N151" s="1"/>
      <c r="O151" s="1"/>
      <c r="P151" s="1"/>
      <c r="Q151" s="1"/>
      <c r="R151" s="1"/>
      <c r="S151" s="1"/>
      <c r="T151" s="1"/>
      <c r="U151" s="1"/>
      <c r="V151" s="1"/>
      <c r="W151" s="1"/>
      <c r="X151" s="1"/>
      <c r="Y151" s="1"/>
      <c r="Z151" s="1"/>
      <c r="AA151" s="1"/>
      <c r="AB151" s="1"/>
      <c r="AC151" s="1"/>
    </row>
    <row r="152" spans="1:29">
      <c r="A152" s="2"/>
      <c r="B152" s="2"/>
      <c r="C152" s="182"/>
      <c r="D152" s="183"/>
      <c r="E152" s="183"/>
      <c r="F152" s="263"/>
      <c r="G152" s="134"/>
      <c r="H152" s="134"/>
      <c r="I152" s="134"/>
      <c r="J152" s="52"/>
      <c r="K152" s="1"/>
      <c r="L152" s="1"/>
      <c r="M152" s="1"/>
      <c r="N152" s="1"/>
      <c r="O152" s="1"/>
      <c r="P152" s="1"/>
      <c r="Q152" s="1"/>
      <c r="R152" s="1"/>
      <c r="S152" s="1"/>
      <c r="T152" s="1"/>
      <c r="U152" s="1"/>
      <c r="V152" s="1"/>
      <c r="W152" s="1"/>
      <c r="X152" s="1"/>
      <c r="Y152" s="1"/>
      <c r="Z152" s="1"/>
      <c r="AA152" s="1"/>
      <c r="AB152" s="1"/>
      <c r="AC152" s="1"/>
    </row>
    <row r="153" spans="1:29">
      <c r="A153" s="2" t="s">
        <v>365</v>
      </c>
      <c r="B153" s="2"/>
      <c r="C153" s="182">
        <v>636</v>
      </c>
      <c r="D153" s="183">
        <v>402</v>
      </c>
      <c r="E153" s="183">
        <v>691</v>
      </c>
      <c r="F153" s="263">
        <v>624</v>
      </c>
      <c r="G153" s="134"/>
      <c r="H153" s="134"/>
      <c r="I153" s="134"/>
      <c r="J153" s="52"/>
      <c r="K153" s="1"/>
      <c r="L153" s="1"/>
      <c r="M153" s="1"/>
      <c r="N153" s="1"/>
      <c r="O153" s="1"/>
      <c r="P153" s="1"/>
      <c r="Q153" s="1"/>
      <c r="R153" s="1"/>
      <c r="S153" s="1"/>
      <c r="T153" s="1"/>
      <c r="U153" s="1"/>
      <c r="V153" s="1"/>
      <c r="W153" s="1"/>
      <c r="X153" s="1"/>
      <c r="Y153" s="1"/>
      <c r="Z153" s="1"/>
      <c r="AA153" s="1"/>
      <c r="AB153" s="1"/>
      <c r="AC153" s="1"/>
    </row>
    <row r="154" spans="1:29">
      <c r="A154" s="2" t="s">
        <v>366</v>
      </c>
      <c r="B154" s="2"/>
      <c r="C154" s="182">
        <v>402</v>
      </c>
      <c r="D154" s="183">
        <v>691</v>
      </c>
      <c r="E154" s="183">
        <v>624</v>
      </c>
      <c r="F154" s="263">
        <v>434</v>
      </c>
      <c r="G154" s="134"/>
      <c r="H154" s="134"/>
      <c r="I154" s="134"/>
      <c r="J154" s="52"/>
      <c r="K154" s="1"/>
      <c r="L154" s="1"/>
      <c r="M154" s="1"/>
      <c r="N154" s="1"/>
      <c r="O154" s="1"/>
      <c r="P154" s="1"/>
      <c r="Q154" s="1"/>
      <c r="R154" s="1"/>
      <c r="S154" s="1"/>
      <c r="T154" s="1"/>
      <c r="U154" s="1"/>
      <c r="V154" s="1"/>
      <c r="W154" s="1"/>
      <c r="X154" s="1"/>
      <c r="Y154" s="1"/>
      <c r="Z154" s="1"/>
      <c r="AA154" s="1"/>
      <c r="AB154" s="1"/>
      <c r="AC154" s="1"/>
    </row>
    <row r="155" spans="1:29" ht="15" thickBot="1">
      <c r="A155" s="266" t="s">
        <v>367</v>
      </c>
      <c r="B155" s="266"/>
      <c r="C155" s="267">
        <f>C154-C153</f>
        <v>-234</v>
      </c>
      <c r="D155" s="267">
        <f t="shared" ref="D155:F155" si="16">D154-D153</f>
        <v>289</v>
      </c>
      <c r="E155" s="267">
        <f t="shared" si="16"/>
        <v>-67</v>
      </c>
      <c r="F155" s="268">
        <f t="shared" si="16"/>
        <v>-190</v>
      </c>
      <c r="G155" s="134"/>
      <c r="H155" s="134"/>
      <c r="I155" s="134"/>
      <c r="J155" s="52"/>
      <c r="K155" s="1"/>
      <c r="L155" s="1"/>
      <c r="M155" s="1"/>
      <c r="N155" s="1"/>
      <c r="O155" s="1"/>
      <c r="P155" s="1"/>
      <c r="Q155" s="1"/>
      <c r="R155" s="1"/>
      <c r="S155" s="1"/>
      <c r="T155" s="1"/>
      <c r="U155" s="1"/>
      <c r="V155" s="1"/>
      <c r="W155" s="1"/>
      <c r="X155" s="1"/>
      <c r="Y155" s="1"/>
      <c r="Z155" s="1"/>
      <c r="AA155" s="1"/>
      <c r="AB155" s="1"/>
      <c r="AC155" s="1"/>
    </row>
    <row r="156" spans="1:29" ht="15" thickBot="1">
      <c r="A156" s="1"/>
      <c r="B156" s="1"/>
      <c r="C156" s="1"/>
      <c r="D156" s="1"/>
      <c r="E156" s="1"/>
      <c r="F156" s="1"/>
      <c r="G156" s="134"/>
      <c r="H156" s="134"/>
      <c r="I156" s="134"/>
      <c r="J156" s="52"/>
      <c r="K156" s="1"/>
      <c r="L156" s="1"/>
      <c r="M156" s="1"/>
      <c r="N156" s="1"/>
      <c r="O156" s="1"/>
      <c r="P156" s="1"/>
      <c r="Q156" s="1"/>
      <c r="R156" s="1"/>
      <c r="S156" s="1"/>
      <c r="T156" s="1"/>
      <c r="U156" s="1"/>
      <c r="V156" s="1"/>
      <c r="W156" s="1"/>
      <c r="X156" s="1"/>
      <c r="Y156" s="1"/>
      <c r="Z156" s="1"/>
      <c r="AA156" s="1"/>
      <c r="AB156" s="1"/>
      <c r="AC156" s="1"/>
    </row>
    <row r="157" spans="1:29" ht="15" thickBot="1">
      <c r="A157" s="911" t="s">
        <v>378</v>
      </c>
      <c r="B157" s="912"/>
      <c r="C157" s="912" t="str">
        <f ca="1">IF(C151=C155,"Correct","Incorrect")</f>
        <v>Correct</v>
      </c>
      <c r="D157" s="912" t="str">
        <f t="shared" ref="D157:F157" ca="1" si="17">IF(D151=D155,"Correct","Incorrect")</f>
        <v>Correct</v>
      </c>
      <c r="E157" s="912" t="str">
        <f t="shared" ca="1" si="17"/>
        <v>Correct</v>
      </c>
      <c r="F157" s="915" t="str">
        <f t="shared" ca="1" si="17"/>
        <v>Correct</v>
      </c>
      <c r="G157" s="134"/>
      <c r="H157" s="134"/>
      <c r="I157" s="134"/>
      <c r="J157" s="52"/>
      <c r="K157" s="1"/>
      <c r="L157" s="1"/>
      <c r="M157" s="1"/>
      <c r="N157" s="1"/>
      <c r="O157" s="1"/>
      <c r="P157" s="1"/>
      <c r="Q157" s="1"/>
      <c r="R157" s="1"/>
      <c r="S157" s="1"/>
      <c r="T157" s="1"/>
      <c r="U157" s="1"/>
      <c r="V157" s="1"/>
      <c r="W157" s="1"/>
      <c r="X157" s="1"/>
      <c r="Y157" s="1"/>
      <c r="Z157" s="1"/>
      <c r="AA157" s="1"/>
      <c r="AB157" s="1"/>
      <c r="AC157" s="1"/>
    </row>
    <row r="158" spans="1:29">
      <c r="A158" s="1"/>
      <c r="B158" s="2"/>
      <c r="C158" s="2"/>
      <c r="D158" s="2"/>
      <c r="E158" s="134"/>
      <c r="F158" s="134"/>
      <c r="G158" s="134"/>
      <c r="H158" s="134"/>
      <c r="I158" s="134"/>
      <c r="J158" s="52"/>
      <c r="K158" s="1"/>
      <c r="L158" s="1"/>
      <c r="M158" s="1"/>
      <c r="N158" s="1"/>
      <c r="O158" s="1"/>
      <c r="P158" s="1"/>
      <c r="Q158" s="1"/>
      <c r="R158" s="1"/>
      <c r="S158" s="1"/>
      <c r="T158" s="1"/>
      <c r="U158" s="1"/>
      <c r="V158" s="1"/>
      <c r="W158" s="1"/>
      <c r="X158" s="1"/>
      <c r="Y158" s="1"/>
      <c r="Z158" s="1"/>
      <c r="AA158" s="1"/>
      <c r="AB158" s="1"/>
      <c r="AC158" s="1"/>
    </row>
    <row r="159" spans="1:29">
      <c r="A159" s="1"/>
      <c r="B159" s="2"/>
      <c r="C159" s="2"/>
      <c r="D159" s="2"/>
      <c r="E159" s="134"/>
      <c r="F159" s="134"/>
      <c r="G159" s="134"/>
      <c r="H159" s="134"/>
      <c r="I159" s="134"/>
      <c r="J159" s="52"/>
      <c r="K159" s="1"/>
      <c r="L159" s="1"/>
      <c r="M159" s="1"/>
      <c r="N159" s="1"/>
      <c r="O159" s="1"/>
      <c r="P159" s="1"/>
      <c r="Q159" s="1"/>
      <c r="R159" s="1"/>
      <c r="S159" s="1"/>
      <c r="T159" s="1"/>
      <c r="U159" s="1"/>
      <c r="V159" s="1"/>
      <c r="W159" s="1"/>
      <c r="X159" s="1"/>
      <c r="Y159" s="1"/>
      <c r="Z159" s="1"/>
      <c r="AA159" s="1"/>
      <c r="AB159" s="1"/>
      <c r="AC159" s="1"/>
    </row>
    <row r="160" spans="1:29">
      <c r="A160" s="1"/>
      <c r="B160" s="11"/>
      <c r="C160" s="2"/>
      <c r="D160" s="2"/>
      <c r="E160" s="134"/>
      <c r="F160" s="134"/>
      <c r="G160" s="134"/>
      <c r="H160" s="134"/>
      <c r="I160" s="52"/>
      <c r="J160" s="52"/>
      <c r="K160" s="1"/>
      <c r="L160" s="1"/>
      <c r="M160" s="1"/>
      <c r="N160" s="1"/>
      <c r="O160" s="1"/>
      <c r="P160" s="1"/>
      <c r="Q160" s="1"/>
      <c r="R160" s="1"/>
      <c r="S160" s="1"/>
      <c r="T160" s="1"/>
      <c r="U160" s="1"/>
      <c r="V160" s="1"/>
      <c r="W160" s="1"/>
      <c r="X160" s="1"/>
      <c r="Y160" s="1"/>
      <c r="Z160" s="1"/>
      <c r="AA160" s="1"/>
      <c r="AB160" s="1"/>
      <c r="AC160" s="1"/>
    </row>
    <row r="161" spans="1:29">
      <c r="A161" s="1"/>
      <c r="B161" s="2"/>
      <c r="C161" s="2"/>
      <c r="D161" s="2"/>
      <c r="E161" s="134"/>
      <c r="F161" s="134"/>
      <c r="G161" s="134"/>
      <c r="H161" s="134"/>
      <c r="I161" s="52"/>
      <c r="J161" s="52"/>
      <c r="K161" s="1"/>
      <c r="L161" s="1"/>
      <c r="M161" s="1"/>
      <c r="N161" s="1"/>
      <c r="O161" s="1"/>
      <c r="P161" s="1"/>
      <c r="Q161" s="1"/>
      <c r="R161" s="1"/>
      <c r="S161" s="1"/>
      <c r="T161" s="1"/>
      <c r="U161" s="1"/>
      <c r="V161" s="1"/>
      <c r="W161" s="1"/>
      <c r="X161" s="1"/>
      <c r="Y161" s="1"/>
      <c r="Z161" s="1"/>
      <c r="AA161" s="1"/>
      <c r="AB161" s="1"/>
      <c r="AC161" s="1"/>
    </row>
    <row r="162" spans="1:29">
      <c r="A162" s="1"/>
      <c r="B162" s="11"/>
      <c r="C162" s="2"/>
      <c r="D162" s="2"/>
      <c r="E162" s="134"/>
      <c r="F162" s="134"/>
      <c r="G162" s="134"/>
      <c r="H162" s="134"/>
      <c r="I162" s="52"/>
      <c r="J162" s="52"/>
      <c r="K162" s="1"/>
      <c r="L162" s="1"/>
      <c r="M162" s="1"/>
      <c r="N162" s="1"/>
      <c r="O162" s="1"/>
      <c r="P162" s="1"/>
      <c r="Q162" s="1"/>
      <c r="R162" s="1"/>
      <c r="S162" s="1"/>
      <c r="T162" s="1"/>
      <c r="U162" s="1"/>
      <c r="V162" s="1"/>
      <c r="W162" s="1"/>
      <c r="X162" s="1"/>
      <c r="Y162" s="1"/>
      <c r="Z162" s="1"/>
      <c r="AA162" s="1"/>
      <c r="AB162" s="1"/>
      <c r="AC162" s="1"/>
    </row>
    <row r="163" spans="1:29">
      <c r="A163" s="1"/>
      <c r="B163" s="11"/>
      <c r="C163" s="106"/>
      <c r="D163" s="106"/>
      <c r="E163" s="134"/>
      <c r="F163" s="134"/>
      <c r="G163" s="134"/>
      <c r="H163" s="52"/>
      <c r="I163" s="52"/>
      <c r="J163" s="52"/>
      <c r="K163" s="1"/>
      <c r="L163" s="1"/>
      <c r="M163" s="1"/>
      <c r="N163" s="1"/>
      <c r="O163" s="1"/>
      <c r="P163" s="1"/>
      <c r="Q163" s="1"/>
      <c r="R163" s="1"/>
      <c r="S163" s="1"/>
      <c r="T163" s="1"/>
      <c r="U163" s="1"/>
      <c r="V163" s="1"/>
      <c r="W163" s="1"/>
      <c r="X163" s="1"/>
      <c r="Y163" s="1"/>
      <c r="Z163" s="1"/>
      <c r="AA163" s="1"/>
      <c r="AB163" s="1"/>
      <c r="AC163" s="1"/>
    </row>
    <row r="164" spans="1:29">
      <c r="A164" s="1"/>
      <c r="B164" s="52"/>
      <c r="C164" s="52"/>
      <c r="D164" s="52"/>
      <c r="E164" s="52"/>
      <c r="F164" s="52"/>
      <c r="G164" s="52"/>
      <c r="H164" s="52"/>
      <c r="I164" s="52"/>
      <c r="J164" s="52"/>
      <c r="K164" s="1"/>
      <c r="L164" s="1"/>
      <c r="M164" s="1"/>
      <c r="N164" s="1"/>
      <c r="O164" s="1"/>
      <c r="P164" s="1"/>
      <c r="Q164" s="1"/>
      <c r="R164" s="1"/>
      <c r="S164" s="1"/>
      <c r="T164" s="1"/>
      <c r="U164" s="1"/>
      <c r="V164" s="1"/>
      <c r="W164" s="1"/>
      <c r="X164" s="1"/>
      <c r="Y164" s="1"/>
      <c r="Z164" s="1"/>
      <c r="AA164" s="1"/>
      <c r="AB164" s="1"/>
      <c r="AC164" s="1"/>
    </row>
    <row r="165" spans="1:29">
      <c r="A165" s="1"/>
      <c r="B165" s="52"/>
      <c r="C165" s="52"/>
      <c r="D165" s="52"/>
      <c r="E165" s="52"/>
      <c r="F165" s="52"/>
      <c r="G165" s="52"/>
      <c r="H165" s="52"/>
      <c r="I165" s="52"/>
      <c r="J165" s="52"/>
      <c r="K165" s="1"/>
      <c r="L165" s="1"/>
      <c r="M165" s="1"/>
      <c r="N165" s="1"/>
      <c r="O165" s="1"/>
      <c r="P165" s="1"/>
      <c r="Q165" s="1"/>
      <c r="R165" s="1"/>
      <c r="S165" s="1"/>
      <c r="T165" s="1"/>
      <c r="U165" s="1"/>
      <c r="V165" s="1"/>
      <c r="W165" s="1"/>
      <c r="X165" s="1"/>
      <c r="Y165" s="1"/>
      <c r="Z165" s="1"/>
      <c r="AA165" s="1"/>
      <c r="AB165" s="1"/>
      <c r="AC165" s="1"/>
    </row>
    <row r="166" spans="1:29">
      <c r="A166" s="1"/>
      <c r="B166" s="52"/>
      <c r="C166" s="52"/>
      <c r="D166" s="52"/>
      <c r="E166" s="52"/>
      <c r="F166" s="52"/>
      <c r="G166" s="52"/>
      <c r="H166" s="52"/>
      <c r="I166" s="52"/>
      <c r="J166" s="52"/>
      <c r="K166" s="1"/>
      <c r="L166" s="1"/>
      <c r="M166" s="1"/>
      <c r="N166" s="1"/>
      <c r="O166" s="1"/>
      <c r="P166" s="1"/>
      <c r="Q166" s="1"/>
      <c r="R166" s="1"/>
      <c r="S166" s="1"/>
      <c r="T166" s="1"/>
      <c r="U166" s="1"/>
      <c r="V166" s="1"/>
      <c r="W166" s="1"/>
      <c r="X166" s="1"/>
      <c r="Y166" s="1"/>
      <c r="Z166" s="1"/>
      <c r="AA166" s="1"/>
      <c r="AB166" s="1"/>
      <c r="AC166" s="1"/>
    </row>
    <row r="167" spans="1:29">
      <c r="A167" s="1"/>
      <c r="B167" s="52"/>
      <c r="C167" s="52"/>
      <c r="D167" s="52"/>
      <c r="E167" s="52"/>
      <c r="F167" s="52"/>
      <c r="G167" s="52"/>
      <c r="H167" s="52"/>
      <c r="I167" s="52"/>
      <c r="J167" s="52"/>
      <c r="K167" s="1"/>
      <c r="L167" s="1"/>
      <c r="M167" s="1"/>
      <c r="N167" s="1"/>
      <c r="O167" s="1"/>
      <c r="P167" s="1"/>
      <c r="Q167" s="1"/>
      <c r="R167" s="1"/>
      <c r="S167" s="1"/>
      <c r="T167" s="1"/>
      <c r="U167" s="1"/>
      <c r="V167" s="1"/>
      <c r="W167" s="1"/>
      <c r="X167" s="1"/>
      <c r="Y167" s="1"/>
      <c r="Z167" s="1"/>
      <c r="AA167" s="1"/>
      <c r="AB167" s="1"/>
      <c r="AC167" s="1"/>
    </row>
    <row r="168" spans="1:29">
      <c r="A168" s="1"/>
      <c r="B168" s="52"/>
      <c r="C168" s="52"/>
      <c r="D168" s="52"/>
      <c r="E168" s="52"/>
      <c r="F168" s="52"/>
      <c r="G168" s="52"/>
      <c r="H168" s="52"/>
      <c r="I168" s="52"/>
      <c r="J168" s="52"/>
      <c r="K168" s="1"/>
      <c r="L168" s="1"/>
      <c r="M168" s="1"/>
      <c r="N168" s="1"/>
      <c r="O168" s="1"/>
      <c r="P168" s="1"/>
      <c r="Q168" s="1"/>
      <c r="R168" s="1"/>
      <c r="S168" s="1"/>
      <c r="T168" s="1"/>
      <c r="U168" s="1"/>
      <c r="V168" s="1"/>
      <c r="W168" s="1"/>
      <c r="X168" s="1"/>
      <c r="Y168" s="1"/>
      <c r="Z168" s="1"/>
      <c r="AA168" s="1"/>
      <c r="AB168" s="1"/>
      <c r="AC168" s="1"/>
    </row>
    <row r="169" spans="1:29">
      <c r="A169" s="1"/>
      <c r="B169" s="52"/>
      <c r="C169" s="52"/>
      <c r="D169" s="52"/>
      <c r="E169" s="52"/>
      <c r="F169" s="52"/>
      <c r="G169" s="52"/>
      <c r="H169" s="52"/>
      <c r="I169" s="52"/>
      <c r="J169" s="52"/>
      <c r="K169" s="1"/>
      <c r="L169" s="1"/>
      <c r="M169" s="1"/>
      <c r="N169" s="1"/>
      <c r="O169" s="1"/>
      <c r="P169" s="1"/>
      <c r="Q169" s="1"/>
      <c r="R169" s="1"/>
      <c r="S169" s="1"/>
      <c r="T169" s="1"/>
      <c r="U169" s="1"/>
      <c r="V169" s="1"/>
      <c r="W169" s="1"/>
      <c r="X169" s="1"/>
      <c r="Y169" s="1"/>
      <c r="Z169" s="1"/>
      <c r="AA169" s="1"/>
      <c r="AB169" s="1"/>
      <c r="AC169" s="1"/>
    </row>
    <row r="170" spans="1:29">
      <c r="A170" s="1"/>
      <c r="B170" s="52"/>
      <c r="C170" s="52"/>
      <c r="D170" s="52"/>
      <c r="E170" s="52"/>
      <c r="F170" s="52"/>
      <c r="G170" s="52"/>
      <c r="H170" s="52"/>
      <c r="I170" s="52"/>
      <c r="J170" s="52"/>
      <c r="K170" s="1"/>
      <c r="L170" s="1"/>
      <c r="M170" s="1"/>
      <c r="N170" s="1"/>
      <c r="O170" s="1"/>
      <c r="P170" s="1"/>
      <c r="Q170" s="1"/>
      <c r="R170" s="1"/>
      <c r="S170" s="1"/>
      <c r="T170" s="1"/>
      <c r="U170" s="1"/>
      <c r="V170" s="1"/>
      <c r="W170" s="1"/>
      <c r="X170" s="1"/>
      <c r="Y170" s="1"/>
      <c r="Z170" s="1"/>
      <c r="AA170" s="1"/>
      <c r="AB170" s="1"/>
      <c r="AC170" s="1"/>
    </row>
    <row r="171" spans="1:29">
      <c r="A171" s="1"/>
      <c r="B171" s="52"/>
      <c r="C171" s="52"/>
      <c r="D171" s="52"/>
      <c r="E171" s="52"/>
      <c r="F171" s="52"/>
      <c r="G171" s="52"/>
      <c r="H171" s="52"/>
      <c r="I171" s="52"/>
      <c r="J171" s="52"/>
      <c r="K171" s="1"/>
      <c r="L171" s="1"/>
      <c r="M171" s="1"/>
      <c r="N171" s="1"/>
      <c r="O171" s="1"/>
      <c r="P171" s="1"/>
      <c r="Q171" s="1"/>
      <c r="R171" s="1"/>
      <c r="S171" s="1"/>
      <c r="T171" s="1"/>
      <c r="U171" s="1"/>
      <c r="V171" s="1"/>
      <c r="W171" s="1"/>
      <c r="X171" s="1"/>
      <c r="Y171" s="1"/>
      <c r="Z171" s="1"/>
      <c r="AA171" s="1"/>
      <c r="AB171" s="1"/>
      <c r="AC171" s="1"/>
    </row>
    <row r="172" spans="1:29">
      <c r="A172" s="1"/>
      <c r="B172" s="52"/>
      <c r="C172" s="52"/>
      <c r="D172" s="52"/>
      <c r="E172" s="52"/>
      <c r="F172" s="52"/>
      <c r="G172" s="52"/>
      <c r="H172" s="52"/>
      <c r="I172" s="52"/>
      <c r="J172" s="52"/>
      <c r="K172" s="1"/>
      <c r="L172" s="1"/>
      <c r="M172" s="1"/>
      <c r="N172" s="1"/>
      <c r="O172" s="1"/>
      <c r="P172" s="1"/>
      <c r="Q172" s="1"/>
      <c r="R172" s="1"/>
      <c r="S172" s="1"/>
      <c r="T172" s="1"/>
      <c r="U172" s="1"/>
      <c r="V172" s="1"/>
      <c r="W172" s="1"/>
      <c r="X172" s="1"/>
      <c r="Y172" s="1"/>
      <c r="Z172" s="1"/>
      <c r="AA172" s="1"/>
      <c r="AB172" s="1"/>
      <c r="AC172" s="1"/>
    </row>
    <row r="173" spans="1:29">
      <c r="A173" s="1"/>
      <c r="B173" s="52"/>
      <c r="C173" s="52"/>
      <c r="D173" s="52"/>
      <c r="E173" s="52"/>
      <c r="F173" s="52"/>
      <c r="G173" s="52"/>
      <c r="H173" s="52"/>
      <c r="I173" s="52"/>
      <c r="J173" s="52"/>
      <c r="K173" s="1"/>
      <c r="L173" s="1"/>
      <c r="M173" s="1"/>
      <c r="N173" s="1"/>
      <c r="O173" s="1"/>
      <c r="P173" s="1"/>
      <c r="Q173" s="1"/>
      <c r="R173" s="1"/>
      <c r="S173" s="1"/>
      <c r="T173" s="1"/>
      <c r="U173" s="1"/>
      <c r="V173" s="1"/>
      <c r="W173" s="1"/>
      <c r="X173" s="1"/>
      <c r="Y173" s="1"/>
      <c r="Z173" s="1"/>
      <c r="AA173" s="1"/>
      <c r="AB173" s="1"/>
      <c r="AC173" s="1"/>
    </row>
    <row r="174" spans="1:29">
      <c r="A174" s="1"/>
      <c r="B174" s="52"/>
      <c r="C174" s="52"/>
      <c r="D174" s="52"/>
      <c r="E174" s="52"/>
      <c r="F174" s="52"/>
      <c r="G174" s="52"/>
      <c r="H174" s="52"/>
      <c r="I174" s="52"/>
      <c r="J174" s="52"/>
      <c r="K174" s="1"/>
      <c r="L174" s="1"/>
      <c r="M174" s="1"/>
      <c r="N174" s="1"/>
      <c r="O174" s="1"/>
      <c r="P174" s="1"/>
      <c r="Q174" s="1"/>
      <c r="R174" s="1"/>
      <c r="S174" s="1"/>
      <c r="T174" s="1"/>
      <c r="U174" s="1"/>
      <c r="V174" s="1"/>
      <c r="W174" s="1"/>
      <c r="X174" s="1"/>
      <c r="Y174" s="1"/>
      <c r="Z174" s="1"/>
      <c r="AA174" s="1"/>
      <c r="AB174" s="1"/>
      <c r="AC174" s="1"/>
    </row>
    <row r="175" spans="1:29">
      <c r="A175" s="1"/>
      <c r="B175" s="52"/>
      <c r="C175" s="52"/>
      <c r="D175" s="52"/>
      <c r="E175" s="52"/>
      <c r="F175" s="52"/>
      <c r="G175" s="52"/>
      <c r="H175" s="52"/>
      <c r="I175" s="52"/>
      <c r="J175" s="52"/>
      <c r="K175" s="1"/>
      <c r="L175" s="1"/>
      <c r="M175" s="1"/>
      <c r="N175" s="1"/>
      <c r="O175" s="1"/>
      <c r="P175" s="1"/>
      <c r="Q175" s="1"/>
      <c r="R175" s="1"/>
      <c r="S175" s="1"/>
      <c r="T175" s="1"/>
      <c r="U175" s="1"/>
      <c r="V175" s="1"/>
      <c r="W175" s="1"/>
      <c r="X175" s="1"/>
      <c r="Y175" s="1"/>
      <c r="Z175" s="1"/>
      <c r="AA175" s="1"/>
      <c r="AB175" s="1"/>
      <c r="AC175" s="1"/>
    </row>
    <row r="176" spans="1:29">
      <c r="A176" s="1"/>
      <c r="B176" s="52"/>
      <c r="C176" s="52"/>
      <c r="D176" s="52"/>
      <c r="E176" s="52"/>
      <c r="F176" s="52"/>
      <c r="G176" s="52"/>
      <c r="H176" s="52"/>
      <c r="I176" s="52"/>
      <c r="J176" s="52"/>
      <c r="K176" s="1"/>
      <c r="L176" s="1"/>
      <c r="M176" s="1"/>
      <c r="N176" s="1"/>
      <c r="O176" s="1"/>
      <c r="P176" s="1"/>
      <c r="Q176" s="1"/>
      <c r="R176" s="1"/>
      <c r="S176" s="1"/>
      <c r="T176" s="1"/>
      <c r="U176" s="1"/>
      <c r="V176" s="1"/>
      <c r="W176" s="1"/>
      <c r="X176" s="1"/>
      <c r="Y176" s="1"/>
      <c r="Z176" s="1"/>
      <c r="AA176" s="1"/>
      <c r="AB176" s="1"/>
      <c r="AC176" s="1"/>
    </row>
    <row r="177" spans="1:29">
      <c r="A177" s="1"/>
      <c r="B177" s="52"/>
      <c r="C177" s="52"/>
      <c r="D177" s="52"/>
      <c r="E177" s="52"/>
      <c r="F177" s="52"/>
      <c r="G177" s="52"/>
      <c r="H177" s="52"/>
      <c r="I177" s="52"/>
      <c r="J177" s="52"/>
      <c r="K177" s="1"/>
      <c r="L177" s="1"/>
      <c r="M177" s="1"/>
      <c r="N177" s="1"/>
      <c r="O177" s="1"/>
      <c r="P177" s="1"/>
      <c r="Q177" s="1"/>
      <c r="R177" s="1"/>
      <c r="S177" s="1"/>
      <c r="T177" s="1"/>
      <c r="U177" s="1"/>
      <c r="V177" s="1"/>
      <c r="W177" s="1"/>
      <c r="X177" s="1"/>
      <c r="Y177" s="1"/>
      <c r="Z177" s="1"/>
      <c r="AA177" s="1"/>
      <c r="AB177" s="1"/>
      <c r="AC177" s="1"/>
    </row>
    <row r="178" spans="1:29">
      <c r="A178" s="1"/>
      <c r="B178" s="52"/>
      <c r="C178" s="52"/>
      <c r="D178" s="52"/>
      <c r="E178" s="52"/>
      <c r="F178" s="52"/>
      <c r="G178" s="52"/>
      <c r="H178" s="52"/>
      <c r="I178" s="52"/>
      <c r="J178" s="52"/>
      <c r="K178" s="1"/>
      <c r="L178" s="1"/>
      <c r="M178" s="1"/>
      <c r="N178" s="1"/>
      <c r="O178" s="1"/>
      <c r="P178" s="1"/>
      <c r="Q178" s="1"/>
      <c r="R178" s="1"/>
      <c r="S178" s="1"/>
      <c r="T178" s="1"/>
      <c r="U178" s="1"/>
      <c r="V178" s="1"/>
      <c r="W178" s="1"/>
      <c r="X178" s="1"/>
      <c r="Y178" s="1"/>
      <c r="Z178" s="1"/>
      <c r="AA178" s="1"/>
      <c r="AB178" s="1"/>
      <c r="AC178" s="1"/>
    </row>
    <row r="179" spans="1:29">
      <c r="A179" s="1"/>
      <c r="B179" s="52"/>
      <c r="C179" s="52"/>
      <c r="D179" s="52"/>
      <c r="E179" s="52"/>
      <c r="F179" s="52"/>
      <c r="G179" s="52"/>
      <c r="H179" s="52"/>
      <c r="I179" s="52"/>
      <c r="J179" s="1"/>
      <c r="K179" s="1"/>
      <c r="L179" s="1"/>
      <c r="M179" s="1"/>
      <c r="N179" s="1"/>
      <c r="O179" s="1"/>
      <c r="P179" s="1"/>
      <c r="Q179" s="1"/>
      <c r="R179" s="1"/>
      <c r="S179" s="1"/>
      <c r="T179" s="1"/>
      <c r="U179" s="1"/>
      <c r="V179" s="1"/>
      <c r="W179" s="1"/>
      <c r="X179" s="1"/>
      <c r="Y179" s="1"/>
      <c r="Z179" s="1"/>
      <c r="AA179" s="1"/>
      <c r="AB179" s="1"/>
      <c r="AC179" s="1"/>
    </row>
    <row r="180" spans="1:29">
      <c r="A180" s="1"/>
      <c r="B180" s="52"/>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row>
    <row r="181" spans="1:29">
      <c r="A181" s="1"/>
      <c r="B181" s="52"/>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row>
    <row r="182" spans="1:29">
      <c r="A182" s="1"/>
      <c r="B182" s="52"/>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row>
    <row r="183" spans="1:29">
      <c r="A183" s="1"/>
      <c r="B183" s="52"/>
      <c r="C183" s="52"/>
      <c r="D183" s="52"/>
      <c r="E183" s="52"/>
      <c r="F183" s="52"/>
      <c r="G183" s="52"/>
      <c r="H183" s="1"/>
      <c r="I183" s="52"/>
      <c r="J183" s="1"/>
      <c r="K183" s="1"/>
      <c r="L183" s="1"/>
      <c r="M183" s="1"/>
      <c r="N183" s="1"/>
      <c r="O183" s="1"/>
      <c r="P183" s="1"/>
      <c r="Q183" s="1"/>
      <c r="R183" s="1"/>
      <c r="S183" s="1"/>
      <c r="T183" s="1"/>
      <c r="U183" s="1"/>
      <c r="V183" s="1"/>
      <c r="W183" s="1"/>
      <c r="X183" s="1"/>
      <c r="Y183" s="1"/>
      <c r="Z183" s="1"/>
      <c r="AA183" s="1"/>
      <c r="AB183" s="1"/>
      <c r="AC183" s="1"/>
    </row>
    <row r="184" spans="1:29">
      <c r="A184" s="1"/>
      <c r="B184" s="1"/>
      <c r="C184" s="1"/>
      <c r="D184" s="1"/>
      <c r="E184" s="1"/>
      <c r="F184" s="1"/>
      <c r="G184" s="1"/>
      <c r="H184" s="1"/>
      <c r="I184" s="52"/>
      <c r="J184" s="1"/>
      <c r="K184" s="1"/>
      <c r="L184" s="1"/>
      <c r="M184" s="1"/>
      <c r="N184" s="1"/>
      <c r="O184" s="1"/>
      <c r="P184" s="1"/>
      <c r="Q184" s="1"/>
      <c r="R184" s="1"/>
      <c r="S184" s="1"/>
      <c r="T184" s="1"/>
      <c r="U184" s="1"/>
      <c r="V184" s="1"/>
      <c r="W184" s="1"/>
      <c r="X184" s="1"/>
      <c r="Y184" s="1"/>
      <c r="Z184" s="1"/>
      <c r="AA184" s="1"/>
      <c r="AB184" s="1"/>
      <c r="AC184" s="1"/>
    </row>
    <row r="185" spans="1:29">
      <c r="A185" s="1"/>
      <c r="B185" s="1"/>
      <c r="C185" s="1"/>
      <c r="D185" s="1"/>
      <c r="E185" s="1"/>
      <c r="F185" s="1"/>
      <c r="G185" s="1"/>
      <c r="H185" s="1"/>
      <c r="I185" s="52"/>
      <c r="J185" s="1"/>
      <c r="K185" s="1"/>
      <c r="L185" s="1"/>
      <c r="M185" s="1"/>
      <c r="N185" s="1"/>
      <c r="O185" s="1"/>
      <c r="P185" s="1"/>
      <c r="Q185" s="1"/>
      <c r="R185" s="1"/>
      <c r="S185" s="1"/>
      <c r="T185" s="1"/>
      <c r="U185" s="1"/>
      <c r="V185" s="1"/>
      <c r="W185" s="1"/>
      <c r="X185" s="1"/>
      <c r="Y185" s="1"/>
      <c r="Z185" s="1"/>
      <c r="AA185" s="1"/>
      <c r="AB185" s="1"/>
      <c r="AC185" s="1"/>
    </row>
    <row r="186" spans="1:29">
      <c r="A186" s="1"/>
      <c r="B186" s="1"/>
      <c r="C186" s="1"/>
      <c r="D186" s="1"/>
      <c r="E186" s="1"/>
      <c r="F186" s="1"/>
      <c r="G186" s="1"/>
      <c r="H186" s="1"/>
      <c r="I186" s="52"/>
      <c r="J186" s="1"/>
      <c r="K186" s="1"/>
      <c r="L186" s="1"/>
      <c r="M186" s="1"/>
      <c r="N186" s="1"/>
      <c r="O186" s="1"/>
      <c r="P186" s="1"/>
      <c r="Q186" s="1"/>
      <c r="R186" s="1"/>
      <c r="S186" s="1"/>
      <c r="T186" s="1"/>
      <c r="U186" s="1"/>
      <c r="V186" s="1"/>
      <c r="W186" s="1"/>
      <c r="X186" s="1"/>
      <c r="Y186" s="1"/>
      <c r="Z186" s="1"/>
      <c r="AA186" s="1"/>
      <c r="AB186" s="1"/>
      <c r="AC186" s="1"/>
    </row>
    <row r="187" spans="1:29">
      <c r="A187" s="1"/>
      <c r="B187" s="1"/>
      <c r="C187" s="1"/>
      <c r="D187" s="1"/>
      <c r="E187" s="1"/>
      <c r="F187" s="1"/>
      <c r="G187" s="1"/>
      <c r="H187" s="1"/>
      <c r="I187" s="52"/>
      <c r="J187" s="1"/>
      <c r="K187" s="1"/>
      <c r="L187" s="1"/>
      <c r="M187" s="1"/>
      <c r="N187" s="1"/>
      <c r="O187" s="1"/>
      <c r="P187" s="1"/>
      <c r="Q187" s="1"/>
      <c r="R187" s="1"/>
      <c r="S187" s="1"/>
      <c r="T187" s="1"/>
      <c r="U187" s="1"/>
      <c r="V187" s="1"/>
      <c r="W187" s="1"/>
      <c r="X187" s="1"/>
      <c r="Y187" s="1"/>
      <c r="Z187" s="1"/>
      <c r="AA187" s="1"/>
      <c r="AB187" s="1"/>
      <c r="AC187" s="1"/>
    </row>
    <row r="188" spans="1:29">
      <c r="A188" s="1"/>
      <c r="B188" s="1"/>
      <c r="C188" s="1"/>
      <c r="D188" s="1"/>
      <c r="E188" s="1"/>
      <c r="F188" s="1"/>
      <c r="G188" s="1"/>
      <c r="H188" s="1"/>
      <c r="I188" s="52"/>
      <c r="J188" s="1"/>
      <c r="K188" s="1"/>
      <c r="L188" s="1"/>
      <c r="M188" s="1"/>
      <c r="N188" s="1"/>
      <c r="O188" s="1"/>
      <c r="P188" s="1"/>
      <c r="Q188" s="1"/>
      <c r="R188" s="1"/>
      <c r="S188" s="1"/>
      <c r="T188" s="1"/>
      <c r="U188" s="1"/>
      <c r="V188" s="1"/>
      <c r="W188" s="1"/>
      <c r="X188" s="1"/>
      <c r="Y188" s="1"/>
      <c r="Z188" s="1"/>
      <c r="AA188" s="1"/>
      <c r="AB188" s="1"/>
      <c r="AC188" s="1"/>
    </row>
    <row r="189" spans="1:29">
      <c r="A189" s="1"/>
      <c r="B189" s="1"/>
      <c r="C189" s="1"/>
      <c r="D189" s="1"/>
      <c r="E189" s="1"/>
      <c r="F189" s="1"/>
      <c r="G189" s="1"/>
      <c r="H189" s="1"/>
      <c r="I189" s="52"/>
      <c r="J189" s="1"/>
      <c r="K189" s="1"/>
      <c r="L189" s="1"/>
      <c r="M189" s="1"/>
      <c r="N189" s="1"/>
      <c r="O189" s="1"/>
      <c r="P189" s="1"/>
      <c r="Q189" s="1"/>
      <c r="R189" s="1"/>
      <c r="S189" s="1"/>
      <c r="T189" s="1"/>
      <c r="U189" s="1"/>
      <c r="V189" s="1"/>
      <c r="W189" s="1"/>
      <c r="X189" s="1"/>
      <c r="Y189" s="1"/>
      <c r="Z189" s="1"/>
      <c r="AA189" s="1"/>
      <c r="AB189" s="1"/>
      <c r="AC189" s="1"/>
    </row>
    <row r="190" spans="1:29">
      <c r="A190" s="1"/>
      <c r="B190" s="1"/>
      <c r="C190" s="1"/>
      <c r="D190" s="1"/>
      <c r="E190" s="1"/>
      <c r="F190" s="1"/>
      <c r="G190" s="1"/>
      <c r="H190" s="1"/>
      <c r="I190" s="52"/>
      <c r="J190" s="1"/>
      <c r="K190" s="1"/>
      <c r="L190" s="1"/>
      <c r="M190" s="1"/>
      <c r="N190" s="1"/>
      <c r="O190" s="1"/>
      <c r="P190" s="1"/>
      <c r="Q190" s="1"/>
      <c r="R190" s="1"/>
      <c r="S190" s="1"/>
      <c r="T190" s="1"/>
      <c r="U190" s="1"/>
      <c r="V190" s="1"/>
      <c r="W190" s="1"/>
      <c r="X190" s="1"/>
      <c r="Y190" s="1"/>
      <c r="Z190" s="1"/>
      <c r="AA190" s="1"/>
      <c r="AB190" s="1"/>
      <c r="AC190" s="1"/>
    </row>
    <row r="191" spans="1:29">
      <c r="A191" s="1"/>
      <c r="B191" s="1"/>
      <c r="C191" s="1"/>
      <c r="D191" s="1"/>
      <c r="E191" s="1"/>
      <c r="F191" s="1"/>
      <c r="G191" s="1"/>
      <c r="H191" s="125"/>
      <c r="I191" s="52"/>
      <c r="J191" s="1"/>
      <c r="K191" s="1"/>
      <c r="L191" s="1"/>
      <c r="M191" s="1"/>
      <c r="N191" s="1"/>
      <c r="O191" s="1"/>
      <c r="P191" s="1"/>
      <c r="Q191" s="1"/>
      <c r="R191" s="1"/>
      <c r="S191" s="1"/>
      <c r="T191" s="1"/>
      <c r="U191" s="1"/>
      <c r="V191" s="1"/>
      <c r="W191" s="1"/>
      <c r="X191" s="1"/>
      <c r="Y191" s="1"/>
      <c r="Z191" s="1"/>
      <c r="AA191" s="1"/>
      <c r="AB191" s="1"/>
      <c r="AC191" s="1"/>
    </row>
    <row r="192" spans="1:29">
      <c r="A192" s="1"/>
      <c r="B192" s="2"/>
      <c r="C192" s="125"/>
      <c r="D192" s="125"/>
      <c r="E192" s="125"/>
      <c r="F192" s="125"/>
      <c r="G192" s="125"/>
      <c r="H192" s="125"/>
      <c r="I192" s="52"/>
      <c r="J192" s="1"/>
      <c r="K192" s="1"/>
      <c r="L192" s="1"/>
      <c r="M192" s="1"/>
      <c r="N192" s="1"/>
      <c r="O192" s="1"/>
      <c r="P192" s="1"/>
      <c r="Q192" s="1"/>
      <c r="R192" s="1"/>
      <c r="S192" s="1"/>
      <c r="T192" s="1"/>
      <c r="U192" s="1"/>
      <c r="V192" s="1"/>
      <c r="W192" s="1"/>
      <c r="X192" s="1"/>
      <c r="Y192" s="1"/>
      <c r="Z192" s="1"/>
      <c r="AA192" s="1"/>
      <c r="AB192" s="1"/>
      <c r="AC192" s="1"/>
    </row>
    <row r="193" spans="1:29">
      <c r="A193" s="1"/>
      <c r="B193" s="2"/>
      <c r="C193" s="125"/>
      <c r="D193" s="125"/>
      <c r="E193" s="125"/>
      <c r="F193" s="125"/>
      <c r="G193" s="125"/>
      <c r="H193" s="125"/>
      <c r="I193" s="52"/>
      <c r="J193" s="1"/>
      <c r="K193" s="1"/>
      <c r="L193" s="1"/>
      <c r="M193" s="1"/>
      <c r="N193" s="1"/>
      <c r="O193" s="1"/>
      <c r="P193" s="1"/>
      <c r="Q193" s="1"/>
      <c r="R193" s="1"/>
      <c r="S193" s="1"/>
      <c r="T193" s="1"/>
      <c r="U193" s="1"/>
      <c r="V193" s="1"/>
      <c r="W193" s="1"/>
      <c r="X193" s="1"/>
      <c r="Y193" s="1"/>
      <c r="Z193" s="1"/>
      <c r="AA193" s="1"/>
      <c r="AB193" s="1"/>
      <c r="AC193" s="1"/>
    </row>
    <row r="194" spans="1:29">
      <c r="A194" s="1"/>
      <c r="B194" s="2"/>
      <c r="C194" s="125"/>
      <c r="D194" s="125"/>
      <c r="E194" s="125"/>
      <c r="F194" s="125"/>
      <c r="G194" s="125"/>
      <c r="H194" s="125"/>
      <c r="I194" s="52"/>
      <c r="J194" s="1"/>
      <c r="K194" s="1"/>
      <c r="L194" s="1"/>
      <c r="M194" s="1"/>
      <c r="N194" s="1"/>
      <c r="O194" s="1"/>
      <c r="P194" s="1"/>
      <c r="Q194" s="1"/>
      <c r="R194" s="1"/>
      <c r="S194" s="1"/>
      <c r="T194" s="1"/>
      <c r="U194" s="1"/>
      <c r="V194" s="1"/>
      <c r="W194" s="1"/>
      <c r="X194" s="1"/>
      <c r="Y194" s="1"/>
      <c r="Z194" s="1"/>
      <c r="AA194" s="1"/>
      <c r="AB194" s="1"/>
      <c r="AC194" s="1"/>
    </row>
    <row r="195" spans="1:29">
      <c r="A195" s="1"/>
      <c r="B195" s="2"/>
      <c r="C195" s="125"/>
      <c r="D195" s="125"/>
      <c r="E195" s="125"/>
      <c r="F195" s="125"/>
      <c r="G195" s="125"/>
      <c r="H195" s="125"/>
      <c r="I195" s="52"/>
      <c r="J195" s="1"/>
      <c r="K195" s="1"/>
      <c r="L195" s="1"/>
      <c r="M195" s="1"/>
      <c r="N195" s="1"/>
      <c r="O195" s="1"/>
      <c r="P195" s="1"/>
      <c r="Q195" s="1"/>
      <c r="R195" s="1"/>
      <c r="S195" s="1"/>
      <c r="T195" s="1"/>
      <c r="U195" s="1"/>
      <c r="V195" s="1"/>
      <c r="W195" s="1"/>
      <c r="X195" s="1"/>
      <c r="Y195" s="1"/>
      <c r="Z195" s="1"/>
      <c r="AA195" s="1"/>
      <c r="AB195" s="1"/>
      <c r="AC195" s="1"/>
    </row>
    <row r="196" spans="1:29">
      <c r="A196" s="1"/>
      <c r="B196" s="125"/>
      <c r="C196" s="125"/>
      <c r="D196" s="125"/>
      <c r="E196" s="125"/>
      <c r="F196" s="125"/>
      <c r="G196" s="125"/>
      <c r="H196" s="125"/>
      <c r="I196" s="52"/>
      <c r="J196" s="1"/>
      <c r="K196" s="1"/>
      <c r="L196" s="1"/>
      <c r="M196" s="1"/>
      <c r="N196" s="1"/>
      <c r="O196" s="1"/>
      <c r="P196" s="1"/>
      <c r="Q196" s="1"/>
      <c r="R196" s="1"/>
      <c r="S196" s="1"/>
      <c r="T196" s="1"/>
      <c r="U196" s="1"/>
      <c r="V196" s="1"/>
      <c r="W196" s="1"/>
      <c r="X196" s="1"/>
      <c r="Y196" s="1"/>
      <c r="Z196" s="1"/>
      <c r="AA196" s="1"/>
      <c r="AB196" s="1"/>
      <c r="AC196" s="1"/>
    </row>
    <row r="197" spans="1:29">
      <c r="A197" s="1"/>
      <c r="B197" s="106"/>
      <c r="C197" s="127"/>
      <c r="D197" s="125"/>
      <c r="E197" s="125"/>
      <c r="F197" s="125"/>
      <c r="G197" s="125"/>
      <c r="H197" s="125"/>
      <c r="I197" s="52"/>
      <c r="J197" s="1"/>
      <c r="K197" s="1"/>
      <c r="L197" s="1"/>
      <c r="M197" s="1"/>
      <c r="N197" s="1"/>
      <c r="O197" s="1"/>
      <c r="P197" s="1"/>
      <c r="Q197" s="1"/>
      <c r="R197" s="1"/>
      <c r="S197" s="1"/>
      <c r="T197" s="1"/>
      <c r="U197" s="1"/>
      <c r="V197" s="1"/>
      <c r="W197" s="1"/>
      <c r="X197" s="1"/>
      <c r="Y197" s="1"/>
      <c r="Z197" s="1"/>
      <c r="AA197" s="1"/>
      <c r="AB197" s="1"/>
      <c r="AC197" s="1"/>
    </row>
    <row r="198" spans="1:29">
      <c r="A198" s="1"/>
      <c r="B198" s="2"/>
      <c r="C198" s="125"/>
      <c r="D198" s="125"/>
      <c r="E198" s="125"/>
      <c r="F198" s="125"/>
      <c r="G198" s="125"/>
      <c r="H198" s="125"/>
      <c r="I198" s="52"/>
      <c r="J198" s="163"/>
      <c r="K198" s="1"/>
      <c r="L198" s="1"/>
      <c r="M198" s="1"/>
      <c r="N198" s="1"/>
      <c r="O198" s="1"/>
      <c r="P198" s="1"/>
      <c r="Q198" s="1"/>
      <c r="R198" s="1"/>
      <c r="S198" s="1"/>
      <c r="T198" s="1"/>
      <c r="U198" s="1"/>
      <c r="V198" s="1"/>
      <c r="W198" s="1"/>
      <c r="X198" s="1"/>
      <c r="Y198" s="1"/>
      <c r="Z198" s="1"/>
      <c r="AA198" s="1"/>
      <c r="AB198" s="1"/>
      <c r="AC198" s="1"/>
    </row>
    <row r="199" spans="1:29">
      <c r="A199" s="1"/>
      <c r="B199" s="131"/>
      <c r="C199" s="131"/>
      <c r="D199" s="125"/>
      <c r="E199" s="125"/>
      <c r="F199" s="125"/>
      <c r="G199" s="125"/>
      <c r="H199" s="125"/>
      <c r="I199" s="52"/>
      <c r="J199" s="1"/>
      <c r="K199" s="1"/>
      <c r="L199" s="1"/>
      <c r="M199" s="1"/>
      <c r="N199" s="1"/>
      <c r="O199" s="1"/>
      <c r="P199" s="1"/>
      <c r="Q199" s="1"/>
      <c r="R199" s="1"/>
      <c r="S199" s="1"/>
      <c r="T199" s="1"/>
      <c r="U199" s="1"/>
      <c r="V199" s="1"/>
      <c r="W199" s="1"/>
      <c r="X199" s="1"/>
      <c r="Y199" s="1"/>
      <c r="Z199" s="1"/>
      <c r="AA199" s="1"/>
      <c r="AB199" s="1"/>
      <c r="AC199" s="1"/>
    </row>
    <row r="200" spans="1:29">
      <c r="A200" s="1"/>
      <c r="B200" s="2"/>
      <c r="C200" s="125"/>
      <c r="D200" s="125"/>
      <c r="E200" s="125"/>
      <c r="F200" s="125"/>
      <c r="G200" s="125"/>
      <c r="H200" s="125"/>
      <c r="I200" s="52"/>
      <c r="J200" s="1"/>
      <c r="K200" s="1"/>
      <c r="L200" s="1"/>
      <c r="M200" s="1"/>
      <c r="N200" s="1"/>
      <c r="O200" s="1"/>
      <c r="P200" s="1"/>
      <c r="Q200" s="1"/>
      <c r="R200" s="1"/>
      <c r="S200" s="1"/>
      <c r="T200" s="1"/>
      <c r="U200" s="1"/>
      <c r="V200" s="1"/>
      <c r="W200" s="1"/>
      <c r="X200" s="1"/>
      <c r="Y200" s="1"/>
      <c r="Z200" s="1"/>
      <c r="AA200" s="1"/>
      <c r="AB200" s="1"/>
      <c r="AC200" s="1"/>
    </row>
    <row r="201" spans="1:29">
      <c r="A201" s="1"/>
      <c r="B201" s="131"/>
      <c r="C201" s="131"/>
      <c r="D201" s="125"/>
      <c r="E201" s="125"/>
      <c r="F201" s="125"/>
      <c r="G201" s="125"/>
      <c r="H201" s="125"/>
      <c r="I201" s="52"/>
      <c r="J201" s="1"/>
      <c r="K201" s="1"/>
      <c r="L201" s="1"/>
      <c r="M201" s="1"/>
      <c r="N201" s="1"/>
      <c r="O201" s="1"/>
      <c r="P201" s="1"/>
      <c r="Q201" s="1"/>
      <c r="R201" s="1"/>
      <c r="S201" s="1"/>
      <c r="T201" s="1"/>
      <c r="U201" s="1"/>
      <c r="V201" s="1"/>
      <c r="W201" s="1"/>
      <c r="X201" s="1"/>
      <c r="Y201" s="1"/>
      <c r="Z201" s="1"/>
      <c r="AA201" s="1"/>
      <c r="AB201" s="1"/>
      <c r="AC201" s="1"/>
    </row>
    <row r="202" spans="1:29">
      <c r="A202" s="1"/>
      <c r="B202" s="106"/>
      <c r="C202" s="125"/>
      <c r="D202" s="125"/>
      <c r="E202" s="125"/>
      <c r="F202" s="125"/>
      <c r="G202" s="125"/>
      <c r="H202" s="125"/>
      <c r="I202" s="52"/>
      <c r="J202" s="1"/>
      <c r="K202" s="1"/>
      <c r="L202" s="1"/>
      <c r="M202" s="1"/>
      <c r="N202" s="1"/>
      <c r="O202" s="1"/>
      <c r="P202" s="1"/>
      <c r="Q202" s="1"/>
      <c r="R202" s="1"/>
      <c r="S202" s="1"/>
      <c r="T202" s="1"/>
      <c r="U202" s="1"/>
      <c r="V202" s="1"/>
      <c r="W202" s="1"/>
      <c r="X202" s="1"/>
      <c r="Y202" s="1"/>
      <c r="Z202" s="1"/>
      <c r="AA202" s="1"/>
      <c r="AB202" s="1"/>
      <c r="AC202" s="1"/>
    </row>
    <row r="203" spans="1:29">
      <c r="A203" s="1"/>
      <c r="B203" s="2"/>
      <c r="C203" s="125"/>
      <c r="D203" s="125"/>
      <c r="E203" s="125"/>
      <c r="F203" s="125"/>
      <c r="G203" s="125"/>
      <c r="H203" s="125"/>
      <c r="I203" s="52"/>
      <c r="J203" s="1"/>
      <c r="K203" s="1"/>
      <c r="L203" s="1"/>
      <c r="M203" s="1"/>
      <c r="N203" s="1"/>
      <c r="O203" s="1"/>
      <c r="P203" s="1"/>
      <c r="Q203" s="1"/>
      <c r="R203" s="1"/>
      <c r="S203" s="1"/>
      <c r="T203" s="1"/>
      <c r="U203" s="1"/>
      <c r="V203" s="1"/>
      <c r="W203" s="1"/>
      <c r="X203" s="1"/>
      <c r="Y203" s="1"/>
      <c r="Z203" s="1"/>
      <c r="AA203" s="1"/>
      <c r="AB203" s="1"/>
      <c r="AC203" s="1"/>
    </row>
    <row r="204" spans="1:29">
      <c r="A204" s="1"/>
      <c r="B204" s="125"/>
      <c r="C204" s="125"/>
      <c r="D204" s="125"/>
      <c r="E204" s="125"/>
      <c r="F204" s="125"/>
      <c r="G204" s="125"/>
      <c r="H204" s="129"/>
      <c r="I204" s="162"/>
      <c r="J204" s="1"/>
      <c r="K204" s="1"/>
      <c r="L204" s="1"/>
      <c r="M204" s="1"/>
      <c r="N204" s="1"/>
      <c r="O204" s="1"/>
      <c r="P204" s="1"/>
      <c r="Q204" s="1"/>
      <c r="R204" s="1"/>
      <c r="S204" s="1"/>
      <c r="T204" s="1"/>
      <c r="U204" s="1"/>
      <c r="V204" s="1"/>
      <c r="W204" s="1"/>
      <c r="X204" s="1"/>
      <c r="Y204" s="1"/>
      <c r="Z204" s="1"/>
      <c r="AA204" s="1"/>
      <c r="AB204" s="1"/>
      <c r="AC204" s="1"/>
    </row>
    <row r="205" spans="1:29">
      <c r="A205" s="1"/>
      <c r="B205" s="129"/>
      <c r="C205" s="129"/>
      <c r="D205" s="129"/>
      <c r="E205" s="129"/>
      <c r="F205" s="129"/>
      <c r="G205" s="129"/>
      <c r="H205" s="125"/>
      <c r="I205" s="52"/>
      <c r="J205" s="1"/>
      <c r="K205" s="1"/>
      <c r="L205" s="1"/>
      <c r="M205" s="1"/>
      <c r="N205" s="1"/>
      <c r="O205" s="1"/>
      <c r="P205" s="1"/>
      <c r="Q205" s="1"/>
      <c r="R205" s="1"/>
      <c r="S205" s="1"/>
      <c r="T205" s="1"/>
      <c r="U205" s="1"/>
      <c r="V205" s="1"/>
      <c r="W205" s="1"/>
      <c r="X205" s="1"/>
      <c r="Y205" s="1"/>
      <c r="Z205" s="1"/>
      <c r="AA205" s="1"/>
      <c r="AB205" s="1"/>
      <c r="AC205" s="1"/>
    </row>
    <row r="206" spans="1:29" ht="24.6">
      <c r="A206" s="1"/>
      <c r="B206" s="128"/>
      <c r="C206" s="125"/>
      <c r="D206" s="125"/>
      <c r="E206" s="125"/>
      <c r="F206" s="125"/>
      <c r="G206" s="125"/>
      <c r="H206" s="125"/>
      <c r="I206" s="52"/>
      <c r="J206" s="1"/>
      <c r="K206" s="1"/>
      <c r="L206" s="1"/>
      <c r="M206" s="1"/>
      <c r="N206" s="1"/>
      <c r="O206" s="1"/>
      <c r="P206" s="1"/>
      <c r="Q206" s="1"/>
      <c r="R206" s="1"/>
      <c r="S206" s="1"/>
      <c r="T206" s="1"/>
      <c r="U206" s="1"/>
      <c r="V206" s="1"/>
      <c r="W206" s="1"/>
      <c r="X206" s="1"/>
      <c r="Y206" s="1"/>
      <c r="Z206" s="1"/>
      <c r="AA206" s="1"/>
      <c r="AB206" s="1"/>
      <c r="AC206" s="1"/>
    </row>
    <row r="207" spans="1:29">
      <c r="A207" s="52"/>
      <c r="B207" s="52"/>
      <c r="C207" s="2"/>
      <c r="D207" s="2"/>
      <c r="E207" s="2"/>
      <c r="F207" s="2"/>
      <c r="G207" s="2"/>
      <c r="H207" s="2"/>
      <c r="I207" s="52"/>
      <c r="J207" s="1"/>
      <c r="K207" s="1"/>
      <c r="L207" s="1"/>
      <c r="M207" s="1"/>
      <c r="N207" s="1"/>
      <c r="O207" s="1"/>
      <c r="P207" s="1"/>
      <c r="Q207" s="1"/>
      <c r="R207" s="1"/>
      <c r="S207" s="1"/>
      <c r="T207" s="1"/>
      <c r="U207" s="1"/>
      <c r="V207" s="1"/>
      <c r="W207" s="1"/>
      <c r="X207" s="1"/>
      <c r="Y207" s="1"/>
      <c r="Z207" s="1"/>
      <c r="AA207" s="1"/>
      <c r="AB207" s="1"/>
      <c r="AC207" s="1"/>
    </row>
    <row r="208" spans="1:29">
      <c r="A208" s="52"/>
      <c r="B208" s="2"/>
      <c r="C208" s="2"/>
      <c r="D208" s="2"/>
      <c r="E208" s="2"/>
      <c r="F208" s="2"/>
      <c r="G208" s="2"/>
      <c r="H208" s="2"/>
      <c r="I208" s="52"/>
      <c r="J208" s="1"/>
      <c r="K208" s="1"/>
      <c r="L208" s="1"/>
      <c r="M208" s="1"/>
      <c r="N208" s="1"/>
      <c r="O208" s="1"/>
      <c r="P208" s="1"/>
      <c r="Q208" s="1"/>
      <c r="R208" s="1"/>
      <c r="S208" s="1"/>
      <c r="T208" s="1"/>
      <c r="U208" s="1"/>
      <c r="V208" s="1"/>
      <c r="W208" s="1"/>
      <c r="X208" s="1"/>
      <c r="Y208" s="1"/>
      <c r="Z208" s="1"/>
      <c r="AA208" s="1"/>
      <c r="AB208" s="1"/>
      <c r="AC208" s="1"/>
    </row>
    <row r="209" spans="1:29">
      <c r="A209" s="52"/>
      <c r="B209" s="2"/>
      <c r="C209" s="2"/>
      <c r="D209" s="2"/>
      <c r="E209" s="2"/>
      <c r="F209" s="2"/>
      <c r="G209" s="2"/>
      <c r="H209" s="2"/>
      <c r="I209" s="52"/>
      <c r="J209" s="1"/>
      <c r="K209" s="1"/>
      <c r="L209" s="1"/>
      <c r="M209" s="1"/>
      <c r="N209" s="1"/>
      <c r="O209" s="1"/>
      <c r="P209" s="1"/>
      <c r="Q209" s="1"/>
      <c r="R209" s="1"/>
      <c r="S209" s="1"/>
      <c r="T209" s="1"/>
      <c r="U209" s="1"/>
      <c r="V209" s="1"/>
      <c r="W209" s="1"/>
      <c r="X209" s="1"/>
      <c r="Y209" s="1"/>
      <c r="Z209" s="1"/>
      <c r="AA209" s="1"/>
      <c r="AB209" s="1"/>
      <c r="AC209" s="1"/>
    </row>
    <row r="210" spans="1:29">
      <c r="A210" s="52"/>
      <c r="B210" s="106"/>
      <c r="C210" s="2"/>
      <c r="D210" s="2"/>
      <c r="E210" s="399"/>
      <c r="F210" s="2"/>
      <c r="G210" s="2"/>
      <c r="H210" s="2"/>
      <c r="I210" s="52"/>
      <c r="J210" s="1"/>
      <c r="K210" s="1"/>
      <c r="L210" s="1"/>
      <c r="M210" s="1"/>
      <c r="N210" s="1"/>
      <c r="O210" s="1"/>
      <c r="P210" s="1"/>
      <c r="Q210" s="1"/>
      <c r="R210" s="1"/>
      <c r="S210" s="1"/>
      <c r="T210" s="1"/>
      <c r="U210" s="1"/>
      <c r="V210" s="1"/>
      <c r="W210" s="1"/>
      <c r="X210" s="1"/>
      <c r="Y210" s="1"/>
      <c r="Z210" s="1"/>
      <c r="AA210" s="1"/>
      <c r="AB210" s="1"/>
      <c r="AC210" s="1"/>
    </row>
    <row r="211" spans="1:29">
      <c r="A211" s="52"/>
      <c r="B211" s="2"/>
      <c r="C211" s="2"/>
      <c r="D211" s="2"/>
      <c r="E211" s="2"/>
      <c r="F211" s="399"/>
      <c r="G211" s="399"/>
      <c r="H211" s="2"/>
      <c r="I211" s="52"/>
      <c r="J211" s="1"/>
      <c r="K211" s="1"/>
      <c r="L211" s="1"/>
      <c r="M211" s="1"/>
      <c r="N211" s="1"/>
      <c r="O211" s="1"/>
      <c r="P211" s="1"/>
      <c r="Q211" s="1"/>
      <c r="R211" s="1"/>
      <c r="S211" s="1"/>
      <c r="T211" s="1"/>
      <c r="U211" s="1"/>
      <c r="V211" s="1"/>
      <c r="W211" s="1"/>
      <c r="X211" s="1"/>
      <c r="Y211" s="1"/>
      <c r="Z211" s="1"/>
      <c r="AA211" s="1"/>
      <c r="AB211" s="1"/>
      <c r="AC211" s="1"/>
    </row>
    <row r="212" spans="1:29">
      <c r="A212" s="52"/>
      <c r="B212" s="2"/>
      <c r="C212" s="2"/>
      <c r="D212" s="2"/>
      <c r="E212" s="2"/>
      <c r="F212" s="2"/>
      <c r="G212" s="2"/>
      <c r="H212" s="2"/>
      <c r="I212" s="52"/>
      <c r="J212" s="1"/>
      <c r="K212" s="1"/>
      <c r="L212" s="1"/>
      <c r="M212" s="1"/>
      <c r="N212" s="1"/>
      <c r="O212" s="1"/>
      <c r="P212" s="1"/>
      <c r="Q212" s="1"/>
      <c r="R212" s="1"/>
      <c r="S212" s="1"/>
      <c r="T212" s="1"/>
      <c r="U212" s="1"/>
      <c r="V212" s="1"/>
      <c r="W212" s="1"/>
      <c r="X212" s="1"/>
      <c r="Y212" s="1"/>
      <c r="Z212" s="1"/>
      <c r="AA212" s="1"/>
      <c r="AB212" s="1"/>
      <c r="AC212" s="1"/>
    </row>
    <row r="213" spans="1:29">
      <c r="A213" s="52"/>
      <c r="B213" s="106"/>
      <c r="C213" s="2"/>
      <c r="D213" s="2"/>
      <c r="E213" s="2"/>
      <c r="F213" s="2"/>
      <c r="G213" s="2"/>
      <c r="H213" s="2"/>
      <c r="I213" s="52"/>
      <c r="J213" s="1"/>
      <c r="K213" s="1"/>
      <c r="L213" s="1"/>
      <c r="M213" s="1"/>
      <c r="N213" s="1"/>
      <c r="O213" s="1"/>
      <c r="P213" s="1"/>
      <c r="Q213" s="1"/>
      <c r="R213" s="1"/>
      <c r="S213" s="1"/>
      <c r="T213" s="1"/>
      <c r="U213" s="1"/>
      <c r="V213" s="1"/>
      <c r="W213" s="1"/>
      <c r="X213" s="1"/>
      <c r="Y213" s="1"/>
      <c r="Z213" s="1"/>
      <c r="AA213" s="1"/>
      <c r="AB213" s="1"/>
      <c r="AC213" s="1"/>
    </row>
    <row r="214" spans="1:29">
      <c r="A214" s="52"/>
      <c r="B214" s="2"/>
      <c r="C214" s="2"/>
      <c r="D214" s="2"/>
      <c r="E214" s="2"/>
      <c r="F214" s="2"/>
      <c r="G214" s="2"/>
      <c r="H214" s="2"/>
      <c r="I214" s="52"/>
      <c r="J214" s="1"/>
      <c r="K214" s="1"/>
      <c r="L214" s="1"/>
      <c r="M214" s="1"/>
      <c r="N214" s="1"/>
      <c r="O214" s="1"/>
      <c r="P214" s="1"/>
      <c r="Q214" s="1"/>
      <c r="R214" s="1"/>
      <c r="S214" s="1"/>
      <c r="T214" s="1"/>
      <c r="U214" s="1"/>
      <c r="V214" s="1"/>
      <c r="W214" s="1"/>
      <c r="X214" s="1"/>
      <c r="Y214" s="1"/>
      <c r="Z214" s="1"/>
      <c r="AA214" s="1"/>
      <c r="AB214" s="1"/>
      <c r="AC214" s="1"/>
    </row>
    <row r="215" spans="1:29">
      <c r="A215" s="52"/>
      <c r="B215" s="2"/>
      <c r="C215" s="2"/>
      <c r="D215" s="2"/>
      <c r="E215" s="2"/>
      <c r="F215" s="2"/>
      <c r="G215" s="2"/>
      <c r="H215" s="2"/>
      <c r="I215" s="52"/>
      <c r="J215" s="1"/>
      <c r="K215" s="1"/>
      <c r="L215" s="1"/>
      <c r="M215" s="1"/>
      <c r="N215" s="1"/>
      <c r="O215" s="1"/>
      <c r="P215" s="1"/>
      <c r="Q215" s="1"/>
      <c r="R215" s="1"/>
      <c r="S215" s="1"/>
      <c r="T215" s="1"/>
      <c r="U215" s="1"/>
      <c r="V215" s="1"/>
      <c r="W215" s="1"/>
      <c r="X215" s="1"/>
      <c r="Y215" s="1"/>
      <c r="Z215" s="1"/>
      <c r="AA215" s="1"/>
      <c r="AB215" s="1"/>
      <c r="AC215" s="1"/>
    </row>
    <row r="216" spans="1:29">
      <c r="A216" s="52"/>
      <c r="B216" s="2"/>
      <c r="C216" s="2"/>
      <c r="D216" s="2"/>
      <c r="E216" s="2"/>
      <c r="F216" s="2"/>
      <c r="G216" s="2"/>
      <c r="H216" s="2"/>
      <c r="I216" s="52"/>
      <c r="J216" s="1"/>
      <c r="K216" s="1"/>
      <c r="L216" s="1"/>
      <c r="M216" s="1"/>
      <c r="N216" s="1"/>
      <c r="O216" s="1"/>
      <c r="P216" s="1"/>
      <c r="Q216" s="1"/>
      <c r="R216" s="1"/>
      <c r="S216" s="1"/>
      <c r="T216" s="1"/>
      <c r="U216" s="1"/>
      <c r="V216" s="1"/>
      <c r="W216" s="1"/>
      <c r="X216" s="1"/>
      <c r="Y216" s="1"/>
      <c r="Z216" s="1"/>
      <c r="AA216" s="1"/>
      <c r="AB216" s="1"/>
      <c r="AC216" s="1"/>
    </row>
    <row r="217" spans="1:29">
      <c r="A217" s="52"/>
      <c r="B217" s="2"/>
      <c r="C217" s="2"/>
      <c r="D217" s="2"/>
      <c r="E217" s="2"/>
      <c r="F217" s="2"/>
      <c r="G217" s="2"/>
      <c r="H217" s="2"/>
      <c r="I217" s="52"/>
      <c r="J217" s="1"/>
      <c r="K217" s="1"/>
      <c r="L217" s="1"/>
      <c r="M217" s="1"/>
      <c r="N217" s="1"/>
      <c r="O217" s="1"/>
      <c r="P217" s="1"/>
      <c r="Q217" s="1"/>
      <c r="R217" s="1"/>
      <c r="S217" s="1"/>
      <c r="T217" s="1"/>
      <c r="U217" s="1"/>
      <c r="V217" s="1"/>
      <c r="W217" s="1"/>
      <c r="X217" s="1"/>
      <c r="Y217" s="1"/>
      <c r="Z217" s="1"/>
      <c r="AA217" s="1"/>
      <c r="AB217" s="1"/>
      <c r="AC217" s="1"/>
    </row>
    <row r="218" spans="1:29">
      <c r="A218" s="52"/>
      <c r="B218" s="2"/>
      <c r="C218" s="2"/>
      <c r="D218" s="2"/>
      <c r="E218" s="2"/>
      <c r="F218" s="2"/>
      <c r="G218" s="2"/>
      <c r="H218" s="2"/>
      <c r="I218" s="52"/>
      <c r="J218" s="1"/>
      <c r="K218" s="1"/>
      <c r="L218" s="1"/>
      <c r="M218" s="1"/>
      <c r="N218" s="1"/>
      <c r="O218" s="1"/>
      <c r="P218" s="1"/>
      <c r="Q218" s="1"/>
      <c r="R218" s="1"/>
      <c r="S218" s="1"/>
      <c r="T218" s="1"/>
      <c r="U218" s="1"/>
      <c r="V218" s="1"/>
      <c r="W218" s="1"/>
      <c r="X218" s="1"/>
      <c r="Y218" s="1"/>
      <c r="Z218" s="1"/>
      <c r="AA218" s="1"/>
      <c r="AB218" s="1"/>
      <c r="AC218" s="1"/>
    </row>
    <row r="219" spans="1:29">
      <c r="A219" s="52"/>
      <c r="B219" s="2"/>
      <c r="C219" s="2"/>
      <c r="D219" s="2"/>
      <c r="E219" s="2"/>
      <c r="F219" s="2"/>
      <c r="G219" s="2"/>
      <c r="H219" s="626"/>
      <c r="I219" s="52"/>
      <c r="J219" s="1"/>
      <c r="K219" s="1"/>
      <c r="L219" s="1"/>
      <c r="M219" s="1"/>
      <c r="N219" s="1"/>
      <c r="O219" s="1"/>
      <c r="P219" s="1"/>
      <c r="Q219" s="1"/>
      <c r="R219" s="1"/>
      <c r="S219" s="1"/>
      <c r="T219" s="1"/>
      <c r="U219" s="1"/>
      <c r="V219" s="1"/>
      <c r="W219" s="1"/>
      <c r="X219" s="1"/>
      <c r="Y219" s="1"/>
      <c r="Z219" s="1"/>
      <c r="AA219" s="1"/>
      <c r="AB219" s="1"/>
      <c r="AC219" s="1"/>
    </row>
    <row r="220" spans="1:29">
      <c r="A220" s="52"/>
      <c r="B220" s="2"/>
      <c r="C220" s="2"/>
      <c r="D220" s="626"/>
      <c r="E220" s="626"/>
      <c r="F220" s="626"/>
      <c r="G220" s="626"/>
      <c r="H220" s="2"/>
      <c r="I220" s="52"/>
      <c r="J220" s="1"/>
      <c r="K220" s="1"/>
      <c r="L220" s="1"/>
      <c r="M220" s="1"/>
      <c r="N220" s="1"/>
      <c r="O220" s="1"/>
      <c r="P220" s="1"/>
      <c r="Q220" s="1"/>
      <c r="R220" s="1"/>
      <c r="S220" s="1"/>
      <c r="T220" s="1"/>
      <c r="U220" s="1"/>
      <c r="V220" s="1"/>
      <c r="W220" s="1"/>
      <c r="X220" s="1"/>
      <c r="Y220" s="1"/>
      <c r="Z220" s="1"/>
      <c r="AA220" s="1"/>
      <c r="AB220" s="1"/>
      <c r="AC220" s="1"/>
    </row>
    <row r="221" spans="1:29">
      <c r="A221" s="52"/>
      <c r="B221" s="2"/>
      <c r="C221" s="2"/>
      <c r="D221" s="2"/>
      <c r="E221" s="2"/>
      <c r="F221" s="2"/>
      <c r="G221" s="2"/>
      <c r="H221" s="2"/>
      <c r="I221" s="52"/>
      <c r="J221" s="1"/>
      <c r="K221" s="1"/>
      <c r="L221" s="1"/>
      <c r="M221" s="1"/>
      <c r="N221" s="1"/>
      <c r="O221" s="1"/>
      <c r="P221" s="1"/>
      <c r="Q221" s="1"/>
      <c r="R221" s="1"/>
      <c r="S221" s="1"/>
      <c r="T221" s="1"/>
      <c r="U221" s="1"/>
      <c r="V221" s="1"/>
      <c r="W221" s="1"/>
      <c r="X221" s="1"/>
      <c r="Y221" s="1"/>
      <c r="Z221" s="1"/>
      <c r="AA221" s="1"/>
      <c r="AB221" s="1"/>
      <c r="AC221" s="1"/>
    </row>
    <row r="222" spans="1:29">
      <c r="A222" s="52"/>
      <c r="B222" s="2"/>
      <c r="C222" s="2"/>
      <c r="D222" s="2"/>
      <c r="E222" s="2"/>
      <c r="F222" s="2"/>
      <c r="G222" s="2"/>
      <c r="H222" s="2"/>
      <c r="I222" s="52"/>
      <c r="J222" s="1"/>
      <c r="K222" s="1"/>
      <c r="L222" s="1"/>
      <c r="M222" s="1"/>
      <c r="N222" s="1"/>
      <c r="O222" s="1"/>
      <c r="P222" s="1"/>
      <c r="Q222" s="1"/>
      <c r="R222" s="1"/>
      <c r="S222" s="1"/>
      <c r="T222" s="1"/>
      <c r="U222" s="1"/>
      <c r="V222" s="1"/>
      <c r="W222" s="1"/>
      <c r="X222" s="1"/>
      <c r="Y222" s="1"/>
      <c r="Z222" s="1"/>
      <c r="AA222" s="1"/>
      <c r="AB222" s="1"/>
      <c r="AC222" s="1"/>
    </row>
    <row r="223" spans="1:29">
      <c r="A223" s="52"/>
      <c r="B223" s="2"/>
      <c r="C223" s="2"/>
      <c r="D223" s="2"/>
      <c r="E223" s="2"/>
      <c r="F223" s="2"/>
      <c r="G223" s="2"/>
      <c r="H223" s="2"/>
      <c r="I223" s="52"/>
      <c r="J223" s="1"/>
      <c r="K223" s="1"/>
      <c r="L223" s="1"/>
      <c r="M223" s="1"/>
      <c r="N223" s="1"/>
      <c r="O223" s="1"/>
      <c r="P223" s="1"/>
      <c r="Q223" s="1"/>
      <c r="R223" s="1"/>
      <c r="S223" s="1"/>
      <c r="T223" s="1"/>
      <c r="U223" s="1"/>
      <c r="V223" s="1"/>
      <c r="W223" s="1"/>
      <c r="X223" s="1"/>
      <c r="Y223" s="1"/>
      <c r="Z223" s="1"/>
      <c r="AA223" s="1"/>
      <c r="AB223" s="1"/>
      <c r="AC223" s="1"/>
    </row>
    <row r="224" spans="1:29">
      <c r="A224" s="52"/>
      <c r="B224" s="2"/>
      <c r="C224" s="2"/>
      <c r="D224" s="2"/>
      <c r="E224" s="2"/>
      <c r="F224" s="2"/>
      <c r="G224" s="2"/>
      <c r="H224" s="2"/>
      <c r="I224" s="52"/>
      <c r="J224" s="1"/>
      <c r="K224" s="1"/>
      <c r="L224" s="1"/>
      <c r="M224" s="1"/>
      <c r="N224" s="1"/>
      <c r="O224" s="1"/>
      <c r="P224" s="1"/>
      <c r="Q224" s="1"/>
      <c r="R224" s="1"/>
      <c r="S224" s="1"/>
      <c r="T224" s="1"/>
      <c r="U224" s="1"/>
      <c r="V224" s="1"/>
      <c r="W224" s="1"/>
      <c r="X224" s="1"/>
      <c r="Y224" s="1"/>
      <c r="Z224" s="1"/>
      <c r="AA224" s="1"/>
      <c r="AB224" s="1"/>
      <c r="AC224" s="1"/>
    </row>
    <row r="225" spans="1:29">
      <c r="A225" s="52"/>
      <c r="B225" s="52"/>
      <c r="C225" s="2"/>
      <c r="D225" s="2"/>
      <c r="E225" s="2"/>
      <c r="F225" s="2"/>
      <c r="G225" s="2"/>
      <c r="H225" s="2"/>
      <c r="I225" s="52"/>
      <c r="J225" s="1"/>
      <c r="K225" s="1"/>
      <c r="L225" s="1"/>
      <c r="M225" s="1"/>
      <c r="N225" s="1"/>
      <c r="O225" s="1"/>
      <c r="P225" s="1"/>
      <c r="Q225" s="1"/>
      <c r="R225" s="1"/>
      <c r="S225" s="1"/>
      <c r="T225" s="1"/>
      <c r="U225" s="1"/>
      <c r="V225" s="1"/>
      <c r="W225" s="1"/>
      <c r="X225" s="1"/>
      <c r="Y225" s="1"/>
      <c r="Z225" s="1"/>
      <c r="AA225" s="1"/>
      <c r="AB225" s="1"/>
      <c r="AC225" s="1"/>
    </row>
    <row r="226" spans="1:29">
      <c r="A226" s="52"/>
      <c r="B226" s="2"/>
      <c r="C226" s="2"/>
      <c r="D226" s="2"/>
      <c r="E226" s="2"/>
      <c r="F226" s="2"/>
      <c r="G226" s="2"/>
      <c r="H226" s="2"/>
      <c r="I226" s="52"/>
      <c r="J226" s="1"/>
      <c r="K226" s="1"/>
      <c r="L226" s="1"/>
      <c r="M226" s="1"/>
      <c r="N226" s="1"/>
      <c r="O226" s="1"/>
      <c r="P226" s="1"/>
      <c r="Q226" s="1"/>
      <c r="R226" s="1"/>
      <c r="S226" s="1"/>
      <c r="T226" s="1"/>
      <c r="U226" s="1"/>
      <c r="V226" s="1"/>
      <c r="W226" s="1"/>
      <c r="X226" s="1"/>
      <c r="Y226" s="1"/>
      <c r="Z226" s="1"/>
      <c r="AA226" s="1"/>
      <c r="AB226" s="1"/>
      <c r="AC226" s="1"/>
    </row>
    <row r="227" spans="1:29">
      <c r="A227" s="52"/>
      <c r="B227" s="2"/>
      <c r="C227" s="2"/>
      <c r="D227" s="2"/>
      <c r="E227" s="2"/>
      <c r="F227" s="2"/>
      <c r="G227" s="2"/>
      <c r="H227" s="2"/>
      <c r="I227" s="52"/>
      <c r="J227" s="1"/>
      <c r="K227" s="1"/>
      <c r="L227" s="1"/>
      <c r="M227" s="1"/>
      <c r="N227" s="1"/>
      <c r="O227" s="1"/>
      <c r="P227" s="1"/>
      <c r="Q227" s="1"/>
      <c r="R227" s="1"/>
      <c r="S227" s="1"/>
      <c r="T227" s="1"/>
      <c r="U227" s="1"/>
      <c r="V227" s="1"/>
      <c r="W227" s="1"/>
      <c r="X227" s="1"/>
      <c r="Y227" s="1"/>
      <c r="Z227" s="1"/>
      <c r="AA227" s="1"/>
      <c r="AB227" s="1"/>
      <c r="AC227" s="1"/>
    </row>
    <row r="228" spans="1:29">
      <c r="A228" s="1"/>
      <c r="B228" s="125"/>
      <c r="C228" s="125"/>
      <c r="D228" s="125"/>
      <c r="E228" s="125"/>
      <c r="F228" s="125"/>
      <c r="G228" s="125"/>
      <c r="H228" s="125"/>
      <c r="I228" s="1"/>
      <c r="J228" s="1"/>
      <c r="K228" s="1"/>
      <c r="L228" s="1"/>
      <c r="M228" s="1"/>
      <c r="N228" s="1"/>
      <c r="O228" s="1"/>
      <c r="P228" s="1"/>
      <c r="Q228" s="1"/>
      <c r="R228" s="1"/>
      <c r="S228" s="1"/>
      <c r="T228" s="1"/>
      <c r="U228" s="1"/>
      <c r="V228" s="1"/>
      <c r="W228" s="1"/>
      <c r="X228" s="1"/>
      <c r="Y228" s="1"/>
      <c r="Z228" s="1"/>
      <c r="AA228" s="1"/>
      <c r="AB228" s="1"/>
      <c r="AC228" s="1"/>
    </row>
    <row r="229" spans="1:29">
      <c r="A229" s="1"/>
      <c r="B229" s="125"/>
      <c r="C229" s="125"/>
      <c r="D229" s="125"/>
      <c r="E229" s="125"/>
      <c r="F229" s="125"/>
      <c r="G229" s="125"/>
      <c r="H229" s="125"/>
      <c r="I229" s="1"/>
      <c r="J229" s="1"/>
      <c r="K229" s="1"/>
      <c r="L229" s="1"/>
      <c r="M229" s="1"/>
      <c r="N229" s="1"/>
      <c r="O229" s="1"/>
      <c r="P229" s="1"/>
      <c r="Q229" s="1"/>
      <c r="R229" s="1"/>
      <c r="S229" s="1"/>
      <c r="T229" s="1"/>
      <c r="U229" s="1"/>
      <c r="V229" s="1"/>
      <c r="W229" s="1"/>
      <c r="X229" s="1"/>
      <c r="Y229" s="1"/>
      <c r="Z229" s="1"/>
      <c r="AA229" s="1"/>
      <c r="AB229" s="1"/>
      <c r="AC229" s="1"/>
    </row>
    <row r="230" spans="1:29">
      <c r="A230" s="1"/>
      <c r="B230" s="125"/>
      <c r="C230" s="125"/>
      <c r="D230" s="125"/>
      <c r="E230" s="125"/>
      <c r="F230" s="125"/>
      <c r="G230" s="125"/>
      <c r="H230" s="125"/>
      <c r="I230" s="1"/>
      <c r="J230" s="1"/>
      <c r="K230" s="1"/>
      <c r="L230" s="1"/>
      <c r="M230" s="1"/>
      <c r="N230" s="1"/>
      <c r="O230" s="1"/>
      <c r="P230" s="1"/>
      <c r="Q230" s="1"/>
      <c r="R230" s="1"/>
      <c r="S230" s="1"/>
      <c r="T230" s="1"/>
      <c r="U230" s="1"/>
      <c r="V230" s="1"/>
      <c r="W230" s="1"/>
      <c r="X230" s="1"/>
      <c r="Y230" s="1"/>
      <c r="Z230" s="1"/>
      <c r="AA230" s="1"/>
      <c r="AB230" s="1"/>
      <c r="AC230" s="1"/>
    </row>
    <row r="231" spans="1:29">
      <c r="A231" s="1"/>
      <c r="B231" s="125"/>
      <c r="C231" s="125"/>
      <c r="D231" s="125"/>
      <c r="E231" s="125"/>
      <c r="F231" s="125"/>
      <c r="G231" s="125"/>
      <c r="H231" s="125"/>
      <c r="I231" s="1"/>
      <c r="J231" s="1"/>
      <c r="K231" s="1"/>
      <c r="L231" s="1"/>
      <c r="M231" s="1"/>
      <c r="N231" s="1"/>
      <c r="O231" s="1"/>
      <c r="P231" s="1"/>
      <c r="Q231" s="1"/>
      <c r="R231" s="1"/>
      <c r="S231" s="1"/>
      <c r="T231" s="1"/>
      <c r="U231" s="1"/>
      <c r="V231" s="1"/>
      <c r="W231" s="1"/>
      <c r="X231" s="1"/>
      <c r="Y231" s="1"/>
      <c r="Z231" s="1"/>
      <c r="AA231" s="1"/>
      <c r="AB231" s="1"/>
      <c r="AC231" s="1"/>
    </row>
    <row r="232" spans="1:29">
      <c r="A232" s="1"/>
      <c r="B232" s="125"/>
      <c r="C232" s="125"/>
      <c r="D232" s="125"/>
      <c r="E232" s="125"/>
      <c r="F232" s="125"/>
      <c r="G232" s="125"/>
      <c r="H232" s="125"/>
      <c r="I232" s="1"/>
      <c r="J232" s="1"/>
      <c r="K232" s="1"/>
      <c r="L232" s="1"/>
      <c r="M232" s="1"/>
      <c r="N232" s="1"/>
      <c r="O232" s="1"/>
      <c r="P232" s="1"/>
      <c r="Q232" s="1"/>
      <c r="R232" s="1"/>
      <c r="S232" s="1"/>
      <c r="T232" s="1"/>
      <c r="U232" s="1"/>
      <c r="V232" s="1"/>
      <c r="W232" s="1"/>
      <c r="X232" s="1"/>
      <c r="Y232" s="1"/>
      <c r="Z232" s="1"/>
      <c r="AA232" s="1"/>
      <c r="AB232" s="1"/>
      <c r="AC232" s="1"/>
    </row>
    <row r="233" spans="1:29">
      <c r="A233" s="1"/>
      <c r="B233" s="130"/>
      <c r="C233" s="125"/>
      <c r="D233" s="125"/>
      <c r="E233" s="125"/>
      <c r="F233" s="125"/>
      <c r="G233" s="125"/>
      <c r="H233" s="125"/>
      <c r="I233" s="1"/>
      <c r="J233" s="1"/>
      <c r="K233" s="1"/>
      <c r="L233" s="1"/>
      <c r="M233" s="1"/>
      <c r="N233" s="1"/>
      <c r="O233" s="1"/>
      <c r="P233" s="1"/>
      <c r="Q233" s="1"/>
      <c r="R233" s="1"/>
      <c r="S233" s="1"/>
      <c r="T233" s="1"/>
      <c r="U233" s="1"/>
      <c r="V233" s="1"/>
      <c r="W233" s="1"/>
      <c r="X233" s="1"/>
      <c r="Y233" s="1"/>
      <c r="Z233" s="1"/>
      <c r="AA233" s="1"/>
      <c r="AB233" s="1"/>
      <c r="AC233" s="1"/>
    </row>
    <row r="234" spans="1:29">
      <c r="A234" s="1"/>
      <c r="B234" s="130"/>
      <c r="C234" s="125"/>
      <c r="D234" s="125"/>
      <c r="E234" s="125"/>
      <c r="F234" s="125"/>
      <c r="G234" s="125"/>
      <c r="H234" s="125"/>
      <c r="I234" s="1"/>
      <c r="J234" s="1"/>
      <c r="K234" s="1"/>
      <c r="L234" s="1"/>
      <c r="M234" s="1"/>
      <c r="N234" s="1"/>
      <c r="O234" s="1"/>
      <c r="P234" s="1"/>
      <c r="Q234" s="1"/>
      <c r="R234" s="1"/>
      <c r="S234" s="1"/>
      <c r="T234" s="1"/>
      <c r="U234" s="1"/>
      <c r="V234" s="1"/>
      <c r="W234" s="1"/>
      <c r="X234" s="1"/>
      <c r="Y234" s="1"/>
      <c r="Z234" s="1"/>
      <c r="AA234" s="1"/>
      <c r="AB234" s="1"/>
      <c r="AC234" s="1"/>
    </row>
    <row r="235" spans="1:29">
      <c r="A235" s="1"/>
      <c r="B235" s="125"/>
      <c r="C235" s="125"/>
      <c r="D235" s="125"/>
      <c r="E235" s="125"/>
      <c r="F235" s="125"/>
      <c r="G235" s="125"/>
      <c r="H235" s="125"/>
      <c r="I235" s="125"/>
      <c r="J235" s="1"/>
      <c r="K235" s="1"/>
      <c r="L235" s="1"/>
      <c r="M235" s="1"/>
      <c r="N235" s="1"/>
      <c r="O235" s="1"/>
      <c r="P235" s="1"/>
      <c r="Q235" s="1"/>
      <c r="R235" s="1"/>
      <c r="S235" s="1"/>
      <c r="T235" s="1"/>
      <c r="U235" s="1"/>
      <c r="V235" s="1"/>
      <c r="W235" s="1"/>
      <c r="X235" s="1"/>
      <c r="Y235" s="1"/>
      <c r="Z235" s="1"/>
      <c r="AA235" s="1"/>
      <c r="AB235" s="1"/>
      <c r="AC235" s="1"/>
    </row>
    <row r="236" spans="1:29">
      <c r="A236" s="1"/>
      <c r="B236" s="125"/>
      <c r="C236" s="125"/>
      <c r="D236" s="125"/>
      <c r="E236" s="125"/>
      <c r="F236" s="125"/>
      <c r="G236" s="125"/>
      <c r="H236" s="125"/>
      <c r="I236" s="1"/>
      <c r="J236" s="1"/>
      <c r="K236" s="1"/>
      <c r="L236" s="1"/>
      <c r="M236" s="1"/>
      <c r="N236" s="1"/>
      <c r="O236" s="1"/>
      <c r="P236" s="1"/>
      <c r="Q236" s="1"/>
      <c r="R236" s="1"/>
      <c r="S236" s="1"/>
      <c r="T236" s="1"/>
      <c r="U236" s="1"/>
      <c r="V236" s="1"/>
      <c r="W236" s="1"/>
      <c r="X236" s="1"/>
      <c r="Y236" s="1"/>
      <c r="Z236" s="1"/>
      <c r="AA236" s="1"/>
      <c r="AB236" s="1"/>
      <c r="AC236" s="1"/>
    </row>
    <row r="237" spans="1:29">
      <c r="A237" s="1"/>
      <c r="B237" s="125"/>
      <c r="C237" s="125"/>
      <c r="D237" s="125"/>
      <c r="E237" s="125"/>
      <c r="F237" s="125"/>
      <c r="G237" s="125"/>
      <c r="H237" s="125"/>
      <c r="I237" s="1"/>
      <c r="J237" s="1"/>
      <c r="K237" s="1"/>
      <c r="L237" s="1"/>
      <c r="M237" s="1"/>
      <c r="N237" s="1"/>
      <c r="O237" s="1"/>
      <c r="P237" s="1"/>
      <c r="Q237" s="1"/>
      <c r="R237" s="1"/>
      <c r="S237" s="1"/>
      <c r="T237" s="1"/>
      <c r="U237" s="1"/>
      <c r="V237" s="1"/>
      <c r="W237" s="1"/>
      <c r="X237" s="1"/>
      <c r="Y237" s="1"/>
      <c r="Z237" s="1"/>
      <c r="AA237" s="1"/>
      <c r="AB237" s="1"/>
      <c r="AC237" s="1"/>
    </row>
    <row r="238" spans="1:29">
      <c r="A238" s="1"/>
      <c r="B238" s="125"/>
      <c r="C238" s="125"/>
      <c r="D238" s="125"/>
      <c r="E238" s="125"/>
      <c r="F238" s="125"/>
      <c r="G238" s="125"/>
      <c r="H238" s="125"/>
      <c r="I238" s="1"/>
      <c r="J238" s="1"/>
      <c r="K238" s="1"/>
      <c r="L238" s="1"/>
      <c r="M238" s="1"/>
      <c r="N238" s="1"/>
      <c r="O238" s="1"/>
      <c r="P238" s="1"/>
      <c r="Q238" s="1"/>
      <c r="R238" s="1"/>
      <c r="S238" s="1"/>
      <c r="T238" s="1"/>
      <c r="U238" s="1"/>
      <c r="V238" s="1"/>
      <c r="W238" s="1"/>
      <c r="X238" s="1"/>
      <c r="Y238" s="1"/>
      <c r="Z238" s="1"/>
      <c r="AA238" s="1"/>
      <c r="AB238" s="1"/>
      <c r="AC238" s="1"/>
    </row>
    <row r="239" spans="1:29">
      <c r="A239" s="1"/>
      <c r="B239" s="125"/>
      <c r="C239" s="125"/>
      <c r="D239" s="125"/>
      <c r="E239" s="125"/>
      <c r="F239" s="125"/>
      <c r="G239" s="125"/>
      <c r="H239" s="1"/>
      <c r="I239" s="1"/>
      <c r="J239" s="1"/>
      <c r="K239" s="1"/>
      <c r="L239" s="1"/>
      <c r="M239" s="1"/>
      <c r="N239" s="1"/>
      <c r="O239" s="1"/>
      <c r="P239" s="1"/>
      <c r="Q239" s="1"/>
      <c r="R239" s="1"/>
      <c r="S239" s="1"/>
      <c r="T239" s="1"/>
      <c r="U239" s="1"/>
      <c r="V239" s="1"/>
      <c r="W239" s="1"/>
      <c r="X239" s="1"/>
      <c r="Y239" s="1"/>
      <c r="Z239" s="1"/>
      <c r="AA239" s="1"/>
      <c r="AB239" s="1"/>
      <c r="AC239" s="1"/>
    </row>
    <row r="240" spans="1:29">
      <c r="A240" s="1"/>
      <c r="B240" s="1"/>
      <c r="C240" s="1"/>
      <c r="D240" s="1"/>
      <c r="E240" s="1"/>
      <c r="F240" s="1"/>
      <c r="G240" s="1"/>
      <c r="H240" s="125"/>
      <c r="I240" s="1"/>
      <c r="J240" s="1"/>
      <c r="K240" s="1"/>
      <c r="L240" s="1"/>
      <c r="M240" s="1"/>
      <c r="N240" s="1"/>
      <c r="O240" s="1"/>
      <c r="P240" s="1"/>
      <c r="Q240" s="1"/>
      <c r="R240" s="1"/>
      <c r="S240" s="1"/>
      <c r="T240" s="1"/>
      <c r="U240" s="1"/>
      <c r="V240" s="1"/>
      <c r="W240" s="1"/>
      <c r="X240" s="1"/>
      <c r="Y240" s="1"/>
      <c r="Z240" s="1"/>
      <c r="AA240" s="1"/>
      <c r="AB240" s="1"/>
      <c r="AC240" s="1"/>
    </row>
    <row r="241" spans="1:29">
      <c r="A241" s="1"/>
      <c r="B241" s="1"/>
      <c r="C241" s="125"/>
      <c r="D241" s="125"/>
      <c r="E241" s="125"/>
      <c r="F241" s="125"/>
      <c r="G241" s="125"/>
      <c r="H241" s="1"/>
      <c r="I241" s="1"/>
      <c r="J241" s="1"/>
      <c r="K241" s="1"/>
      <c r="L241" s="1"/>
      <c r="M241" s="1"/>
      <c r="N241" s="1"/>
      <c r="O241" s="1"/>
      <c r="P241" s="1"/>
      <c r="Q241" s="1"/>
      <c r="R241" s="1"/>
      <c r="S241" s="1"/>
      <c r="T241" s="1"/>
      <c r="U241" s="1"/>
      <c r="V241" s="1"/>
      <c r="W241" s="1"/>
      <c r="X241" s="1"/>
      <c r="Y241" s="1"/>
      <c r="Z241" s="1"/>
      <c r="AA241" s="1"/>
      <c r="AB241" s="1"/>
      <c r="AC241" s="1"/>
    </row>
    <row r="242" spans="1:29">
      <c r="A242" s="1"/>
      <c r="B242" s="1"/>
      <c r="C242" s="1"/>
      <c r="D242" s="1"/>
      <c r="E242" s="1"/>
      <c r="F242" s="1"/>
      <c r="G242" s="1"/>
      <c r="I242" s="1"/>
      <c r="J242" s="1"/>
      <c r="K242" s="1"/>
      <c r="L242" s="1"/>
      <c r="M242" s="1"/>
      <c r="N242" s="1"/>
      <c r="O242" s="1"/>
      <c r="P242" s="1"/>
      <c r="Q242" s="1"/>
      <c r="R242" s="1"/>
      <c r="S242" s="1"/>
      <c r="T242" s="1"/>
      <c r="U242" s="1"/>
      <c r="V242" s="1"/>
      <c r="W242" s="1"/>
      <c r="X242" s="1"/>
      <c r="Y242" s="1"/>
      <c r="Z242" s="1"/>
      <c r="AA242" s="1"/>
      <c r="AB242" s="1"/>
      <c r="AC242" s="1"/>
    </row>
    <row r="243" spans="1:29">
      <c r="A243" s="1"/>
      <c r="B243" s="1"/>
      <c r="C243" s="1"/>
      <c r="D243" s="1"/>
      <c r="E243" s="1"/>
      <c r="F243" s="1"/>
      <c r="G243" s="1"/>
      <c r="I243" s="1"/>
      <c r="J243" s="1"/>
      <c r="K243" s="1"/>
      <c r="L243" s="1"/>
      <c r="M243" s="1"/>
      <c r="N243" s="1"/>
      <c r="O243" s="1"/>
      <c r="P243" s="1"/>
      <c r="Q243" s="1"/>
      <c r="R243" s="1"/>
      <c r="S243" s="1"/>
      <c r="T243" s="1"/>
      <c r="U243" s="1"/>
      <c r="V243" s="1"/>
      <c r="W243" s="1"/>
      <c r="X243" s="1"/>
      <c r="Y243" s="1"/>
      <c r="Z243" s="1"/>
      <c r="AA243" s="1"/>
      <c r="AB243" s="1"/>
      <c r="AC243" s="1"/>
    </row>
    <row r="244" spans="1:29">
      <c r="A244" s="1"/>
      <c r="B244" s="1"/>
      <c r="C244" s="1"/>
      <c r="D244" s="1"/>
      <c r="E244" s="1"/>
      <c r="F244" s="1"/>
      <c r="G244" s="1"/>
      <c r="I244" s="1"/>
      <c r="J244" s="1"/>
      <c r="K244" s="1"/>
      <c r="L244" s="1"/>
      <c r="M244" s="1"/>
      <c r="N244" s="1"/>
      <c r="O244" s="1"/>
      <c r="P244" s="1"/>
      <c r="Q244" s="1"/>
      <c r="R244" s="1"/>
      <c r="S244" s="1"/>
      <c r="T244" s="1"/>
      <c r="U244" s="1"/>
      <c r="V244" s="1"/>
      <c r="W244" s="1"/>
      <c r="X244" s="1"/>
      <c r="Y244" s="1"/>
      <c r="Z244" s="1"/>
      <c r="AA244" s="1"/>
      <c r="AB244" s="1"/>
      <c r="AC244" s="1"/>
    </row>
    <row r="245" spans="1:29">
      <c r="A245" s="1"/>
      <c r="B245" s="1"/>
      <c r="C245" s="1"/>
      <c r="D245" s="1"/>
      <c r="E245" s="1"/>
      <c r="F245" s="1"/>
      <c r="G245" s="1"/>
      <c r="I245" s="1"/>
      <c r="J245" s="1"/>
      <c r="K245" s="1"/>
      <c r="L245" s="1"/>
      <c r="M245" s="1"/>
      <c r="N245" s="1"/>
      <c r="O245" s="1"/>
      <c r="P245" s="1"/>
      <c r="Q245" s="1"/>
      <c r="R245" s="1"/>
      <c r="S245" s="1"/>
      <c r="T245" s="1"/>
      <c r="U245" s="1"/>
      <c r="V245" s="1"/>
      <c r="W245" s="1"/>
      <c r="X245" s="1"/>
      <c r="Y245" s="1"/>
      <c r="Z245" s="1"/>
      <c r="AA245" s="1"/>
      <c r="AB245" s="1"/>
      <c r="AC245" s="1"/>
    </row>
    <row r="246" spans="1:29">
      <c r="A246" s="1"/>
      <c r="B246" s="1"/>
      <c r="C246" s="1"/>
      <c r="D246" s="1"/>
      <c r="E246" s="1"/>
      <c r="F246" s="1"/>
      <c r="G246" s="1"/>
      <c r="I246" s="1"/>
      <c r="J246" s="1"/>
      <c r="K246" s="1"/>
      <c r="L246" s="1"/>
      <c r="M246" s="1"/>
      <c r="N246" s="1"/>
      <c r="O246" s="1"/>
      <c r="P246" s="1"/>
      <c r="Q246" s="1"/>
      <c r="R246" s="1"/>
      <c r="S246" s="1"/>
      <c r="T246" s="1"/>
      <c r="U246" s="1"/>
      <c r="V246" s="1"/>
      <c r="W246" s="1"/>
      <c r="X246" s="1"/>
      <c r="Y246" s="1"/>
      <c r="Z246" s="1"/>
      <c r="AA246" s="1"/>
      <c r="AB246" s="1"/>
      <c r="AC246" s="1"/>
    </row>
    <row r="247" spans="1:29">
      <c r="A247" s="1"/>
      <c r="B247" s="1"/>
      <c r="C247" s="1"/>
      <c r="D247" s="1"/>
      <c r="E247" s="1"/>
      <c r="F247" s="1"/>
      <c r="G247" s="1"/>
      <c r="I247" s="1"/>
      <c r="J247" s="1"/>
      <c r="K247" s="1"/>
      <c r="L247" s="1"/>
      <c r="M247" s="1"/>
      <c r="N247" s="1"/>
      <c r="O247" s="1"/>
      <c r="P247" s="1"/>
      <c r="Q247" s="1"/>
      <c r="R247" s="1"/>
      <c r="S247" s="1"/>
      <c r="T247" s="1"/>
      <c r="U247" s="1"/>
      <c r="V247" s="1"/>
      <c r="W247" s="1"/>
      <c r="X247" s="1"/>
      <c r="Y247" s="1"/>
      <c r="Z247" s="1"/>
      <c r="AA247" s="1"/>
      <c r="AB247" s="1"/>
      <c r="AC247" s="1"/>
    </row>
    <row r="248" spans="1:29">
      <c r="A248" s="1"/>
      <c r="B248" s="1"/>
      <c r="C248" s="1"/>
      <c r="D248" s="1"/>
      <c r="E248" s="1"/>
      <c r="F248" s="1"/>
      <c r="G248" s="1"/>
      <c r="I248" s="1"/>
      <c r="J248" s="1"/>
      <c r="K248" s="1"/>
      <c r="L248" s="1"/>
      <c r="M248" s="1"/>
      <c r="N248" s="1"/>
      <c r="O248" s="1"/>
      <c r="P248" s="1"/>
      <c r="Q248" s="1"/>
      <c r="R248" s="1"/>
      <c r="S248" s="1"/>
      <c r="T248" s="1"/>
      <c r="U248" s="1"/>
      <c r="V248" s="1"/>
      <c r="W248" s="1"/>
      <c r="X248" s="1"/>
      <c r="Y248" s="1"/>
      <c r="Z248" s="1"/>
      <c r="AA248" s="1"/>
      <c r="AB248" s="1"/>
      <c r="AC248" s="1"/>
    </row>
    <row r="249" spans="1:29">
      <c r="A249" s="1"/>
      <c r="B249" s="1"/>
      <c r="C249" s="1"/>
      <c r="D249" s="1"/>
      <c r="E249" s="1"/>
      <c r="F249" s="1"/>
      <c r="G249" s="1"/>
      <c r="I249" s="1"/>
      <c r="J249" s="1"/>
      <c r="K249" s="1"/>
      <c r="L249" s="1"/>
      <c r="M249" s="1"/>
      <c r="N249" s="1"/>
      <c r="O249" s="1"/>
      <c r="P249" s="1"/>
      <c r="Q249" s="1"/>
      <c r="R249" s="1"/>
      <c r="S249" s="1"/>
      <c r="T249" s="1"/>
      <c r="U249" s="1"/>
      <c r="V249" s="1"/>
      <c r="W249" s="1"/>
      <c r="X249" s="1"/>
      <c r="Y249" s="1"/>
      <c r="Z249" s="1"/>
      <c r="AA249" s="1"/>
      <c r="AB249" s="1"/>
      <c r="AC249" s="1"/>
    </row>
    <row r="250" spans="1:29">
      <c r="A250" s="1"/>
      <c r="B250" s="1"/>
      <c r="C250" s="1"/>
      <c r="D250" s="1"/>
      <c r="E250" s="1"/>
      <c r="F250" s="1"/>
      <c r="G250" s="1"/>
      <c r="I250" s="1"/>
      <c r="J250" s="1"/>
      <c r="K250" s="1"/>
      <c r="L250" s="1"/>
      <c r="M250" s="1"/>
      <c r="N250" s="1"/>
      <c r="O250" s="1"/>
      <c r="P250" s="1"/>
      <c r="Q250" s="1"/>
      <c r="R250" s="1"/>
      <c r="S250" s="1"/>
      <c r="T250" s="1"/>
      <c r="U250" s="1"/>
      <c r="V250" s="1"/>
      <c r="W250" s="1"/>
      <c r="X250" s="1"/>
      <c r="Y250" s="1"/>
      <c r="Z250" s="1"/>
      <c r="AA250" s="1"/>
      <c r="AB250" s="1"/>
      <c r="AC250" s="1"/>
    </row>
    <row r="251" spans="1:29">
      <c r="A251" s="1"/>
      <c r="B251" s="1"/>
      <c r="C251" s="1"/>
      <c r="D251" s="1"/>
      <c r="E251" s="1"/>
      <c r="F251" s="1"/>
      <c r="G251" s="1"/>
      <c r="I251" s="1"/>
      <c r="J251" s="1"/>
      <c r="K251" s="1"/>
      <c r="L251" s="1"/>
      <c r="M251" s="1"/>
      <c r="N251" s="1"/>
      <c r="O251" s="1"/>
      <c r="P251" s="1"/>
      <c r="Q251" s="1"/>
      <c r="R251" s="1"/>
      <c r="S251" s="1"/>
      <c r="T251" s="1"/>
      <c r="U251" s="1"/>
      <c r="V251" s="1"/>
      <c r="W251" s="1"/>
      <c r="X251" s="1"/>
      <c r="Y251" s="1"/>
      <c r="Z251" s="1"/>
      <c r="AA251" s="1"/>
      <c r="AB251" s="1"/>
      <c r="AC251" s="1"/>
    </row>
    <row r="252" spans="1:29">
      <c r="A252" s="1"/>
      <c r="B252" s="1"/>
      <c r="C252" s="1"/>
      <c r="D252" s="1"/>
      <c r="E252" s="1"/>
      <c r="F252" s="1"/>
      <c r="G252" s="1"/>
      <c r="I252" s="1"/>
      <c r="J252" s="1"/>
      <c r="K252" s="1"/>
      <c r="L252" s="1"/>
      <c r="M252" s="1"/>
      <c r="N252" s="1"/>
      <c r="O252" s="1"/>
      <c r="P252" s="1"/>
      <c r="Q252" s="1"/>
      <c r="R252" s="1"/>
      <c r="S252" s="1"/>
      <c r="T252" s="1"/>
      <c r="U252" s="1"/>
      <c r="V252" s="1"/>
      <c r="W252" s="1"/>
      <c r="X252" s="1"/>
      <c r="Y252" s="1"/>
      <c r="Z252" s="1"/>
      <c r="AA252" s="1"/>
      <c r="AB252" s="1"/>
      <c r="AC252" s="1"/>
    </row>
    <row r="253" spans="1:29">
      <c r="A253" s="1"/>
      <c r="B253" s="1"/>
      <c r="C253" s="1"/>
      <c r="D253" s="1"/>
      <c r="E253" s="1"/>
      <c r="F253" s="1"/>
      <c r="G253" s="1"/>
      <c r="I253" s="1"/>
      <c r="J253" s="1"/>
      <c r="K253" s="1"/>
      <c r="L253" s="1"/>
      <c r="M253" s="1"/>
      <c r="N253" s="1"/>
      <c r="O253" s="1"/>
      <c r="P253" s="1"/>
      <c r="Q253" s="1"/>
      <c r="R253" s="1"/>
      <c r="S253" s="1"/>
      <c r="T253" s="1"/>
      <c r="U253" s="1"/>
      <c r="V253" s="1"/>
      <c r="W253" s="1"/>
      <c r="X253" s="1"/>
      <c r="Y253" s="1"/>
      <c r="Z253" s="1"/>
      <c r="AA253" s="1"/>
      <c r="AB253" s="1"/>
      <c r="AC253" s="1"/>
    </row>
    <row r="254" spans="1:29">
      <c r="A254" s="1"/>
      <c r="B254" s="1"/>
      <c r="C254" s="1"/>
      <c r="D254" s="1"/>
      <c r="E254" s="1"/>
      <c r="F254" s="1"/>
      <c r="G254" s="1"/>
      <c r="I254" s="1"/>
      <c r="J254" s="1"/>
      <c r="K254" s="1"/>
      <c r="L254" s="1"/>
      <c r="M254" s="1"/>
      <c r="N254" s="1"/>
      <c r="O254" s="1"/>
      <c r="P254" s="1"/>
      <c r="Q254" s="1"/>
      <c r="R254" s="1"/>
      <c r="S254" s="1"/>
      <c r="T254" s="1"/>
      <c r="U254" s="1"/>
      <c r="V254" s="1"/>
      <c r="W254" s="1"/>
      <c r="X254" s="1"/>
      <c r="Y254" s="1"/>
      <c r="Z254" s="1"/>
      <c r="AA254" s="1"/>
      <c r="AB254" s="1"/>
      <c r="AC254" s="1"/>
    </row>
    <row r="255" spans="1:29">
      <c r="A255" s="1"/>
      <c r="B255" s="1"/>
      <c r="C255" s="1"/>
      <c r="D255" s="1"/>
      <c r="E255" s="1"/>
      <c r="F255" s="1"/>
      <c r="G255" s="1"/>
      <c r="I255" s="1"/>
      <c r="J255" s="1"/>
      <c r="K255" s="1"/>
      <c r="L255" s="1"/>
      <c r="M255" s="1"/>
      <c r="N255" s="1"/>
      <c r="O255" s="1"/>
      <c r="P255" s="1"/>
      <c r="Q255" s="1"/>
      <c r="R255" s="1"/>
      <c r="S255" s="1"/>
      <c r="T255" s="1"/>
      <c r="U255" s="1"/>
      <c r="V255" s="1"/>
      <c r="W255" s="1"/>
      <c r="X255" s="1"/>
      <c r="Y255" s="1"/>
      <c r="Z255" s="1"/>
      <c r="AA255" s="1"/>
      <c r="AB255" s="1"/>
      <c r="AC255" s="1"/>
    </row>
    <row r="256" spans="1:29">
      <c r="A256" s="1"/>
      <c r="B256" s="1"/>
      <c r="C256" s="1"/>
      <c r="D256" s="1"/>
      <c r="E256" s="1"/>
      <c r="F256" s="1"/>
      <c r="G256" s="1"/>
      <c r="I256" s="1"/>
      <c r="J256" s="1"/>
      <c r="K256" s="1"/>
      <c r="L256" s="1"/>
      <c r="M256" s="1"/>
      <c r="N256" s="1"/>
      <c r="O256" s="1"/>
      <c r="P256" s="1"/>
      <c r="Q256" s="1"/>
      <c r="R256" s="1"/>
      <c r="S256" s="1"/>
      <c r="T256" s="1"/>
      <c r="U256" s="1"/>
      <c r="V256" s="1"/>
      <c r="W256" s="1"/>
      <c r="X256" s="1"/>
      <c r="Y256" s="1"/>
      <c r="Z256" s="1"/>
      <c r="AA256" s="1"/>
      <c r="AB256" s="1"/>
      <c r="AC256" s="1"/>
    </row>
    <row r="257" spans="1:29">
      <c r="A257" s="1"/>
      <c r="B257" s="1"/>
      <c r="C257" s="1"/>
      <c r="D257" s="1"/>
      <c r="E257" s="1"/>
      <c r="F257" s="1"/>
      <c r="G257" s="1"/>
      <c r="I257" s="1"/>
      <c r="J257" s="1"/>
      <c r="K257" s="1"/>
      <c r="L257" s="1"/>
      <c r="M257" s="1"/>
      <c r="N257" s="1"/>
      <c r="O257" s="1"/>
      <c r="P257" s="1"/>
      <c r="Q257" s="1"/>
      <c r="R257" s="1"/>
      <c r="S257" s="1"/>
      <c r="T257" s="1"/>
      <c r="U257" s="1"/>
      <c r="V257" s="1"/>
      <c r="W257" s="1"/>
      <c r="X257" s="1"/>
      <c r="Y257" s="1"/>
      <c r="Z257" s="1"/>
      <c r="AA257" s="1"/>
      <c r="AB257" s="1"/>
      <c r="AC257" s="1"/>
    </row>
    <row r="258" spans="1:29">
      <c r="A258" s="1"/>
      <c r="B258" s="1"/>
      <c r="C258" s="1"/>
      <c r="D258" s="1"/>
      <c r="E258" s="1"/>
      <c r="F258" s="1"/>
      <c r="G258" s="1"/>
      <c r="I258" s="1"/>
      <c r="J258" s="1"/>
      <c r="K258" s="1"/>
      <c r="L258" s="1"/>
      <c r="M258" s="1"/>
      <c r="N258" s="1"/>
      <c r="O258" s="1"/>
      <c r="P258" s="1"/>
      <c r="Q258" s="1"/>
      <c r="R258" s="1"/>
      <c r="S258" s="1"/>
      <c r="T258" s="1"/>
      <c r="U258" s="1"/>
      <c r="V258" s="1"/>
      <c r="W258" s="1"/>
      <c r="X258" s="1"/>
      <c r="Y258" s="1"/>
      <c r="Z258" s="1"/>
      <c r="AA258" s="1"/>
      <c r="AB258" s="1"/>
      <c r="AC258" s="1"/>
    </row>
    <row r="259" spans="1:29">
      <c r="A259" s="1"/>
      <c r="B259" s="1"/>
      <c r="C259" s="1"/>
      <c r="D259" s="1"/>
      <c r="E259" s="1"/>
      <c r="F259" s="1"/>
      <c r="G259" s="1"/>
      <c r="I259" s="1"/>
      <c r="J259" s="1"/>
      <c r="K259" s="1"/>
      <c r="L259" s="1"/>
      <c r="M259" s="1"/>
      <c r="N259" s="1"/>
      <c r="O259" s="1"/>
      <c r="P259" s="1"/>
      <c r="Q259" s="1"/>
      <c r="R259" s="1"/>
      <c r="S259" s="1"/>
      <c r="T259" s="1"/>
      <c r="U259" s="1"/>
      <c r="V259" s="1"/>
      <c r="W259" s="1"/>
      <c r="X259" s="1"/>
      <c r="Y259" s="1"/>
      <c r="Z259" s="1"/>
      <c r="AA259" s="1"/>
      <c r="AB259" s="1"/>
      <c r="AC259" s="1"/>
    </row>
    <row r="260" spans="1:29">
      <c r="A260" s="1"/>
      <c r="B260" s="1"/>
      <c r="C260" s="1"/>
      <c r="D260" s="1"/>
      <c r="E260" s="1"/>
      <c r="F260" s="1"/>
      <c r="G260" s="1"/>
      <c r="I260" s="1"/>
      <c r="J260" s="1"/>
      <c r="K260" s="1"/>
      <c r="L260" s="1"/>
      <c r="M260" s="1"/>
      <c r="N260" s="1"/>
      <c r="O260" s="1"/>
      <c r="P260" s="1"/>
      <c r="Q260" s="1"/>
      <c r="R260" s="1"/>
      <c r="S260" s="1"/>
      <c r="T260" s="1"/>
      <c r="U260" s="1"/>
      <c r="V260" s="1"/>
      <c r="W260" s="1"/>
      <c r="X260" s="1"/>
      <c r="Y260" s="1"/>
      <c r="Z260" s="1"/>
      <c r="AA260" s="1"/>
      <c r="AB260" s="1"/>
      <c r="AC260" s="1"/>
    </row>
    <row r="261" spans="1:29">
      <c r="A261" s="1"/>
      <c r="B261" s="1"/>
      <c r="C261" s="1"/>
      <c r="D261" s="1"/>
      <c r="E261" s="1"/>
      <c r="F261" s="1"/>
      <c r="G261" s="1"/>
      <c r="I261" s="1"/>
      <c r="J261" s="1"/>
      <c r="K261" s="1"/>
      <c r="L261" s="1"/>
      <c r="M261" s="1"/>
      <c r="N261" s="1"/>
      <c r="O261" s="1"/>
      <c r="P261" s="1"/>
      <c r="Q261" s="1"/>
      <c r="R261" s="1"/>
      <c r="S261" s="1"/>
      <c r="T261" s="1"/>
      <c r="U261" s="1"/>
      <c r="V261" s="1"/>
      <c r="W261" s="1"/>
      <c r="X261" s="1"/>
      <c r="Y261" s="1"/>
      <c r="Z261" s="1"/>
      <c r="AA261" s="1"/>
      <c r="AB261" s="1"/>
      <c r="AC261" s="1"/>
    </row>
    <row r="262" spans="1:29">
      <c r="A262" s="1"/>
      <c r="B262" s="1"/>
      <c r="C262" s="1"/>
      <c r="D262" s="1"/>
      <c r="E262" s="1"/>
      <c r="F262" s="1"/>
      <c r="G262" s="1"/>
      <c r="I262" s="1"/>
      <c r="J262" s="1"/>
      <c r="K262" s="1"/>
      <c r="L262" s="1"/>
      <c r="M262" s="1"/>
      <c r="N262" s="1"/>
      <c r="O262" s="1"/>
      <c r="P262" s="1"/>
      <c r="Q262" s="1"/>
      <c r="R262" s="1"/>
      <c r="S262" s="1"/>
      <c r="T262" s="1"/>
      <c r="U262" s="1"/>
      <c r="V262" s="1"/>
      <c r="W262" s="1"/>
      <c r="X262" s="1"/>
      <c r="Y262" s="1"/>
      <c r="Z262" s="1"/>
      <c r="AA262" s="1"/>
      <c r="AB262" s="1"/>
      <c r="AC262" s="1"/>
    </row>
    <row r="263" spans="1:29">
      <c r="A263" s="1"/>
      <c r="B263" s="1"/>
      <c r="C263" s="1"/>
      <c r="D263" s="1"/>
      <c r="E263" s="1"/>
      <c r="F263" s="1"/>
      <c r="G263" s="1"/>
      <c r="I263" s="1"/>
      <c r="J263" s="1"/>
      <c r="K263" s="1"/>
      <c r="L263" s="1"/>
      <c r="M263" s="1"/>
      <c r="N263" s="1"/>
      <c r="O263" s="1"/>
      <c r="P263" s="1"/>
      <c r="Q263" s="1"/>
      <c r="R263" s="1"/>
      <c r="S263" s="1"/>
      <c r="T263" s="1"/>
      <c r="U263" s="1"/>
      <c r="V263" s="1"/>
      <c r="W263" s="1"/>
      <c r="X263" s="1"/>
      <c r="Y263" s="1"/>
      <c r="Z263" s="1"/>
      <c r="AA263" s="1"/>
      <c r="AB263" s="1"/>
      <c r="AC263" s="1"/>
    </row>
    <row r="264" spans="1:29">
      <c r="A264" s="1"/>
      <c r="B264" s="1"/>
      <c r="C264" s="1"/>
      <c r="D264" s="1"/>
      <c r="E264" s="1"/>
      <c r="F264" s="1"/>
      <c r="G264" s="1"/>
      <c r="I264" s="1"/>
      <c r="J264" s="1"/>
      <c r="K264" s="1"/>
      <c r="L264" s="1"/>
      <c r="M264" s="1"/>
      <c r="N264" s="1"/>
      <c r="O264" s="1"/>
      <c r="P264" s="1"/>
      <c r="Q264" s="1"/>
      <c r="R264" s="1"/>
      <c r="S264" s="1"/>
      <c r="T264" s="1"/>
      <c r="U264" s="1"/>
      <c r="V264" s="1"/>
      <c r="W264" s="1"/>
      <c r="X264" s="1"/>
      <c r="Y264" s="1"/>
      <c r="Z264" s="1"/>
      <c r="AA264" s="1"/>
      <c r="AB264" s="1"/>
      <c r="AC264" s="1"/>
    </row>
    <row r="265" spans="1:29">
      <c r="A265" s="1"/>
      <c r="B265" s="1"/>
      <c r="C265" s="1"/>
      <c r="D265" s="1"/>
      <c r="E265" s="1"/>
      <c r="F265" s="1"/>
      <c r="G265" s="1"/>
      <c r="I265" s="1"/>
      <c r="J265" s="1"/>
      <c r="K265" s="1"/>
      <c r="L265" s="1"/>
      <c r="M265" s="1"/>
      <c r="N265" s="1"/>
      <c r="O265" s="1"/>
      <c r="P265" s="1"/>
      <c r="Q265" s="1"/>
      <c r="R265" s="1"/>
      <c r="S265" s="1"/>
      <c r="T265" s="1"/>
      <c r="U265" s="1"/>
      <c r="V265" s="1"/>
      <c r="W265" s="1"/>
      <c r="X265" s="1"/>
      <c r="Y265" s="1"/>
      <c r="Z265" s="1"/>
      <c r="AA265" s="1"/>
      <c r="AB265" s="1"/>
      <c r="AC265" s="1"/>
    </row>
    <row r="266" spans="1:29">
      <c r="A266" s="1"/>
      <c r="B266" s="1"/>
      <c r="C266" s="1"/>
      <c r="D266" s="1"/>
      <c r="E266" s="1"/>
      <c r="F266" s="1"/>
      <c r="G266" s="1"/>
      <c r="I266" s="1"/>
      <c r="J266" s="1"/>
      <c r="K266" s="1"/>
      <c r="L266" s="1"/>
      <c r="M266" s="1"/>
      <c r="N266" s="1"/>
      <c r="O266" s="1"/>
      <c r="P266" s="1"/>
      <c r="Q266" s="1"/>
      <c r="R266" s="1"/>
      <c r="S266" s="1"/>
      <c r="T266" s="1"/>
      <c r="U266" s="1"/>
      <c r="V266" s="1"/>
      <c r="W266" s="1"/>
      <c r="X266" s="1"/>
      <c r="Y266" s="1"/>
      <c r="Z266" s="1"/>
      <c r="AA266" s="1"/>
      <c r="AB266" s="1"/>
      <c r="AC266" s="1"/>
    </row>
    <row r="267" spans="1:29">
      <c r="A267" s="1"/>
      <c r="B267" s="1"/>
      <c r="C267" s="1"/>
      <c r="D267" s="1"/>
      <c r="E267" s="1"/>
      <c r="F267" s="1"/>
      <c r="G267" s="1"/>
      <c r="I267" s="1"/>
      <c r="J267" s="1"/>
      <c r="K267" s="1"/>
      <c r="L267" s="1"/>
      <c r="M267" s="1"/>
      <c r="N267" s="1"/>
      <c r="O267" s="1"/>
      <c r="P267" s="1"/>
      <c r="Q267" s="1"/>
      <c r="R267" s="1"/>
      <c r="S267" s="1"/>
      <c r="T267" s="1"/>
      <c r="U267" s="1"/>
      <c r="V267" s="1"/>
      <c r="W267" s="1"/>
      <c r="X267" s="1"/>
      <c r="Y267" s="1"/>
      <c r="Z267" s="1"/>
      <c r="AA267" s="1"/>
      <c r="AB267" s="1"/>
      <c r="AC267" s="1"/>
    </row>
    <row r="268" spans="1:29">
      <c r="A268" s="1"/>
      <c r="B268" s="1"/>
      <c r="C268" s="1"/>
      <c r="D268" s="1"/>
      <c r="E268" s="1"/>
      <c r="F268" s="1"/>
      <c r="G268" s="1"/>
    </row>
    <row r="269" spans="1:29">
      <c r="A269" s="1"/>
      <c r="B269" s="1"/>
      <c r="C269" s="1"/>
      <c r="D269" s="1"/>
      <c r="E269" s="1"/>
      <c r="F269" s="1"/>
      <c r="G269" s="1"/>
    </row>
    <row r="270" spans="1:29">
      <c r="A270" s="1"/>
      <c r="B270" s="1"/>
      <c r="C270" s="1"/>
      <c r="D270" s="1"/>
      <c r="E270" s="1"/>
      <c r="F270" s="1"/>
      <c r="G270" s="1"/>
    </row>
    <row r="271" spans="1:29">
      <c r="A271" s="1"/>
      <c r="B271" s="1"/>
      <c r="C271" s="1"/>
      <c r="D271" s="1"/>
      <c r="E271" s="1"/>
      <c r="F271" s="1"/>
      <c r="G271" s="1"/>
    </row>
    <row r="272" spans="1:29">
      <c r="A272" s="1"/>
      <c r="B272" s="1"/>
      <c r="C272" s="1"/>
      <c r="D272" s="1"/>
      <c r="E272" s="1"/>
      <c r="F272" s="1"/>
      <c r="G272" s="1"/>
    </row>
    <row r="273" spans="1:7">
      <c r="A273" s="1"/>
      <c r="B273" s="1"/>
      <c r="C273" s="1"/>
      <c r="D273" s="1"/>
      <c r="E273" s="1"/>
      <c r="F273" s="1"/>
      <c r="G273" s="1"/>
    </row>
    <row r="274" spans="1:7">
      <c r="A274" s="1"/>
      <c r="B274" s="1"/>
      <c r="C274" s="1"/>
      <c r="D274" s="1"/>
      <c r="E274" s="1"/>
      <c r="F274" s="1"/>
      <c r="G274" s="1"/>
    </row>
    <row r="275" spans="1:7">
      <c r="A275" s="1"/>
      <c r="B275" s="1"/>
      <c r="C275" s="1"/>
      <c r="D275" s="1"/>
      <c r="E275" s="1"/>
      <c r="F275" s="1"/>
      <c r="G275" s="1"/>
    </row>
    <row r="276" spans="1:7">
      <c r="A276" s="1"/>
      <c r="B276" s="1"/>
      <c r="C276" s="1"/>
      <c r="D276" s="1"/>
      <c r="E276" s="1"/>
      <c r="F276" s="1"/>
      <c r="G276" s="1"/>
    </row>
    <row r="277" spans="1:7">
      <c r="A277" s="1"/>
      <c r="B277" s="1"/>
      <c r="C277" s="1"/>
      <c r="D277" s="1"/>
      <c r="E277" s="1"/>
      <c r="F277" s="1"/>
      <c r="G277" s="1"/>
    </row>
    <row r="278" spans="1:7">
      <c r="A278" s="1"/>
      <c r="B278" s="1"/>
      <c r="C278" s="1"/>
      <c r="D278" s="1"/>
      <c r="E278" s="1"/>
      <c r="F278" s="1"/>
      <c r="G278" s="1"/>
    </row>
    <row r="279" spans="1:7">
      <c r="A279" s="1"/>
      <c r="B279" s="1"/>
      <c r="C279" s="1"/>
      <c r="D279" s="1"/>
      <c r="E279" s="1"/>
      <c r="F279" s="1"/>
      <c r="G279" s="1"/>
    </row>
    <row r="280" spans="1:7">
      <c r="A280" s="1"/>
      <c r="B280" s="1"/>
      <c r="C280" s="1"/>
      <c r="D280" s="1"/>
      <c r="E280" s="1"/>
      <c r="F280" s="1"/>
      <c r="G280" s="1"/>
    </row>
    <row r="281" spans="1:7">
      <c r="A281" s="1"/>
      <c r="B281" s="1"/>
      <c r="C281" s="1"/>
      <c r="D281" s="1"/>
      <c r="E281" s="1"/>
      <c r="F281" s="1"/>
      <c r="G281" s="1"/>
    </row>
    <row r="282" spans="1:7">
      <c r="A282" s="1"/>
      <c r="B282" s="1"/>
      <c r="C282" s="1"/>
      <c r="D282" s="1"/>
      <c r="E282" s="1"/>
      <c r="F282" s="1"/>
      <c r="G282" s="1"/>
    </row>
    <row r="283" spans="1:7">
      <c r="A283" s="1"/>
      <c r="B283" s="1"/>
      <c r="C283" s="1"/>
      <c r="D283" s="1"/>
      <c r="E283" s="1"/>
      <c r="F283" s="1"/>
      <c r="G283" s="1"/>
    </row>
    <row r="284" spans="1:7">
      <c r="A284" s="1"/>
      <c r="B284" s="1"/>
      <c r="C284" s="1"/>
      <c r="D284" s="1"/>
      <c r="E284" s="1"/>
      <c r="F284" s="1"/>
      <c r="G284" s="1"/>
    </row>
    <row r="285" spans="1:7">
      <c r="A285" s="1"/>
      <c r="B285" s="1"/>
      <c r="C285" s="1"/>
      <c r="D285" s="1"/>
      <c r="E285" s="1"/>
      <c r="F285" s="1"/>
      <c r="G285" s="1"/>
    </row>
    <row r="286" spans="1:7">
      <c r="A286" s="1"/>
      <c r="B286" s="1"/>
      <c r="C286" s="1"/>
      <c r="D286" s="1"/>
      <c r="E286" s="1"/>
      <c r="F286" s="1"/>
      <c r="G286" s="1"/>
    </row>
    <row r="287" spans="1:7">
      <c r="A287" s="1"/>
      <c r="B287" s="1"/>
      <c r="C287" s="1"/>
      <c r="D287" s="1"/>
      <c r="E287" s="1"/>
      <c r="F287" s="1"/>
      <c r="G287" s="1"/>
    </row>
    <row r="288" spans="1:7">
      <c r="A288" s="1"/>
      <c r="B288" s="1"/>
      <c r="C288" s="1"/>
      <c r="D288" s="1"/>
      <c r="E288" s="1"/>
      <c r="F288" s="1"/>
      <c r="G288" s="1"/>
    </row>
    <row r="289" spans="1:7">
      <c r="A289" s="1"/>
      <c r="B289" s="1"/>
      <c r="C289" s="1"/>
      <c r="D289" s="1"/>
      <c r="E289" s="1"/>
      <c r="F289" s="1"/>
      <c r="G289" s="1"/>
    </row>
    <row r="290" spans="1:7">
      <c r="A290" s="1"/>
      <c r="B290" s="1"/>
      <c r="C290" s="1"/>
      <c r="D290" s="1"/>
      <c r="E290" s="1"/>
      <c r="F290" s="1"/>
      <c r="G290" s="1"/>
    </row>
    <row r="291" spans="1:7">
      <c r="A291" s="1"/>
      <c r="B291" s="1"/>
      <c r="C291" s="1"/>
      <c r="D291" s="1"/>
      <c r="E291" s="1"/>
      <c r="F291" s="1"/>
      <c r="G291" s="1"/>
    </row>
    <row r="292" spans="1:7">
      <c r="A292" s="1"/>
      <c r="B292" s="1"/>
      <c r="C292" s="1"/>
      <c r="D292" s="1"/>
      <c r="E292" s="1"/>
      <c r="F292" s="1"/>
      <c r="G292" s="1"/>
    </row>
    <row r="293" spans="1:7">
      <c r="A293" s="1"/>
      <c r="B293" s="1"/>
      <c r="C293" s="1"/>
      <c r="D293" s="1"/>
      <c r="E293" s="1"/>
      <c r="F293" s="1"/>
      <c r="G293" s="1"/>
    </row>
    <row r="294" spans="1:7">
      <c r="A294" s="1"/>
      <c r="B294" s="1"/>
      <c r="C294" s="1"/>
      <c r="D294" s="1"/>
      <c r="E294" s="1"/>
      <c r="F294" s="1"/>
      <c r="G294" s="1"/>
    </row>
    <row r="295" spans="1:7">
      <c r="A295" s="1"/>
      <c r="B295" s="1"/>
      <c r="C295" s="1"/>
      <c r="D295" s="1"/>
      <c r="E295" s="1"/>
      <c r="F295" s="1"/>
      <c r="G295" s="1"/>
    </row>
    <row r="296" spans="1:7">
      <c r="A296" s="1"/>
      <c r="B296" s="1"/>
      <c r="C296" s="1"/>
      <c r="D296" s="1"/>
      <c r="E296" s="1"/>
      <c r="F296" s="1"/>
      <c r="G296" s="1"/>
    </row>
    <row r="297" spans="1:7">
      <c r="A297" s="1"/>
      <c r="B297" s="1"/>
      <c r="C297" s="1"/>
      <c r="D297" s="1"/>
      <c r="E297" s="1"/>
      <c r="F297" s="1"/>
      <c r="G297" s="1"/>
    </row>
    <row r="298" spans="1:7">
      <c r="A298" s="1"/>
      <c r="B298" s="1"/>
      <c r="C298" s="1"/>
      <c r="D298" s="1"/>
      <c r="E298" s="1"/>
      <c r="F298" s="1"/>
      <c r="G298" s="1"/>
    </row>
    <row r="299" spans="1:7">
      <c r="A299" s="1"/>
      <c r="B299" s="1"/>
      <c r="C299" s="1"/>
      <c r="D299" s="1"/>
      <c r="E299" s="1"/>
      <c r="F299" s="1"/>
      <c r="G299" s="1"/>
    </row>
    <row r="300" spans="1:7">
      <c r="A300" s="1"/>
      <c r="B300" s="1"/>
      <c r="C300" s="1"/>
      <c r="D300" s="1"/>
      <c r="E300" s="1"/>
      <c r="F300" s="1"/>
      <c r="G300" s="1"/>
    </row>
    <row r="301" spans="1:7">
      <c r="A301" s="1"/>
      <c r="B301" s="1"/>
      <c r="C301" s="1"/>
      <c r="D301" s="1"/>
      <c r="E301" s="1"/>
      <c r="F301" s="1"/>
      <c r="G301" s="1"/>
    </row>
    <row r="302" spans="1:7">
      <c r="A302" s="1"/>
      <c r="B302" s="1"/>
      <c r="C302" s="1"/>
      <c r="D302" s="1"/>
      <c r="E302" s="1"/>
      <c r="F302" s="1"/>
      <c r="G302" s="1"/>
    </row>
    <row r="303" spans="1:7">
      <c r="A303" s="1"/>
      <c r="B303" s="1"/>
      <c r="C303" s="1"/>
      <c r="D303" s="1"/>
      <c r="E303" s="1"/>
      <c r="F303" s="1"/>
      <c r="G303" s="1"/>
    </row>
    <row r="304" spans="1:7">
      <c r="A304" s="1"/>
      <c r="B304" s="1"/>
      <c r="C304" s="1"/>
      <c r="D304" s="1"/>
      <c r="E304" s="1"/>
      <c r="F304" s="1"/>
      <c r="G304" s="1"/>
    </row>
    <row r="305" spans="1:7">
      <c r="A305" s="1"/>
      <c r="B305" s="1"/>
      <c r="C305" s="1"/>
      <c r="D305" s="1"/>
      <c r="E305" s="1"/>
      <c r="F305" s="1"/>
      <c r="G305" s="1"/>
    </row>
    <row r="306" spans="1:7">
      <c r="A306" s="1"/>
      <c r="B306" s="1"/>
      <c r="C306" s="1"/>
      <c r="D306" s="1"/>
      <c r="E306" s="1"/>
      <c r="F306" s="1"/>
      <c r="G306" s="1"/>
    </row>
    <row r="307" spans="1:7">
      <c r="A307" s="1"/>
      <c r="B307" s="1"/>
      <c r="C307" s="1"/>
      <c r="D307" s="1"/>
      <c r="E307" s="1"/>
      <c r="F307" s="1"/>
      <c r="G307" s="1"/>
    </row>
    <row r="308" spans="1:7">
      <c r="A308" s="1"/>
      <c r="B308" s="1"/>
      <c r="C308" s="1"/>
      <c r="D308" s="1"/>
      <c r="E308" s="1"/>
      <c r="F308" s="1"/>
      <c r="G308" s="1"/>
    </row>
    <row r="309" spans="1:7">
      <c r="A309" s="1"/>
      <c r="B309" s="1"/>
      <c r="C309" s="1"/>
      <c r="D309" s="1"/>
      <c r="E309" s="1"/>
      <c r="F309" s="1"/>
      <c r="G309" s="1"/>
    </row>
    <row r="310" spans="1:7">
      <c r="A310" s="1"/>
      <c r="B310" s="1"/>
      <c r="C310" s="1"/>
      <c r="D310" s="1"/>
      <c r="E310" s="1"/>
      <c r="F310" s="1"/>
      <c r="G310" s="1"/>
    </row>
    <row r="311" spans="1:7">
      <c r="A311" s="1"/>
      <c r="B311" s="1"/>
      <c r="C311" s="1"/>
      <c r="D311" s="1"/>
      <c r="E311" s="1"/>
      <c r="F311" s="1"/>
      <c r="G311" s="1"/>
    </row>
    <row r="312" spans="1:7">
      <c r="A312" s="1"/>
      <c r="B312" s="1"/>
      <c r="C312" s="1"/>
      <c r="D312" s="1"/>
      <c r="E312" s="1"/>
      <c r="F312" s="1"/>
      <c r="G312" s="1"/>
    </row>
    <row r="313" spans="1:7">
      <c r="A313" s="1"/>
      <c r="B313" s="1"/>
      <c r="C313" s="1"/>
      <c r="D313" s="1"/>
      <c r="E313" s="1"/>
      <c r="F313" s="1"/>
      <c r="G313" s="1"/>
    </row>
    <row r="314" spans="1:7">
      <c r="A314" s="1"/>
      <c r="B314" s="1"/>
      <c r="C314" s="1"/>
      <c r="D314" s="1"/>
      <c r="E314" s="1"/>
      <c r="F314" s="1"/>
      <c r="G314" s="1"/>
    </row>
    <row r="315" spans="1:7">
      <c r="A315" s="1"/>
      <c r="B315" s="1"/>
      <c r="C315" s="1"/>
      <c r="D315" s="1"/>
      <c r="E315" s="1"/>
      <c r="F315" s="1"/>
      <c r="G315" s="1"/>
    </row>
    <row r="316" spans="1:7">
      <c r="A316" s="1"/>
      <c r="B316" s="1"/>
      <c r="C316" s="1"/>
      <c r="D316" s="1"/>
      <c r="E316" s="1"/>
      <c r="F316" s="1"/>
      <c r="G316" s="1"/>
    </row>
    <row r="317" spans="1:7">
      <c r="A317" s="1"/>
      <c r="B317" s="1"/>
      <c r="C317" s="1"/>
      <c r="D317" s="1"/>
      <c r="E317" s="1"/>
      <c r="F317" s="1"/>
      <c r="G317" s="1"/>
    </row>
    <row r="318" spans="1:7">
      <c r="A318" s="1"/>
      <c r="B318" s="1"/>
      <c r="C318" s="1"/>
      <c r="D318" s="1"/>
      <c r="E318" s="1"/>
      <c r="F318" s="1"/>
      <c r="G318" s="1"/>
    </row>
    <row r="319" spans="1:7">
      <c r="A319" s="1"/>
      <c r="B319" s="1"/>
      <c r="C319" s="1"/>
      <c r="D319" s="1"/>
      <c r="E319" s="1"/>
      <c r="F319" s="1"/>
      <c r="G319" s="1"/>
    </row>
    <row r="320" spans="1:7">
      <c r="A320" s="1"/>
      <c r="B320" s="1"/>
      <c r="C320" s="1"/>
      <c r="D320" s="1"/>
      <c r="E320" s="1"/>
      <c r="F320" s="1"/>
      <c r="G320" s="1"/>
    </row>
    <row r="321" spans="1:7">
      <c r="A321" s="1"/>
      <c r="B321" s="1"/>
      <c r="C321" s="1"/>
      <c r="D321" s="1"/>
      <c r="E321" s="1"/>
      <c r="F321" s="1"/>
      <c r="G321" s="1"/>
    </row>
    <row r="322" spans="1:7">
      <c r="A322" s="1"/>
      <c r="B322" s="1"/>
      <c r="C322" s="1"/>
      <c r="D322" s="1"/>
      <c r="E322" s="1"/>
      <c r="F322" s="1"/>
      <c r="G322" s="1"/>
    </row>
    <row r="323" spans="1:7">
      <c r="A323" s="1"/>
      <c r="B323" s="1"/>
      <c r="C323" s="1"/>
      <c r="D323" s="1"/>
      <c r="E323" s="1"/>
      <c r="F323" s="1"/>
      <c r="G323" s="1"/>
    </row>
    <row r="324" spans="1:7">
      <c r="A324" s="1"/>
      <c r="B324" s="1"/>
      <c r="C324" s="1"/>
      <c r="D324" s="1"/>
      <c r="E324" s="1"/>
      <c r="F324" s="1"/>
      <c r="G324" s="1"/>
    </row>
    <row r="325" spans="1:7">
      <c r="A325" s="1"/>
      <c r="B325" s="1"/>
      <c r="C325" s="1"/>
      <c r="D325" s="1"/>
      <c r="E325" s="1"/>
      <c r="F325" s="1"/>
      <c r="G325" s="1"/>
    </row>
    <row r="326" spans="1:7">
      <c r="A326" s="1"/>
      <c r="B326" s="1"/>
      <c r="C326" s="1"/>
      <c r="D326" s="1"/>
      <c r="E326" s="1"/>
      <c r="F326" s="1"/>
      <c r="G326" s="1"/>
    </row>
    <row r="327" spans="1:7">
      <c r="A327" s="1"/>
      <c r="B327" s="1"/>
      <c r="C327" s="1"/>
      <c r="D327" s="1"/>
      <c r="E327" s="1"/>
      <c r="F327" s="1"/>
      <c r="G327" s="1"/>
    </row>
    <row r="328" spans="1:7">
      <c r="A328" s="1"/>
      <c r="B328" s="1"/>
      <c r="C328" s="1"/>
      <c r="D328" s="1"/>
      <c r="E328" s="1"/>
      <c r="F328" s="1"/>
      <c r="G328" s="1"/>
    </row>
    <row r="329" spans="1:7">
      <c r="A329" s="1"/>
      <c r="B329" s="1"/>
      <c r="C329" s="1"/>
      <c r="D329" s="1"/>
      <c r="E329" s="1"/>
      <c r="F329" s="1"/>
      <c r="G329" s="1"/>
    </row>
    <row r="330" spans="1:7">
      <c r="A330" s="1"/>
      <c r="B330" s="1"/>
      <c r="C330" s="1"/>
      <c r="D330" s="1"/>
      <c r="E330" s="1"/>
      <c r="F330" s="1"/>
      <c r="G330" s="1"/>
    </row>
    <row r="331" spans="1:7">
      <c r="A331" s="1"/>
      <c r="B331" s="1"/>
      <c r="C331" s="1"/>
      <c r="D331" s="1"/>
      <c r="E331" s="1"/>
      <c r="F331" s="1"/>
      <c r="G331" s="1"/>
    </row>
    <row r="332" spans="1:7">
      <c r="A332" s="1"/>
      <c r="B332" s="1"/>
      <c r="C332" s="1"/>
      <c r="D332" s="1"/>
      <c r="E332" s="1"/>
      <c r="F332" s="1"/>
      <c r="G332" s="1"/>
    </row>
    <row r="333" spans="1:7">
      <c r="A333" s="1"/>
      <c r="B333" s="1"/>
      <c r="C333" s="1"/>
      <c r="D333" s="1"/>
      <c r="E333" s="1"/>
      <c r="F333" s="1"/>
      <c r="G333" s="1"/>
    </row>
    <row r="334" spans="1:7">
      <c r="A334" s="1"/>
      <c r="B334" s="1"/>
      <c r="C334" s="1"/>
      <c r="D334" s="1"/>
      <c r="E334" s="1"/>
      <c r="F334" s="1"/>
      <c r="G334" s="1"/>
    </row>
    <row r="335" spans="1:7">
      <c r="A335" s="1"/>
      <c r="B335" s="1"/>
      <c r="C335" s="1"/>
      <c r="D335" s="1"/>
      <c r="E335" s="1"/>
      <c r="F335" s="1"/>
      <c r="G335" s="1"/>
    </row>
    <row r="336" spans="1:7">
      <c r="A336" s="1"/>
      <c r="B336" s="1"/>
      <c r="C336" s="1"/>
      <c r="D336" s="1"/>
      <c r="E336" s="1"/>
      <c r="F336" s="1"/>
      <c r="G336" s="1"/>
    </row>
    <row r="337" spans="1:7">
      <c r="A337" s="1"/>
      <c r="B337" s="1"/>
      <c r="C337" s="1"/>
      <c r="D337" s="1"/>
      <c r="E337" s="1"/>
      <c r="F337" s="1"/>
      <c r="G337" s="1"/>
    </row>
    <row r="338" spans="1:7">
      <c r="A338" s="1"/>
      <c r="B338" s="1"/>
      <c r="C338" s="1"/>
      <c r="D338" s="1"/>
      <c r="E338" s="1"/>
      <c r="F338" s="1"/>
      <c r="G338" s="1"/>
    </row>
    <row r="339" spans="1:7">
      <c r="A339" s="1"/>
      <c r="B339" s="1"/>
      <c r="C339" s="1"/>
      <c r="D339" s="1"/>
      <c r="E339" s="1"/>
      <c r="F339" s="1"/>
      <c r="G339" s="1"/>
    </row>
    <row r="340" spans="1:7">
      <c r="A340" s="1"/>
      <c r="B340" s="1"/>
      <c r="C340" s="1"/>
      <c r="D340" s="1"/>
      <c r="E340" s="1"/>
      <c r="F340" s="1"/>
      <c r="G340" s="1"/>
    </row>
    <row r="341" spans="1:7">
      <c r="A341" s="1"/>
      <c r="B341" s="1"/>
      <c r="C341" s="1"/>
      <c r="D341" s="1"/>
      <c r="E341" s="1"/>
      <c r="F341" s="1"/>
      <c r="G341" s="1"/>
    </row>
    <row r="342" spans="1:7">
      <c r="A342" s="1"/>
      <c r="B342" s="1"/>
      <c r="C342" s="1"/>
      <c r="D342" s="1"/>
      <c r="E342" s="1"/>
      <c r="F342" s="1"/>
      <c r="G342" s="1"/>
    </row>
    <row r="343" spans="1:7">
      <c r="A343" s="1"/>
      <c r="B343" s="1"/>
      <c r="C343" s="1"/>
      <c r="D343" s="1"/>
      <c r="E343" s="1"/>
      <c r="F343" s="1"/>
      <c r="G343" s="1"/>
    </row>
    <row r="344" spans="1:7">
      <c r="A344" s="1"/>
      <c r="B344" s="1"/>
      <c r="C344" s="1"/>
      <c r="D344" s="1"/>
      <c r="E344" s="1"/>
      <c r="F344" s="1"/>
      <c r="G344" s="1"/>
    </row>
    <row r="345" spans="1:7">
      <c r="A345" s="1"/>
      <c r="B345" s="1"/>
      <c r="C345" s="1"/>
      <c r="D345" s="1"/>
      <c r="E345" s="1"/>
      <c r="F345" s="1"/>
      <c r="G345" s="1"/>
    </row>
    <row r="346" spans="1:7">
      <c r="A346" s="1"/>
      <c r="B346" s="1"/>
      <c r="C346" s="1"/>
      <c r="D346" s="1"/>
      <c r="E346" s="1"/>
      <c r="F346" s="1"/>
      <c r="G346" s="1"/>
    </row>
    <row r="347" spans="1:7">
      <c r="A347" s="1"/>
      <c r="B347" s="1"/>
      <c r="C347" s="1"/>
      <c r="D347" s="1"/>
      <c r="E347" s="1"/>
      <c r="F347" s="1"/>
      <c r="G347" s="1"/>
    </row>
    <row r="348" spans="1:7">
      <c r="A348" s="1"/>
      <c r="B348" s="1"/>
      <c r="C348" s="1"/>
      <c r="D348" s="1"/>
      <c r="E348" s="1"/>
      <c r="F348" s="1"/>
      <c r="G348" s="1"/>
    </row>
    <row r="349" spans="1:7">
      <c r="A349" s="1"/>
      <c r="B349" s="1"/>
      <c r="C349" s="1"/>
      <c r="D349" s="1"/>
      <c r="E349" s="1"/>
      <c r="F349" s="1"/>
      <c r="G349" s="1"/>
    </row>
    <row r="350" spans="1:7">
      <c r="A350" s="1"/>
      <c r="B350" s="1"/>
      <c r="C350" s="1"/>
      <c r="D350" s="1"/>
      <c r="E350" s="1"/>
      <c r="F350" s="1"/>
      <c r="G350" s="1"/>
    </row>
    <row r="351" spans="1:7">
      <c r="A351" s="1"/>
      <c r="B351" s="1"/>
      <c r="C351" s="1"/>
      <c r="D351" s="1"/>
      <c r="E351" s="1"/>
      <c r="F351" s="1"/>
      <c r="G351" s="1"/>
    </row>
    <row r="352" spans="1:7">
      <c r="A352" s="1"/>
      <c r="B352" s="1"/>
      <c r="C352" s="1"/>
      <c r="D352" s="1"/>
      <c r="E352" s="1"/>
      <c r="F352" s="1"/>
      <c r="G352" s="1"/>
    </row>
    <row r="353" spans="1:7">
      <c r="A353" s="1"/>
      <c r="B353" s="1"/>
      <c r="C353" s="1"/>
      <c r="D353" s="1"/>
      <c r="E353" s="1"/>
      <c r="F353" s="1"/>
      <c r="G353" s="1"/>
    </row>
    <row r="354" spans="1:7">
      <c r="A354" s="1"/>
      <c r="B354" s="1"/>
      <c r="C354" s="1"/>
      <c r="D354" s="1"/>
      <c r="E354" s="1"/>
      <c r="F354" s="1"/>
      <c r="G354" s="1"/>
    </row>
    <row r="355" spans="1:7">
      <c r="A355" s="1"/>
      <c r="B355" s="1"/>
      <c r="C355" s="1"/>
      <c r="D355" s="1"/>
      <c r="E355" s="1"/>
      <c r="F355" s="1"/>
      <c r="G355" s="1"/>
    </row>
    <row r="356" spans="1:7">
      <c r="A356" s="1"/>
      <c r="B356" s="1"/>
      <c r="C356" s="1"/>
      <c r="D356" s="1"/>
      <c r="E356" s="1"/>
      <c r="F356" s="1"/>
      <c r="G356" s="1"/>
    </row>
    <row r="357" spans="1:7">
      <c r="A357" s="1"/>
      <c r="B357" s="1"/>
      <c r="C357" s="1"/>
      <c r="D357" s="1"/>
      <c r="E357" s="1"/>
      <c r="F357" s="1"/>
      <c r="G357" s="1"/>
    </row>
    <row r="358" spans="1:7">
      <c r="A358" s="1"/>
      <c r="B358" s="1"/>
      <c r="C358" s="1"/>
      <c r="D358" s="1"/>
      <c r="E358" s="1"/>
      <c r="F358" s="1"/>
      <c r="G358" s="1"/>
    </row>
    <row r="359" spans="1:7">
      <c r="A359" s="1"/>
      <c r="B359" s="1"/>
      <c r="C359" s="1"/>
      <c r="D359" s="1"/>
      <c r="E359" s="1"/>
      <c r="F359" s="1"/>
      <c r="G359" s="1"/>
    </row>
    <row r="360" spans="1:7">
      <c r="A360" s="1"/>
      <c r="B360" s="1"/>
      <c r="C360" s="1"/>
      <c r="D360" s="1"/>
      <c r="E360" s="1"/>
      <c r="F360" s="1"/>
      <c r="G360" s="1"/>
    </row>
    <row r="361" spans="1:7">
      <c r="A361" s="1"/>
      <c r="B361" s="1"/>
      <c r="C361" s="1"/>
      <c r="D361" s="1"/>
      <c r="E361" s="1"/>
      <c r="F361" s="1"/>
      <c r="G361" s="1"/>
    </row>
    <row r="362" spans="1:7">
      <c r="A362" s="1"/>
      <c r="B362" s="1"/>
      <c r="C362" s="1"/>
      <c r="D362" s="1"/>
      <c r="E362" s="1"/>
      <c r="F362" s="1"/>
      <c r="G362" s="1"/>
    </row>
    <row r="363" spans="1:7">
      <c r="A363" s="1"/>
      <c r="B363" s="1"/>
      <c r="C363" s="1"/>
      <c r="D363" s="1"/>
      <c r="E363" s="1"/>
      <c r="F363" s="1"/>
      <c r="G363" s="1"/>
    </row>
    <row r="364" spans="1:7">
      <c r="A364" s="1"/>
      <c r="B364" s="1"/>
      <c r="C364" s="1"/>
      <c r="D364" s="1"/>
      <c r="E364" s="1"/>
      <c r="F364" s="1"/>
      <c r="G364" s="1"/>
    </row>
    <row r="365" spans="1:7">
      <c r="A365" s="1"/>
      <c r="B365" s="1"/>
      <c r="C365" s="1"/>
      <c r="D365" s="1"/>
      <c r="E365" s="1"/>
      <c r="F365" s="1"/>
      <c r="G365" s="1"/>
    </row>
    <row r="366" spans="1:7">
      <c r="A366" s="1"/>
      <c r="B366" s="1"/>
      <c r="C366" s="1"/>
      <c r="D366" s="1"/>
      <c r="E366" s="1"/>
      <c r="F366" s="1"/>
      <c r="G366" s="1"/>
    </row>
    <row r="367" spans="1:7">
      <c r="A367" s="1"/>
      <c r="B367" s="1"/>
      <c r="C367" s="1"/>
      <c r="D367" s="1"/>
      <c r="E367" s="1"/>
      <c r="F367" s="1"/>
      <c r="G367" s="1"/>
    </row>
    <row r="368" spans="1:7">
      <c r="A368" s="1"/>
      <c r="B368" s="1"/>
      <c r="C368" s="1"/>
      <c r="D368" s="1"/>
      <c r="E368" s="1"/>
      <c r="F368" s="1"/>
      <c r="G368" s="1"/>
    </row>
    <row r="369" spans="1:7">
      <c r="A369" s="1"/>
      <c r="B369" s="1"/>
      <c r="C369" s="1"/>
      <c r="D369" s="1"/>
      <c r="E369" s="1"/>
      <c r="F369" s="1"/>
      <c r="G369" s="1"/>
    </row>
    <row r="370" spans="1:7">
      <c r="A370" s="1"/>
      <c r="B370" s="1"/>
      <c r="C370" s="1"/>
      <c r="D370" s="1"/>
      <c r="E370" s="1"/>
      <c r="F370" s="1"/>
      <c r="G370" s="1"/>
    </row>
    <row r="371" spans="1:7">
      <c r="A371" s="1"/>
      <c r="B371" s="1"/>
      <c r="C371" s="1"/>
      <c r="D371" s="1"/>
      <c r="E371" s="1"/>
      <c r="F371" s="1"/>
      <c r="G371" s="1"/>
    </row>
    <row r="372" spans="1:7">
      <c r="A372" s="1"/>
      <c r="B372" s="1"/>
      <c r="C372" s="1"/>
      <c r="D372" s="1"/>
      <c r="E372" s="1"/>
      <c r="F372" s="1"/>
      <c r="G372" s="1"/>
    </row>
    <row r="373" spans="1:7">
      <c r="A373" s="1"/>
      <c r="B373" s="1"/>
      <c r="C373" s="1"/>
      <c r="D373" s="1"/>
      <c r="E373" s="1"/>
      <c r="F373" s="1"/>
      <c r="G373" s="1"/>
    </row>
    <row r="374" spans="1:7">
      <c r="A374" s="1"/>
      <c r="B374" s="1"/>
      <c r="C374" s="1"/>
      <c r="D374" s="1"/>
      <c r="E374" s="1"/>
      <c r="F374" s="1"/>
      <c r="G374" s="1"/>
    </row>
    <row r="375" spans="1:7">
      <c r="A375" s="1"/>
      <c r="B375" s="1"/>
      <c r="C375" s="1"/>
      <c r="D375" s="1"/>
      <c r="E375" s="1"/>
      <c r="F375" s="1"/>
      <c r="G375" s="1"/>
    </row>
    <row r="376" spans="1:7">
      <c r="A376" s="1"/>
      <c r="B376" s="1"/>
      <c r="C376" s="1"/>
      <c r="D376" s="1"/>
      <c r="E376" s="1"/>
      <c r="F376" s="1"/>
      <c r="G376" s="1"/>
    </row>
    <row r="377" spans="1:7">
      <c r="A377" s="1"/>
      <c r="B377" s="1"/>
      <c r="C377" s="1"/>
      <c r="D377" s="1"/>
      <c r="E377" s="1"/>
      <c r="F377" s="1"/>
      <c r="G377" s="1"/>
    </row>
    <row r="378" spans="1:7">
      <c r="A378" s="1"/>
      <c r="B378" s="1"/>
      <c r="C378" s="1"/>
      <c r="D378" s="1"/>
      <c r="E378" s="1"/>
      <c r="F378" s="1"/>
      <c r="G378" s="1"/>
    </row>
    <row r="379" spans="1:7">
      <c r="A379" s="1"/>
      <c r="B379" s="1"/>
      <c r="C379" s="1"/>
      <c r="D379" s="1"/>
      <c r="E379" s="1"/>
      <c r="F379" s="1"/>
      <c r="G379" s="1"/>
    </row>
    <row r="380" spans="1:7">
      <c r="A380" s="1"/>
      <c r="B380" s="1"/>
      <c r="C380" s="1"/>
      <c r="D380" s="1"/>
      <c r="E380" s="1"/>
      <c r="F380" s="1"/>
      <c r="G380" s="1"/>
    </row>
    <row r="381" spans="1:7">
      <c r="A381" s="1"/>
      <c r="B381" s="1"/>
      <c r="C381" s="1"/>
      <c r="D381" s="1"/>
      <c r="E381" s="1"/>
      <c r="F381" s="1"/>
      <c r="G381" s="1"/>
    </row>
    <row r="382" spans="1:7">
      <c r="A382" s="1"/>
      <c r="B382" s="1"/>
      <c r="C382" s="1"/>
      <c r="D382" s="1"/>
      <c r="E382" s="1"/>
      <c r="F382" s="1"/>
      <c r="G382" s="1"/>
    </row>
    <row r="383" spans="1:7">
      <c r="A383" s="1"/>
      <c r="B383" s="1"/>
      <c r="C383" s="1"/>
      <c r="D383" s="1"/>
      <c r="E383" s="1"/>
      <c r="F383" s="1"/>
      <c r="G383" s="1"/>
    </row>
    <row r="384" spans="1:7">
      <c r="A384" s="1"/>
      <c r="B384" s="1"/>
      <c r="C384" s="1"/>
      <c r="D384" s="1"/>
      <c r="E384" s="1"/>
      <c r="F384" s="1"/>
      <c r="G384" s="1"/>
    </row>
    <row r="385" spans="1:7">
      <c r="A385" s="1"/>
      <c r="B385" s="1"/>
      <c r="C385" s="1"/>
      <c r="D385" s="1"/>
      <c r="E385" s="1"/>
      <c r="F385" s="1"/>
      <c r="G385" s="1"/>
    </row>
    <row r="386" spans="1:7">
      <c r="A386" s="1"/>
      <c r="B386" s="1"/>
      <c r="C386" s="1"/>
      <c r="D386" s="1"/>
      <c r="E386" s="1"/>
      <c r="F386" s="1"/>
      <c r="G386" s="1"/>
    </row>
    <row r="387" spans="1:7">
      <c r="A387" s="1"/>
      <c r="B387" s="1"/>
      <c r="C387" s="1"/>
      <c r="D387" s="1"/>
      <c r="E387" s="1"/>
      <c r="F387" s="1"/>
      <c r="G387" s="1"/>
    </row>
    <row r="388" spans="1:7">
      <c r="A388" s="1"/>
      <c r="B388" s="1"/>
      <c r="C388" s="1"/>
      <c r="D388" s="1"/>
      <c r="E388" s="1"/>
      <c r="F388" s="1"/>
      <c r="G388" s="1"/>
    </row>
    <row r="389" spans="1:7">
      <c r="A389" s="1"/>
      <c r="B389" s="1"/>
      <c r="C389" s="1"/>
      <c r="D389" s="1"/>
      <c r="E389" s="1"/>
      <c r="F389" s="1"/>
      <c r="G389" s="1"/>
    </row>
    <row r="390" spans="1:7">
      <c r="A390" s="1"/>
      <c r="B390" s="1"/>
      <c r="C390" s="1"/>
      <c r="D390" s="1"/>
      <c r="E390" s="1"/>
      <c r="F390" s="1"/>
      <c r="G390" s="1"/>
    </row>
    <row r="391" spans="1:7">
      <c r="A391" s="1"/>
      <c r="B391" s="1"/>
      <c r="C391" s="1"/>
      <c r="D391" s="1"/>
      <c r="E391" s="1"/>
      <c r="F391" s="1"/>
      <c r="G391" s="1"/>
    </row>
    <row r="392" spans="1:7">
      <c r="A392" s="1"/>
      <c r="B392" s="1"/>
      <c r="C392" s="1"/>
      <c r="D392" s="1"/>
      <c r="E392" s="1"/>
      <c r="F392" s="1"/>
      <c r="G392" s="1"/>
    </row>
    <row r="393" spans="1:7">
      <c r="A393" s="1"/>
      <c r="B393" s="1"/>
      <c r="C393" s="1"/>
      <c r="D393" s="1"/>
      <c r="E393" s="1"/>
      <c r="F393" s="1"/>
      <c r="G393" s="1"/>
    </row>
    <row r="394" spans="1:7">
      <c r="A394" s="1"/>
      <c r="B394" s="1"/>
      <c r="C394" s="1"/>
      <c r="D394" s="1"/>
      <c r="E394" s="1"/>
      <c r="F394" s="1"/>
      <c r="G394" s="1"/>
    </row>
    <row r="395" spans="1:7">
      <c r="A395" s="1"/>
      <c r="B395" s="1"/>
      <c r="C395" s="1"/>
      <c r="D395" s="1"/>
      <c r="E395" s="1"/>
      <c r="F395" s="1"/>
      <c r="G395" s="1"/>
    </row>
    <row r="396" spans="1:7">
      <c r="A396" s="1"/>
      <c r="B396" s="1"/>
      <c r="C396" s="1"/>
      <c r="D396" s="1"/>
      <c r="E396" s="1"/>
      <c r="F396" s="1"/>
      <c r="G396" s="1"/>
    </row>
    <row r="397" spans="1:7">
      <c r="A397" s="1"/>
      <c r="B397" s="1"/>
      <c r="C397" s="1"/>
      <c r="D397" s="1"/>
      <c r="E397" s="1"/>
      <c r="F397" s="1"/>
      <c r="G397" s="1"/>
    </row>
    <row r="398" spans="1:7">
      <c r="A398" s="1"/>
      <c r="B398" s="1"/>
      <c r="C398" s="1"/>
      <c r="D398" s="1"/>
      <c r="E398" s="1"/>
      <c r="F398" s="1"/>
      <c r="G398" s="1"/>
    </row>
    <row r="399" spans="1:7">
      <c r="A399" s="1"/>
      <c r="B399" s="1"/>
      <c r="C399" s="1"/>
      <c r="D399" s="1"/>
      <c r="E399" s="1"/>
      <c r="F399" s="1"/>
      <c r="G399" s="1"/>
    </row>
    <row r="400" spans="1:7">
      <c r="A400" s="1"/>
      <c r="B400" s="1"/>
      <c r="C400" s="1"/>
      <c r="D400" s="1"/>
      <c r="E400" s="1"/>
      <c r="F400" s="1"/>
      <c r="G400" s="1"/>
    </row>
    <row r="401" spans="1:7">
      <c r="A401" s="1"/>
      <c r="B401" s="1"/>
      <c r="C401" s="1"/>
      <c r="D401" s="1"/>
      <c r="E401" s="1"/>
      <c r="F401" s="1"/>
      <c r="G401" s="1"/>
    </row>
    <row r="402" spans="1:7">
      <c r="A402" s="1"/>
      <c r="B402" s="1"/>
      <c r="C402" s="1"/>
      <c r="D402" s="1"/>
      <c r="E402" s="1"/>
      <c r="F402" s="1"/>
      <c r="G402" s="1"/>
    </row>
    <row r="403" spans="1:7">
      <c r="A403" s="1"/>
      <c r="B403" s="1"/>
      <c r="C403" s="1"/>
      <c r="D403" s="1"/>
      <c r="E403" s="1"/>
      <c r="F403" s="1"/>
      <c r="G403" s="1"/>
    </row>
    <row r="404" spans="1:7">
      <c r="A404" s="1"/>
      <c r="B404" s="1"/>
      <c r="C404" s="1"/>
      <c r="D404" s="1"/>
      <c r="E404" s="1"/>
      <c r="F404" s="1"/>
      <c r="G404" s="1"/>
    </row>
    <row r="405" spans="1:7">
      <c r="A405" s="1"/>
      <c r="B405" s="1"/>
      <c r="C405" s="1"/>
      <c r="D405" s="1"/>
      <c r="E405" s="1"/>
      <c r="F405" s="1"/>
      <c r="G405" s="1"/>
    </row>
    <row r="406" spans="1:7">
      <c r="A406" s="1"/>
      <c r="B406" s="1"/>
      <c r="C406" s="1"/>
      <c r="D406" s="1"/>
      <c r="E406" s="1"/>
      <c r="F406" s="1"/>
      <c r="G406" s="1"/>
    </row>
    <row r="407" spans="1:7">
      <c r="A407" s="1"/>
      <c r="B407" s="1"/>
      <c r="C407" s="1"/>
      <c r="D407" s="1"/>
      <c r="E407" s="1"/>
      <c r="F407" s="1"/>
      <c r="G407" s="1"/>
    </row>
    <row r="408" spans="1:7">
      <c r="A408" s="1"/>
      <c r="B408" s="1"/>
      <c r="C408" s="1"/>
      <c r="D408" s="1"/>
      <c r="E408" s="1"/>
      <c r="F408" s="1"/>
      <c r="G408" s="1"/>
    </row>
    <row r="409" spans="1:7">
      <c r="A409" s="1"/>
      <c r="B409" s="1"/>
      <c r="C409" s="1"/>
      <c r="D409" s="1"/>
      <c r="E409" s="1"/>
      <c r="F409" s="1"/>
      <c r="G409" s="1"/>
    </row>
    <row r="410" spans="1:7">
      <c r="A410" s="1"/>
      <c r="B410" s="1"/>
      <c r="C410" s="1"/>
      <c r="D410" s="1"/>
      <c r="E410" s="1"/>
      <c r="F410" s="1"/>
      <c r="G410" s="1"/>
    </row>
    <row r="411" spans="1:7">
      <c r="A411" s="1"/>
      <c r="B411" s="1"/>
      <c r="C411" s="1"/>
      <c r="D411" s="1"/>
      <c r="E411" s="1"/>
      <c r="F411" s="1"/>
      <c r="G411" s="1"/>
    </row>
    <row r="412" spans="1:7">
      <c r="A412" s="1"/>
      <c r="B412" s="1"/>
      <c r="C412" s="1"/>
      <c r="D412" s="1"/>
      <c r="E412" s="1"/>
      <c r="F412" s="1"/>
      <c r="G412" s="1"/>
    </row>
    <row r="413" spans="1:7">
      <c r="A413" s="1"/>
      <c r="B413" s="1"/>
      <c r="C413" s="1"/>
      <c r="D413" s="1"/>
      <c r="E413" s="1"/>
      <c r="F413" s="1"/>
      <c r="G413" s="1"/>
    </row>
    <row r="414" spans="1:7">
      <c r="A414" s="1"/>
      <c r="B414" s="1"/>
      <c r="C414" s="1"/>
      <c r="D414" s="1"/>
      <c r="E414" s="1"/>
      <c r="F414" s="1"/>
      <c r="G414" s="1"/>
    </row>
    <row r="415" spans="1:7">
      <c r="A415" s="1"/>
      <c r="B415" s="1"/>
      <c r="C415" s="1"/>
      <c r="D415" s="1"/>
      <c r="E415" s="1"/>
      <c r="F415" s="1"/>
      <c r="G415" s="1"/>
    </row>
    <row r="416" spans="1:7">
      <c r="A416" s="1"/>
      <c r="B416" s="1"/>
      <c r="C416" s="1"/>
      <c r="D416" s="1"/>
      <c r="E416" s="1"/>
      <c r="F416" s="1"/>
      <c r="G416" s="1"/>
    </row>
    <row r="417" spans="1:7">
      <c r="A417" s="1"/>
      <c r="B417" s="1"/>
      <c r="C417" s="1"/>
      <c r="D417" s="1"/>
      <c r="E417" s="1"/>
      <c r="F417" s="1"/>
      <c r="G417" s="1"/>
    </row>
    <row r="418" spans="1:7">
      <c r="A418" s="1"/>
      <c r="B418" s="1"/>
      <c r="C418" s="1"/>
      <c r="D418" s="1"/>
      <c r="E418" s="1"/>
      <c r="F418" s="1"/>
      <c r="G418" s="1"/>
    </row>
    <row r="419" spans="1:7">
      <c r="A419" s="1"/>
      <c r="B419" s="1"/>
      <c r="C419" s="1"/>
      <c r="D419" s="1"/>
      <c r="E419" s="1"/>
      <c r="F419" s="1"/>
      <c r="G419" s="1"/>
    </row>
    <row r="420" spans="1:7">
      <c r="A420" s="1"/>
      <c r="B420" s="1"/>
      <c r="C420" s="1"/>
      <c r="D420" s="1"/>
      <c r="E420" s="1"/>
      <c r="F420" s="1"/>
      <c r="G420" s="1"/>
    </row>
    <row r="421" spans="1:7">
      <c r="A421" s="1"/>
      <c r="B421" s="1"/>
      <c r="C421" s="1"/>
      <c r="D421" s="1"/>
      <c r="E421" s="1"/>
      <c r="F421" s="1"/>
      <c r="G421" s="1"/>
    </row>
    <row r="422" spans="1:7">
      <c r="A422" s="1"/>
      <c r="B422" s="1"/>
      <c r="C422" s="1"/>
      <c r="D422" s="1"/>
      <c r="E422" s="1"/>
      <c r="F422" s="1"/>
      <c r="G422" s="1"/>
    </row>
    <row r="423" spans="1:7">
      <c r="A423" s="1"/>
      <c r="B423" s="1"/>
      <c r="C423" s="1"/>
      <c r="D423" s="1"/>
      <c r="E423" s="1"/>
      <c r="F423" s="1"/>
      <c r="G423" s="1"/>
    </row>
    <row r="424" spans="1:7">
      <c r="A424" s="1"/>
      <c r="B424" s="1"/>
      <c r="C424" s="1"/>
      <c r="D424" s="1"/>
      <c r="E424" s="1"/>
      <c r="F424" s="1"/>
      <c r="G424" s="1"/>
    </row>
    <row r="425" spans="1:7">
      <c r="A425" s="1"/>
      <c r="B425" s="1"/>
      <c r="C425" s="1"/>
      <c r="D425" s="1"/>
      <c r="E425" s="1"/>
      <c r="F425" s="1"/>
      <c r="G425" s="1"/>
    </row>
    <row r="426" spans="1:7">
      <c r="A426" s="1"/>
      <c r="B426" s="1"/>
      <c r="C426" s="1"/>
      <c r="D426" s="1"/>
      <c r="E426" s="1"/>
      <c r="F426" s="1"/>
      <c r="G426" s="1"/>
    </row>
    <row r="427" spans="1:7">
      <c r="A427" s="1"/>
      <c r="B427" s="1"/>
      <c r="C427" s="1"/>
      <c r="D427" s="1"/>
      <c r="E427" s="1"/>
      <c r="F427" s="1"/>
      <c r="G427" s="1"/>
    </row>
    <row r="428" spans="1:7">
      <c r="A428" s="1"/>
      <c r="B428" s="1"/>
      <c r="C428" s="1"/>
      <c r="D428" s="1"/>
      <c r="E428" s="1"/>
      <c r="F428" s="1"/>
      <c r="G428" s="1"/>
    </row>
    <row r="429" spans="1:7">
      <c r="A429" s="1"/>
      <c r="B429" s="1"/>
      <c r="C429" s="1"/>
      <c r="D429" s="1"/>
      <c r="E429" s="1"/>
      <c r="F429" s="1"/>
      <c r="G429" s="1"/>
    </row>
    <row r="430" spans="1:7">
      <c r="A430" s="1"/>
      <c r="B430" s="1"/>
      <c r="C430" s="1"/>
      <c r="D430" s="1"/>
      <c r="E430" s="1"/>
      <c r="F430" s="1"/>
      <c r="G430" s="1"/>
    </row>
    <row r="431" spans="1:7">
      <c r="A431" s="1"/>
      <c r="B431" s="1"/>
      <c r="C431" s="1"/>
      <c r="D431" s="1"/>
      <c r="E431" s="1"/>
      <c r="F431" s="1"/>
      <c r="G431" s="1"/>
    </row>
    <row r="432" spans="1:7">
      <c r="A432" s="1"/>
      <c r="B432" s="1"/>
      <c r="C432" s="1"/>
      <c r="D432" s="1"/>
      <c r="E432" s="1"/>
      <c r="F432" s="1"/>
      <c r="G432" s="1"/>
    </row>
    <row r="433" spans="1:7">
      <c r="A433" s="1"/>
      <c r="B433" s="1"/>
      <c r="C433" s="1"/>
      <c r="D433" s="1"/>
      <c r="E433" s="1"/>
      <c r="F433" s="1"/>
      <c r="G433" s="1"/>
    </row>
    <row r="434" spans="1:7">
      <c r="A434" s="1"/>
      <c r="B434" s="1"/>
      <c r="C434" s="1"/>
      <c r="D434" s="1"/>
      <c r="E434" s="1"/>
      <c r="F434" s="1"/>
      <c r="G434" s="1"/>
    </row>
  </sheetData>
  <mergeCells count="6">
    <mergeCell ref="B2:G2"/>
    <mergeCell ref="A1:B1"/>
    <mergeCell ref="C49:G49"/>
    <mergeCell ref="C118:F118"/>
    <mergeCell ref="K1:P1"/>
    <mergeCell ref="K2:P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4.4"/>
  <cols>
    <col min="1" max="1" width="2.44140625" customWidth="1"/>
    <col min="2" max="2" width="50.6640625" bestFit="1" customWidth="1"/>
    <col min="4" max="7" width="14.33203125" bestFit="1" customWidth="1"/>
  </cols>
  <sheetData>
    <row r="1" spans="1:12" ht="27" customHeight="1">
      <c r="A1" s="245"/>
      <c r="B1" s="246" t="s">
        <v>346</v>
      </c>
      <c r="C1" s="247"/>
      <c r="D1" s="248"/>
      <c r="E1" s="248"/>
      <c r="F1" s="248"/>
      <c r="G1" s="249"/>
    </row>
    <row r="2" spans="1:12">
      <c r="A2" s="250"/>
      <c r="B2" s="243"/>
      <c r="C2" s="60"/>
      <c r="D2" s="951" t="s">
        <v>163</v>
      </c>
      <c r="E2" s="951"/>
      <c r="F2" s="951"/>
      <c r="G2" s="952"/>
    </row>
    <row r="3" spans="1:12" ht="18" customHeight="1">
      <c r="A3" s="251"/>
      <c r="B3" s="244"/>
      <c r="C3" s="121" t="s">
        <v>1</v>
      </c>
      <c r="D3" s="108">
        <v>42735</v>
      </c>
      <c r="E3" s="108">
        <v>43100</v>
      </c>
      <c r="F3" s="108">
        <v>43465</v>
      </c>
      <c r="G3" s="252">
        <v>43830</v>
      </c>
    </row>
    <row r="4" spans="1:12">
      <c r="A4" s="253"/>
      <c r="B4" s="2"/>
      <c r="C4" s="2"/>
      <c r="D4" s="28"/>
      <c r="E4" s="26"/>
      <c r="F4" s="26"/>
      <c r="G4" s="254"/>
    </row>
    <row r="5" spans="1:12">
      <c r="A5" s="253"/>
      <c r="B5" s="5" t="s">
        <v>303</v>
      </c>
      <c r="C5" s="2"/>
      <c r="D5" s="174">
        <v>443</v>
      </c>
      <c r="E5" s="175">
        <v>710</v>
      </c>
      <c r="F5" s="175">
        <v>588</v>
      </c>
      <c r="G5" s="255">
        <v>687</v>
      </c>
    </row>
    <row r="6" spans="1:12">
      <c r="A6" s="253"/>
      <c r="B6" s="2" t="s">
        <v>347</v>
      </c>
      <c r="C6" s="2"/>
      <c r="D6" s="176">
        <v>-122</v>
      </c>
      <c r="E6" s="177">
        <v>-192</v>
      </c>
      <c r="F6" s="177">
        <v>-157</v>
      </c>
      <c r="G6" s="256">
        <v>-189</v>
      </c>
    </row>
    <row r="7" spans="1:12">
      <c r="A7" s="253"/>
      <c r="B7" s="2" t="s">
        <v>376</v>
      </c>
      <c r="C7" s="2"/>
      <c r="D7" s="241">
        <f>-'Reorganised Statements'!D99*('Reorganised Statements'!D109/'Reorganised Statements'!D101)</f>
        <v>-39.814371257485028</v>
      </c>
      <c r="E7" s="242">
        <f>-'Reorganised Statements'!E99*('Reorganised Statements'!E109/'Reorganised Statements'!E101)</f>
        <v>-44.666666666666664</v>
      </c>
      <c r="F7" s="242">
        <f>-'Reorganised Statements'!F99*('Reorganised Statements'!F109/'Reorganised Statements'!F101)</f>
        <v>-31.400000000000002</v>
      </c>
      <c r="G7" s="257">
        <f>-'Reorganised Statements'!G99*('Reorganised Statements'!G109/'Reorganised Statements'!G101)</f>
        <v>-34.481927710843372</v>
      </c>
    </row>
    <row r="8" spans="1:12">
      <c r="A8" s="253"/>
      <c r="B8" s="21" t="s">
        <v>348</v>
      </c>
      <c r="C8" s="22"/>
      <c r="D8" s="178">
        <f>SUM(D5:D7)</f>
        <v>281.18562874251495</v>
      </c>
      <c r="E8" s="179">
        <f t="shared" ref="E8:G8" si="0">SUM(E5:E7)</f>
        <v>473.33333333333331</v>
      </c>
      <c r="F8" s="179">
        <f t="shared" si="0"/>
        <v>399.6</v>
      </c>
      <c r="G8" s="258">
        <f t="shared" si="0"/>
        <v>463.51807228915663</v>
      </c>
    </row>
    <row r="9" spans="1:12">
      <c r="A9" s="253"/>
      <c r="B9" s="2"/>
      <c r="C9" s="2"/>
      <c r="D9" s="176"/>
      <c r="E9" s="177"/>
      <c r="F9" s="177"/>
      <c r="G9" s="256"/>
    </row>
    <row r="10" spans="1:12">
      <c r="A10" s="253"/>
      <c r="B10" s="2" t="s">
        <v>370</v>
      </c>
      <c r="C10" s="2"/>
      <c r="D10" s="176">
        <f>'Reorganised Statements'!C10-'Reorganised Statements'!D10</f>
        <v>25</v>
      </c>
      <c r="E10" s="177">
        <f>'Reorganised Statements'!D10-'Reorganised Statements'!E10</f>
        <v>12</v>
      </c>
      <c r="F10" s="177">
        <f>'Reorganised Statements'!E10-'Reorganised Statements'!F10</f>
        <v>-40</v>
      </c>
      <c r="G10" s="256">
        <f>'Reorganised Statements'!F10-'Reorganised Statements'!G10</f>
        <v>3</v>
      </c>
    </row>
    <row r="11" spans="1:12">
      <c r="A11" s="253"/>
      <c r="B11" s="2" t="s">
        <v>349</v>
      </c>
      <c r="C11" s="2"/>
      <c r="D11" s="176">
        <f>'Reorganised Statements'!C11-'Reorganised Statements'!D11</f>
        <v>-336</v>
      </c>
      <c r="E11" s="177">
        <f>'Reorganised Statements'!D11-'Reorganised Statements'!E11</f>
        <v>150</v>
      </c>
      <c r="F11" s="177">
        <f>'Reorganised Statements'!E11-'Reorganised Statements'!F11</f>
        <v>-110</v>
      </c>
      <c r="G11" s="256">
        <f>'Reorganised Statements'!F11-'Reorganised Statements'!G11</f>
        <v>-71</v>
      </c>
    </row>
    <row r="12" spans="1:12">
      <c r="A12" s="253"/>
      <c r="B12" s="2" t="s">
        <v>369</v>
      </c>
      <c r="C12" s="2"/>
      <c r="D12" s="176">
        <f>'Reorganised Statements'!C12-'Reorganised Statements'!D12</f>
        <v>214</v>
      </c>
      <c r="E12" s="177">
        <f>'Reorganised Statements'!D12-'Reorganised Statements'!E12</f>
        <v>-3</v>
      </c>
      <c r="F12" s="177">
        <f>'Reorganised Statements'!E12-'Reorganised Statements'!F12</f>
        <v>32</v>
      </c>
      <c r="G12" s="256">
        <f>'Reorganised Statements'!F12-'Reorganised Statements'!G12</f>
        <v>68</v>
      </c>
    </row>
    <row r="13" spans="1:12">
      <c r="A13" s="253"/>
      <c r="B13" s="21" t="s">
        <v>371</v>
      </c>
      <c r="C13" s="22"/>
      <c r="D13" s="178">
        <f>SUM(D10:D12)</f>
        <v>-97</v>
      </c>
      <c r="E13" s="179">
        <f t="shared" ref="E13:F13" si="1">SUM(E10:E12)</f>
        <v>159</v>
      </c>
      <c r="F13" s="179">
        <f t="shared" si="1"/>
        <v>-118</v>
      </c>
      <c r="G13" s="258">
        <f>SUM(G10:G12)</f>
        <v>0</v>
      </c>
      <c r="H13" s="240"/>
      <c r="I13" s="240"/>
      <c r="J13" s="240"/>
      <c r="K13" s="240"/>
      <c r="L13" s="240"/>
    </row>
    <row r="14" spans="1:12">
      <c r="A14" s="253"/>
      <c r="B14" s="2"/>
      <c r="C14" s="2"/>
      <c r="D14" s="176"/>
      <c r="E14" s="177"/>
      <c r="F14" s="177"/>
      <c r="G14" s="256"/>
    </row>
    <row r="15" spans="1:12">
      <c r="A15" s="253"/>
      <c r="B15" s="2" t="s">
        <v>350</v>
      </c>
      <c r="C15" s="2"/>
      <c r="D15" s="176">
        <f>'Reorganised Statements'!C15-'Reorganised Statements'!D15</f>
        <v>-59</v>
      </c>
      <c r="E15" s="177">
        <f>'Reorganised Statements'!D15-'Reorganised Statements'!E15</f>
        <v>132</v>
      </c>
      <c r="F15" s="177">
        <f>'Reorganised Statements'!E15-'Reorganised Statements'!F15</f>
        <v>53</v>
      </c>
      <c r="G15" s="256">
        <f>'Reorganised Statements'!F15-'Reorganised Statements'!G15</f>
        <v>-155</v>
      </c>
    </row>
    <row r="16" spans="1:12">
      <c r="A16" s="253"/>
      <c r="B16" s="2" t="s">
        <v>351</v>
      </c>
      <c r="C16" s="2"/>
      <c r="D16" s="176">
        <f>'Reorganised Statements'!C21-'Reorganised Statements'!D21</f>
        <v>210</v>
      </c>
      <c r="E16" s="177">
        <f>'Reorganised Statements'!D21-'Reorganised Statements'!E21</f>
        <v>-220</v>
      </c>
      <c r="F16" s="177">
        <f>'Reorganised Statements'!E21-'Reorganised Statements'!F21</f>
        <v>90</v>
      </c>
      <c r="G16" s="256">
        <f>'Reorganised Statements'!F21-'Reorganised Statements'!G21</f>
        <v>236</v>
      </c>
    </row>
    <row r="17" spans="1:8">
      <c r="A17" s="253"/>
      <c r="B17" s="21" t="s">
        <v>372</v>
      </c>
      <c r="C17" s="22"/>
      <c r="D17" s="178">
        <f>SUM(D13,D15:D16)</f>
        <v>54</v>
      </c>
      <c r="E17" s="179">
        <f t="shared" ref="E17:G17" si="2">SUM(E13,E15:E16)</f>
        <v>71</v>
      </c>
      <c r="F17" s="179">
        <f t="shared" si="2"/>
        <v>25</v>
      </c>
      <c r="G17" s="258">
        <f t="shared" si="2"/>
        <v>81</v>
      </c>
    </row>
    <row r="18" spans="1:8">
      <c r="A18" s="253"/>
      <c r="B18" s="2"/>
      <c r="C18" s="2"/>
      <c r="D18" s="176"/>
      <c r="E18" s="177"/>
      <c r="F18" s="177"/>
      <c r="G18" s="256"/>
    </row>
    <row r="19" spans="1:8">
      <c r="A19" s="253"/>
      <c r="B19" s="2" t="s">
        <v>352</v>
      </c>
      <c r="C19" s="2"/>
      <c r="D19" s="176">
        <f>('Reorganised Statements'!C5+'Reorganised Statements'!C6)-('Reorganised Statements'!D5+'Reorganised Statements'!D6)+'Reorganised Statements'!D72</f>
        <v>-1066</v>
      </c>
      <c r="E19" s="177">
        <f>('Reorganised Statements'!D5+'Reorganised Statements'!D6)-('Reorganised Statements'!E5+'Reorganised Statements'!E6)+'Reorganised Statements'!E72</f>
        <v>-80</v>
      </c>
      <c r="F19" s="177">
        <f>('Reorganised Statements'!E5+'Reorganised Statements'!E6)-('Reorganised Statements'!F5+'Reorganised Statements'!F6)+'Reorganised Statements'!F72</f>
        <v>-1076</v>
      </c>
      <c r="G19" s="256">
        <f>('Reorganised Statements'!F5+'Reorganised Statements'!F6)-('Reorganised Statements'!G5+'Reorganised Statements'!G6)+'Reorganised Statements'!G72</f>
        <v>-837</v>
      </c>
    </row>
    <row r="20" spans="1:8">
      <c r="A20" s="253"/>
      <c r="B20" s="2" t="s">
        <v>353</v>
      </c>
      <c r="C20" s="2"/>
      <c r="D20" s="176">
        <v>648</v>
      </c>
      <c r="E20" s="177">
        <v>444</v>
      </c>
      <c r="F20" s="177">
        <v>623</v>
      </c>
      <c r="G20" s="256">
        <v>511</v>
      </c>
    </row>
    <row r="21" spans="1:8">
      <c r="A21" s="253"/>
      <c r="B21" s="2" t="s">
        <v>354</v>
      </c>
      <c r="C21" s="2"/>
      <c r="D21" s="176">
        <f>'Reorganised Statements'!C30-'Reorganised Statements'!D30</f>
        <v>95</v>
      </c>
      <c r="E21" s="176">
        <f>'Reorganised Statements'!D30-'Reorganised Statements'!E30</f>
        <v>-46</v>
      </c>
      <c r="F21" s="176">
        <f>'Reorganised Statements'!E30-'Reorganised Statements'!F30</f>
        <v>17</v>
      </c>
      <c r="G21" s="259">
        <f>'Reorganised Statements'!F30-'Reorganised Statements'!G30</f>
        <v>34</v>
      </c>
      <c r="H21" s="240"/>
    </row>
    <row r="22" spans="1:8">
      <c r="A22" s="253"/>
      <c r="B22" s="2" t="s">
        <v>355</v>
      </c>
      <c r="C22" s="2"/>
      <c r="D22" s="176">
        <f>'Reorganised Statements'!C29-'Reorganised Statements'!D29</f>
        <v>33</v>
      </c>
      <c r="E22" s="176">
        <f>'Reorganised Statements'!D29-'Reorganised Statements'!E29</f>
        <v>-46</v>
      </c>
      <c r="F22" s="176">
        <f>'Reorganised Statements'!E29-'Reorganised Statements'!F29</f>
        <v>-5</v>
      </c>
      <c r="G22" s="259">
        <f>'Reorganised Statements'!F29-'Reorganised Statements'!G29</f>
        <v>-7</v>
      </c>
      <c r="H22" s="240"/>
    </row>
    <row r="23" spans="1:8">
      <c r="A23" s="253"/>
      <c r="B23" s="2" t="s">
        <v>368</v>
      </c>
      <c r="C23" s="2"/>
      <c r="D23" s="176">
        <f>'Reorganised Statements'!C28-'Reorganised Statements'!D28</f>
        <v>-33</v>
      </c>
      <c r="E23" s="176">
        <f>'Reorganised Statements'!D28-'Reorganised Statements'!E28</f>
        <v>40</v>
      </c>
      <c r="F23" s="176">
        <f>'Reorganised Statements'!E28-'Reorganised Statements'!F28</f>
        <v>37</v>
      </c>
      <c r="G23" s="259">
        <f>'Reorganised Statements'!F28-'Reorganised Statements'!G28</f>
        <v>-13</v>
      </c>
    </row>
    <row r="24" spans="1:8">
      <c r="A24" s="253"/>
      <c r="B24" s="2" t="s">
        <v>356</v>
      </c>
      <c r="C24" s="2"/>
      <c r="D24" s="176">
        <v>20</v>
      </c>
      <c r="E24" s="177">
        <v>-91</v>
      </c>
      <c r="F24" s="177">
        <v>11</v>
      </c>
      <c r="G24" s="256">
        <v>-3</v>
      </c>
    </row>
    <row r="25" spans="1:8">
      <c r="A25" s="253"/>
      <c r="B25" s="15" t="s">
        <v>357</v>
      </c>
      <c r="C25" s="17"/>
      <c r="D25" s="180">
        <f>D8+D17+SUM(D19:D24)</f>
        <v>32.18562874251495</v>
      </c>
      <c r="E25" s="180">
        <f t="shared" ref="E25:G25" si="3">E8+E17+SUM(E19:E24)</f>
        <v>765.33333333333326</v>
      </c>
      <c r="F25" s="180">
        <f t="shared" si="3"/>
        <v>31.600000000000023</v>
      </c>
      <c r="G25" s="260">
        <f t="shared" si="3"/>
        <v>229.51807228915663</v>
      </c>
    </row>
    <row r="26" spans="1:8">
      <c r="A26" s="253"/>
      <c r="B26" s="2" t="s">
        <v>358</v>
      </c>
      <c r="C26" s="2"/>
      <c r="D26" s="184">
        <f>-D25/D5</f>
        <v>-7.2653789486489734E-2</v>
      </c>
      <c r="E26" s="184">
        <f t="shared" ref="E26:G26" si="4">E25/E5</f>
        <v>1.0779342723004695</v>
      </c>
      <c r="F26" s="184">
        <f t="shared" si="4"/>
        <v>5.3741496598639492E-2</v>
      </c>
      <c r="G26" s="261">
        <f t="shared" si="4"/>
        <v>0.33408744146893249</v>
      </c>
    </row>
    <row r="27" spans="1:8">
      <c r="A27" s="253"/>
      <c r="B27" s="2"/>
      <c r="C27" s="2"/>
      <c r="D27" s="176"/>
      <c r="E27" s="177"/>
      <c r="F27" s="177"/>
      <c r="G27" s="256"/>
    </row>
    <row r="28" spans="1:8">
      <c r="A28" s="253"/>
      <c r="B28" s="2" t="s">
        <v>359</v>
      </c>
      <c r="C28" s="2"/>
      <c r="D28" s="176">
        <f>('Reorganised Statements'!C7-'Reorganised Statements'!D7)+'Reorganised Statements'!D99</f>
        <v>-108</v>
      </c>
      <c r="E28" s="176">
        <f>('Reorganised Statements'!D7-'Reorganised Statements'!E7)+'Reorganised Statements'!E99</f>
        <v>-105</v>
      </c>
      <c r="F28" s="176">
        <f>('Reorganised Statements'!E7-'Reorganised Statements'!F7)+'Reorganised Statements'!F99</f>
        <v>-36</v>
      </c>
      <c r="G28" s="176">
        <f>('Reorganised Statements'!F7-'Reorganised Statements'!G7)+'Reorganised Statements'!G99</f>
        <v>-126</v>
      </c>
    </row>
    <row r="29" spans="1:8">
      <c r="A29" s="253"/>
      <c r="B29" s="2" t="s">
        <v>360</v>
      </c>
      <c r="C29" s="2"/>
      <c r="D29" s="176">
        <f>'Reorganised Statements'!C39-'Reorganised Statements'!D39</f>
        <v>14</v>
      </c>
      <c r="E29" s="176">
        <f>'Reorganised Statements'!D39-'Reorganised Statements'!E39</f>
        <v>143</v>
      </c>
      <c r="F29" s="176">
        <f>'Reorganised Statements'!E39-'Reorganised Statements'!F39</f>
        <v>-260</v>
      </c>
      <c r="G29" s="259">
        <f>'Reorganised Statements'!F39-'Reorganised Statements'!G39</f>
        <v>-67</v>
      </c>
    </row>
    <row r="30" spans="1:8">
      <c r="A30" s="253"/>
      <c r="B30" s="2" t="s">
        <v>377</v>
      </c>
      <c r="C30" s="2"/>
      <c r="D30" s="176">
        <f>-D7</f>
        <v>39.814371257485028</v>
      </c>
      <c r="E30" s="176">
        <f t="shared" ref="E30:G30" si="5">-E7</f>
        <v>44.666666666666664</v>
      </c>
      <c r="F30" s="176">
        <f t="shared" si="5"/>
        <v>31.400000000000002</v>
      </c>
      <c r="G30" s="259">
        <f t="shared" si="5"/>
        <v>34.481927710843372</v>
      </c>
    </row>
    <row r="31" spans="1:8">
      <c r="A31" s="253"/>
      <c r="B31" s="15" t="s">
        <v>361</v>
      </c>
      <c r="C31" s="17"/>
      <c r="D31" s="180">
        <f>D25+D28+D29+D30</f>
        <v>-22.000000000000021</v>
      </c>
      <c r="E31" s="181">
        <f t="shared" ref="E31:G31" si="6">E25+E28+E29+E30</f>
        <v>847.99999999999989</v>
      </c>
      <c r="F31" s="181">
        <f t="shared" si="6"/>
        <v>-232.99999999999997</v>
      </c>
      <c r="G31" s="262">
        <f t="shared" si="6"/>
        <v>71</v>
      </c>
    </row>
    <row r="32" spans="1:8">
      <c r="A32" s="253"/>
      <c r="B32" s="2" t="s">
        <v>362</v>
      </c>
      <c r="C32" s="2"/>
      <c r="D32" s="176"/>
      <c r="E32" s="177"/>
      <c r="F32" s="177"/>
      <c r="G32" s="256"/>
    </row>
    <row r="33" spans="1:8">
      <c r="A33" s="253"/>
      <c r="B33" s="2"/>
      <c r="C33" s="2"/>
      <c r="D33" s="182"/>
      <c r="E33" s="183"/>
      <c r="F33" s="183"/>
      <c r="G33" s="263"/>
    </row>
    <row r="34" spans="1:8">
      <c r="A34" s="253"/>
      <c r="B34" s="2" t="s">
        <v>363</v>
      </c>
      <c r="C34" s="2"/>
      <c r="D34" s="183">
        <f>('Reorganised Statements'!C35-'Reorganised Statements'!D35)-'Reorganised Statements'!D114</f>
        <v>-212</v>
      </c>
      <c r="E34" s="183">
        <f>('Reorganised Statements'!D35-'Reorganised Statements'!E35)-'Reorganised Statements'!E114</f>
        <v>-559</v>
      </c>
      <c r="F34" s="183">
        <f>('Reorganised Statements'!E35-'Reorganised Statements'!F35)-'Reorganised Statements'!F114</f>
        <v>166</v>
      </c>
      <c r="G34" s="263">
        <f>('Reorganised Statements'!F35-'Reorganised Statements'!G35)-'Reorganised Statements'!G114</f>
        <v>-261</v>
      </c>
    </row>
    <row r="35" spans="1:8">
      <c r="A35" s="253"/>
      <c r="B35" s="5" t="s">
        <v>364</v>
      </c>
      <c r="C35" s="2"/>
      <c r="D35" s="182">
        <f>D31+D34</f>
        <v>-234.00000000000003</v>
      </c>
      <c r="E35" s="182">
        <f t="shared" ref="E35:G35" si="7">E31+E34</f>
        <v>288.99999999999989</v>
      </c>
      <c r="F35" s="182">
        <f t="shared" si="7"/>
        <v>-66.999999999999972</v>
      </c>
      <c r="G35" s="264">
        <f t="shared" si="7"/>
        <v>-190</v>
      </c>
    </row>
    <row r="36" spans="1:8">
      <c r="A36" s="253"/>
      <c r="B36" s="2"/>
      <c r="C36" s="2"/>
      <c r="D36" s="182"/>
      <c r="E36" s="183"/>
      <c r="F36" s="183"/>
      <c r="G36" s="263"/>
    </row>
    <row r="37" spans="1:8">
      <c r="A37" s="253"/>
      <c r="B37" s="171" t="s">
        <v>365</v>
      </c>
      <c r="C37" s="2"/>
      <c r="D37" s="182">
        <v>636</v>
      </c>
      <c r="E37" s="183">
        <v>402</v>
      </c>
      <c r="F37" s="183">
        <v>691</v>
      </c>
      <c r="G37" s="263">
        <v>624</v>
      </c>
      <c r="H37" s="240"/>
    </row>
    <row r="38" spans="1:8">
      <c r="A38" s="253"/>
      <c r="B38" s="171" t="s">
        <v>366</v>
      </c>
      <c r="C38" s="2"/>
      <c r="D38" s="182">
        <v>402</v>
      </c>
      <c r="E38" s="183">
        <v>691</v>
      </c>
      <c r="F38" s="183">
        <v>624</v>
      </c>
      <c r="G38" s="263">
        <v>434</v>
      </c>
      <c r="H38" s="240"/>
    </row>
    <row r="39" spans="1:8" ht="15" thickBot="1">
      <c r="A39" s="265"/>
      <c r="B39" s="266" t="s">
        <v>367</v>
      </c>
      <c r="C39" s="266"/>
      <c r="D39" s="267">
        <f>D38-D37</f>
        <v>-234</v>
      </c>
      <c r="E39" s="267">
        <f t="shared" ref="E39:G39" si="8">E38-E37</f>
        <v>289</v>
      </c>
      <c r="F39" s="267">
        <f t="shared" si="8"/>
        <v>-67</v>
      </c>
      <c r="G39" s="268">
        <f t="shared" si="8"/>
        <v>-190</v>
      </c>
      <c r="H39" s="240"/>
    </row>
    <row r="40" spans="1:8" ht="15" thickBot="1">
      <c r="A40" s="1"/>
      <c r="B40" s="1"/>
      <c r="C40" s="1"/>
      <c r="D40" s="1"/>
      <c r="E40" s="1"/>
      <c r="F40" s="1"/>
      <c r="G40" s="1"/>
    </row>
    <row r="41" spans="1:8" ht="15" thickBot="1">
      <c r="A41" s="1"/>
      <c r="B41" s="269" t="s">
        <v>378</v>
      </c>
      <c r="C41" s="270"/>
      <c r="D41" s="270" t="str">
        <f>IF(D35=D39,"Correct","Incorrect")</f>
        <v>Correct</v>
      </c>
      <c r="E41" s="270" t="str">
        <f t="shared" ref="E41:G41" si="9">IF(E35=E39,"Correct","Incorrect")</f>
        <v>Correct</v>
      </c>
      <c r="F41" s="270" t="str">
        <f t="shared" si="9"/>
        <v>Correct</v>
      </c>
      <c r="G41" s="271" t="str">
        <f t="shared" si="9"/>
        <v>Correct</v>
      </c>
    </row>
  </sheetData>
  <mergeCells count="1">
    <mergeCell ref="D2:G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AD174"/>
  <sheetViews>
    <sheetView topLeftCell="A29" zoomScale="71" zoomScaleNormal="50" workbookViewId="0"/>
  </sheetViews>
  <sheetFormatPr defaultRowHeight="14.4"/>
  <cols>
    <col min="1" max="1" width="61.109375" customWidth="1"/>
    <col min="2" max="2" width="9.33203125" customWidth="1"/>
    <col min="3" max="3" width="21.6640625" customWidth="1"/>
    <col min="4" max="4" width="19" customWidth="1"/>
    <col min="5" max="5" width="15.6640625" customWidth="1"/>
    <col min="6" max="6" width="14.33203125" customWidth="1"/>
    <col min="7" max="8" width="15.6640625" customWidth="1"/>
    <col min="9" max="9" width="14.109375" customWidth="1"/>
  </cols>
  <sheetData>
    <row r="1" spans="1:30" ht="25.8">
      <c r="A1" s="383" t="s">
        <v>538</v>
      </c>
      <c r="B1" s="384"/>
      <c r="C1" s="124"/>
      <c r="D1" s="124"/>
      <c r="E1" s="124"/>
      <c r="F1" s="124"/>
      <c r="G1" s="282"/>
      <c r="H1" s="1"/>
      <c r="I1" s="52"/>
      <c r="J1" s="328" t="s">
        <v>802</v>
      </c>
      <c r="K1" s="933"/>
      <c r="L1" s="933"/>
      <c r="M1" s="933"/>
      <c r="N1" s="933"/>
      <c r="O1" s="953" t="s">
        <v>158</v>
      </c>
      <c r="P1" s="953"/>
      <c r="Q1" s="953"/>
      <c r="R1" s="953"/>
      <c r="S1" s="953"/>
      <c r="T1" s="955"/>
      <c r="U1" s="1"/>
      <c r="V1" s="1"/>
      <c r="W1" s="1"/>
      <c r="X1" s="1"/>
      <c r="Y1" s="1"/>
      <c r="Z1" s="1"/>
      <c r="AA1" s="1"/>
      <c r="AB1" s="1"/>
      <c r="AC1" s="1"/>
      <c r="AD1" s="1"/>
    </row>
    <row r="2" spans="1:30">
      <c r="A2" s="283"/>
      <c r="B2" s="946" t="s">
        <v>158</v>
      </c>
      <c r="C2" s="946"/>
      <c r="D2" s="946"/>
      <c r="E2" s="946"/>
      <c r="F2" s="946"/>
      <c r="G2" s="947"/>
      <c r="H2" s="1"/>
      <c r="I2" s="52"/>
      <c r="J2" s="935"/>
      <c r="K2" s="936"/>
      <c r="L2" s="936"/>
      <c r="M2" s="936"/>
      <c r="N2" s="936"/>
      <c r="O2" s="954" t="s">
        <v>158</v>
      </c>
      <c r="P2" s="954"/>
      <c r="Q2" s="954"/>
      <c r="R2" s="954"/>
      <c r="S2" s="954"/>
      <c r="T2" s="956"/>
      <c r="U2" s="1"/>
      <c r="V2" s="1"/>
      <c r="W2" s="1"/>
      <c r="X2" s="1"/>
      <c r="Y2" s="1"/>
      <c r="Z2" s="1"/>
      <c r="AA2" s="1"/>
      <c r="AB2" s="1"/>
      <c r="AC2" s="1"/>
      <c r="AD2" s="1"/>
    </row>
    <row r="3" spans="1:30" ht="15" thickBot="1">
      <c r="A3" s="251"/>
      <c r="B3" s="122" t="s">
        <v>1</v>
      </c>
      <c r="C3" s="123">
        <v>42461</v>
      </c>
      <c r="D3" s="123">
        <v>42826</v>
      </c>
      <c r="E3" s="123">
        <v>43191</v>
      </c>
      <c r="F3" s="123">
        <v>43556</v>
      </c>
      <c r="G3" s="284">
        <v>43922</v>
      </c>
      <c r="H3" s="1"/>
      <c r="I3" s="52"/>
      <c r="J3" s="938"/>
      <c r="K3" s="939"/>
      <c r="L3" s="939"/>
      <c r="M3" s="939"/>
      <c r="N3" s="939"/>
      <c r="O3" s="939"/>
      <c r="P3" s="939"/>
      <c r="Q3" s="939"/>
      <c r="R3" s="939"/>
      <c r="S3" s="939"/>
      <c r="T3" s="940"/>
      <c r="U3" s="1"/>
      <c r="V3" s="1"/>
      <c r="W3" s="1"/>
      <c r="X3" s="1"/>
      <c r="Y3" s="1"/>
      <c r="Z3" s="1"/>
      <c r="AA3" s="1"/>
      <c r="AB3" s="1"/>
      <c r="AC3" s="1"/>
      <c r="AD3" s="1"/>
    </row>
    <row r="4" spans="1:30">
      <c r="A4" s="285"/>
      <c r="B4" s="2"/>
      <c r="C4" s="28"/>
      <c r="D4" s="26"/>
      <c r="E4" s="26"/>
      <c r="F4" s="26"/>
      <c r="G4" s="254"/>
      <c r="H4" s="1"/>
      <c r="I4" s="52"/>
      <c r="J4" s="1"/>
      <c r="K4" s="1"/>
      <c r="L4" s="1"/>
      <c r="M4" s="1"/>
      <c r="N4" s="1"/>
      <c r="O4" s="1"/>
      <c r="P4" s="1"/>
      <c r="Q4" s="1"/>
      <c r="R4" s="1"/>
      <c r="S4" s="1"/>
      <c r="T4" s="1"/>
      <c r="U4" s="1"/>
      <c r="V4" s="1"/>
      <c r="W4" s="1"/>
      <c r="X4" s="1"/>
      <c r="Y4" s="1"/>
      <c r="Z4" s="1"/>
      <c r="AA4" s="1"/>
      <c r="AB4" s="1"/>
      <c r="AC4" s="1"/>
      <c r="AD4" s="1"/>
    </row>
    <row r="5" spans="1:30">
      <c r="A5" s="286" t="s">
        <v>326</v>
      </c>
      <c r="B5" s="134"/>
      <c r="C5" s="144">
        <v>5022</v>
      </c>
      <c r="D5" s="144">
        <v>5026</v>
      </c>
      <c r="E5" s="144">
        <f>+(4592)</f>
        <v>4592</v>
      </c>
      <c r="F5" s="144">
        <v>4703</v>
      </c>
      <c r="G5" s="287">
        <v>4917</v>
      </c>
      <c r="H5" s="1"/>
      <c r="I5" s="52"/>
      <c r="J5" s="1"/>
      <c r="K5" s="1"/>
      <c r="L5" s="1"/>
      <c r="M5" s="1"/>
      <c r="N5" s="1"/>
      <c r="O5" s="1"/>
      <c r="P5" s="1"/>
      <c r="Q5" s="1"/>
      <c r="R5" s="1"/>
      <c r="S5" s="1"/>
      <c r="T5" s="1"/>
      <c r="U5" s="1"/>
      <c r="V5" s="1"/>
      <c r="W5" s="1"/>
      <c r="X5" s="1"/>
      <c r="Y5" s="1"/>
      <c r="Z5" s="1"/>
      <c r="AA5" s="1"/>
      <c r="AB5" s="1"/>
      <c r="AC5" s="1"/>
      <c r="AD5" s="1"/>
    </row>
    <row r="6" spans="1:30">
      <c r="A6" s="286" t="s">
        <v>327</v>
      </c>
      <c r="B6" s="134"/>
      <c r="C6" s="144">
        <v>1360</v>
      </c>
      <c r="D6" s="144">
        <v>1756</v>
      </c>
      <c r="E6" s="144">
        <v>1902</v>
      </c>
      <c r="F6" s="144">
        <v>2344</v>
      </c>
      <c r="G6" s="287">
        <v>2429</v>
      </c>
      <c r="H6" s="1"/>
      <c r="I6" s="52"/>
      <c r="J6" s="1"/>
      <c r="K6" s="1"/>
      <c r="L6" s="1"/>
      <c r="M6" s="1"/>
      <c r="N6" s="1"/>
      <c r="O6" s="1"/>
      <c r="P6" s="1"/>
      <c r="Q6" s="1"/>
      <c r="R6" s="1"/>
      <c r="S6" s="1"/>
      <c r="T6" s="1"/>
      <c r="U6" s="1"/>
      <c r="V6" s="1"/>
      <c r="W6" s="1"/>
      <c r="X6" s="1"/>
      <c r="Y6" s="1"/>
      <c r="Z6" s="1"/>
      <c r="AA6" s="1"/>
      <c r="AB6" s="1"/>
      <c r="AC6" s="1"/>
      <c r="AD6" s="1"/>
    </row>
    <row r="7" spans="1:30">
      <c r="A7" s="286" t="s">
        <v>322</v>
      </c>
      <c r="B7" s="134"/>
      <c r="C7" s="144">
        <f>70+76</f>
        <v>146</v>
      </c>
      <c r="D7" s="144">
        <f>62+78</f>
        <v>140</v>
      </c>
      <c r="E7" s="144">
        <f>+(63+42)</f>
        <v>105</v>
      </c>
      <c r="F7" s="144">
        <f>18+26</f>
        <v>44</v>
      </c>
      <c r="G7" s="287">
        <f>+(24+71)</f>
        <v>95</v>
      </c>
      <c r="H7" s="1"/>
      <c r="I7" s="52"/>
      <c r="J7" s="1"/>
      <c r="K7" s="1"/>
      <c r="L7" s="1"/>
      <c r="M7" s="1"/>
      <c r="N7" s="1"/>
      <c r="O7" s="1"/>
      <c r="P7" s="1"/>
      <c r="Q7" s="1"/>
      <c r="R7" s="1"/>
      <c r="S7" s="1"/>
      <c r="T7" s="1"/>
      <c r="U7" s="1"/>
      <c r="V7" s="1"/>
      <c r="W7" s="1"/>
      <c r="X7" s="1"/>
      <c r="Y7" s="1"/>
      <c r="Z7" s="1"/>
      <c r="AA7" s="1"/>
      <c r="AB7" s="1"/>
      <c r="AC7" s="1"/>
      <c r="AD7" s="1"/>
    </row>
    <row r="8" spans="1:30">
      <c r="A8" s="288" t="s">
        <v>328</v>
      </c>
      <c r="B8" s="289"/>
      <c r="C8" s="149">
        <f>SUM(C5:C7)</f>
        <v>6528</v>
      </c>
      <c r="D8" s="149">
        <f>SUM(D5:D7)</f>
        <v>6922</v>
      </c>
      <c r="E8" s="149">
        <f>E5+E6+E7</f>
        <v>6599</v>
      </c>
      <c r="F8" s="149">
        <f>F5+F6+F7</f>
        <v>7091</v>
      </c>
      <c r="G8" s="290">
        <f>SUM(G5:G7)</f>
        <v>7441</v>
      </c>
      <c r="H8" s="1"/>
      <c r="I8" s="52"/>
      <c r="J8" s="1"/>
      <c r="K8" s="1"/>
      <c r="L8" s="1"/>
      <c r="M8" s="1"/>
      <c r="N8" s="1"/>
      <c r="O8" s="1"/>
      <c r="P8" s="1"/>
      <c r="Q8" s="1"/>
      <c r="R8" s="1"/>
      <c r="S8" s="1"/>
      <c r="T8" s="1"/>
      <c r="U8" s="1"/>
      <c r="V8" s="1"/>
      <c r="W8" s="1"/>
      <c r="X8" s="1"/>
      <c r="Y8" s="1"/>
      <c r="Z8" s="1"/>
      <c r="AA8" s="1"/>
      <c r="AB8" s="1"/>
      <c r="AC8" s="1"/>
      <c r="AD8" s="1"/>
    </row>
    <row r="9" spans="1:30">
      <c r="A9" s="286"/>
      <c r="B9" s="134"/>
      <c r="C9" s="144"/>
      <c r="D9" s="144"/>
      <c r="E9" s="144"/>
      <c r="F9" s="144"/>
      <c r="G9" s="287"/>
      <c r="H9" s="1"/>
      <c r="I9" s="52"/>
      <c r="J9" s="1"/>
      <c r="K9" s="1"/>
      <c r="L9" s="1"/>
      <c r="M9" s="1"/>
      <c r="N9" s="1"/>
      <c r="O9" s="1"/>
      <c r="P9" s="1"/>
      <c r="Q9" s="1"/>
      <c r="R9" s="1"/>
      <c r="S9" s="1"/>
      <c r="T9" s="1"/>
      <c r="U9" s="1"/>
      <c r="V9" s="1"/>
      <c r="W9" s="1"/>
      <c r="X9" s="1"/>
      <c r="Y9" s="1"/>
      <c r="Z9" s="1"/>
      <c r="AA9" s="1"/>
      <c r="AB9" s="1"/>
      <c r="AC9" s="1"/>
      <c r="AD9" s="1"/>
    </row>
    <row r="10" spans="1:30">
      <c r="A10" s="286" t="s">
        <v>317</v>
      </c>
      <c r="B10" s="134"/>
      <c r="C10" s="144">
        <v>98</v>
      </c>
      <c r="D10" s="144">
        <v>118</v>
      </c>
      <c r="E10" s="144">
        <v>80</v>
      </c>
      <c r="F10" s="144">
        <v>119</v>
      </c>
      <c r="G10" s="287">
        <v>104</v>
      </c>
      <c r="H10" s="1"/>
      <c r="I10" s="52"/>
      <c r="J10" s="1"/>
      <c r="K10" s="1"/>
      <c r="L10" s="1"/>
      <c r="M10" s="1"/>
      <c r="N10" s="1"/>
      <c r="O10" s="1"/>
      <c r="P10" s="1"/>
      <c r="Q10" s="1"/>
      <c r="R10" s="1"/>
      <c r="S10" s="1"/>
      <c r="T10" s="1"/>
      <c r="U10" s="1"/>
      <c r="V10" s="1"/>
      <c r="W10" s="1"/>
      <c r="X10" s="1"/>
      <c r="Y10" s="1"/>
      <c r="Z10" s="1"/>
      <c r="AA10" s="1"/>
      <c r="AB10" s="1"/>
      <c r="AC10" s="1"/>
      <c r="AD10" s="1"/>
    </row>
    <row r="11" spans="1:30">
      <c r="A11" s="286" t="s">
        <v>318</v>
      </c>
      <c r="B11" s="134"/>
      <c r="C11" s="144">
        <v>1547</v>
      </c>
      <c r="D11" s="144">
        <v>1878</v>
      </c>
      <c r="E11" s="144">
        <f>+(1826)</f>
        <v>1826</v>
      </c>
      <c r="F11" s="144">
        <v>2077</v>
      </c>
      <c r="G11" s="287">
        <v>2056</v>
      </c>
      <c r="H11" s="1"/>
      <c r="I11" s="52"/>
      <c r="J11" s="1"/>
      <c r="K11" s="1"/>
      <c r="L11" s="1"/>
      <c r="M11" s="1"/>
      <c r="N11" s="1"/>
      <c r="O11" s="1"/>
      <c r="P11" s="1"/>
      <c r="Q11" s="1"/>
      <c r="R11" s="1"/>
      <c r="S11" s="1"/>
      <c r="T11" s="1"/>
      <c r="U11" s="1"/>
      <c r="V11" s="1"/>
      <c r="W11" s="1"/>
      <c r="X11" s="1"/>
      <c r="Y11" s="1"/>
      <c r="Z11" s="1"/>
      <c r="AA11" s="1"/>
      <c r="AB11" s="1"/>
      <c r="AC11" s="1"/>
      <c r="AD11" s="1"/>
    </row>
    <row r="12" spans="1:30">
      <c r="A12" s="286" t="s">
        <v>323</v>
      </c>
      <c r="B12" s="134"/>
      <c r="C12" s="144">
        <v>-1012</v>
      </c>
      <c r="D12" s="144">
        <f>-(1151)</f>
        <v>-1151</v>
      </c>
      <c r="E12" s="144">
        <f>-(1150)</f>
        <v>-1150</v>
      </c>
      <c r="F12" s="144">
        <f>-(1321)</f>
        <v>-1321</v>
      </c>
      <c r="G12" s="287">
        <f>-(1323)</f>
        <v>-1323</v>
      </c>
      <c r="H12" s="1"/>
      <c r="I12" s="52"/>
      <c r="J12" s="1"/>
      <c r="K12" s="1"/>
      <c r="L12" s="1"/>
      <c r="M12" s="1"/>
      <c r="N12" s="1"/>
      <c r="O12" s="1"/>
      <c r="P12" s="1"/>
      <c r="Q12" s="1"/>
      <c r="R12" s="1"/>
      <c r="S12" s="1"/>
      <c r="T12" s="1"/>
      <c r="U12" s="1"/>
      <c r="V12" s="1"/>
      <c r="W12" s="1"/>
      <c r="X12" s="1"/>
      <c r="Y12" s="1"/>
      <c r="Z12" s="1"/>
      <c r="AA12" s="1"/>
      <c r="AB12" s="1"/>
      <c r="AC12" s="1"/>
      <c r="AD12" s="1"/>
    </row>
    <row r="13" spans="1:30">
      <c r="A13" s="291" t="s">
        <v>329</v>
      </c>
      <c r="B13" s="292"/>
      <c r="C13" s="152">
        <f>SUM(C10:C12)</f>
        <v>633</v>
      </c>
      <c r="D13" s="152">
        <f>SUM(D10:D12)</f>
        <v>845</v>
      </c>
      <c r="E13" s="152">
        <f>E10+E11+E12</f>
        <v>756</v>
      </c>
      <c r="F13" s="152">
        <f>F10+F11+F12</f>
        <v>875</v>
      </c>
      <c r="G13" s="293">
        <f>G10+G11+G12</f>
        <v>837</v>
      </c>
      <c r="H13" s="1"/>
      <c r="I13" s="52"/>
      <c r="J13" s="1"/>
      <c r="K13" s="1"/>
      <c r="L13" s="1"/>
      <c r="M13" s="1"/>
      <c r="N13" s="1"/>
      <c r="O13" s="1"/>
      <c r="P13" s="1"/>
      <c r="Q13" s="1"/>
      <c r="R13" s="1"/>
      <c r="S13" s="1"/>
      <c r="T13" s="1"/>
      <c r="U13" s="1"/>
      <c r="V13" s="1"/>
      <c r="W13" s="1"/>
      <c r="X13" s="1"/>
      <c r="Y13" s="1"/>
      <c r="Z13" s="1"/>
      <c r="AA13" s="1"/>
      <c r="AB13" s="1"/>
      <c r="AC13" s="1"/>
      <c r="AD13" s="1"/>
    </row>
    <row r="14" spans="1:30">
      <c r="A14" s="294"/>
      <c r="B14" s="133"/>
      <c r="C14" s="144"/>
      <c r="D14" s="144"/>
      <c r="E14" s="144"/>
      <c r="F14" s="144"/>
      <c r="G14" s="295"/>
      <c r="H14" s="1"/>
      <c r="I14" s="52"/>
      <c r="J14" s="1"/>
      <c r="K14" s="1"/>
      <c r="L14" s="1"/>
      <c r="M14" s="1"/>
      <c r="N14" s="1"/>
      <c r="O14" s="1"/>
      <c r="P14" s="1"/>
      <c r="Q14" s="1"/>
      <c r="R14" s="1"/>
      <c r="S14" s="1"/>
      <c r="T14" s="1"/>
      <c r="U14" s="1"/>
      <c r="V14" s="1"/>
      <c r="W14" s="1"/>
      <c r="X14" s="1"/>
      <c r="Y14" s="1"/>
      <c r="Z14" s="1"/>
      <c r="AA14" s="1"/>
      <c r="AB14" s="1"/>
      <c r="AC14" s="1"/>
      <c r="AD14" s="1"/>
    </row>
    <row r="15" spans="1:30">
      <c r="A15" s="296" t="s">
        <v>454</v>
      </c>
      <c r="B15" s="134"/>
      <c r="C15" s="144"/>
      <c r="D15" s="144"/>
      <c r="E15" s="144"/>
      <c r="F15" s="144"/>
      <c r="G15" s="287"/>
      <c r="H15" s="279"/>
      <c r="I15" s="279"/>
      <c r="J15" s="52"/>
      <c r="K15" s="279"/>
      <c r="L15" s="279"/>
      <c r="M15" s="52"/>
      <c r="N15" s="1"/>
      <c r="O15" s="1"/>
      <c r="P15" s="1"/>
      <c r="Q15" s="1"/>
      <c r="R15" s="1"/>
      <c r="S15" s="1"/>
      <c r="T15" s="1"/>
      <c r="U15" s="1"/>
      <c r="V15" s="1"/>
      <c r="W15" s="1"/>
      <c r="X15" s="1"/>
      <c r="Y15" s="1"/>
      <c r="Z15" s="1"/>
      <c r="AA15" s="1"/>
      <c r="AB15" s="1"/>
      <c r="AC15" s="1"/>
      <c r="AD15" s="1"/>
    </row>
    <row r="16" spans="1:30">
      <c r="A16" s="286" t="s">
        <v>319</v>
      </c>
      <c r="B16" s="134"/>
      <c r="C16" s="144">
        <v>335</v>
      </c>
      <c r="D16" s="144">
        <v>248</v>
      </c>
      <c r="E16" s="144">
        <v>201</v>
      </c>
      <c r="F16" s="144">
        <v>391</v>
      </c>
      <c r="G16" s="287">
        <v>946</v>
      </c>
      <c r="H16" s="52"/>
      <c r="I16" s="52"/>
      <c r="J16" s="52"/>
      <c r="K16" s="52"/>
      <c r="L16" s="52"/>
      <c r="M16" s="52"/>
      <c r="N16" s="52"/>
      <c r="O16" s="52"/>
      <c r="P16" s="52"/>
      <c r="Q16" s="52"/>
      <c r="R16" s="52"/>
      <c r="S16" s="52"/>
      <c r="T16" s="52"/>
      <c r="U16" s="1"/>
      <c r="V16" s="1"/>
      <c r="W16" s="1"/>
      <c r="X16" s="1"/>
      <c r="Y16" s="1"/>
      <c r="Z16" s="1"/>
      <c r="AA16" s="1"/>
      <c r="AB16" s="1"/>
      <c r="AC16" s="1"/>
      <c r="AD16" s="1"/>
    </row>
    <row r="17" spans="1:30">
      <c r="A17" s="286" t="s">
        <v>320</v>
      </c>
      <c r="B17" s="134"/>
      <c r="C17" s="144">
        <v>233</v>
      </c>
      <c r="D17" s="144">
        <v>200</v>
      </c>
      <c r="E17" s="144">
        <f>+(7)</f>
        <v>7</v>
      </c>
      <c r="F17" s="144">
        <v>11</v>
      </c>
      <c r="G17" s="287">
        <v>13</v>
      </c>
      <c r="H17" s="52"/>
      <c r="I17" s="52"/>
      <c r="J17" s="52"/>
      <c r="K17" s="52"/>
      <c r="L17" s="52"/>
      <c r="M17" s="52"/>
      <c r="N17" s="52"/>
      <c r="O17" s="52"/>
      <c r="P17" s="52"/>
      <c r="Q17" s="52"/>
      <c r="R17" s="52"/>
      <c r="S17" s="52"/>
      <c r="T17" s="52"/>
      <c r="U17" s="1"/>
      <c r="V17" s="1"/>
      <c r="W17" s="1"/>
      <c r="X17" s="1"/>
      <c r="Y17" s="1"/>
      <c r="Z17" s="1"/>
      <c r="AA17" s="1"/>
      <c r="AB17" s="1"/>
      <c r="AC17" s="1"/>
      <c r="AD17" s="1"/>
    </row>
    <row r="18" spans="1:30" ht="12.6" customHeight="1">
      <c r="A18" s="297" t="s">
        <v>31</v>
      </c>
      <c r="B18" s="146"/>
      <c r="C18" s="144">
        <v>6</v>
      </c>
      <c r="D18" s="144">
        <v>22</v>
      </c>
      <c r="E18" s="144">
        <v>8</v>
      </c>
      <c r="F18" s="144">
        <v>22</v>
      </c>
      <c r="G18" s="287">
        <v>28</v>
      </c>
      <c r="H18" s="52"/>
      <c r="I18" s="52"/>
      <c r="J18" s="52"/>
      <c r="K18" s="52"/>
      <c r="L18" s="52"/>
      <c r="M18" s="52"/>
      <c r="N18" s="52"/>
      <c r="O18" s="52"/>
      <c r="P18" s="52"/>
      <c r="Q18" s="52"/>
      <c r="R18" s="52"/>
      <c r="S18" s="52"/>
      <c r="T18" s="52"/>
      <c r="U18" s="1"/>
      <c r="V18" s="1"/>
      <c r="W18" s="1"/>
      <c r="X18" s="1"/>
      <c r="Y18" s="1"/>
      <c r="Z18" s="1"/>
      <c r="AA18" s="1"/>
      <c r="AB18" s="1"/>
      <c r="AC18" s="1"/>
      <c r="AD18" s="1"/>
    </row>
    <row r="19" spans="1:30">
      <c r="A19" s="286" t="s">
        <v>75</v>
      </c>
      <c r="B19" s="134"/>
      <c r="C19" s="144">
        <v>69</v>
      </c>
      <c r="D19" s="144">
        <v>70</v>
      </c>
      <c r="E19" s="144">
        <v>67</v>
      </c>
      <c r="F19" s="144">
        <v>49</v>
      </c>
      <c r="G19" s="295">
        <v>51</v>
      </c>
      <c r="H19" s="52"/>
      <c r="I19" s="52"/>
      <c r="J19" s="52"/>
      <c r="K19" s="52"/>
      <c r="L19" s="52"/>
      <c r="M19" s="52"/>
      <c r="N19" s="52"/>
      <c r="O19" s="52"/>
      <c r="P19" s="52"/>
      <c r="Q19" s="52"/>
      <c r="R19" s="52"/>
      <c r="S19" s="52"/>
      <c r="T19" s="52"/>
      <c r="U19" s="1"/>
      <c r="V19" s="1"/>
      <c r="W19" s="1"/>
      <c r="X19" s="1"/>
      <c r="Y19" s="1"/>
      <c r="Z19" s="1"/>
      <c r="AA19" s="1"/>
      <c r="AB19" s="1"/>
      <c r="AC19" s="1"/>
      <c r="AD19" s="1"/>
    </row>
    <row r="20" spans="1:30" ht="15" customHeight="1">
      <c r="A20" s="297" t="s">
        <v>321</v>
      </c>
      <c r="B20" s="134"/>
      <c r="C20" s="144">
        <v>2</v>
      </c>
      <c r="D20" s="144">
        <f>+(2)</f>
        <v>2</v>
      </c>
      <c r="E20" s="144">
        <v>226</v>
      </c>
      <c r="F20" s="144">
        <v>110</v>
      </c>
      <c r="G20" s="287">
        <v>0</v>
      </c>
      <c r="H20" s="52"/>
      <c r="I20" s="52"/>
      <c r="J20" s="52"/>
      <c r="K20" s="52"/>
      <c r="L20" s="52"/>
      <c r="M20" s="52"/>
      <c r="N20" s="52"/>
      <c r="O20" s="52"/>
      <c r="P20" s="52"/>
      <c r="Q20" s="52"/>
      <c r="R20" s="52"/>
      <c r="S20" s="52"/>
      <c r="T20" s="52"/>
      <c r="U20" s="1"/>
      <c r="V20" s="1"/>
      <c r="W20" s="1"/>
      <c r="X20" s="1"/>
      <c r="Y20" s="1"/>
      <c r="Z20" s="1"/>
      <c r="AA20" s="1"/>
      <c r="AB20" s="1"/>
      <c r="AC20" s="1"/>
      <c r="AD20" s="1"/>
    </row>
    <row r="21" spans="1:30">
      <c r="A21" s="296" t="s">
        <v>341</v>
      </c>
      <c r="B21" s="134"/>
      <c r="C21" s="144"/>
      <c r="D21" s="144"/>
      <c r="E21" s="144"/>
      <c r="F21" s="144"/>
      <c r="G21" s="298"/>
      <c r="H21" s="52"/>
      <c r="I21" s="52"/>
      <c r="J21" s="52"/>
      <c r="K21" s="52"/>
      <c r="L21" s="52"/>
      <c r="M21" s="52"/>
      <c r="N21" s="52"/>
      <c r="O21" s="52"/>
      <c r="P21" s="52"/>
      <c r="Q21" s="52"/>
      <c r="R21" s="52"/>
      <c r="S21" s="52"/>
      <c r="T21" s="52"/>
      <c r="U21" s="1"/>
      <c r="V21" s="1"/>
      <c r="W21" s="1"/>
      <c r="X21" s="1"/>
      <c r="Y21" s="1"/>
      <c r="Z21" s="1"/>
      <c r="AA21" s="1"/>
      <c r="AB21" s="1"/>
      <c r="AC21" s="1"/>
      <c r="AD21" s="1"/>
    </row>
    <row r="22" spans="1:30">
      <c r="A22" s="286" t="s">
        <v>120</v>
      </c>
      <c r="B22" s="134"/>
      <c r="C22" s="144">
        <v>-95</v>
      </c>
      <c r="D22" s="144">
        <v>-109</v>
      </c>
      <c r="E22" s="144">
        <f>-(154)</f>
        <v>-154</v>
      </c>
      <c r="F22" s="144">
        <v>-151</v>
      </c>
      <c r="G22" s="287">
        <f>-(154)</f>
        <v>-154</v>
      </c>
      <c r="H22" s="52"/>
      <c r="I22" s="52"/>
      <c r="J22" s="52"/>
      <c r="K22" s="52"/>
      <c r="L22" s="52"/>
      <c r="M22" s="52"/>
      <c r="N22" s="52"/>
      <c r="O22" s="52"/>
      <c r="P22" s="52"/>
      <c r="Q22" s="52"/>
      <c r="R22" s="52"/>
      <c r="S22" s="52"/>
      <c r="T22" s="52"/>
      <c r="U22" s="1"/>
      <c r="V22" s="1"/>
      <c r="W22" s="1"/>
      <c r="X22" s="1"/>
      <c r="Y22" s="1"/>
      <c r="Z22" s="1"/>
      <c r="AA22" s="1"/>
      <c r="AB22" s="1"/>
      <c r="AC22" s="1"/>
      <c r="AD22" s="1"/>
    </row>
    <row r="23" spans="1:30">
      <c r="A23" s="286" t="s">
        <v>153</v>
      </c>
      <c r="B23" s="134"/>
      <c r="C23" s="144">
        <v>-85</v>
      </c>
      <c r="D23" s="144">
        <f>-(103)</f>
        <v>-103</v>
      </c>
      <c r="E23" s="144">
        <f>-(41)</f>
        <v>-41</v>
      </c>
      <c r="F23" s="144">
        <v>-91</v>
      </c>
      <c r="G23" s="287">
        <f>-(53)</f>
        <v>-53</v>
      </c>
      <c r="H23" s="52"/>
      <c r="I23" s="52"/>
      <c r="J23" s="52"/>
      <c r="K23" s="52"/>
      <c r="L23" s="52"/>
      <c r="M23" s="52"/>
      <c r="N23" s="52"/>
      <c r="O23" s="52"/>
      <c r="P23" s="52"/>
      <c r="Q23" s="52"/>
      <c r="R23" s="52"/>
      <c r="S23" s="52"/>
      <c r="T23" s="52"/>
      <c r="U23" s="1"/>
      <c r="V23" s="1"/>
      <c r="W23" s="1"/>
      <c r="X23" s="1"/>
      <c r="Y23" s="1"/>
      <c r="Z23" s="1"/>
      <c r="AA23" s="1"/>
      <c r="AB23" s="1"/>
      <c r="AC23" s="1"/>
      <c r="AD23" s="1"/>
    </row>
    <row r="24" spans="1:30">
      <c r="A24" s="286" t="s">
        <v>324</v>
      </c>
      <c r="B24" s="134"/>
      <c r="C24" s="144">
        <v>-707</v>
      </c>
      <c r="D24" s="144">
        <f>-(681)</f>
        <v>-681</v>
      </c>
      <c r="E24" s="144">
        <f>-(632)</f>
        <v>-632</v>
      </c>
      <c r="F24" s="144">
        <v>-882</v>
      </c>
      <c r="G24" s="287">
        <f>-(1352)</f>
        <v>-1352</v>
      </c>
      <c r="H24" s="52"/>
      <c r="I24" s="52"/>
      <c r="J24" s="52"/>
      <c r="K24" s="52"/>
      <c r="L24" s="52"/>
      <c r="M24" s="52"/>
      <c r="N24" s="52"/>
      <c r="O24" s="52"/>
      <c r="P24" s="52"/>
      <c r="Q24" s="52"/>
      <c r="R24" s="52"/>
      <c r="S24" s="52"/>
      <c r="T24" s="52"/>
      <c r="U24" s="1"/>
      <c r="V24" s="1"/>
      <c r="W24" s="1"/>
      <c r="X24" s="1"/>
      <c r="Y24" s="1"/>
      <c r="Z24" s="1"/>
      <c r="AA24" s="1"/>
      <c r="AB24" s="1"/>
      <c r="AC24" s="1"/>
      <c r="AD24" s="1"/>
    </row>
    <row r="25" spans="1:30">
      <c r="A25" s="286" t="s">
        <v>375</v>
      </c>
      <c r="B25" s="134"/>
      <c r="C25" s="144">
        <v>0</v>
      </c>
      <c r="D25" s="144">
        <f>-(2)</f>
        <v>-2</v>
      </c>
      <c r="E25" s="144">
        <v>0</v>
      </c>
      <c r="F25" s="144">
        <v>0</v>
      </c>
      <c r="G25" s="287">
        <v>0</v>
      </c>
      <c r="H25" s="52"/>
      <c r="I25" s="52"/>
      <c r="J25" s="52"/>
      <c r="K25" s="52"/>
      <c r="L25" s="52"/>
      <c r="M25" s="52"/>
      <c r="N25" s="52"/>
      <c r="O25" s="52"/>
      <c r="P25" s="52"/>
      <c r="Q25" s="52"/>
      <c r="R25" s="52"/>
      <c r="S25" s="52"/>
      <c r="T25" s="52"/>
      <c r="U25" s="1"/>
      <c r="V25" s="1"/>
      <c r="W25" s="1"/>
      <c r="X25" s="1"/>
      <c r="Y25" s="1"/>
      <c r="Z25" s="1"/>
      <c r="AA25" s="1"/>
      <c r="AB25" s="1"/>
      <c r="AC25" s="1"/>
      <c r="AD25" s="1"/>
    </row>
    <row r="26" spans="1:30">
      <c r="A26" s="288" t="s">
        <v>330</v>
      </c>
      <c r="B26" s="289"/>
      <c r="C26" s="149">
        <f>C13+SUM(C16:C25)</f>
        <v>391</v>
      </c>
      <c r="D26" s="149">
        <f>D13+SUM(D16:D25)</f>
        <v>492</v>
      </c>
      <c r="E26" s="149">
        <f>E13+E16+E17+E18+E19+E20+E22+E23+E24+E25</f>
        <v>438</v>
      </c>
      <c r="F26" s="149">
        <f>F13+F16+F17+F18+F19+F20+F22+F23+F24</f>
        <v>334</v>
      </c>
      <c r="G26" s="299">
        <f>G13+G16+G17+G18+G19+G20+G22+G23+G24+G25</f>
        <v>316</v>
      </c>
      <c r="H26" s="52"/>
      <c r="I26" s="52"/>
      <c r="J26" s="52"/>
      <c r="K26" s="52"/>
      <c r="L26" s="52"/>
      <c r="M26" s="52"/>
      <c r="N26" s="52"/>
      <c r="O26" s="52"/>
      <c r="P26" s="52"/>
      <c r="Q26" s="52"/>
      <c r="R26" s="52"/>
      <c r="S26" s="52"/>
      <c r="T26" s="52"/>
      <c r="U26" s="1"/>
      <c r="V26" s="1"/>
      <c r="W26" s="1"/>
      <c r="X26" s="1"/>
      <c r="Y26" s="1"/>
      <c r="Z26" s="1"/>
      <c r="AA26" s="1"/>
      <c r="AB26" s="1"/>
      <c r="AC26" s="1"/>
      <c r="AD26" s="1"/>
    </row>
    <row r="27" spans="1:30">
      <c r="A27" s="286"/>
      <c r="B27" s="134"/>
      <c r="C27" s="144"/>
      <c r="D27" s="144"/>
      <c r="E27" s="144"/>
      <c r="F27" s="144"/>
      <c r="G27" s="287"/>
      <c r="H27" s="52"/>
      <c r="I27" s="52"/>
      <c r="J27" s="52"/>
      <c r="K27" s="52"/>
      <c r="L27" s="52"/>
      <c r="M27" s="52"/>
      <c r="N27" s="52"/>
      <c r="O27" s="52"/>
      <c r="P27" s="52"/>
      <c r="Q27" s="52"/>
      <c r="R27" s="52"/>
      <c r="S27" s="52"/>
      <c r="T27" s="52"/>
      <c r="U27" s="1"/>
      <c r="V27" s="1"/>
      <c r="W27" s="1"/>
      <c r="X27" s="1"/>
      <c r="Y27" s="1"/>
      <c r="Z27" s="1"/>
      <c r="AA27" s="1"/>
      <c r="AB27" s="1"/>
      <c r="AC27" s="1"/>
      <c r="AD27" s="1"/>
    </row>
    <row r="28" spans="1:30">
      <c r="A28" s="286" t="s">
        <v>374</v>
      </c>
      <c r="B28" s="134"/>
      <c r="C28" s="144">
        <v>305</v>
      </c>
      <c r="D28" s="144">
        <f>+(357)</f>
        <v>357</v>
      </c>
      <c r="E28" s="144">
        <f>+(295)</f>
        <v>295</v>
      </c>
      <c r="F28" s="144">
        <v>274</v>
      </c>
      <c r="G28" s="287">
        <f>+(286)</f>
        <v>286</v>
      </c>
      <c r="H28" s="52"/>
      <c r="I28" s="52"/>
      <c r="J28" s="52"/>
      <c r="K28" s="52"/>
      <c r="L28" s="52"/>
      <c r="M28" s="52"/>
      <c r="N28" s="52"/>
      <c r="O28" s="52"/>
      <c r="P28" s="52"/>
      <c r="Q28" s="52"/>
      <c r="R28" s="52"/>
      <c r="S28" s="52"/>
      <c r="T28" s="52"/>
      <c r="U28" s="1"/>
      <c r="V28" s="1"/>
      <c r="W28" s="1"/>
      <c r="X28" s="1"/>
      <c r="Y28" s="1"/>
      <c r="Z28" s="1"/>
      <c r="AA28" s="1"/>
      <c r="AB28" s="1"/>
      <c r="AC28" s="1"/>
      <c r="AD28" s="1"/>
    </row>
    <row r="29" spans="1:30">
      <c r="A29" s="286" t="s">
        <v>113</v>
      </c>
      <c r="B29" s="134"/>
      <c r="C29" s="144">
        <v>-327</v>
      </c>
      <c r="D29" s="144">
        <f>-(359)</f>
        <v>-359</v>
      </c>
      <c r="E29" s="144">
        <f>-(315)</f>
        <v>-315</v>
      </c>
      <c r="F29" s="144">
        <v>-311</v>
      </c>
      <c r="G29" s="287">
        <f>-(300)</f>
        <v>-300</v>
      </c>
      <c r="H29" s="52"/>
      <c r="I29" s="52"/>
      <c r="J29" s="52"/>
      <c r="K29" s="52"/>
      <c r="L29" s="52"/>
      <c r="M29" s="52"/>
      <c r="N29" s="52"/>
      <c r="O29" s="52"/>
      <c r="P29" s="52"/>
      <c r="Q29" s="52"/>
      <c r="R29" s="52"/>
      <c r="S29" s="52"/>
      <c r="T29" s="52"/>
      <c r="U29" s="1"/>
      <c r="V29" s="1"/>
      <c r="W29" s="1"/>
      <c r="X29" s="1"/>
      <c r="Y29" s="1"/>
      <c r="Z29" s="1"/>
      <c r="AA29" s="1"/>
      <c r="AB29" s="1"/>
      <c r="AC29" s="1"/>
      <c r="AD29" s="1"/>
    </row>
    <row r="30" spans="1:30">
      <c r="A30" s="286" t="s">
        <v>325</v>
      </c>
      <c r="B30" s="134"/>
      <c r="C30" s="144">
        <f>-(604)</f>
        <v>-604</v>
      </c>
      <c r="D30" s="144">
        <f>-(666)</f>
        <v>-666</v>
      </c>
      <c r="E30" s="144">
        <f>-(626)</f>
        <v>-626</v>
      </c>
      <c r="F30" s="144">
        <f>-(637)</f>
        <v>-637</v>
      </c>
      <c r="G30" s="287">
        <f>-(668)</f>
        <v>-668</v>
      </c>
      <c r="H30" s="1"/>
      <c r="I30" s="52"/>
      <c r="J30" s="1"/>
      <c r="K30" s="1"/>
      <c r="L30" s="1"/>
      <c r="M30" s="1"/>
      <c r="N30" s="1"/>
      <c r="O30" s="1"/>
      <c r="P30" s="1"/>
      <c r="Q30" s="1"/>
      <c r="R30" s="1"/>
      <c r="S30" s="1"/>
      <c r="T30" s="1"/>
      <c r="U30" s="1"/>
      <c r="V30" s="1"/>
      <c r="W30" s="1"/>
      <c r="X30" s="1"/>
      <c r="Y30" s="1"/>
      <c r="Z30" s="1"/>
      <c r="AA30" s="1"/>
      <c r="AB30" s="1"/>
      <c r="AC30" s="1"/>
      <c r="AD30" s="1"/>
    </row>
    <row r="31" spans="1:30">
      <c r="A31" s="300" t="s">
        <v>331</v>
      </c>
      <c r="B31" s="301"/>
      <c r="C31" s="148">
        <f>C8+C26+SUM(C28:C30)</f>
        <v>6293</v>
      </c>
      <c r="D31" s="148">
        <f>D8+D26+D28+D29+D30</f>
        <v>6746</v>
      </c>
      <c r="E31" s="148">
        <f>E8+E26+E28+E29+E30</f>
        <v>6391</v>
      </c>
      <c r="F31" s="148">
        <f>F8+F26+F28+F29+F30</f>
        <v>6751</v>
      </c>
      <c r="G31" s="302">
        <f>G8+G26+G28+G29+G30</f>
        <v>7075</v>
      </c>
      <c r="H31" s="1"/>
      <c r="I31" s="52"/>
      <c r="J31" s="1"/>
      <c r="K31" s="1"/>
      <c r="L31" s="1"/>
      <c r="M31" s="1"/>
      <c r="N31" s="1"/>
      <c r="O31" s="1"/>
      <c r="P31" s="1"/>
      <c r="Q31" s="1"/>
      <c r="R31" s="1"/>
      <c r="S31" s="1"/>
      <c r="T31" s="1"/>
      <c r="U31" s="1"/>
      <c r="V31" s="1"/>
      <c r="W31" s="1"/>
      <c r="X31" s="1"/>
      <c r="Y31" s="1"/>
      <c r="Z31" s="1"/>
      <c r="AA31" s="1"/>
      <c r="AB31" s="1"/>
      <c r="AC31" s="1"/>
      <c r="AD31" s="1"/>
    </row>
    <row r="32" spans="1:30">
      <c r="A32" s="286"/>
      <c r="B32" s="134"/>
      <c r="C32" s="144"/>
      <c r="D32" s="136"/>
      <c r="E32" s="136"/>
      <c r="F32" s="136"/>
      <c r="G32" s="287"/>
      <c r="H32" s="1"/>
      <c r="I32" s="52"/>
      <c r="J32" s="1"/>
      <c r="K32" s="1"/>
      <c r="L32" s="1"/>
      <c r="M32" s="1"/>
      <c r="N32" s="1"/>
      <c r="O32" s="1"/>
      <c r="P32" s="1"/>
      <c r="Q32" s="1"/>
      <c r="R32" s="1"/>
      <c r="S32" s="1"/>
      <c r="T32" s="1"/>
      <c r="U32" s="1"/>
      <c r="V32" s="1"/>
      <c r="W32" s="1"/>
      <c r="X32" s="1"/>
      <c r="Y32" s="1"/>
      <c r="Z32" s="1"/>
      <c r="AA32" s="1"/>
      <c r="AB32" s="1"/>
      <c r="AC32" s="1"/>
      <c r="AD32" s="1"/>
    </row>
    <row r="33" spans="1:30">
      <c r="A33" s="286"/>
      <c r="B33" s="134"/>
      <c r="C33" s="144"/>
      <c r="D33" s="136"/>
      <c r="E33" s="136"/>
      <c r="F33" s="136"/>
      <c r="G33" s="287"/>
      <c r="H33" s="1"/>
      <c r="I33" s="52"/>
      <c r="J33" s="1"/>
      <c r="K33" s="1"/>
      <c r="L33" s="1"/>
      <c r="M33" s="1"/>
      <c r="N33" s="1"/>
      <c r="O33" s="1"/>
      <c r="P33" s="1"/>
      <c r="Q33" s="1"/>
      <c r="R33" s="1"/>
      <c r="S33" s="1"/>
      <c r="T33" s="1"/>
      <c r="U33" s="1"/>
      <c r="V33" s="1"/>
      <c r="W33" s="1"/>
      <c r="X33" s="1"/>
      <c r="Y33" s="1"/>
      <c r="Z33" s="1"/>
      <c r="AA33" s="1"/>
      <c r="AB33" s="1"/>
      <c r="AC33" s="1"/>
      <c r="AD33" s="1"/>
    </row>
    <row r="34" spans="1:30">
      <c r="A34" s="286"/>
      <c r="B34" s="134"/>
      <c r="C34" s="144"/>
      <c r="D34" s="136"/>
      <c r="E34" s="136"/>
      <c r="F34" s="136"/>
      <c r="G34" s="287"/>
      <c r="H34" s="1"/>
      <c r="I34" s="52"/>
      <c r="J34" s="1"/>
      <c r="K34" s="1"/>
      <c r="L34" s="1"/>
      <c r="M34" s="1"/>
      <c r="N34" s="1"/>
      <c r="O34" s="1"/>
      <c r="P34" s="1"/>
      <c r="Q34" s="1"/>
      <c r="R34" s="1"/>
      <c r="S34" s="1"/>
      <c r="T34" s="1"/>
      <c r="U34" s="1"/>
      <c r="V34" s="1"/>
      <c r="W34" s="1"/>
      <c r="X34" s="1"/>
      <c r="Y34" s="1"/>
      <c r="Z34" s="1"/>
      <c r="AA34" s="1"/>
      <c r="AB34" s="1"/>
      <c r="AC34" s="1"/>
      <c r="AD34" s="1"/>
    </row>
    <row r="35" spans="1:30">
      <c r="A35" s="303" t="s">
        <v>338</v>
      </c>
      <c r="B35" s="304"/>
      <c r="C35" s="149">
        <v>-3132</v>
      </c>
      <c r="D35" s="149">
        <f>-(3462)</f>
        <v>-3462</v>
      </c>
      <c r="E35" s="149">
        <f>-(3191)</f>
        <v>-3191</v>
      </c>
      <c r="F35" s="149">
        <f>-(3614)</f>
        <v>-3614</v>
      </c>
      <c r="G35" s="290">
        <f>-(3746)</f>
        <v>-3746</v>
      </c>
      <c r="H35" s="1"/>
      <c r="I35" s="52"/>
      <c r="J35" s="1"/>
      <c r="K35" s="1"/>
      <c r="L35" s="1"/>
      <c r="M35" s="1"/>
      <c r="N35" s="1"/>
      <c r="O35" s="1"/>
      <c r="P35" s="1"/>
      <c r="Q35" s="1"/>
      <c r="R35" s="1"/>
      <c r="S35" s="1"/>
      <c r="T35" s="1"/>
      <c r="U35" s="1"/>
      <c r="V35" s="1"/>
      <c r="W35" s="1"/>
      <c r="X35" s="1"/>
      <c r="Y35" s="1"/>
      <c r="Z35" s="1"/>
      <c r="AA35" s="1"/>
      <c r="AB35" s="1"/>
      <c r="AC35" s="1"/>
      <c r="AD35" s="1"/>
    </row>
    <row r="36" spans="1:30">
      <c r="A36" s="286"/>
      <c r="B36" s="134"/>
      <c r="C36" s="144"/>
      <c r="D36" s="144"/>
      <c r="E36" s="144"/>
      <c r="F36" s="144"/>
      <c r="G36" s="287"/>
      <c r="H36" s="1"/>
      <c r="I36" s="52"/>
      <c r="J36" s="1"/>
      <c r="K36" s="1"/>
      <c r="L36" s="1"/>
      <c r="M36" s="1"/>
      <c r="N36" s="1"/>
      <c r="O36" s="1"/>
      <c r="P36" s="1"/>
      <c r="Q36" s="1"/>
      <c r="R36" s="1"/>
      <c r="S36" s="1"/>
      <c r="T36" s="1"/>
      <c r="U36" s="1"/>
      <c r="V36" s="1"/>
      <c r="W36" s="1"/>
      <c r="X36" s="1"/>
      <c r="Y36" s="1"/>
      <c r="Z36" s="1"/>
      <c r="AA36" s="1"/>
      <c r="AB36" s="1"/>
      <c r="AC36" s="1"/>
      <c r="AD36" s="1"/>
    </row>
    <row r="37" spans="1:30">
      <c r="A37" s="286" t="s">
        <v>105</v>
      </c>
      <c r="B37" s="134"/>
      <c r="C37" s="144">
        <v>-3090</v>
      </c>
      <c r="D37" s="144">
        <f>-(3730)</f>
        <v>-3730</v>
      </c>
      <c r="E37" s="144">
        <f>-(3515)</f>
        <v>-3515</v>
      </c>
      <c r="F37" s="144">
        <f>-(3074)</f>
        <v>-3074</v>
      </c>
      <c r="G37" s="287">
        <f>-(3052)</f>
        <v>-3052</v>
      </c>
      <c r="H37" s="1"/>
      <c r="I37" s="52"/>
      <c r="J37" s="1"/>
      <c r="K37" s="1"/>
      <c r="L37" s="1"/>
      <c r="M37" s="1"/>
      <c r="N37" s="1"/>
      <c r="O37" s="1"/>
      <c r="P37" s="1"/>
      <c r="Q37" s="1"/>
      <c r="R37" s="1"/>
      <c r="S37" s="1"/>
      <c r="T37" s="1"/>
      <c r="U37" s="1"/>
      <c r="V37" s="1"/>
      <c r="W37" s="1"/>
      <c r="X37" s="1"/>
      <c r="Y37" s="1"/>
      <c r="Z37" s="1"/>
      <c r="AA37" s="1"/>
      <c r="AB37" s="1"/>
      <c r="AC37" s="1"/>
      <c r="AD37" s="1"/>
    </row>
    <row r="38" spans="1:30">
      <c r="A38" s="286" t="s">
        <v>150</v>
      </c>
      <c r="B38" s="134"/>
      <c r="C38" s="144">
        <v>-630</v>
      </c>
      <c r="D38" s="144">
        <f>-(243)</f>
        <v>-243</v>
      </c>
      <c r="E38" s="144">
        <f>-(411)</f>
        <v>-411</v>
      </c>
      <c r="F38" s="144">
        <f>-(667)</f>
        <v>-667</v>
      </c>
      <c r="G38" s="287">
        <f>-(584)</f>
        <v>-584</v>
      </c>
      <c r="H38" s="1"/>
      <c r="I38" s="52"/>
      <c r="J38" s="1"/>
      <c r="K38" s="1"/>
      <c r="L38" s="1"/>
      <c r="M38" s="1"/>
      <c r="N38" s="1"/>
      <c r="O38" s="1"/>
      <c r="P38" s="1"/>
      <c r="Q38" s="1"/>
      <c r="R38" s="1"/>
      <c r="S38" s="1"/>
      <c r="T38" s="1"/>
      <c r="U38" s="1"/>
      <c r="V38" s="1"/>
      <c r="W38" s="1"/>
      <c r="X38" s="1"/>
      <c r="Y38" s="1"/>
      <c r="Z38" s="1"/>
      <c r="AA38" s="1"/>
      <c r="AB38" s="1"/>
      <c r="AC38" s="1"/>
      <c r="AD38" s="1"/>
    </row>
    <row r="39" spans="1:30">
      <c r="A39" s="305" t="s">
        <v>337</v>
      </c>
      <c r="B39" s="306"/>
      <c r="C39" s="152">
        <f>C37+C38</f>
        <v>-3720</v>
      </c>
      <c r="D39" s="152">
        <f>D37+D38</f>
        <v>-3973</v>
      </c>
      <c r="E39" s="152">
        <f>E37+E38</f>
        <v>-3926</v>
      </c>
      <c r="F39" s="152">
        <f>F37+F38</f>
        <v>-3741</v>
      </c>
      <c r="G39" s="307">
        <f>G37+G38</f>
        <v>-3636</v>
      </c>
      <c r="H39" s="1"/>
      <c r="I39" s="52"/>
      <c r="J39" s="1"/>
      <c r="K39" s="1"/>
      <c r="L39" s="1"/>
      <c r="M39" s="1"/>
      <c r="N39" s="1"/>
      <c r="O39" s="1"/>
      <c r="P39" s="1"/>
      <c r="Q39" s="1"/>
      <c r="R39" s="1"/>
      <c r="S39" s="1"/>
      <c r="T39" s="1"/>
      <c r="U39" s="1"/>
      <c r="V39" s="1"/>
      <c r="W39" s="1"/>
      <c r="X39" s="1"/>
      <c r="Y39" s="1"/>
      <c r="Z39" s="1"/>
      <c r="AA39" s="1"/>
      <c r="AB39" s="1"/>
      <c r="AC39" s="1"/>
      <c r="AD39" s="1"/>
    </row>
    <row r="40" spans="1:30">
      <c r="A40" s="296"/>
      <c r="B40" s="135"/>
      <c r="C40" s="144"/>
      <c r="D40" s="144"/>
      <c r="E40" s="144"/>
      <c r="F40" s="144"/>
      <c r="G40" s="308"/>
      <c r="H40" s="1"/>
      <c r="I40" s="52"/>
      <c r="J40" s="1"/>
      <c r="K40" s="1"/>
      <c r="L40" s="1"/>
      <c r="M40" s="1"/>
      <c r="N40" s="1"/>
      <c r="O40" s="1"/>
      <c r="P40" s="1"/>
      <c r="Q40" s="1"/>
      <c r="R40" s="1"/>
      <c r="S40" s="1"/>
      <c r="T40" s="1"/>
      <c r="U40" s="1"/>
      <c r="V40" s="1"/>
      <c r="W40" s="1"/>
      <c r="X40" s="1"/>
      <c r="Y40" s="1"/>
      <c r="Z40" s="1"/>
      <c r="AA40" s="1"/>
      <c r="AB40" s="1"/>
      <c r="AC40" s="1"/>
      <c r="AD40" s="1"/>
    </row>
    <row r="41" spans="1:30">
      <c r="A41" s="286" t="s">
        <v>77</v>
      </c>
      <c r="B41" s="134"/>
      <c r="C41" s="144">
        <v>559</v>
      </c>
      <c r="D41" s="144">
        <f>+(689)</f>
        <v>689</v>
      </c>
      <c r="E41" s="144">
        <v>726</v>
      </c>
      <c r="F41" s="144">
        <v>604</v>
      </c>
      <c r="G41" s="287">
        <f>+(307)</f>
        <v>307</v>
      </c>
      <c r="H41" s="1"/>
      <c r="I41" s="52"/>
      <c r="J41" s="1"/>
      <c r="K41" s="1"/>
      <c r="L41" s="1"/>
      <c r="M41" s="1"/>
      <c r="N41" s="1"/>
      <c r="O41" s="1"/>
      <c r="P41" s="1"/>
      <c r="Q41" s="1"/>
      <c r="R41" s="1"/>
      <c r="S41" s="1"/>
      <c r="T41" s="1"/>
      <c r="U41" s="1"/>
      <c r="V41" s="1"/>
      <c r="W41" s="1"/>
      <c r="X41" s="1"/>
      <c r="Y41" s="1"/>
      <c r="Z41" s="1"/>
      <c r="AA41" s="1"/>
      <c r="AB41" s="1"/>
      <c r="AC41" s="1"/>
      <c r="AD41" s="1"/>
    </row>
    <row r="42" spans="1:30">
      <c r="A42" s="288" t="s">
        <v>332</v>
      </c>
      <c r="B42" s="289"/>
      <c r="C42" s="149">
        <f>C39+C41</f>
        <v>-3161</v>
      </c>
      <c r="D42" s="149">
        <f>D39+D41</f>
        <v>-3284</v>
      </c>
      <c r="E42" s="149">
        <f>E39+E41</f>
        <v>-3200</v>
      </c>
      <c r="F42" s="149">
        <f>F39+F41</f>
        <v>-3137</v>
      </c>
      <c r="G42" s="290">
        <f>G39+G41</f>
        <v>-3329</v>
      </c>
      <c r="H42" s="1"/>
      <c r="I42" s="52"/>
      <c r="J42" s="1"/>
      <c r="K42" s="1"/>
      <c r="L42" s="1"/>
      <c r="M42" s="1"/>
      <c r="N42" s="1"/>
      <c r="O42" s="1"/>
      <c r="P42" s="1"/>
      <c r="Q42" s="1"/>
      <c r="R42" s="1"/>
      <c r="S42" s="1"/>
      <c r="T42" s="1"/>
      <c r="U42" s="1"/>
      <c r="V42" s="1"/>
      <c r="W42" s="1"/>
      <c r="X42" s="1"/>
      <c r="Y42" s="1"/>
      <c r="Z42" s="1"/>
      <c r="AA42" s="1"/>
      <c r="AB42" s="1"/>
      <c r="AC42" s="1"/>
      <c r="AD42" s="1"/>
    </row>
    <row r="43" spans="1:30">
      <c r="A43" s="286"/>
      <c r="B43" s="134"/>
      <c r="C43" s="144"/>
      <c r="D43" s="144"/>
      <c r="E43" s="144"/>
      <c r="F43" s="144"/>
      <c r="G43" s="287"/>
      <c r="H43" s="1"/>
      <c r="I43" s="52"/>
      <c r="J43" s="1"/>
      <c r="K43" s="1"/>
      <c r="L43" s="1"/>
      <c r="M43" s="1"/>
      <c r="N43" s="1"/>
      <c r="O43" s="1"/>
      <c r="P43" s="1"/>
      <c r="Q43" s="1"/>
      <c r="R43" s="1"/>
      <c r="S43" s="1"/>
      <c r="T43" s="1"/>
      <c r="U43" s="1"/>
      <c r="V43" s="1"/>
      <c r="W43" s="1"/>
      <c r="X43" s="1"/>
      <c r="Y43" s="1"/>
      <c r="Z43" s="1"/>
      <c r="AA43" s="1"/>
      <c r="AB43" s="1"/>
      <c r="AC43" s="1"/>
      <c r="AD43" s="1"/>
    </row>
    <row r="44" spans="1:30" ht="15" thickBot="1">
      <c r="A44" s="309" t="s">
        <v>331</v>
      </c>
      <c r="B44" s="310"/>
      <c r="C44" s="311">
        <f>C35+C42</f>
        <v>-6293</v>
      </c>
      <c r="D44" s="311">
        <f>D35+D42</f>
        <v>-6746</v>
      </c>
      <c r="E44" s="311">
        <f>E35+E42</f>
        <v>-6391</v>
      </c>
      <c r="F44" s="311">
        <f>F35+F42</f>
        <v>-6751</v>
      </c>
      <c r="G44" s="312">
        <f>G35+G42</f>
        <v>-7075</v>
      </c>
      <c r="H44" s="1"/>
      <c r="I44" s="52"/>
      <c r="J44" s="1"/>
      <c r="K44" s="1"/>
      <c r="L44" s="1"/>
      <c r="M44" s="1"/>
      <c r="N44" s="1"/>
      <c r="O44" s="1"/>
      <c r="P44" s="1"/>
      <c r="Q44" s="1"/>
      <c r="R44" s="1"/>
      <c r="S44" s="1"/>
      <c r="T44" s="1"/>
      <c r="U44" s="1"/>
      <c r="V44" s="1"/>
      <c r="W44" s="1"/>
      <c r="X44" s="1"/>
      <c r="Y44" s="1"/>
      <c r="Z44" s="1"/>
      <c r="AA44" s="1"/>
      <c r="AB44" s="1"/>
      <c r="AC44" s="1"/>
      <c r="AD44" s="1"/>
    </row>
    <row r="45" spans="1:30">
      <c r="A45" s="1"/>
      <c r="B45" s="1"/>
      <c r="C45" s="1"/>
      <c r="D45" s="1"/>
      <c r="E45" s="1"/>
      <c r="F45" s="1"/>
      <c r="G45" s="1"/>
      <c r="H45" s="1"/>
      <c r="I45" s="52"/>
      <c r="J45" s="1"/>
      <c r="K45" s="1"/>
      <c r="L45" s="1"/>
      <c r="M45" s="1"/>
      <c r="N45" s="1"/>
      <c r="O45" s="1"/>
      <c r="P45" s="1"/>
      <c r="Q45" s="1"/>
      <c r="R45" s="1"/>
      <c r="S45" s="1"/>
      <c r="T45" s="1"/>
      <c r="U45" s="1"/>
      <c r="V45" s="1"/>
      <c r="W45" s="1"/>
      <c r="X45" s="1"/>
      <c r="Y45" s="1"/>
      <c r="Z45" s="1"/>
      <c r="AA45" s="1"/>
      <c r="AB45" s="1"/>
      <c r="AC45" s="1"/>
      <c r="AD45" s="1"/>
    </row>
    <row r="46" spans="1:30">
      <c r="A46" s="910" t="s">
        <v>455</v>
      </c>
      <c r="B46" s="910"/>
      <c r="C46" s="910" t="str">
        <f t="shared" ref="C46:F46" si="0">IF(C31+C44=0,"Correct","Incorrect")</f>
        <v>Correct</v>
      </c>
      <c r="D46" s="910" t="str">
        <f t="shared" si="0"/>
        <v>Correct</v>
      </c>
      <c r="E46" s="910" t="str">
        <f t="shared" si="0"/>
        <v>Correct</v>
      </c>
      <c r="F46" s="910" t="str">
        <f t="shared" si="0"/>
        <v>Correct</v>
      </c>
      <c r="G46" s="910" t="str">
        <f>IF(G31+G44=0,"Correct","Incorrect")</f>
        <v>Correct</v>
      </c>
      <c r="H46" s="1"/>
      <c r="I46" s="52"/>
      <c r="J46" s="1"/>
      <c r="K46" s="1"/>
      <c r="L46" s="1"/>
      <c r="M46" s="1"/>
      <c r="N46" s="1"/>
      <c r="O46" s="1"/>
      <c r="P46" s="1"/>
      <c r="Q46" s="1"/>
      <c r="R46" s="1"/>
      <c r="S46" s="1"/>
      <c r="T46" s="1"/>
      <c r="U46" s="1"/>
      <c r="V46" s="1"/>
      <c r="W46" s="1"/>
      <c r="X46" s="1"/>
      <c r="Y46" s="1"/>
      <c r="Z46" s="1"/>
      <c r="AA46" s="1"/>
      <c r="AB46" s="1"/>
      <c r="AC46" s="1"/>
      <c r="AD46" s="1"/>
    </row>
    <row r="47" spans="1:30" ht="15" thickBot="1">
      <c r="A47" s="1"/>
      <c r="B47" s="1"/>
      <c r="C47" s="1"/>
      <c r="D47" s="1"/>
      <c r="E47" s="1"/>
      <c r="F47" s="1"/>
      <c r="G47" s="1"/>
      <c r="H47" s="1"/>
      <c r="I47" s="52"/>
      <c r="J47" s="1"/>
      <c r="K47" s="1"/>
      <c r="L47" s="1"/>
      <c r="M47" s="1"/>
      <c r="N47" s="1"/>
      <c r="O47" s="1"/>
      <c r="P47" s="1"/>
      <c r="Q47" s="1"/>
      <c r="R47" s="1"/>
      <c r="S47" s="1"/>
      <c r="T47" s="1"/>
      <c r="U47" s="1"/>
      <c r="V47" s="1"/>
      <c r="W47" s="1"/>
      <c r="X47" s="1"/>
      <c r="Y47" s="1"/>
      <c r="Z47" s="1"/>
      <c r="AA47" s="1"/>
      <c r="AB47" s="1"/>
      <c r="AC47" s="1"/>
      <c r="AD47" s="1"/>
    </row>
    <row r="48" spans="1:30" ht="24.6">
      <c r="A48" s="313" t="s">
        <v>537</v>
      </c>
      <c r="B48" s="314"/>
      <c r="C48" s="314"/>
      <c r="D48" s="314"/>
      <c r="E48" s="314"/>
      <c r="F48" s="314"/>
      <c r="G48" s="315"/>
      <c r="H48" s="52"/>
      <c r="I48" s="52"/>
      <c r="J48" s="52"/>
      <c r="K48" s="52"/>
      <c r="L48" s="52"/>
      <c r="M48" s="52"/>
      <c r="N48" s="52"/>
      <c r="O48" s="52"/>
      <c r="P48" s="52"/>
      <c r="Q48" s="52"/>
      <c r="R48" s="52"/>
      <c r="S48" s="52"/>
      <c r="T48" s="52"/>
      <c r="U48" s="52"/>
      <c r="V48" s="52"/>
      <c r="W48" s="1"/>
      <c r="X48" s="1"/>
      <c r="Y48" s="1"/>
      <c r="Z48" s="1"/>
      <c r="AA48" s="1"/>
      <c r="AB48" s="1"/>
      <c r="AC48" s="1"/>
      <c r="AD48" s="1"/>
    </row>
    <row r="49" spans="1:30">
      <c r="A49" s="316"/>
      <c r="B49" s="107"/>
      <c r="C49" s="949" t="s">
        <v>163</v>
      </c>
      <c r="D49" s="949"/>
      <c r="E49" s="949"/>
      <c r="F49" s="949"/>
      <c r="G49" s="950"/>
      <c r="H49" s="52"/>
      <c r="I49" s="52"/>
      <c r="J49" s="52"/>
      <c r="K49" s="52"/>
      <c r="L49" s="52"/>
      <c r="M49" s="52"/>
      <c r="N49" s="52"/>
      <c r="O49" s="52"/>
      <c r="P49" s="52"/>
      <c r="Q49" s="52"/>
      <c r="R49" s="52"/>
      <c r="S49" s="52"/>
      <c r="T49" s="52"/>
      <c r="U49" s="52"/>
      <c r="V49" s="52"/>
      <c r="W49" s="1"/>
      <c r="X49" s="1"/>
      <c r="Y49" s="1"/>
      <c r="Z49" s="1"/>
      <c r="AA49" s="1"/>
      <c r="AB49" s="1"/>
      <c r="AC49" s="1"/>
      <c r="AD49" s="1"/>
    </row>
    <row r="50" spans="1:30">
      <c r="A50" s="317"/>
      <c r="B50" s="121" t="s">
        <v>1</v>
      </c>
      <c r="C50" s="108" t="s">
        <v>444</v>
      </c>
      <c r="D50" s="280" t="s">
        <v>445</v>
      </c>
      <c r="E50" s="280" t="s">
        <v>446</v>
      </c>
      <c r="F50" s="280" t="s">
        <v>447</v>
      </c>
      <c r="G50" s="318" t="s">
        <v>448</v>
      </c>
      <c r="H50" s="52"/>
      <c r="I50" s="52"/>
      <c r="J50" s="52"/>
      <c r="K50" s="52"/>
      <c r="L50" s="52"/>
      <c r="M50" s="52"/>
      <c r="N50" s="52"/>
      <c r="O50" s="52"/>
      <c r="P50" s="52"/>
      <c r="Q50" s="52"/>
      <c r="R50" s="52"/>
      <c r="S50" s="52"/>
      <c r="T50" s="52"/>
      <c r="U50" s="52"/>
      <c r="V50" s="52"/>
      <c r="W50" s="1"/>
      <c r="X50" s="1"/>
      <c r="Y50" s="1"/>
      <c r="Z50" s="1"/>
      <c r="AA50" s="1"/>
      <c r="AB50" s="1"/>
      <c r="AC50" s="1"/>
      <c r="AD50" s="1"/>
    </row>
    <row r="51" spans="1:30">
      <c r="A51" s="319"/>
      <c r="B51" s="162"/>
      <c r="C51" s="168"/>
      <c r="D51" s="169"/>
      <c r="E51" s="169"/>
      <c r="F51" s="169"/>
      <c r="G51" s="598"/>
      <c r="H51" s="52"/>
      <c r="I51" s="52"/>
      <c r="J51" s="52"/>
      <c r="K51" s="52"/>
      <c r="L51" s="52"/>
      <c r="M51" s="52"/>
      <c r="N51" s="52"/>
      <c r="O51" s="52"/>
      <c r="P51" s="52"/>
      <c r="Q51" s="52"/>
      <c r="R51" s="52"/>
      <c r="S51" s="52"/>
      <c r="T51" s="52"/>
      <c r="U51" s="52"/>
      <c r="V51" s="52"/>
      <c r="W51" s="1"/>
      <c r="X51" s="1"/>
      <c r="Y51" s="1"/>
      <c r="Z51" s="1"/>
      <c r="AA51" s="1"/>
      <c r="AB51" s="1"/>
      <c r="AC51" s="1"/>
      <c r="AD51" s="1"/>
    </row>
    <row r="52" spans="1:30">
      <c r="A52" s="285" t="s">
        <v>343</v>
      </c>
      <c r="B52" s="162"/>
      <c r="C52" s="143">
        <f>(1287-1379) + 'Reorganised Statements'!C52</f>
        <v>4829</v>
      </c>
      <c r="D52" s="138">
        <f>(1812-1622) + 'Reorganised Statements'!D52</f>
        <v>5050</v>
      </c>
      <c r="E52" s="138">
        <f>(1812-1622) + 'Reorganised Statements'!E52</f>
        <v>5986</v>
      </c>
      <c r="F52" s="138">
        <f>(2119-1812) + 'Reorganised Statements'!F52</f>
        <v>6801</v>
      </c>
      <c r="G52" s="599">
        <f>1707-2110 +'Reorganised Statements'!G52</f>
        <v>6921</v>
      </c>
      <c r="H52" s="279"/>
      <c r="I52" s="52"/>
      <c r="J52" s="279"/>
      <c r="K52" s="279"/>
      <c r="L52" s="52"/>
      <c r="M52" s="279"/>
      <c r="N52" s="279"/>
      <c r="O52" s="52"/>
      <c r="P52" s="279"/>
      <c r="Q52" s="279"/>
      <c r="R52" s="52"/>
      <c r="S52" s="279"/>
      <c r="T52" s="279"/>
      <c r="U52" s="52"/>
      <c r="V52" s="52"/>
      <c r="W52" s="1"/>
      <c r="X52" s="1"/>
      <c r="Y52" s="1"/>
      <c r="Z52" s="1"/>
      <c r="AA52" s="1"/>
      <c r="AB52" s="1"/>
      <c r="AC52" s="1"/>
      <c r="AD52" s="1"/>
    </row>
    <row r="53" spans="1:30">
      <c r="A53" s="171" t="s">
        <v>442</v>
      </c>
      <c r="B53" s="162"/>
      <c r="C53" s="144">
        <f>-(817-885) +SUM('Reorganised Statements'!C58:C60)</f>
        <v>-3176</v>
      </c>
      <c r="D53" s="136">
        <f>-(1239 - 1069)+SUM('Reorganised Statements'!D58:D60)</f>
        <v>-3272</v>
      </c>
      <c r="E53" s="136">
        <f>-(1239 - 1069)+SUM('Reorganised Statements'!E58:E60)</f>
        <v>-4132</v>
      </c>
      <c r="F53" s="136">
        <f>-(1605-1239)+SUM('Reorganised Statements'!F58:F60)</f>
        <v>-4964</v>
      </c>
      <c r="G53" s="298">
        <f>-(1196-1605) + SUM('Reorganised Statements'!G58:G60)</f>
        <v>-4981</v>
      </c>
      <c r="H53" s="52"/>
      <c r="I53" s="52"/>
      <c r="J53" s="52"/>
      <c r="K53" s="52"/>
      <c r="L53" s="52"/>
      <c r="M53" s="52"/>
      <c r="N53" s="52"/>
      <c r="O53" s="52"/>
      <c r="P53" s="52"/>
      <c r="Q53" s="52"/>
      <c r="R53" s="52"/>
      <c r="S53" s="52"/>
      <c r="T53" s="52"/>
      <c r="U53" s="52"/>
      <c r="V53" s="52"/>
      <c r="W53" s="1"/>
      <c r="X53" s="1"/>
      <c r="Y53" s="1"/>
      <c r="Z53" s="1"/>
      <c r="AA53" s="1"/>
      <c r="AB53" s="1"/>
      <c r="AC53" s="1"/>
      <c r="AD53" s="1"/>
    </row>
    <row r="54" spans="1:30">
      <c r="A54" s="171" t="s">
        <v>443</v>
      </c>
      <c r="B54" s="162"/>
      <c r="C54" s="144">
        <f>-(165-160) + 'Reorganised Statements'!C61</f>
        <v>-634</v>
      </c>
      <c r="D54" s="136">
        <f>-(165-160) + 'Reorganised Statements'!D61</f>
        <v>-601</v>
      </c>
      <c r="E54" s="136">
        <f>-(165-160) + 'Reorganised Statements'!E61</f>
        <v>-640</v>
      </c>
      <c r="F54" s="136">
        <f>-(177-165)+'Reorganised Statements'!F61</f>
        <v>-677</v>
      </c>
      <c r="G54" s="298">
        <f xml:space="preserve"> -(180-177)+'Reorganised Statements'!G61</f>
        <v>-703</v>
      </c>
      <c r="H54" s="52"/>
      <c r="I54" s="52"/>
      <c r="J54" s="52"/>
      <c r="K54" s="52"/>
      <c r="L54" s="52"/>
      <c r="M54" s="52"/>
      <c r="N54" s="52"/>
      <c r="O54" s="52"/>
      <c r="P54" s="52"/>
      <c r="Q54" s="52"/>
      <c r="R54" s="52"/>
      <c r="S54" s="52"/>
      <c r="T54" s="52"/>
      <c r="U54" s="52"/>
      <c r="V54" s="52"/>
      <c r="W54" s="1"/>
      <c r="X54" s="1"/>
      <c r="Y54" s="1"/>
      <c r="Z54" s="1"/>
      <c r="AA54" s="1"/>
      <c r="AB54" s="1"/>
      <c r="AC54" s="1"/>
      <c r="AD54" s="1"/>
    </row>
    <row r="55" spans="1:30">
      <c r="A55" s="285"/>
      <c r="B55" s="162"/>
      <c r="C55" s="144"/>
      <c r="D55" s="136"/>
      <c r="E55" s="136"/>
      <c r="F55" s="136"/>
      <c r="G55" s="298"/>
      <c r="H55" s="52"/>
      <c r="I55" s="52"/>
      <c r="J55" s="52"/>
      <c r="K55" s="52"/>
      <c r="L55" s="52"/>
      <c r="M55" s="52"/>
      <c r="N55" s="52"/>
      <c r="O55" s="52"/>
      <c r="P55" s="52"/>
      <c r="Q55" s="52"/>
      <c r="R55" s="52"/>
      <c r="S55" s="52"/>
      <c r="T55" s="52"/>
      <c r="U55" s="52"/>
      <c r="V55" s="52"/>
      <c r="W55" s="1"/>
      <c r="X55" s="1"/>
      <c r="Y55" s="1"/>
      <c r="Z55" s="1"/>
      <c r="AA55" s="1"/>
      <c r="AB55" s="1"/>
      <c r="AC55" s="1"/>
      <c r="AD55" s="1"/>
    </row>
    <row r="56" spans="1:30">
      <c r="A56" s="321" t="s">
        <v>306</v>
      </c>
      <c r="B56" s="166"/>
      <c r="C56" s="149">
        <f>SUM(C52:C54)</f>
        <v>1019</v>
      </c>
      <c r="D56" s="139">
        <f>SUM(D52:D54)</f>
        <v>1177</v>
      </c>
      <c r="E56" s="139">
        <f>SUM(E52:E54)</f>
        <v>1214</v>
      </c>
      <c r="F56" s="139">
        <f>SUM(F52:F54)</f>
        <v>1160</v>
      </c>
      <c r="G56" s="299">
        <f>SUM(G52:G54)</f>
        <v>1237</v>
      </c>
      <c r="H56" s="52"/>
      <c r="I56" s="52"/>
      <c r="J56" s="52"/>
      <c r="K56" s="52"/>
      <c r="L56" s="52"/>
      <c r="M56" s="52"/>
      <c r="N56" s="52"/>
      <c r="O56" s="52"/>
      <c r="P56" s="52"/>
      <c r="Q56" s="52"/>
      <c r="R56" s="52"/>
      <c r="S56" s="52"/>
      <c r="T56" s="52"/>
      <c r="U56" s="52"/>
      <c r="V56" s="52"/>
      <c r="W56" s="1"/>
      <c r="X56" s="1"/>
      <c r="Y56" s="1"/>
      <c r="Z56" s="1"/>
      <c r="AA56" s="1"/>
      <c r="AB56" s="1"/>
      <c r="AC56" s="1"/>
      <c r="AD56" s="1"/>
    </row>
    <row r="57" spans="1:30">
      <c r="A57" s="171" t="s">
        <v>449</v>
      </c>
      <c r="B57" s="162"/>
      <c r="C57" s="143">
        <f>-(121-110) + 'Reorganised Statements'!C72+'Reorganised Statements'!C76</f>
        <v>-844</v>
      </c>
      <c r="D57" s="138">
        <f>-(121-110) + 'Reorganised Statements'!D72+'Reorganised Statements'!D76</f>
        <v>-730</v>
      </c>
      <c r="E57" s="138">
        <f>-(121-110) + 'Reorganised Statements'!E72+'Reorganised Statements'!E76</f>
        <v>-500</v>
      </c>
      <c r="F57" s="138">
        <f>-(131-121) + 'Reorganised Statements'!F72+'Reorganised Statements'!F76</f>
        <v>-653</v>
      </c>
      <c r="G57" s="599">
        <f>-(135-131) + 'Reorganised Statements'!G72+'Reorganised Statements'!G76</f>
        <v>-551</v>
      </c>
      <c r="H57" s="52"/>
      <c r="I57" s="52"/>
      <c r="J57" s="52"/>
      <c r="K57" s="52"/>
      <c r="L57" s="52"/>
      <c r="M57" s="52"/>
      <c r="N57" s="52"/>
      <c r="O57" s="52"/>
      <c r="P57" s="52"/>
      <c r="Q57" s="52"/>
      <c r="R57" s="52"/>
      <c r="S57" s="52"/>
      <c r="T57" s="52"/>
      <c r="U57" s="52"/>
      <c r="V57" s="52"/>
      <c r="W57" s="1"/>
      <c r="X57" s="1"/>
      <c r="Y57" s="1"/>
      <c r="Z57" s="1"/>
      <c r="AA57" s="1"/>
      <c r="AB57" s="1"/>
      <c r="AC57" s="1"/>
      <c r="AD57" s="1"/>
    </row>
    <row r="58" spans="1:30">
      <c r="A58" s="285"/>
      <c r="B58" s="162"/>
      <c r="C58" s="144"/>
      <c r="D58" s="136"/>
      <c r="E58" s="138"/>
      <c r="F58" s="138"/>
      <c r="G58" s="599"/>
      <c r="H58" s="52"/>
      <c r="I58" s="52"/>
      <c r="J58" s="52"/>
      <c r="K58" s="52"/>
      <c r="L58" s="52"/>
      <c r="M58" s="52"/>
      <c r="N58" s="52"/>
      <c r="O58" s="52"/>
      <c r="P58" s="52"/>
      <c r="Q58" s="52"/>
      <c r="R58" s="52"/>
      <c r="S58" s="52"/>
      <c r="T58" s="52"/>
      <c r="U58" s="52"/>
      <c r="V58" s="52"/>
      <c r="W58" s="1"/>
      <c r="X58" s="1"/>
      <c r="Y58" s="1"/>
      <c r="Z58" s="1"/>
      <c r="AA58" s="1"/>
      <c r="AB58" s="1"/>
      <c r="AC58" s="1"/>
      <c r="AD58" s="1"/>
    </row>
    <row r="59" spans="1:30">
      <c r="A59" s="321" t="s">
        <v>303</v>
      </c>
      <c r="B59" s="166"/>
      <c r="C59" s="149">
        <f>C56+C57</f>
        <v>175</v>
      </c>
      <c r="D59" s="139">
        <f>D56+D57</f>
        <v>447</v>
      </c>
      <c r="E59" s="139">
        <f>E56+E57</f>
        <v>714</v>
      </c>
      <c r="F59" s="139">
        <f>F56+F57</f>
        <v>507</v>
      </c>
      <c r="G59" s="299">
        <f>G56+G57</f>
        <v>686</v>
      </c>
      <c r="H59" s="52"/>
      <c r="I59" s="52"/>
      <c r="J59" s="52"/>
      <c r="K59" s="52"/>
      <c r="L59" s="52"/>
      <c r="M59" s="52"/>
      <c r="N59" s="52"/>
      <c r="O59" s="52"/>
      <c r="P59" s="52"/>
      <c r="Q59" s="52"/>
      <c r="R59" s="52"/>
      <c r="S59" s="52"/>
      <c r="T59" s="52"/>
      <c r="U59" s="52"/>
      <c r="V59" s="52"/>
      <c r="W59" s="1"/>
      <c r="X59" s="1"/>
      <c r="Y59" s="1"/>
      <c r="Z59" s="1"/>
      <c r="AA59" s="1"/>
      <c r="AB59" s="1"/>
      <c r="AC59" s="1"/>
      <c r="AD59" s="1"/>
    </row>
    <row r="60" spans="1:30">
      <c r="A60" s="171" t="s">
        <v>450</v>
      </c>
      <c r="B60" s="162"/>
      <c r="C60" s="144">
        <f>(0-0) + 'Reorganised Statements'!C82</f>
        <v>1</v>
      </c>
      <c r="D60" s="136">
        <f>(0-0) + 'Reorganised Statements'!D82</f>
        <v>52</v>
      </c>
      <c r="E60" s="136">
        <f>(0-0) + 'Reorganised Statements'!E82</f>
        <v>0</v>
      </c>
      <c r="F60" s="136">
        <f xml:space="preserve"> (0-0) + 'Reorganised Statements'!F82</f>
        <v>14</v>
      </c>
      <c r="G60" s="298">
        <f>'Reorganised Statements'!G82+0</f>
        <v>4</v>
      </c>
      <c r="H60" s="52"/>
      <c r="I60" s="52"/>
      <c r="J60" s="52"/>
      <c r="K60" s="52"/>
      <c r="L60" s="52"/>
      <c r="M60" s="52"/>
      <c r="N60" s="52"/>
      <c r="O60" s="52"/>
      <c r="P60" s="52"/>
      <c r="Q60" s="52"/>
      <c r="R60" s="52"/>
      <c r="S60" s="52"/>
      <c r="T60" s="52"/>
      <c r="U60" s="52"/>
      <c r="V60" s="52"/>
      <c r="W60" s="1"/>
      <c r="X60" s="1"/>
      <c r="Y60" s="1"/>
      <c r="Z60" s="1"/>
      <c r="AA60" s="1"/>
      <c r="AB60" s="1"/>
      <c r="AC60" s="1"/>
      <c r="AD60" s="1"/>
    </row>
    <row r="61" spans="1:30">
      <c r="A61" s="171" t="s">
        <v>439</v>
      </c>
      <c r="B61" s="279"/>
      <c r="C61" s="604">
        <f>-(29-25) + 'Reorganised Statements'!C83</f>
        <v>-142</v>
      </c>
      <c r="D61" s="606">
        <f>-(29-25) + 'Reorganised Statements'!D83</f>
        <v>-165</v>
      </c>
      <c r="E61" s="606">
        <f>-(29-25) + 'Reorganised Statements'!E83</f>
        <v>-138</v>
      </c>
      <c r="F61" s="606">
        <f>-(24-29) + 'Reorganised Statements'!F83</f>
        <v>-107</v>
      </c>
      <c r="G61" s="259">
        <f>-(18-24) + 'Reorganised Statements'!G83</f>
        <v>-104</v>
      </c>
      <c r="H61" s="52"/>
      <c r="I61" s="52"/>
      <c r="J61" s="52"/>
      <c r="K61" s="52"/>
      <c r="L61" s="52"/>
      <c r="M61" s="52"/>
      <c r="N61" s="52"/>
      <c r="O61" s="52"/>
      <c r="P61" s="52"/>
      <c r="Q61" s="52"/>
      <c r="R61" s="52"/>
      <c r="S61" s="52"/>
      <c r="T61" s="52"/>
      <c r="U61" s="52"/>
      <c r="V61" s="52"/>
      <c r="W61" s="1"/>
      <c r="X61" s="1"/>
      <c r="Y61" s="1"/>
      <c r="Z61" s="1"/>
      <c r="AA61" s="1"/>
      <c r="AB61" s="1"/>
      <c r="AC61" s="1"/>
      <c r="AD61" s="1"/>
    </row>
    <row r="62" spans="1:30">
      <c r="A62" s="322" t="s">
        <v>359</v>
      </c>
      <c r="B62" s="162"/>
      <c r="C62" s="235">
        <f>C60+C61</f>
        <v>-141</v>
      </c>
      <c r="D62" s="167">
        <f>D60+D61</f>
        <v>-113</v>
      </c>
      <c r="E62" s="167">
        <f>E60+E61</f>
        <v>-138</v>
      </c>
      <c r="F62" s="167">
        <f>F60+F61</f>
        <v>-93</v>
      </c>
      <c r="G62" s="597">
        <f>G60+G61</f>
        <v>-100</v>
      </c>
      <c r="H62" s="52"/>
      <c r="I62" s="52"/>
      <c r="J62" s="52"/>
      <c r="K62" s="52"/>
      <c r="L62" s="52"/>
      <c r="M62" s="52"/>
      <c r="N62" s="52"/>
      <c r="O62" s="52"/>
      <c r="P62" s="52"/>
      <c r="Q62" s="52"/>
      <c r="R62" s="52"/>
      <c r="S62" s="52"/>
      <c r="T62" s="52"/>
      <c r="U62" s="52"/>
      <c r="V62" s="52"/>
      <c r="W62" s="1"/>
      <c r="X62" s="1"/>
      <c r="Y62" s="1"/>
      <c r="Z62" s="1"/>
      <c r="AA62" s="1"/>
      <c r="AB62" s="1"/>
      <c r="AC62" s="1"/>
      <c r="AD62" s="1"/>
    </row>
    <row r="63" spans="1:30">
      <c r="A63" s="321" t="s">
        <v>304</v>
      </c>
      <c r="B63" s="166"/>
      <c r="C63" s="149">
        <f>C59+C62</f>
        <v>34</v>
      </c>
      <c r="D63" s="139">
        <f>D59+D62</f>
        <v>334</v>
      </c>
      <c r="E63" s="139">
        <f>E59+E62</f>
        <v>576</v>
      </c>
      <c r="F63" s="139">
        <f>F59+F62</f>
        <v>414</v>
      </c>
      <c r="G63" s="299">
        <f>G59+G62</f>
        <v>586</v>
      </c>
      <c r="H63" s="52"/>
      <c r="I63" s="52"/>
      <c r="J63" s="52"/>
      <c r="K63" s="52"/>
      <c r="L63" s="52"/>
      <c r="M63" s="52"/>
      <c r="N63" s="52"/>
      <c r="O63" s="52"/>
      <c r="P63" s="52"/>
      <c r="Q63" s="52"/>
      <c r="R63" s="52"/>
      <c r="S63" s="52"/>
      <c r="T63" s="52"/>
      <c r="U63" s="52"/>
      <c r="V63" s="52"/>
      <c r="W63" s="1"/>
      <c r="X63" s="1"/>
      <c r="Y63" s="1"/>
      <c r="Z63" s="1"/>
      <c r="AA63" s="1"/>
      <c r="AB63" s="1"/>
      <c r="AC63" s="1"/>
      <c r="AD63" s="1"/>
    </row>
    <row r="64" spans="1:30">
      <c r="A64" s="323" t="s">
        <v>451</v>
      </c>
      <c r="B64" s="162"/>
      <c r="C64" s="235">
        <f>-(83-78) + 'Reorganised Statements'!C109</f>
        <v>-138</v>
      </c>
      <c r="D64" s="167">
        <f>-(83-78) + 'Reorganised Statements'!D109</f>
        <v>-127</v>
      </c>
      <c r="E64" s="167">
        <f>-(83-78) + 'Reorganised Statements'!E109</f>
        <v>-197</v>
      </c>
      <c r="F64" s="167">
        <f>-(59-83) + 'Reorganised Statements'!F109</f>
        <v>-133</v>
      </c>
      <c r="G64" s="600">
        <f>-(58-59)+'Reorganised Statements'!G109</f>
        <v>-188</v>
      </c>
      <c r="H64" s="52"/>
      <c r="I64" s="52"/>
      <c r="J64" s="52"/>
      <c r="K64" s="52"/>
      <c r="L64" s="52"/>
      <c r="M64" s="52"/>
      <c r="N64" s="52"/>
      <c r="O64" s="52"/>
      <c r="P64" s="52"/>
      <c r="Q64" s="52"/>
      <c r="R64" s="52"/>
      <c r="S64" s="52"/>
      <c r="T64" s="52"/>
      <c r="U64" s="52"/>
      <c r="V64" s="52"/>
      <c r="W64" s="1"/>
      <c r="X64" s="1"/>
      <c r="Y64" s="1"/>
      <c r="Z64" s="1"/>
      <c r="AA64" s="1"/>
      <c r="AB64" s="1"/>
      <c r="AC64" s="1"/>
      <c r="AD64" s="1"/>
    </row>
    <row r="65" spans="1:30">
      <c r="A65" s="324" t="s">
        <v>440</v>
      </c>
      <c r="B65" s="281"/>
      <c r="C65" s="607">
        <f>C63+C64</f>
        <v>-104</v>
      </c>
      <c r="D65" s="605">
        <f>D63+D64</f>
        <v>207</v>
      </c>
      <c r="E65" s="605">
        <f>E63+E64</f>
        <v>379</v>
      </c>
      <c r="F65" s="605">
        <f>F63+F64</f>
        <v>281</v>
      </c>
      <c r="G65" s="601">
        <f>G63+G64</f>
        <v>398</v>
      </c>
      <c r="H65" s="52"/>
      <c r="I65" s="52"/>
      <c r="J65" s="52"/>
      <c r="K65" s="52"/>
      <c r="L65" s="52"/>
      <c r="M65" s="52"/>
      <c r="N65" s="52"/>
      <c r="O65" s="52"/>
      <c r="P65" s="52"/>
      <c r="Q65" s="52"/>
      <c r="R65" s="52"/>
      <c r="S65" s="52"/>
      <c r="T65" s="52"/>
      <c r="U65" s="52"/>
      <c r="V65" s="52"/>
      <c r="W65" s="1"/>
      <c r="X65" s="1"/>
      <c r="Y65" s="1"/>
      <c r="Z65" s="1"/>
      <c r="AA65" s="1"/>
      <c r="AB65" s="1"/>
      <c r="AC65" s="1"/>
      <c r="AD65" s="1"/>
    </row>
    <row r="66" spans="1:30">
      <c r="A66" s="171" t="s">
        <v>441</v>
      </c>
      <c r="B66" s="162"/>
      <c r="C66" s="144">
        <f>(2-4) + 'Reorganised Statements'!C111</f>
        <v>-2</v>
      </c>
      <c r="D66" s="136">
        <f>(2-4) + 'Reorganised Statements'!D111</f>
        <v>17</v>
      </c>
      <c r="E66" s="136">
        <f>(2-4) + 'Reorganised Statements'!E111</f>
        <v>-87</v>
      </c>
      <c r="F66" s="136">
        <f>(0-2) + 'Reorganised Statements'!F111</f>
        <v>19</v>
      </c>
      <c r="G66" s="298">
        <f xml:space="preserve">  0 + 'Reorganised Statements'!G111</f>
        <v>1</v>
      </c>
      <c r="H66" s="52"/>
      <c r="I66" s="52"/>
      <c r="J66" s="52"/>
      <c r="K66" s="52"/>
      <c r="L66" s="52"/>
      <c r="M66" s="52"/>
      <c r="N66" s="52"/>
      <c r="O66" s="52"/>
      <c r="P66" s="52"/>
      <c r="Q66" s="52"/>
      <c r="R66" s="52"/>
      <c r="S66" s="52"/>
      <c r="T66" s="52"/>
      <c r="U66" s="52"/>
      <c r="V66" s="52"/>
      <c r="W66" s="1"/>
      <c r="X66" s="1"/>
      <c r="Y66" s="1"/>
      <c r="Z66" s="1"/>
      <c r="AA66" s="1"/>
      <c r="AB66" s="1"/>
      <c r="AC66" s="1"/>
      <c r="AD66" s="1"/>
    </row>
    <row r="67" spans="1:30">
      <c r="A67" s="171"/>
      <c r="B67" s="162"/>
      <c r="C67" s="144"/>
      <c r="D67" s="136"/>
      <c r="E67" s="136"/>
      <c r="F67" s="136"/>
      <c r="G67" s="298"/>
      <c r="H67" s="52"/>
      <c r="I67" s="52"/>
      <c r="J67" s="52"/>
      <c r="K67" s="52"/>
      <c r="L67" s="52"/>
      <c r="M67" s="52"/>
      <c r="N67" s="52"/>
      <c r="O67" s="52"/>
      <c r="P67" s="52"/>
      <c r="Q67" s="52"/>
      <c r="R67" s="52"/>
      <c r="S67" s="52"/>
      <c r="T67" s="52"/>
      <c r="U67" s="52"/>
      <c r="V67" s="52"/>
      <c r="W67" s="1"/>
      <c r="X67" s="1"/>
      <c r="Y67" s="1"/>
      <c r="Z67" s="1"/>
      <c r="AA67" s="1"/>
      <c r="AB67" s="1"/>
      <c r="AC67" s="1"/>
      <c r="AD67" s="1"/>
    </row>
    <row r="68" spans="1:30">
      <c r="A68" s="321" t="s">
        <v>452</v>
      </c>
      <c r="B68" s="166"/>
      <c r="C68" s="150">
        <f>C65+C66</f>
        <v>-106</v>
      </c>
      <c r="D68" s="151">
        <f>D65+D66</f>
        <v>224</v>
      </c>
      <c r="E68" s="151">
        <f>E65+E66</f>
        <v>292</v>
      </c>
      <c r="F68" s="151">
        <f>F65+F66</f>
        <v>300</v>
      </c>
      <c r="G68" s="602">
        <f>G65+G66</f>
        <v>399</v>
      </c>
      <c r="H68" s="52"/>
      <c r="I68" s="52"/>
      <c r="J68" s="52"/>
      <c r="K68" s="52"/>
      <c r="L68" s="52"/>
      <c r="M68" s="52"/>
      <c r="N68" s="52"/>
      <c r="O68" s="52"/>
      <c r="P68" s="52"/>
      <c r="Q68" s="52"/>
      <c r="R68" s="52"/>
      <c r="S68" s="52"/>
      <c r="T68" s="52"/>
      <c r="U68" s="52"/>
      <c r="V68" s="52"/>
      <c r="W68" s="1"/>
      <c r="X68" s="1"/>
      <c r="Y68" s="1"/>
      <c r="Z68" s="1"/>
      <c r="AA68" s="1"/>
      <c r="AB68" s="1"/>
      <c r="AC68" s="1"/>
      <c r="AD68" s="1"/>
    </row>
    <row r="69" spans="1:30">
      <c r="A69" s="171" t="s">
        <v>453</v>
      </c>
      <c r="B69" s="162"/>
      <c r="C69" s="144">
        <f>-(4-4) + 'Reorganised Statements'!C112</f>
        <v>130</v>
      </c>
      <c r="D69" s="136">
        <f>-(4-4) + 'Reorganised Statements'!D112</f>
        <v>1</v>
      </c>
      <c r="E69" s="136">
        <f>-(4-4) + 'Reorganised Statements'!E112</f>
        <v>-6</v>
      </c>
      <c r="F69" s="136">
        <f>-(10-4) + 'Reorganised Statements'!F112</f>
        <v>-16</v>
      </c>
      <c r="G69" s="298">
        <f>-(8-10) + 'Reorganised Statements'!G112</f>
        <v>-2</v>
      </c>
      <c r="H69" s="52"/>
      <c r="I69" s="52"/>
      <c r="J69" s="52"/>
      <c r="K69" s="52"/>
      <c r="L69" s="52"/>
      <c r="M69" s="52"/>
      <c r="N69" s="52"/>
      <c r="O69" s="52"/>
      <c r="P69" s="52"/>
      <c r="Q69" s="52"/>
      <c r="R69" s="52"/>
      <c r="S69" s="52"/>
      <c r="T69" s="52"/>
      <c r="U69" s="52"/>
      <c r="V69" s="52"/>
      <c r="W69" s="1"/>
      <c r="X69" s="1"/>
      <c r="Y69" s="1"/>
      <c r="Z69" s="1"/>
      <c r="AA69" s="1"/>
      <c r="AB69" s="1"/>
      <c r="AC69" s="1"/>
      <c r="AD69" s="1"/>
    </row>
    <row r="70" spans="1:30">
      <c r="A70" s="171"/>
      <c r="B70" s="162"/>
      <c r="C70" s="144"/>
      <c r="D70" s="136"/>
      <c r="E70" s="136"/>
      <c r="F70" s="136"/>
      <c r="G70" s="298"/>
      <c r="H70" s="1"/>
      <c r="I70" s="52"/>
      <c r="J70" s="1"/>
      <c r="K70" s="1"/>
      <c r="L70" s="1"/>
      <c r="M70" s="1"/>
      <c r="N70" s="1"/>
      <c r="O70" s="1"/>
      <c r="P70" s="1"/>
      <c r="Q70" s="1"/>
      <c r="R70" s="1"/>
      <c r="S70" s="1"/>
      <c r="T70" s="1"/>
      <c r="U70" s="1"/>
      <c r="V70" s="1"/>
      <c r="W70" s="1"/>
      <c r="X70" s="1"/>
      <c r="Y70" s="1"/>
      <c r="Z70" s="1"/>
      <c r="AA70" s="1"/>
      <c r="AB70" s="1"/>
      <c r="AC70" s="1"/>
      <c r="AD70" s="1"/>
    </row>
    <row r="71" spans="1:30" ht="15" thickBot="1">
      <c r="A71" s="326" t="s">
        <v>336</v>
      </c>
      <c r="B71" s="327"/>
      <c r="C71" s="311">
        <f>C68+C69</f>
        <v>24</v>
      </c>
      <c r="D71" s="352">
        <f>D68+D69</f>
        <v>225</v>
      </c>
      <c r="E71" s="352">
        <f>E68+E69</f>
        <v>286</v>
      </c>
      <c r="F71" s="352">
        <f>F68+F69</f>
        <v>284</v>
      </c>
      <c r="G71" s="603">
        <f>G68+G69</f>
        <v>397</v>
      </c>
      <c r="H71" s="1"/>
      <c r="I71" s="52"/>
      <c r="J71" s="1"/>
      <c r="K71" s="1"/>
      <c r="L71" s="1"/>
      <c r="M71" s="1"/>
      <c r="N71" s="1"/>
      <c r="O71" s="1"/>
      <c r="P71" s="1"/>
      <c r="Q71" s="1"/>
      <c r="R71" s="1"/>
      <c r="S71" s="1"/>
      <c r="T71" s="1"/>
      <c r="U71" s="1"/>
      <c r="V71" s="1"/>
      <c r="W71" s="1"/>
      <c r="X71" s="1"/>
      <c r="Y71" s="1"/>
      <c r="Z71" s="1"/>
      <c r="AA71" s="1"/>
      <c r="AB71" s="1"/>
      <c r="AC71" s="1"/>
      <c r="AD71" s="1"/>
    </row>
    <row r="72" spans="1:30">
      <c r="A72" s="52"/>
      <c r="B72" s="52"/>
      <c r="C72" s="52"/>
      <c r="D72" s="52"/>
      <c r="E72" s="52"/>
      <c r="F72" s="52"/>
      <c r="G72" s="52"/>
      <c r="H72" s="1"/>
      <c r="I72" s="52"/>
      <c r="J72" s="1"/>
      <c r="K72" s="1"/>
      <c r="L72" s="1"/>
      <c r="M72" s="1"/>
      <c r="N72" s="1"/>
      <c r="O72" s="1"/>
      <c r="P72" s="1"/>
      <c r="Q72" s="1"/>
      <c r="R72" s="1"/>
      <c r="S72" s="1"/>
      <c r="T72" s="1"/>
      <c r="U72" s="1"/>
      <c r="V72" s="1"/>
      <c r="W72" s="1"/>
      <c r="X72" s="1"/>
      <c r="Y72" s="1"/>
      <c r="Z72" s="1"/>
      <c r="AA72" s="1"/>
      <c r="AB72" s="1"/>
      <c r="AC72" s="1"/>
      <c r="AD72" s="1"/>
    </row>
    <row r="73" spans="1:30">
      <c r="A73" s="1"/>
      <c r="B73" s="1"/>
      <c r="C73" s="1"/>
      <c r="D73" s="1"/>
      <c r="E73" s="1"/>
      <c r="F73" s="1"/>
      <c r="G73" s="1"/>
      <c r="H73" s="1"/>
      <c r="I73" s="52"/>
      <c r="J73" s="1"/>
      <c r="K73" s="1"/>
      <c r="L73" s="1"/>
      <c r="M73" s="1"/>
      <c r="N73" s="1"/>
      <c r="O73" s="1"/>
      <c r="P73" s="1"/>
      <c r="Q73" s="1"/>
      <c r="R73" s="1"/>
      <c r="S73" s="1"/>
      <c r="T73" s="1"/>
      <c r="U73" s="1"/>
      <c r="V73" s="1"/>
      <c r="W73" s="1"/>
      <c r="X73" s="1"/>
      <c r="Y73" s="1"/>
      <c r="Z73" s="1"/>
      <c r="AA73" s="1"/>
      <c r="AB73" s="1"/>
      <c r="AC73" s="1"/>
      <c r="AD73" s="1"/>
    </row>
    <row r="74" spans="1:30">
      <c r="A74" s="1"/>
      <c r="B74" s="1"/>
      <c r="C74" s="1"/>
      <c r="D74" s="1"/>
      <c r="E74" s="1"/>
      <c r="F74" s="1"/>
      <c r="G74" s="1"/>
      <c r="H74" s="1"/>
      <c r="I74" s="52"/>
      <c r="J74" s="1"/>
      <c r="K74" s="1"/>
      <c r="L74" s="1"/>
      <c r="M74" s="1"/>
      <c r="N74" s="1"/>
      <c r="O74" s="1"/>
      <c r="P74" s="1"/>
      <c r="Q74" s="1"/>
      <c r="R74" s="1"/>
      <c r="S74" s="1"/>
      <c r="T74" s="1"/>
      <c r="U74" s="1"/>
      <c r="V74" s="1"/>
      <c r="W74" s="1"/>
      <c r="X74" s="1"/>
      <c r="Y74" s="1"/>
      <c r="Z74" s="1"/>
      <c r="AA74" s="1"/>
      <c r="AB74" s="1"/>
      <c r="AC74" s="1"/>
      <c r="AD74" s="1"/>
    </row>
    <row r="75" spans="1:30" ht="15" thickBot="1">
      <c r="A75" s="1"/>
      <c r="B75" s="1"/>
      <c r="C75" s="1"/>
      <c r="D75" s="1"/>
      <c r="E75" s="1"/>
      <c r="F75" s="1"/>
      <c r="G75" s="1"/>
      <c r="H75" s="1"/>
      <c r="I75" s="52"/>
      <c r="J75" s="1"/>
      <c r="K75" s="1"/>
      <c r="L75" s="1"/>
      <c r="M75" s="1"/>
      <c r="N75" s="1"/>
      <c r="O75" s="1"/>
      <c r="P75" s="1"/>
      <c r="Q75" s="1"/>
      <c r="R75" s="1"/>
      <c r="S75" s="1"/>
      <c r="T75" s="1"/>
      <c r="U75" s="1"/>
      <c r="V75" s="1"/>
      <c r="W75" s="1"/>
      <c r="X75" s="1"/>
      <c r="Y75" s="1"/>
      <c r="Z75" s="1"/>
      <c r="AA75" s="1"/>
      <c r="AB75" s="1"/>
      <c r="AC75" s="1"/>
      <c r="AD75" s="1"/>
    </row>
    <row r="76" spans="1:30" ht="24.6">
      <c r="A76" s="328" t="s">
        <v>346</v>
      </c>
      <c r="B76" s="247"/>
      <c r="C76" s="248"/>
      <c r="D76" s="248"/>
      <c r="E76" s="248"/>
      <c r="F76" s="249"/>
      <c r="G76" s="1"/>
      <c r="H76" s="1"/>
      <c r="I76" s="52"/>
      <c r="J76" s="1"/>
      <c r="K76" s="1"/>
      <c r="L76" s="1"/>
      <c r="M76" s="1"/>
      <c r="N76" s="1"/>
      <c r="O76" s="1"/>
      <c r="P76" s="1"/>
      <c r="Q76" s="1"/>
      <c r="R76" s="1"/>
      <c r="S76" s="1"/>
      <c r="T76" s="1"/>
      <c r="U76" s="1"/>
      <c r="V76" s="1"/>
      <c r="W76" s="1"/>
      <c r="X76" s="1"/>
      <c r="Y76" s="1"/>
      <c r="Z76" s="1"/>
      <c r="AA76" s="1"/>
      <c r="AB76" s="1"/>
      <c r="AC76" s="1"/>
      <c r="AD76" s="1"/>
    </row>
    <row r="77" spans="1:30">
      <c r="A77" s="250"/>
      <c r="B77" s="60"/>
      <c r="C77" s="951" t="s">
        <v>163</v>
      </c>
      <c r="D77" s="951"/>
      <c r="E77" s="951"/>
      <c r="F77" s="952"/>
      <c r="G77" s="1"/>
      <c r="H77" s="1"/>
      <c r="I77" s="52"/>
      <c r="J77" s="1"/>
      <c r="K77" s="1"/>
      <c r="L77" s="1"/>
      <c r="M77" s="1"/>
      <c r="N77" s="1"/>
      <c r="O77" s="1"/>
      <c r="P77" s="1"/>
      <c r="Q77" s="1"/>
      <c r="R77" s="1"/>
      <c r="S77" s="1"/>
      <c r="T77" s="1"/>
      <c r="U77" s="1"/>
      <c r="V77" s="1"/>
      <c r="W77" s="1"/>
      <c r="X77" s="1"/>
      <c r="Y77" s="1"/>
      <c r="Z77" s="1"/>
      <c r="AA77" s="1"/>
      <c r="AB77" s="1"/>
      <c r="AC77" s="1"/>
      <c r="AD77" s="1"/>
    </row>
    <row r="78" spans="1:30">
      <c r="A78" s="251"/>
      <c r="B78" s="121" t="s">
        <v>1</v>
      </c>
      <c r="C78" s="280" t="s">
        <v>445</v>
      </c>
      <c r="D78" s="280" t="s">
        <v>446</v>
      </c>
      <c r="E78" s="280" t="s">
        <v>447</v>
      </c>
      <c r="F78" s="318" t="s">
        <v>448</v>
      </c>
      <c r="G78" s="1"/>
      <c r="H78" s="1"/>
      <c r="I78" s="52"/>
      <c r="J78" s="1"/>
      <c r="K78" s="1"/>
      <c r="L78" s="1"/>
      <c r="M78" s="1"/>
      <c r="N78" s="1"/>
      <c r="O78" s="1"/>
      <c r="P78" s="1"/>
      <c r="Q78" s="1"/>
      <c r="R78" s="1"/>
      <c r="S78" s="1"/>
      <c r="T78" s="1"/>
      <c r="U78" s="1"/>
      <c r="V78" s="1"/>
      <c r="W78" s="1"/>
      <c r="X78" s="1"/>
      <c r="Y78" s="1"/>
      <c r="Z78" s="1"/>
      <c r="AA78" s="1"/>
      <c r="AB78" s="1"/>
      <c r="AC78" s="1"/>
      <c r="AD78" s="1"/>
    </row>
    <row r="79" spans="1:30">
      <c r="A79" s="171"/>
      <c r="B79" s="2"/>
      <c r="C79" s="28"/>
      <c r="D79" s="26"/>
      <c r="E79" s="26"/>
      <c r="F79" s="254"/>
      <c r="G79" s="1"/>
      <c r="H79" s="1"/>
      <c r="I79" s="52"/>
      <c r="J79" s="1"/>
      <c r="K79" s="1"/>
      <c r="L79" s="1"/>
      <c r="M79" s="1"/>
      <c r="N79" s="1"/>
      <c r="O79" s="1"/>
      <c r="P79" s="1"/>
      <c r="Q79" s="1"/>
      <c r="R79" s="1"/>
      <c r="S79" s="1"/>
      <c r="T79" s="1"/>
      <c r="U79" s="1"/>
      <c r="V79" s="1"/>
      <c r="W79" s="1"/>
      <c r="X79" s="1"/>
      <c r="Y79" s="1"/>
      <c r="Z79" s="1"/>
      <c r="AA79" s="1"/>
      <c r="AB79" s="1"/>
      <c r="AC79" s="1"/>
      <c r="AD79" s="1"/>
    </row>
    <row r="80" spans="1:30">
      <c r="A80" s="285" t="s">
        <v>303</v>
      </c>
      <c r="B80" s="2"/>
      <c r="C80" s="174">
        <f>D59</f>
        <v>447</v>
      </c>
      <c r="D80" s="175">
        <f>E59</f>
        <v>714</v>
      </c>
      <c r="E80" s="175">
        <f>F59</f>
        <v>507</v>
      </c>
      <c r="F80" s="255">
        <f>G59</f>
        <v>686</v>
      </c>
      <c r="G80" s="1"/>
      <c r="H80" s="1"/>
      <c r="I80" s="52"/>
      <c r="J80" s="1"/>
      <c r="K80" s="1"/>
      <c r="L80" s="1"/>
      <c r="M80" s="1"/>
      <c r="N80" s="1"/>
      <c r="O80" s="1"/>
      <c r="P80" s="1"/>
      <c r="Q80" s="1"/>
      <c r="R80" s="1"/>
      <c r="S80" s="1"/>
      <c r="T80" s="1"/>
      <c r="U80" s="1"/>
      <c r="V80" s="1"/>
      <c r="W80" s="1"/>
      <c r="X80" s="1"/>
      <c r="Y80" s="1"/>
      <c r="Z80" s="1"/>
      <c r="AA80" s="1"/>
      <c r="AB80" s="1"/>
      <c r="AC80" s="1"/>
      <c r="AD80" s="1"/>
    </row>
    <row r="81" spans="1:30">
      <c r="A81" s="171" t="s">
        <v>347</v>
      </c>
      <c r="B81" s="2"/>
      <c r="C81" s="176">
        <f>D64</f>
        <v>-127</v>
      </c>
      <c r="D81" s="177">
        <f>E64</f>
        <v>-197</v>
      </c>
      <c r="E81" s="177">
        <f>F64</f>
        <v>-133</v>
      </c>
      <c r="F81" s="256">
        <f>G64</f>
        <v>-188</v>
      </c>
      <c r="G81" s="1"/>
      <c r="H81" s="1"/>
      <c r="I81" s="52"/>
      <c r="J81" s="1"/>
      <c r="K81" s="1"/>
      <c r="L81" s="1"/>
      <c r="M81" s="1"/>
      <c r="N81" s="1"/>
      <c r="O81" s="1"/>
      <c r="P81" s="1"/>
      <c r="Q81" s="1"/>
      <c r="R81" s="1"/>
      <c r="S81" s="1"/>
      <c r="T81" s="1"/>
      <c r="U81" s="1"/>
      <c r="V81" s="1"/>
      <c r="W81" s="1"/>
      <c r="X81" s="1"/>
      <c r="Y81" s="1"/>
      <c r="Z81" s="1"/>
      <c r="AA81" s="1"/>
      <c r="AB81" s="1"/>
      <c r="AC81" s="1"/>
      <c r="AD81" s="1"/>
    </row>
    <row r="82" spans="1:30">
      <c r="A82" s="171" t="s">
        <v>376</v>
      </c>
      <c r="B82" s="2"/>
      <c r="C82" s="241">
        <f>-(D64/D63)*(D62)</f>
        <v>-42.967065868263475</v>
      </c>
      <c r="D82" s="242">
        <f>-(E64/E63)*(E62)</f>
        <v>-47.197916666666664</v>
      </c>
      <c r="E82" s="242">
        <f>-(F64/F63)*(F62)</f>
        <v>-29.876811594202898</v>
      </c>
      <c r="F82" s="257">
        <f>-(G64/G63)*(G62)</f>
        <v>-32.081911262798634</v>
      </c>
      <c r="G82" s="1"/>
      <c r="H82" s="1"/>
      <c r="I82" s="52"/>
      <c r="J82" s="1"/>
      <c r="K82" s="1"/>
      <c r="L82" s="1"/>
      <c r="M82" s="1"/>
      <c r="N82" s="1"/>
      <c r="O82" s="1"/>
      <c r="P82" s="1"/>
      <c r="Q82" s="1"/>
      <c r="R82" s="1"/>
      <c r="S82" s="1"/>
      <c r="T82" s="1"/>
      <c r="U82" s="1"/>
      <c r="V82" s="1"/>
      <c r="W82" s="1"/>
      <c r="X82" s="1"/>
      <c r="Y82" s="1"/>
      <c r="Z82" s="1"/>
      <c r="AA82" s="1"/>
      <c r="AB82" s="1"/>
      <c r="AC82" s="1"/>
      <c r="AD82" s="1"/>
    </row>
    <row r="83" spans="1:30">
      <c r="A83" s="321" t="s">
        <v>348</v>
      </c>
      <c r="B83" s="22"/>
      <c r="C83" s="178">
        <f t="shared" ref="C83:E83" si="1">C80+C81+C82</f>
        <v>277.03293413173651</v>
      </c>
      <c r="D83" s="179">
        <f t="shared" si="1"/>
        <v>469.80208333333331</v>
      </c>
      <c r="E83" s="179">
        <f t="shared" si="1"/>
        <v>344.12318840579712</v>
      </c>
      <c r="F83" s="258">
        <f>F80+F81+F82</f>
        <v>465.91808873720134</v>
      </c>
      <c r="G83" s="1"/>
      <c r="H83" s="1"/>
      <c r="I83" s="52"/>
      <c r="J83" s="1"/>
      <c r="K83" s="1"/>
      <c r="L83" s="1"/>
      <c r="M83" s="1"/>
      <c r="N83" s="1"/>
      <c r="O83" s="1"/>
      <c r="P83" s="1"/>
      <c r="Q83" s="1"/>
      <c r="R83" s="1"/>
      <c r="S83" s="1"/>
      <c r="T83" s="1"/>
      <c r="U83" s="1"/>
      <c r="V83" s="1"/>
      <c r="W83" s="1"/>
      <c r="X83" s="1"/>
      <c r="Y83" s="1"/>
      <c r="Z83" s="1"/>
      <c r="AA83" s="1"/>
      <c r="AB83" s="1"/>
      <c r="AC83" s="1"/>
      <c r="AD83" s="1"/>
    </row>
    <row r="84" spans="1:30">
      <c r="A84" s="171"/>
      <c r="B84" s="2"/>
      <c r="C84" s="176"/>
      <c r="D84" s="177"/>
      <c r="E84" s="177"/>
      <c r="F84" s="256"/>
      <c r="G84" s="1"/>
      <c r="H84" s="1"/>
      <c r="I84" s="52"/>
      <c r="J84" s="1"/>
      <c r="K84" s="1"/>
      <c r="L84" s="1"/>
      <c r="M84" s="1"/>
      <c r="N84" s="1"/>
      <c r="O84" s="1"/>
      <c r="P84" s="1"/>
      <c r="Q84" s="1"/>
      <c r="R84" s="1"/>
      <c r="S84" s="1"/>
      <c r="T84" s="1"/>
      <c r="U84" s="1"/>
      <c r="V84" s="1"/>
      <c r="W84" s="1"/>
      <c r="X84" s="1"/>
      <c r="Y84" s="1"/>
      <c r="Z84" s="1"/>
      <c r="AA84" s="1"/>
      <c r="AB84" s="1"/>
      <c r="AC84" s="1"/>
      <c r="AD84" s="1"/>
    </row>
    <row r="85" spans="1:30">
      <c r="A85" s="171" t="s">
        <v>370</v>
      </c>
      <c r="B85" s="2"/>
      <c r="C85" s="176">
        <f t="shared" ref="C85:F87" si="2">C10-D10</f>
        <v>-20</v>
      </c>
      <c r="D85" s="177">
        <f t="shared" si="2"/>
        <v>38</v>
      </c>
      <c r="E85" s="177">
        <f t="shared" si="2"/>
        <v>-39</v>
      </c>
      <c r="F85" s="256">
        <f t="shared" si="2"/>
        <v>15</v>
      </c>
      <c r="G85" s="52"/>
      <c r="H85" s="52"/>
      <c r="I85" s="52"/>
      <c r="J85" s="52"/>
      <c r="K85" s="52"/>
      <c r="L85" s="52"/>
      <c r="M85" s="52"/>
      <c r="N85" s="52"/>
      <c r="O85" s="52"/>
      <c r="P85" s="52"/>
      <c r="Q85" s="52"/>
      <c r="R85" s="52"/>
      <c r="S85" s="52"/>
      <c r="T85" s="52"/>
      <c r="U85" s="52"/>
      <c r="V85" s="1"/>
      <c r="W85" s="1"/>
      <c r="X85" s="1"/>
      <c r="Y85" s="1"/>
      <c r="Z85" s="1"/>
      <c r="AA85" s="1"/>
      <c r="AB85" s="1"/>
      <c r="AC85" s="1"/>
      <c r="AD85" s="1"/>
    </row>
    <row r="86" spans="1:30">
      <c r="A86" s="171" t="s">
        <v>349</v>
      </c>
      <c r="B86" s="2"/>
      <c r="C86" s="176">
        <f t="shared" si="2"/>
        <v>-331</v>
      </c>
      <c r="D86" s="177">
        <f t="shared" si="2"/>
        <v>52</v>
      </c>
      <c r="E86" s="177">
        <f t="shared" si="2"/>
        <v>-251</v>
      </c>
      <c r="F86" s="256">
        <f t="shared" si="2"/>
        <v>21</v>
      </c>
      <c r="G86" s="52"/>
      <c r="H86" s="52"/>
      <c r="I86" s="52"/>
      <c r="J86" s="52"/>
      <c r="K86" s="52"/>
      <c r="L86" s="52"/>
      <c r="M86" s="52"/>
      <c r="N86" s="52"/>
      <c r="O86" s="52"/>
      <c r="P86" s="52"/>
      <c r="Q86" s="52"/>
      <c r="R86" s="52"/>
      <c r="S86" s="52"/>
      <c r="T86" s="52"/>
      <c r="U86" s="52"/>
      <c r="V86" s="1"/>
      <c r="W86" s="1"/>
      <c r="X86" s="1"/>
      <c r="Y86" s="1"/>
      <c r="Z86" s="1"/>
      <c r="AA86" s="1"/>
      <c r="AB86" s="1"/>
      <c r="AC86" s="1"/>
      <c r="AD86" s="1"/>
    </row>
    <row r="87" spans="1:30">
      <c r="A87" s="171" t="s">
        <v>369</v>
      </c>
      <c r="B87" s="2"/>
      <c r="C87" s="176">
        <f t="shared" si="2"/>
        <v>139</v>
      </c>
      <c r="D87" s="177">
        <f t="shared" si="2"/>
        <v>-1</v>
      </c>
      <c r="E87" s="177">
        <f t="shared" si="2"/>
        <v>171</v>
      </c>
      <c r="F87" s="256">
        <f t="shared" si="2"/>
        <v>2</v>
      </c>
      <c r="G87" s="52"/>
      <c r="H87" s="52"/>
      <c r="I87" s="52"/>
      <c r="J87" s="52"/>
      <c r="K87" s="52"/>
      <c r="L87" s="52"/>
      <c r="M87" s="52"/>
      <c r="N87" s="52"/>
      <c r="O87" s="52"/>
      <c r="P87" s="52"/>
      <c r="Q87" s="52"/>
      <c r="R87" s="52"/>
      <c r="S87" s="52"/>
      <c r="T87" s="52"/>
      <c r="U87" s="52"/>
      <c r="V87" s="1"/>
      <c r="W87" s="1"/>
      <c r="X87" s="1"/>
      <c r="Y87" s="1"/>
      <c r="Z87" s="1"/>
      <c r="AA87" s="1"/>
      <c r="AB87" s="1"/>
      <c r="AC87" s="1"/>
      <c r="AD87" s="1"/>
    </row>
    <row r="88" spans="1:30">
      <c r="A88" s="321" t="s">
        <v>371</v>
      </c>
      <c r="B88" s="22"/>
      <c r="C88" s="178">
        <f>C85+C86+C87</f>
        <v>-212</v>
      </c>
      <c r="D88" s="179">
        <f t="shared" ref="D88:F88" si="3">D85+D86+D87</f>
        <v>89</v>
      </c>
      <c r="E88" s="179">
        <f t="shared" si="3"/>
        <v>-119</v>
      </c>
      <c r="F88" s="258">
        <f t="shared" si="3"/>
        <v>38</v>
      </c>
      <c r="G88" s="52"/>
      <c r="H88" s="52"/>
      <c r="I88" s="52"/>
      <c r="J88" s="52"/>
      <c r="K88" s="52"/>
      <c r="L88" s="52"/>
      <c r="M88" s="52"/>
      <c r="N88" s="52"/>
      <c r="O88" s="52"/>
      <c r="P88" s="52"/>
      <c r="Q88" s="52"/>
      <c r="R88" s="52"/>
      <c r="S88" s="52"/>
      <c r="T88" s="52"/>
      <c r="U88" s="52"/>
      <c r="V88" s="1"/>
      <c r="W88" s="1"/>
      <c r="X88" s="1"/>
      <c r="Y88" s="1"/>
      <c r="Z88" s="1"/>
      <c r="AA88" s="1"/>
      <c r="AB88" s="1"/>
      <c r="AC88" s="1"/>
      <c r="AD88" s="1"/>
    </row>
    <row r="89" spans="1:30">
      <c r="A89" s="171"/>
      <c r="B89" s="2"/>
      <c r="C89" s="176"/>
      <c r="D89" s="177"/>
      <c r="E89" s="177"/>
      <c r="F89" s="256"/>
      <c r="G89" s="414"/>
      <c r="H89" s="279"/>
      <c r="I89" s="52"/>
      <c r="J89" s="279"/>
      <c r="K89" s="279"/>
      <c r="L89" s="52"/>
      <c r="M89" s="279"/>
      <c r="N89" s="279"/>
      <c r="O89" s="52"/>
      <c r="P89" s="279"/>
      <c r="Q89" s="279"/>
      <c r="R89" s="52"/>
      <c r="S89" s="279"/>
      <c r="T89" s="279"/>
      <c r="U89" s="52"/>
      <c r="V89" s="1"/>
      <c r="W89" s="1"/>
      <c r="X89" s="1"/>
      <c r="Y89" s="1"/>
      <c r="Z89" s="1"/>
      <c r="AA89" s="1"/>
      <c r="AB89" s="1"/>
      <c r="AC89" s="1"/>
      <c r="AD89" s="1"/>
    </row>
    <row r="90" spans="1:30">
      <c r="A90" s="171" t="s">
        <v>350</v>
      </c>
      <c r="B90" s="2"/>
      <c r="C90" s="176">
        <f>SUM(C16:C20)-SUM(D16:D20)</f>
        <v>103</v>
      </c>
      <c r="D90" s="177">
        <f>SUM(D16:D20)-SUM(E16:E20)</f>
        <v>33</v>
      </c>
      <c r="E90" s="177">
        <f>SUM(E16:E20)-SUM(F16:F20)</f>
        <v>-74</v>
      </c>
      <c r="F90" s="256">
        <f>SUM(F16:F20)-SUM(G16:G20)</f>
        <v>-455</v>
      </c>
      <c r="G90" s="52"/>
      <c r="H90" s="52"/>
      <c r="I90" s="52"/>
      <c r="J90" s="52"/>
      <c r="K90" s="52"/>
      <c r="L90" s="52"/>
      <c r="M90" s="52"/>
      <c r="N90" s="52"/>
      <c r="O90" s="52"/>
      <c r="P90" s="52"/>
      <c r="Q90" s="52"/>
      <c r="R90" s="52"/>
      <c r="S90" s="52"/>
      <c r="T90" s="52"/>
      <c r="U90" s="52"/>
      <c r="V90" s="1"/>
      <c r="W90" s="1"/>
      <c r="X90" s="1"/>
      <c r="Y90" s="1"/>
      <c r="Z90" s="1"/>
      <c r="AA90" s="1"/>
      <c r="AB90" s="1"/>
      <c r="AC90" s="1"/>
      <c r="AD90" s="1"/>
    </row>
    <row r="91" spans="1:30">
      <c r="A91" s="171" t="s">
        <v>351</v>
      </c>
      <c r="B91" s="2"/>
      <c r="C91" s="176">
        <f>SUM(C22:C25)-SUM(D22:D25)</f>
        <v>8</v>
      </c>
      <c r="D91" s="177">
        <f>SUM(D22:D25)-SUM(E22:E25)</f>
        <v>-68</v>
      </c>
      <c r="E91" s="177">
        <f>SUM(E22:E25)-SUM(F22:F25)</f>
        <v>297</v>
      </c>
      <c r="F91" s="256">
        <f>SUM(F22:F25)-SUM(G22:G25)</f>
        <v>435</v>
      </c>
      <c r="G91" s="52"/>
      <c r="H91" s="52"/>
      <c r="I91" s="52"/>
      <c r="J91" s="52"/>
      <c r="K91" s="52"/>
      <c r="L91" s="52"/>
      <c r="M91" s="52"/>
      <c r="N91" s="52"/>
      <c r="O91" s="52"/>
      <c r="P91" s="52"/>
      <c r="Q91" s="52"/>
      <c r="R91" s="52"/>
      <c r="S91" s="52"/>
      <c r="T91" s="52"/>
      <c r="U91" s="52"/>
      <c r="V91" s="1"/>
      <c r="W91" s="1"/>
      <c r="X91" s="1"/>
      <c r="Y91" s="1"/>
      <c r="Z91" s="1"/>
      <c r="AA91" s="1"/>
      <c r="AB91" s="1"/>
      <c r="AC91" s="1"/>
      <c r="AD91" s="1"/>
    </row>
    <row r="92" spans="1:30">
      <c r="A92" s="321" t="s">
        <v>372</v>
      </c>
      <c r="B92" s="22"/>
      <c r="C92" s="178">
        <f>C88+C90+C91</f>
        <v>-101</v>
      </c>
      <c r="D92" s="179">
        <f t="shared" ref="D92:F92" si="4">D88+D90+D91</f>
        <v>54</v>
      </c>
      <c r="E92" s="179">
        <f t="shared" si="4"/>
        <v>104</v>
      </c>
      <c r="F92" s="258">
        <f t="shared" si="4"/>
        <v>18</v>
      </c>
      <c r="G92" s="52"/>
      <c r="H92" s="52"/>
      <c r="I92" s="52"/>
      <c r="J92" s="52"/>
      <c r="K92" s="52"/>
      <c r="L92" s="52"/>
      <c r="M92" s="52"/>
      <c r="N92" s="52"/>
      <c r="O92" s="52"/>
      <c r="P92" s="52"/>
      <c r="Q92" s="52"/>
      <c r="R92" s="52"/>
      <c r="S92" s="52"/>
      <c r="T92" s="52"/>
      <c r="U92" s="52"/>
      <c r="V92" s="1"/>
      <c r="W92" s="1"/>
      <c r="X92" s="1"/>
      <c r="Y92" s="1"/>
      <c r="Z92" s="1"/>
      <c r="AA92" s="1"/>
      <c r="AB92" s="1"/>
      <c r="AC92" s="1"/>
      <c r="AD92" s="1"/>
    </row>
    <row r="93" spans="1:30">
      <c r="A93" s="171"/>
      <c r="B93" s="2"/>
      <c r="C93" s="176"/>
      <c r="D93" s="177"/>
      <c r="E93" s="177"/>
      <c r="F93" s="256"/>
      <c r="G93" s="52"/>
      <c r="H93" s="52"/>
      <c r="I93" s="52"/>
      <c r="J93" s="52"/>
      <c r="K93" s="52"/>
      <c r="L93" s="52"/>
      <c r="M93" s="52"/>
      <c r="N93" s="52"/>
      <c r="O93" s="52"/>
      <c r="P93" s="52"/>
      <c r="Q93" s="52"/>
      <c r="R93" s="52"/>
      <c r="S93" s="52"/>
      <c r="T93" s="52"/>
      <c r="U93" s="52"/>
      <c r="V93" s="1"/>
      <c r="W93" s="1"/>
      <c r="X93" s="1"/>
      <c r="Y93" s="1"/>
      <c r="Z93" s="1"/>
      <c r="AA93" s="1"/>
      <c r="AB93" s="1"/>
      <c r="AC93" s="1"/>
      <c r="AD93" s="1"/>
    </row>
    <row r="94" spans="1:30">
      <c r="A94" s="171" t="s">
        <v>352</v>
      </c>
      <c r="B94" s="2"/>
      <c r="C94" s="176">
        <f>C5-D5+C6-D6+D57</f>
        <v>-1130</v>
      </c>
      <c r="D94" s="177">
        <f>D5+D6-E5-E6+E57</f>
        <v>-212</v>
      </c>
      <c r="E94" s="177">
        <f>E5+E6-F5-F6-E95</f>
        <v>-1186</v>
      </c>
      <c r="F94" s="256">
        <f>F5+F6-G5-G6 - F95</f>
        <v>-814</v>
      </c>
      <c r="G94" s="52"/>
      <c r="H94" s="52"/>
      <c r="I94" s="52"/>
      <c r="J94" s="52"/>
      <c r="K94" s="52"/>
      <c r="L94" s="52"/>
      <c r="M94" s="52"/>
      <c r="N94" s="52"/>
      <c r="O94" s="52"/>
      <c r="P94" s="52"/>
      <c r="Q94" s="52"/>
      <c r="R94" s="52"/>
      <c r="S94" s="52"/>
      <c r="T94" s="52"/>
      <c r="U94" s="52"/>
      <c r="V94" s="1"/>
      <c r="W94" s="1"/>
      <c r="X94" s="1"/>
      <c r="Y94" s="1"/>
      <c r="Z94" s="1"/>
      <c r="AA94" s="1"/>
      <c r="AB94" s="1"/>
      <c r="AC94" s="1"/>
      <c r="AD94" s="1"/>
    </row>
    <row r="95" spans="1:30">
      <c r="A95" s="171" t="s">
        <v>353</v>
      </c>
      <c r="B95" s="2"/>
      <c r="C95" s="176">
        <f>-D57</f>
        <v>730</v>
      </c>
      <c r="D95" s="177">
        <f>-E57</f>
        <v>500</v>
      </c>
      <c r="E95" s="177">
        <f>-'Reorganised Statements'!F72 + (131-121)</f>
        <v>633</v>
      </c>
      <c r="F95" s="256">
        <f>-'Reorganised Statements'!G72+(135-131)</f>
        <v>515</v>
      </c>
      <c r="G95" s="52"/>
      <c r="H95" s="52"/>
      <c r="I95" s="52"/>
      <c r="J95" s="52"/>
      <c r="K95" s="52"/>
      <c r="L95" s="52"/>
      <c r="M95" s="52"/>
      <c r="N95" s="52"/>
      <c r="O95" s="52"/>
      <c r="P95" s="52"/>
      <c r="Q95" s="52"/>
      <c r="R95" s="52"/>
      <c r="S95" s="52"/>
      <c r="T95" s="52"/>
      <c r="U95" s="52"/>
      <c r="V95" s="1"/>
      <c r="W95" s="1"/>
      <c r="X95" s="1"/>
      <c r="Y95" s="1"/>
      <c r="Z95" s="1"/>
      <c r="AA95" s="1"/>
      <c r="AB95" s="1"/>
      <c r="AC95" s="1"/>
      <c r="AD95" s="1"/>
    </row>
    <row r="96" spans="1:30">
      <c r="A96" s="171" t="s">
        <v>354</v>
      </c>
      <c r="B96" s="2"/>
      <c r="C96" s="176">
        <f>C30-D30</f>
        <v>62</v>
      </c>
      <c r="D96" s="177">
        <f>D30-E30</f>
        <v>-40</v>
      </c>
      <c r="E96" s="177">
        <f>E30-F30</f>
        <v>11</v>
      </c>
      <c r="F96" s="256">
        <f>F30-G30</f>
        <v>31</v>
      </c>
      <c r="G96" s="52"/>
      <c r="H96" s="52"/>
      <c r="I96" s="52"/>
      <c r="J96" s="52"/>
      <c r="K96" s="52"/>
      <c r="L96" s="52"/>
      <c r="M96" s="52"/>
      <c r="N96" s="52"/>
      <c r="O96" s="52"/>
      <c r="P96" s="52"/>
      <c r="Q96" s="52"/>
      <c r="R96" s="52"/>
      <c r="S96" s="52"/>
      <c r="T96" s="52"/>
      <c r="U96" s="52"/>
      <c r="V96" s="1"/>
      <c r="W96" s="1"/>
      <c r="X96" s="1"/>
      <c r="Y96" s="1"/>
      <c r="Z96" s="1"/>
      <c r="AA96" s="1"/>
      <c r="AB96" s="1"/>
      <c r="AC96" s="1"/>
      <c r="AD96" s="1"/>
    </row>
    <row r="97" spans="1:30">
      <c r="A97" s="171" t="s">
        <v>355</v>
      </c>
      <c r="B97" s="2"/>
      <c r="C97" s="176">
        <f>C29-D29</f>
        <v>32</v>
      </c>
      <c r="D97" s="177">
        <f>D29-E29</f>
        <v>-44</v>
      </c>
      <c r="E97" s="177">
        <f>E29-F29</f>
        <v>-4</v>
      </c>
      <c r="F97" s="256">
        <f>F29-G29</f>
        <v>-11</v>
      </c>
      <c r="G97" s="52"/>
      <c r="H97" s="52"/>
      <c r="I97" s="52"/>
      <c r="J97" s="52"/>
      <c r="K97" s="52"/>
      <c r="L97" s="52"/>
      <c r="M97" s="52"/>
      <c r="N97" s="52"/>
      <c r="O97" s="52"/>
      <c r="P97" s="52"/>
      <c r="Q97" s="52"/>
      <c r="R97" s="52"/>
      <c r="S97" s="52"/>
      <c r="T97" s="52"/>
      <c r="U97" s="52"/>
      <c r="V97" s="1"/>
      <c r="W97" s="1"/>
      <c r="X97" s="1"/>
      <c r="Y97" s="1"/>
      <c r="Z97" s="1"/>
      <c r="AA97" s="1"/>
      <c r="AB97" s="1"/>
      <c r="AC97" s="1"/>
      <c r="AD97" s="1"/>
    </row>
    <row r="98" spans="1:30">
      <c r="A98" s="171" t="s">
        <v>368</v>
      </c>
      <c r="B98" s="2"/>
      <c r="C98" s="176">
        <f>C28-D28</f>
        <v>-52</v>
      </c>
      <c r="D98" s="177">
        <f>D28-E28</f>
        <v>62</v>
      </c>
      <c r="E98" s="177">
        <f>E28-F28</f>
        <v>21</v>
      </c>
      <c r="F98" s="256">
        <f>F28-G28</f>
        <v>-12</v>
      </c>
      <c r="G98" s="52"/>
      <c r="H98" s="52"/>
      <c r="I98" s="52"/>
      <c r="J98" s="52"/>
      <c r="K98" s="52"/>
      <c r="L98" s="52"/>
      <c r="M98" s="52"/>
      <c r="N98" s="52"/>
      <c r="O98" s="52"/>
      <c r="P98" s="52"/>
      <c r="Q98" s="52"/>
      <c r="R98" s="52"/>
      <c r="S98" s="52"/>
      <c r="T98" s="52"/>
      <c r="U98" s="52"/>
      <c r="V98" s="1"/>
      <c r="W98" s="1"/>
      <c r="X98" s="1"/>
      <c r="Y98" s="1"/>
      <c r="Z98" s="1"/>
      <c r="AA98" s="1"/>
      <c r="AB98" s="1"/>
      <c r="AC98" s="1"/>
      <c r="AD98" s="1"/>
    </row>
    <row r="99" spans="1:30">
      <c r="A99" s="171" t="s">
        <v>356</v>
      </c>
      <c r="B99" s="2"/>
      <c r="C99" s="176">
        <f>D69+D66</f>
        <v>18</v>
      </c>
      <c r="D99" s="177">
        <f>E69+E66</f>
        <v>-93</v>
      </c>
      <c r="E99" s="177">
        <f>F69 + F66</f>
        <v>3</v>
      </c>
      <c r="F99" s="256">
        <f>G69 + G66</f>
        <v>-1</v>
      </c>
      <c r="G99" s="52"/>
      <c r="H99" s="52"/>
      <c r="I99" s="52"/>
      <c r="J99" s="52"/>
      <c r="K99" s="52"/>
      <c r="L99" s="52"/>
      <c r="M99" s="52"/>
      <c r="N99" s="52"/>
      <c r="O99" s="52"/>
      <c r="P99" s="52"/>
      <c r="Q99" s="52"/>
      <c r="R99" s="52"/>
      <c r="S99" s="52"/>
      <c r="T99" s="52"/>
      <c r="U99" s="52"/>
      <c r="V99" s="1"/>
      <c r="W99" s="1"/>
      <c r="X99" s="1"/>
      <c r="Y99" s="1"/>
      <c r="Z99" s="1"/>
      <c r="AA99" s="1"/>
      <c r="AB99" s="1"/>
      <c r="AC99" s="1"/>
      <c r="AD99" s="1"/>
    </row>
    <row r="100" spans="1:30">
      <c r="A100" s="329" t="s">
        <v>357</v>
      </c>
      <c r="B100" s="17"/>
      <c r="C100" s="180">
        <f>C83+C92+SUM(C94:C99)</f>
        <v>-163.96706586826349</v>
      </c>
      <c r="D100" s="181">
        <f t="shared" ref="D100:F100" si="5">D83+D92+SUM(D94:D99)</f>
        <v>696.80208333333326</v>
      </c>
      <c r="E100" s="181">
        <f>E83+E92+SUM(E94:E99)</f>
        <v>-73.876811594202877</v>
      </c>
      <c r="F100" s="262">
        <f t="shared" si="5"/>
        <v>191.91808873720134</v>
      </c>
      <c r="G100" s="52"/>
      <c r="H100" s="52"/>
      <c r="I100" s="52"/>
      <c r="J100" s="52"/>
      <c r="K100" s="52"/>
      <c r="L100" s="52"/>
      <c r="M100" s="52"/>
      <c r="N100" s="52"/>
      <c r="O100" s="52"/>
      <c r="P100" s="52"/>
      <c r="Q100" s="52"/>
      <c r="R100" s="52"/>
      <c r="S100" s="52"/>
      <c r="T100" s="52"/>
      <c r="U100" s="52"/>
      <c r="V100" s="1"/>
      <c r="W100" s="1"/>
      <c r="X100" s="1"/>
      <c r="Y100" s="1"/>
      <c r="Z100" s="1"/>
      <c r="AA100" s="1"/>
      <c r="AB100" s="1"/>
      <c r="AC100" s="1"/>
      <c r="AD100" s="1"/>
    </row>
    <row r="101" spans="1:30">
      <c r="A101" s="171" t="s">
        <v>358</v>
      </c>
      <c r="B101" s="2"/>
      <c r="C101" s="184"/>
      <c r="D101" s="608"/>
      <c r="E101" s="608"/>
      <c r="F101" s="610"/>
      <c r="G101" s="52"/>
      <c r="H101" s="52"/>
      <c r="I101" s="52"/>
      <c r="J101" s="52"/>
      <c r="K101" s="52"/>
      <c r="L101" s="52"/>
      <c r="M101" s="52"/>
      <c r="N101" s="52"/>
      <c r="O101" s="52"/>
      <c r="P101" s="52"/>
      <c r="Q101" s="52"/>
      <c r="R101" s="52"/>
      <c r="S101" s="52"/>
      <c r="T101" s="52"/>
      <c r="U101" s="52"/>
      <c r="V101" s="1"/>
      <c r="W101" s="1"/>
      <c r="X101" s="1"/>
      <c r="Y101" s="1"/>
      <c r="Z101" s="1"/>
      <c r="AA101" s="1"/>
      <c r="AB101" s="1"/>
      <c r="AC101" s="1"/>
      <c r="AD101" s="1"/>
    </row>
    <row r="102" spans="1:30">
      <c r="A102" s="171"/>
      <c r="B102" s="2"/>
      <c r="C102" s="176"/>
      <c r="D102" s="177"/>
      <c r="E102" s="177"/>
      <c r="F102" s="256"/>
      <c r="G102" s="52"/>
      <c r="H102" s="52"/>
      <c r="I102" s="52"/>
      <c r="J102" s="52"/>
      <c r="K102" s="52"/>
      <c r="L102" s="52"/>
      <c r="M102" s="52"/>
      <c r="N102" s="52"/>
      <c r="O102" s="52"/>
      <c r="P102" s="52"/>
      <c r="Q102" s="52"/>
      <c r="R102" s="52"/>
      <c r="S102" s="52"/>
      <c r="T102" s="52"/>
      <c r="U102" s="52"/>
      <c r="V102" s="1"/>
      <c r="W102" s="1"/>
      <c r="X102" s="1"/>
      <c r="Y102" s="1"/>
      <c r="Z102" s="1"/>
      <c r="AA102" s="1"/>
      <c r="AB102" s="1"/>
      <c r="AC102" s="1"/>
      <c r="AD102" s="1"/>
    </row>
    <row r="103" spans="1:30">
      <c r="A103" s="171" t="s">
        <v>359</v>
      </c>
      <c r="B103" s="2"/>
      <c r="C103" s="176">
        <f>C7-D7+D62</f>
        <v>-107</v>
      </c>
      <c r="D103" s="177">
        <f>D7-E7+E62</f>
        <v>-103</v>
      </c>
      <c r="E103" s="177">
        <f>E7-F7+F62</f>
        <v>-32</v>
      </c>
      <c r="F103" s="256">
        <f>F7-G7+G62</f>
        <v>-151</v>
      </c>
      <c r="G103" s="52"/>
      <c r="H103" s="52"/>
      <c r="I103" s="52"/>
      <c r="J103" s="52"/>
      <c r="K103" s="52"/>
      <c r="L103" s="52"/>
      <c r="M103" s="52"/>
      <c r="N103" s="52"/>
      <c r="O103" s="52"/>
      <c r="P103" s="52"/>
      <c r="Q103" s="52"/>
      <c r="R103" s="52"/>
      <c r="S103" s="52"/>
      <c r="T103" s="52"/>
      <c r="U103" s="52"/>
      <c r="V103" s="1"/>
      <c r="W103" s="1"/>
      <c r="X103" s="1"/>
      <c r="Y103" s="1"/>
      <c r="Z103" s="1"/>
      <c r="AA103" s="1"/>
      <c r="AB103" s="1"/>
      <c r="AC103" s="1"/>
      <c r="AD103" s="1"/>
    </row>
    <row r="104" spans="1:30">
      <c r="A104" s="171" t="s">
        <v>360</v>
      </c>
      <c r="B104" s="2"/>
      <c r="C104" s="176">
        <f>C39-D39</f>
        <v>253</v>
      </c>
      <c r="D104" s="177">
        <f>D39-E39</f>
        <v>-47</v>
      </c>
      <c r="E104" s="177">
        <f>E39-F39</f>
        <v>-185</v>
      </c>
      <c r="F104" s="256">
        <f>F39-G39</f>
        <v>-105</v>
      </c>
      <c r="G104" s="52"/>
      <c r="H104" s="52"/>
      <c r="I104" s="52"/>
      <c r="J104" s="52"/>
      <c r="K104" s="52"/>
      <c r="L104" s="52"/>
      <c r="M104" s="52"/>
      <c r="N104" s="52"/>
      <c r="O104" s="52"/>
      <c r="P104" s="52"/>
      <c r="Q104" s="52"/>
      <c r="R104" s="52"/>
      <c r="S104" s="52"/>
      <c r="T104" s="52"/>
      <c r="U104" s="52"/>
      <c r="V104" s="1"/>
      <c r="W104" s="1"/>
      <c r="X104" s="1"/>
      <c r="Y104" s="1"/>
      <c r="Z104" s="1"/>
      <c r="AA104" s="1"/>
      <c r="AB104" s="1"/>
      <c r="AC104" s="1"/>
      <c r="AD104" s="1"/>
    </row>
    <row r="105" spans="1:30">
      <c r="A105" s="171" t="s">
        <v>377</v>
      </c>
      <c r="B105" s="2"/>
      <c r="C105" s="241">
        <f>-C82</f>
        <v>42.967065868263475</v>
      </c>
      <c r="D105" s="242">
        <f t="shared" ref="D105:F105" si="6">-D82</f>
        <v>47.197916666666664</v>
      </c>
      <c r="E105" s="242">
        <f t="shared" si="6"/>
        <v>29.876811594202898</v>
      </c>
      <c r="F105" s="257">
        <f t="shared" si="6"/>
        <v>32.081911262798634</v>
      </c>
      <c r="G105" s="52"/>
      <c r="H105" s="52"/>
      <c r="I105" s="52"/>
      <c r="J105" s="52"/>
      <c r="K105" s="52"/>
      <c r="L105" s="52"/>
      <c r="M105" s="52"/>
      <c r="N105" s="52"/>
      <c r="O105" s="52"/>
      <c r="P105" s="52"/>
      <c r="Q105" s="52"/>
      <c r="R105" s="52"/>
      <c r="S105" s="52"/>
      <c r="T105" s="52"/>
      <c r="U105" s="52"/>
      <c r="V105" s="1"/>
      <c r="W105" s="1"/>
      <c r="X105" s="1"/>
      <c r="Y105" s="1"/>
      <c r="Z105" s="1"/>
      <c r="AA105" s="1"/>
      <c r="AB105" s="1"/>
      <c r="AC105" s="1"/>
      <c r="AD105" s="1"/>
    </row>
    <row r="106" spans="1:30">
      <c r="A106" s="329" t="s">
        <v>361</v>
      </c>
      <c r="B106" s="17"/>
      <c r="C106" s="180">
        <f>C100+C103+C104+C105</f>
        <v>24.999999999999986</v>
      </c>
      <c r="D106" s="181">
        <f t="shared" ref="D106:F106" si="7">D100+D103+D104+D105</f>
        <v>593.99999999999989</v>
      </c>
      <c r="E106" s="181">
        <f t="shared" si="7"/>
        <v>-261</v>
      </c>
      <c r="F106" s="262">
        <f t="shared" si="7"/>
        <v>-32.000000000000021</v>
      </c>
      <c r="G106" s="52"/>
      <c r="H106" s="52"/>
      <c r="I106" s="52"/>
      <c r="J106" s="52"/>
      <c r="K106" s="52"/>
      <c r="L106" s="52"/>
      <c r="M106" s="52"/>
      <c r="N106" s="52"/>
      <c r="O106" s="52"/>
      <c r="P106" s="52"/>
      <c r="Q106" s="52"/>
      <c r="R106" s="52"/>
      <c r="S106" s="52"/>
      <c r="T106" s="52"/>
      <c r="U106" s="52"/>
      <c r="V106" s="1"/>
      <c r="W106" s="1"/>
      <c r="X106" s="1"/>
      <c r="Y106" s="1"/>
      <c r="Z106" s="1"/>
      <c r="AA106" s="1"/>
      <c r="AB106" s="1"/>
      <c r="AC106" s="1"/>
      <c r="AD106" s="1"/>
    </row>
    <row r="107" spans="1:30">
      <c r="A107" s="171" t="s">
        <v>362</v>
      </c>
      <c r="B107" s="2"/>
      <c r="C107" s="176"/>
      <c r="D107" s="177"/>
      <c r="E107" s="177"/>
      <c r="F107" s="256"/>
      <c r="G107" s="52"/>
      <c r="H107" s="52"/>
      <c r="I107" s="52"/>
      <c r="J107" s="52"/>
      <c r="K107" s="52"/>
      <c r="L107" s="52"/>
      <c r="M107" s="52"/>
      <c r="N107" s="52"/>
      <c r="O107" s="52"/>
      <c r="P107" s="52"/>
      <c r="Q107" s="52"/>
      <c r="R107" s="52"/>
      <c r="S107" s="52"/>
      <c r="T107" s="52"/>
      <c r="U107" s="52"/>
      <c r="V107" s="1"/>
      <c r="W107" s="1"/>
      <c r="X107" s="1"/>
      <c r="Y107" s="1"/>
      <c r="Z107" s="1"/>
      <c r="AA107" s="1"/>
      <c r="AB107" s="1"/>
      <c r="AC107" s="1"/>
      <c r="AD107" s="1"/>
    </row>
    <row r="108" spans="1:30">
      <c r="A108" s="171"/>
      <c r="B108" s="2"/>
      <c r="C108" s="182"/>
      <c r="D108" s="183"/>
      <c r="E108" s="183"/>
      <c r="F108" s="263"/>
      <c r="G108" s="52"/>
      <c r="H108" s="52"/>
      <c r="I108" s="52"/>
      <c r="J108" s="52"/>
      <c r="K108" s="52"/>
      <c r="L108" s="52"/>
      <c r="M108" s="52"/>
      <c r="N108" s="52"/>
      <c r="O108" s="52"/>
      <c r="P108" s="52"/>
      <c r="Q108" s="52"/>
      <c r="R108" s="52"/>
      <c r="S108" s="52"/>
      <c r="T108" s="52"/>
      <c r="U108" s="52"/>
      <c r="V108" s="1"/>
      <c r="W108" s="1"/>
      <c r="X108" s="1"/>
      <c r="Y108" s="1"/>
      <c r="Z108" s="1"/>
      <c r="AA108" s="1"/>
      <c r="AB108" s="1"/>
      <c r="AC108" s="1"/>
      <c r="AD108" s="1"/>
    </row>
    <row r="109" spans="1:30">
      <c r="A109" s="171" t="s">
        <v>363</v>
      </c>
      <c r="B109" s="2"/>
      <c r="C109" s="182">
        <f>C35-D35-D71</f>
        <v>105</v>
      </c>
      <c r="D109" s="183">
        <f>D35-E35-E71</f>
        <v>-557</v>
      </c>
      <c r="E109" s="183">
        <f>E35-F35-F71</f>
        <v>139</v>
      </c>
      <c r="F109" s="263">
        <f>F35-G35-G71</f>
        <v>-265</v>
      </c>
      <c r="G109" s="52"/>
      <c r="H109" s="52"/>
      <c r="I109" s="52"/>
      <c r="J109" s="52"/>
      <c r="K109" s="52"/>
      <c r="L109" s="52"/>
      <c r="M109" s="52"/>
      <c r="N109" s="52"/>
      <c r="O109" s="52"/>
      <c r="P109" s="52"/>
      <c r="Q109" s="52"/>
      <c r="R109" s="52"/>
      <c r="S109" s="52"/>
      <c r="T109" s="52"/>
      <c r="U109" s="52"/>
      <c r="V109" s="1"/>
      <c r="W109" s="1"/>
      <c r="X109" s="1"/>
      <c r="Y109" s="1"/>
      <c r="Z109" s="1"/>
      <c r="AA109" s="1"/>
      <c r="AB109" s="1"/>
      <c r="AC109" s="1"/>
      <c r="AD109" s="1"/>
    </row>
    <row r="110" spans="1:30">
      <c r="A110" s="285" t="s">
        <v>364</v>
      </c>
      <c r="B110" s="2"/>
      <c r="C110" s="182">
        <f t="shared" ref="C110" si="8">C106+C109</f>
        <v>130</v>
      </c>
      <c r="D110" s="183">
        <f t="shared" ref="D110" si="9">D106+D109</f>
        <v>36.999999999999886</v>
      </c>
      <c r="E110" s="183">
        <f t="shared" ref="E110" si="10">E106+E109</f>
        <v>-122</v>
      </c>
      <c r="F110" s="263">
        <f t="shared" ref="F110" si="11">F106+F109</f>
        <v>-297</v>
      </c>
      <c r="G110" s="52"/>
      <c r="H110" s="52"/>
      <c r="I110" s="52"/>
      <c r="J110" s="52"/>
      <c r="K110" s="52"/>
      <c r="L110" s="52"/>
      <c r="M110" s="52"/>
      <c r="N110" s="52"/>
      <c r="O110" s="52"/>
      <c r="P110" s="52"/>
      <c r="Q110" s="52"/>
      <c r="R110" s="52"/>
      <c r="S110" s="52"/>
      <c r="T110" s="52"/>
      <c r="U110" s="52"/>
      <c r="V110" s="1"/>
      <c r="W110" s="1"/>
      <c r="X110" s="1"/>
      <c r="Y110" s="1"/>
      <c r="Z110" s="1"/>
      <c r="AA110" s="1"/>
      <c r="AB110" s="1"/>
      <c r="AC110" s="1"/>
      <c r="AD110" s="1"/>
    </row>
    <row r="111" spans="1:30">
      <c r="A111" s="171"/>
      <c r="B111" s="2"/>
      <c r="C111" s="182"/>
      <c r="D111" s="183"/>
      <c r="E111" s="183"/>
      <c r="F111" s="263"/>
      <c r="G111" s="1"/>
      <c r="H111" s="1"/>
      <c r="I111" s="52"/>
      <c r="J111" s="1"/>
      <c r="K111" s="1"/>
      <c r="L111" s="1"/>
      <c r="M111" s="1"/>
      <c r="N111" s="1"/>
      <c r="O111" s="1"/>
      <c r="P111" s="1"/>
      <c r="Q111" s="1"/>
      <c r="R111" s="1"/>
      <c r="S111" s="1"/>
      <c r="T111" s="1"/>
      <c r="U111" s="1"/>
      <c r="V111" s="1"/>
      <c r="W111" s="1"/>
      <c r="X111" s="1"/>
      <c r="Y111" s="1"/>
      <c r="Z111" s="1"/>
      <c r="AA111" s="1"/>
      <c r="AB111" s="1"/>
      <c r="AC111" s="1"/>
      <c r="AD111" s="1"/>
    </row>
    <row r="112" spans="1:30">
      <c r="A112" s="171" t="s">
        <v>365</v>
      </c>
      <c r="B112" s="2"/>
      <c r="C112" s="182">
        <f>C41</f>
        <v>559</v>
      </c>
      <c r="D112" s="183">
        <f>D41</f>
        <v>689</v>
      </c>
      <c r="E112" s="183">
        <f>E41</f>
        <v>726</v>
      </c>
      <c r="F112" s="263">
        <f>F41</f>
        <v>604</v>
      </c>
      <c r="G112" s="1"/>
      <c r="H112" s="1"/>
      <c r="I112" s="52"/>
      <c r="J112" s="1"/>
      <c r="K112" s="1"/>
      <c r="L112" s="1"/>
      <c r="M112" s="1"/>
      <c r="N112" s="1"/>
      <c r="O112" s="1"/>
      <c r="P112" s="1"/>
      <c r="Q112" s="1"/>
      <c r="R112" s="1"/>
      <c r="S112" s="1"/>
      <c r="T112" s="1"/>
      <c r="U112" s="1"/>
      <c r="V112" s="1"/>
      <c r="W112" s="1"/>
      <c r="X112" s="1"/>
      <c r="Y112" s="1"/>
      <c r="Z112" s="1"/>
      <c r="AA112" s="1"/>
      <c r="AB112" s="1"/>
      <c r="AC112" s="1"/>
      <c r="AD112" s="1"/>
    </row>
    <row r="113" spans="1:30">
      <c r="A113" s="171" t="s">
        <v>366</v>
      </c>
      <c r="B113" s="2"/>
      <c r="C113" s="182">
        <f>D41</f>
        <v>689</v>
      </c>
      <c r="D113" s="183">
        <f>E41</f>
        <v>726</v>
      </c>
      <c r="E113" s="183">
        <f>F41</f>
        <v>604</v>
      </c>
      <c r="F113" s="263">
        <f>G41</f>
        <v>307</v>
      </c>
      <c r="G113" s="1"/>
      <c r="H113" s="1"/>
      <c r="I113" s="52"/>
      <c r="J113" s="1"/>
      <c r="K113" s="1"/>
      <c r="L113" s="1"/>
      <c r="M113" s="1"/>
      <c r="N113" s="1"/>
      <c r="O113" s="1"/>
      <c r="P113" s="1"/>
      <c r="Q113" s="1"/>
      <c r="R113" s="1"/>
      <c r="S113" s="1"/>
      <c r="T113" s="1"/>
      <c r="U113" s="1"/>
      <c r="V113" s="1"/>
      <c r="W113" s="1"/>
      <c r="X113" s="1"/>
      <c r="Y113" s="1"/>
      <c r="Z113" s="1"/>
      <c r="AA113" s="1"/>
      <c r="AB113" s="1"/>
      <c r="AC113" s="1"/>
      <c r="AD113" s="1"/>
    </row>
    <row r="114" spans="1:30" ht="15" thickBot="1">
      <c r="A114" s="330" t="s">
        <v>367</v>
      </c>
      <c r="B114" s="266"/>
      <c r="C114" s="267">
        <f>C113-C112</f>
        <v>130</v>
      </c>
      <c r="D114" s="609">
        <f t="shared" ref="D114:F114" si="12">D113-D112</f>
        <v>37</v>
      </c>
      <c r="E114" s="609">
        <f t="shared" si="12"/>
        <v>-122</v>
      </c>
      <c r="F114" s="611">
        <f t="shared" si="12"/>
        <v>-297</v>
      </c>
      <c r="G114" s="1"/>
      <c r="H114" s="1"/>
      <c r="I114" s="52"/>
      <c r="J114" s="1"/>
      <c r="K114" s="1"/>
      <c r="L114" s="1"/>
      <c r="M114" s="1"/>
      <c r="N114" s="1"/>
      <c r="O114" s="1"/>
      <c r="P114" s="1"/>
      <c r="Q114" s="1"/>
      <c r="R114" s="1"/>
      <c r="S114" s="1"/>
      <c r="T114" s="1"/>
      <c r="U114" s="1"/>
      <c r="V114" s="1"/>
      <c r="W114" s="1"/>
      <c r="X114" s="1"/>
      <c r="Y114" s="1"/>
      <c r="Z114" s="1"/>
      <c r="AA114" s="1"/>
      <c r="AB114" s="1"/>
      <c r="AC114" s="1"/>
      <c r="AD114" s="1"/>
    </row>
    <row r="115" spans="1:30" ht="15" thickBot="1">
      <c r="A115" s="253"/>
      <c r="B115" s="52"/>
      <c r="C115" s="52"/>
      <c r="D115" s="52"/>
      <c r="E115" s="52"/>
      <c r="F115" s="273"/>
      <c r="G115" s="1"/>
      <c r="H115" s="1"/>
      <c r="I115" s="52"/>
      <c r="J115" s="1"/>
      <c r="K115" s="1"/>
      <c r="L115" s="1"/>
      <c r="M115" s="1"/>
      <c r="N115" s="1"/>
      <c r="O115" s="1"/>
      <c r="P115" s="1"/>
      <c r="Q115" s="1"/>
      <c r="R115" s="1"/>
      <c r="S115" s="1"/>
      <c r="T115" s="1"/>
      <c r="U115" s="1"/>
      <c r="V115" s="1"/>
      <c r="W115" s="1"/>
      <c r="X115" s="1"/>
      <c r="Y115" s="1"/>
      <c r="Z115" s="1"/>
      <c r="AA115" s="1"/>
      <c r="AB115" s="1"/>
      <c r="AC115" s="1"/>
      <c r="AD115" s="1"/>
    </row>
    <row r="116" spans="1:30" ht="15" thickBot="1">
      <c r="A116" s="911" t="s">
        <v>378</v>
      </c>
      <c r="B116" s="912"/>
      <c r="C116" s="913">
        <f t="shared" ref="C116:E116" si="13">C110-C114</f>
        <v>0</v>
      </c>
      <c r="D116" s="914">
        <f>D110-D114</f>
        <v>-1.1368683772161603E-13</v>
      </c>
      <c r="E116" s="913">
        <f t="shared" si="13"/>
        <v>0</v>
      </c>
      <c r="F116" s="913">
        <f>F110-F114</f>
        <v>0</v>
      </c>
      <c r="G116" s="1"/>
      <c r="H116" s="1"/>
      <c r="I116" s="52"/>
      <c r="J116" s="1"/>
      <c r="K116" s="1"/>
      <c r="L116" s="1"/>
      <c r="M116" s="1"/>
      <c r="N116" s="1"/>
      <c r="O116" s="1"/>
      <c r="P116" s="1"/>
      <c r="Q116" s="1"/>
      <c r="R116" s="1"/>
      <c r="S116" s="1"/>
      <c r="T116" s="1"/>
      <c r="U116" s="1"/>
      <c r="V116" s="1"/>
      <c r="W116" s="1"/>
      <c r="X116" s="1"/>
      <c r="Y116" s="1"/>
      <c r="Z116" s="1"/>
      <c r="AA116" s="1"/>
      <c r="AB116" s="1"/>
      <c r="AC116" s="1"/>
      <c r="AD116" s="1"/>
    </row>
    <row r="117" spans="1:30">
      <c r="A117" s="1"/>
      <c r="B117" s="1"/>
      <c r="C117" s="1"/>
      <c r="D117" s="1"/>
      <c r="E117" s="1"/>
      <c r="F117" s="1"/>
      <c r="G117" s="1"/>
      <c r="H117" s="1"/>
      <c r="I117" s="52"/>
      <c r="J117" s="1"/>
      <c r="K117" s="1"/>
      <c r="L117" s="1"/>
      <c r="M117" s="1"/>
      <c r="N117" s="1"/>
      <c r="O117" s="1"/>
      <c r="P117" s="1"/>
      <c r="Q117" s="1"/>
      <c r="R117" s="1"/>
      <c r="S117" s="1"/>
      <c r="T117" s="1"/>
      <c r="U117" s="1"/>
      <c r="V117" s="1"/>
      <c r="W117" s="1"/>
      <c r="X117" s="1"/>
      <c r="Y117" s="1"/>
      <c r="Z117" s="1"/>
      <c r="AA117" s="1"/>
      <c r="AB117" s="1"/>
      <c r="AC117" s="1"/>
      <c r="AD117" s="1"/>
    </row>
    <row r="118" spans="1:30">
      <c r="A118" s="1"/>
      <c r="B118" s="1"/>
      <c r="C118" s="415"/>
      <c r="D118" s="1"/>
      <c r="E118" s="1"/>
      <c r="F118" s="1"/>
      <c r="G118" s="1"/>
      <c r="H118" s="1"/>
      <c r="I118" s="52"/>
      <c r="J118" s="1"/>
      <c r="K118" s="1"/>
      <c r="L118" s="1"/>
      <c r="M118" s="1"/>
      <c r="N118" s="1"/>
      <c r="O118" s="1"/>
      <c r="P118" s="1"/>
      <c r="Q118" s="1"/>
      <c r="R118" s="1"/>
      <c r="S118" s="1"/>
      <c r="T118" s="1"/>
      <c r="U118" s="1"/>
      <c r="V118" s="1"/>
      <c r="W118" s="1"/>
      <c r="X118" s="1"/>
      <c r="Y118" s="1"/>
      <c r="Z118" s="1"/>
      <c r="AA118" s="1"/>
      <c r="AB118" s="1"/>
      <c r="AC118" s="1"/>
      <c r="AD118" s="1"/>
    </row>
    <row r="119" spans="1:30">
      <c r="A119" s="1"/>
      <c r="B119" s="1"/>
      <c r="C119" s="415"/>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c r="A120" s="1"/>
      <c r="B120" s="1"/>
      <c r="C120" s="415"/>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c r="A121" s="1"/>
      <c r="B121" s="1"/>
      <c r="C121" s="415"/>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c r="A122" s="1"/>
      <c r="B122" s="1"/>
      <c r="C122" s="415"/>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c r="A123" s="1"/>
      <c r="B123" s="1"/>
      <c r="C123" s="415"/>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c r="A124" s="1"/>
      <c r="B124" s="1"/>
      <c r="C124" s="416"/>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c r="A125" s="1"/>
      <c r="B125" s="1"/>
      <c r="C125" s="416"/>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c r="A127" s="1"/>
      <c r="B127" s="52"/>
      <c r="C127" s="52"/>
      <c r="D127" s="52"/>
      <c r="E127" s="52"/>
      <c r="F127" s="52"/>
      <c r="G127" s="52"/>
      <c r="H127" s="52"/>
      <c r="I127" s="52"/>
      <c r="J127" s="52"/>
      <c r="K127" s="52"/>
      <c r="L127" s="52"/>
      <c r="M127" s="52"/>
      <c r="N127" s="52"/>
      <c r="O127" s="52"/>
      <c r="P127" s="52"/>
      <c r="Q127" s="52"/>
      <c r="R127" s="52"/>
      <c r="S127" s="52"/>
      <c r="T127" s="52"/>
      <c r="U127" s="52"/>
      <c r="V127" s="52"/>
      <c r="W127" s="1"/>
      <c r="X127" s="1"/>
      <c r="Y127" s="1"/>
      <c r="Z127" s="1"/>
      <c r="AA127" s="1"/>
      <c r="AB127" s="1"/>
      <c r="AC127" s="1"/>
      <c r="AD127" s="1"/>
    </row>
    <row r="128" spans="1:30" ht="15.6">
      <c r="A128" s="1"/>
      <c r="B128" s="417"/>
      <c r="C128" s="52"/>
      <c r="D128" s="52"/>
      <c r="E128" s="52"/>
      <c r="F128" s="52"/>
      <c r="G128" s="52"/>
      <c r="H128" s="52"/>
      <c r="I128" s="52"/>
      <c r="J128" s="52"/>
      <c r="K128" s="52"/>
      <c r="L128" s="52"/>
      <c r="M128" s="52"/>
      <c r="N128" s="52"/>
      <c r="O128" s="52"/>
      <c r="P128" s="52"/>
      <c r="Q128" s="52"/>
      <c r="R128" s="52"/>
      <c r="S128" s="52"/>
      <c r="T128" s="52"/>
      <c r="U128" s="52"/>
      <c r="V128" s="52"/>
      <c r="W128" s="1"/>
      <c r="X128" s="1"/>
      <c r="Y128" s="1"/>
      <c r="Z128" s="1"/>
      <c r="AA128" s="1"/>
      <c r="AB128" s="1"/>
      <c r="AC128" s="1"/>
      <c r="AD128" s="1"/>
    </row>
    <row r="129" spans="1:30">
      <c r="A129" s="1"/>
      <c r="B129" s="52"/>
      <c r="C129" s="52"/>
      <c r="D129" s="52"/>
      <c r="E129" s="52"/>
      <c r="F129" s="52"/>
      <c r="G129" s="52"/>
      <c r="H129" s="52"/>
      <c r="I129" s="52"/>
      <c r="J129" s="52"/>
      <c r="K129" s="52"/>
      <c r="L129" s="52"/>
      <c r="M129" s="52"/>
      <c r="N129" s="52"/>
      <c r="O129" s="52"/>
      <c r="P129" s="52"/>
      <c r="Q129" s="52"/>
      <c r="R129" s="52"/>
      <c r="S129" s="52"/>
      <c r="T129" s="52"/>
      <c r="U129" s="52"/>
      <c r="V129" s="52"/>
      <c r="W129" s="1"/>
      <c r="X129" s="1"/>
      <c r="Y129" s="1"/>
      <c r="Z129" s="1"/>
      <c r="AA129" s="1"/>
      <c r="AB129" s="1"/>
      <c r="AC129" s="1"/>
      <c r="AD129" s="1"/>
    </row>
    <row r="130" spans="1:30">
      <c r="A130" s="1"/>
      <c r="B130" s="52"/>
      <c r="C130" s="52"/>
      <c r="D130" s="418"/>
      <c r="E130" s="418"/>
      <c r="F130" s="414"/>
      <c r="G130" s="414"/>
      <c r="H130" s="279"/>
      <c r="I130" s="52"/>
      <c r="J130" s="279"/>
      <c r="K130" s="279"/>
      <c r="L130" s="52"/>
      <c r="M130" s="279"/>
      <c r="N130" s="279"/>
      <c r="O130" s="52"/>
      <c r="P130" s="279"/>
      <c r="Q130" s="279"/>
      <c r="R130" s="52"/>
      <c r="S130" s="279"/>
      <c r="T130" s="279"/>
      <c r="U130" s="52"/>
      <c r="V130" s="52"/>
      <c r="W130" s="1"/>
      <c r="X130" s="1"/>
      <c r="Y130" s="1"/>
      <c r="Z130" s="1"/>
      <c r="AA130" s="1"/>
      <c r="AB130" s="1"/>
      <c r="AC130" s="1"/>
      <c r="AD130" s="1"/>
    </row>
    <row r="131" spans="1:30">
      <c r="A131" s="1"/>
      <c r="B131" s="52"/>
      <c r="C131" s="52"/>
      <c r="D131" s="52"/>
      <c r="E131" s="361"/>
      <c r="F131" s="52"/>
      <c r="G131" s="52"/>
      <c r="H131" s="52"/>
      <c r="I131" s="52"/>
      <c r="J131" s="52"/>
      <c r="K131" s="52"/>
      <c r="L131" s="52"/>
      <c r="M131" s="52"/>
      <c r="N131" s="52"/>
      <c r="O131" s="52"/>
      <c r="P131" s="52"/>
      <c r="Q131" s="52"/>
      <c r="R131" s="52"/>
      <c r="S131" s="52"/>
      <c r="T131" s="52"/>
      <c r="U131" s="52"/>
      <c r="V131" s="52"/>
      <c r="W131" s="1"/>
      <c r="X131" s="1"/>
      <c r="Y131" s="1"/>
      <c r="Z131" s="1"/>
      <c r="AA131" s="1"/>
      <c r="AB131" s="1"/>
      <c r="AC131" s="1"/>
      <c r="AD131" s="1"/>
    </row>
    <row r="132" spans="1:30">
      <c r="A132" s="1"/>
      <c r="B132" s="52"/>
      <c r="C132" s="52"/>
      <c r="D132" s="52"/>
      <c r="E132" s="361"/>
      <c r="F132" s="52"/>
      <c r="G132" s="52"/>
      <c r="H132" s="52"/>
      <c r="I132" s="52"/>
      <c r="J132" s="52"/>
      <c r="K132" s="52"/>
      <c r="L132" s="52"/>
      <c r="M132" s="52"/>
      <c r="N132" s="52"/>
      <c r="O132" s="52"/>
      <c r="P132" s="52"/>
      <c r="Q132" s="52"/>
      <c r="R132" s="52"/>
      <c r="S132" s="52"/>
      <c r="T132" s="52"/>
      <c r="U132" s="52"/>
      <c r="V132" s="52"/>
      <c r="W132" s="1"/>
      <c r="X132" s="1"/>
      <c r="Y132" s="1"/>
      <c r="Z132" s="1"/>
      <c r="AA132" s="1"/>
      <c r="AB132" s="1"/>
      <c r="AC132" s="1"/>
      <c r="AD132" s="1"/>
    </row>
    <row r="133" spans="1:30">
      <c r="A133" s="1"/>
      <c r="B133" s="52"/>
      <c r="C133" s="52"/>
      <c r="D133" s="52"/>
      <c r="E133" s="361"/>
      <c r="F133" s="52"/>
      <c r="G133" s="52"/>
      <c r="H133" s="52"/>
      <c r="I133" s="52"/>
      <c r="J133" s="52"/>
      <c r="K133" s="52"/>
      <c r="L133" s="52"/>
      <c r="M133" s="52"/>
      <c r="N133" s="52"/>
      <c r="O133" s="52"/>
      <c r="P133" s="52"/>
      <c r="Q133" s="52"/>
      <c r="R133" s="52"/>
      <c r="S133" s="52"/>
      <c r="T133" s="52"/>
      <c r="U133" s="52"/>
      <c r="V133" s="52"/>
      <c r="W133" s="1"/>
      <c r="X133" s="1"/>
      <c r="Y133" s="1"/>
      <c r="Z133" s="1"/>
      <c r="AA133" s="1"/>
      <c r="AB133" s="1"/>
      <c r="AC133" s="1"/>
      <c r="AD133" s="1"/>
    </row>
    <row r="134" spans="1:30">
      <c r="A134" s="1"/>
      <c r="B134" s="52"/>
      <c r="C134" s="52"/>
      <c r="D134" s="52"/>
      <c r="E134" s="361"/>
      <c r="F134" s="52"/>
      <c r="G134" s="52"/>
      <c r="H134" s="52"/>
      <c r="I134" s="52"/>
      <c r="J134" s="52"/>
      <c r="K134" s="52"/>
      <c r="L134" s="52"/>
      <c r="M134" s="52"/>
      <c r="N134" s="52"/>
      <c r="O134" s="52"/>
      <c r="P134" s="52"/>
      <c r="Q134" s="52"/>
      <c r="R134" s="52"/>
      <c r="S134" s="52"/>
      <c r="T134" s="52"/>
      <c r="U134" s="52"/>
      <c r="V134" s="52"/>
      <c r="W134" s="1"/>
      <c r="X134" s="1"/>
      <c r="Y134" s="1"/>
      <c r="Z134" s="1"/>
      <c r="AA134" s="1"/>
      <c r="AB134" s="1"/>
      <c r="AC134" s="1"/>
      <c r="AD134" s="1"/>
    </row>
    <row r="135" spans="1:30">
      <c r="A135" s="1"/>
      <c r="B135" s="52"/>
      <c r="C135" s="52"/>
      <c r="D135" s="52"/>
      <c r="E135" s="361"/>
      <c r="F135" s="52"/>
      <c r="G135" s="52"/>
      <c r="H135" s="52"/>
      <c r="I135" s="52"/>
      <c r="J135" s="52"/>
      <c r="K135" s="52"/>
      <c r="L135" s="52"/>
      <c r="M135" s="52"/>
      <c r="N135" s="52"/>
      <c r="O135" s="52"/>
      <c r="P135" s="52"/>
      <c r="Q135" s="52"/>
      <c r="R135" s="52"/>
      <c r="S135" s="52"/>
      <c r="T135" s="52"/>
      <c r="U135" s="52"/>
      <c r="V135" s="52"/>
      <c r="W135" s="1"/>
      <c r="X135" s="1"/>
      <c r="Y135" s="1"/>
      <c r="Z135" s="1"/>
      <c r="AA135" s="1"/>
      <c r="AB135" s="1"/>
      <c r="AC135" s="1"/>
      <c r="AD135" s="1"/>
    </row>
    <row r="136" spans="1:30">
      <c r="A136" s="1"/>
      <c r="B136" s="52"/>
      <c r="C136" s="52"/>
      <c r="D136" s="52"/>
      <c r="E136" s="361"/>
      <c r="F136" s="52"/>
      <c r="G136" s="52"/>
      <c r="H136" s="52"/>
      <c r="I136" s="52"/>
      <c r="J136" s="52"/>
      <c r="K136" s="52"/>
      <c r="L136" s="52"/>
      <c r="M136" s="52"/>
      <c r="N136" s="52"/>
      <c r="O136" s="52"/>
      <c r="P136" s="52"/>
      <c r="Q136" s="52"/>
      <c r="R136" s="52"/>
      <c r="S136" s="52"/>
      <c r="T136" s="52"/>
      <c r="U136" s="52"/>
      <c r="V136" s="52"/>
      <c r="W136" s="1"/>
      <c r="X136" s="1"/>
      <c r="Y136" s="1"/>
      <c r="Z136" s="1"/>
      <c r="AA136" s="1"/>
      <c r="AB136" s="1"/>
      <c r="AC136" s="1"/>
      <c r="AD136" s="1"/>
    </row>
    <row r="137" spans="1:30">
      <c r="A137" s="1"/>
      <c r="B137" s="52"/>
      <c r="C137" s="52"/>
      <c r="D137" s="52"/>
      <c r="E137" s="361"/>
      <c r="F137" s="52"/>
      <c r="G137" s="52"/>
      <c r="H137" s="52"/>
      <c r="I137" s="52"/>
      <c r="J137" s="52"/>
      <c r="K137" s="52"/>
      <c r="L137" s="52"/>
      <c r="M137" s="52"/>
      <c r="N137" s="52"/>
      <c r="O137" s="52"/>
      <c r="P137" s="52"/>
      <c r="Q137" s="52"/>
      <c r="R137" s="52"/>
      <c r="S137" s="52"/>
      <c r="T137" s="52"/>
      <c r="U137" s="52"/>
      <c r="V137" s="52"/>
      <c r="W137" s="1"/>
      <c r="X137" s="1"/>
      <c r="Y137" s="1"/>
      <c r="Z137" s="1"/>
      <c r="AA137" s="1"/>
      <c r="AB137" s="1"/>
      <c r="AC137" s="1"/>
      <c r="AD137" s="1"/>
    </row>
    <row r="138" spans="1:30">
      <c r="A138" s="1"/>
      <c r="B138" s="52"/>
      <c r="C138" s="52"/>
      <c r="D138" s="52"/>
      <c r="E138" s="361"/>
      <c r="F138" s="52"/>
      <c r="G138" s="52"/>
      <c r="H138" s="52"/>
      <c r="I138" s="52"/>
      <c r="J138" s="52"/>
      <c r="K138" s="52"/>
      <c r="L138" s="52"/>
      <c r="M138" s="52"/>
      <c r="N138" s="52"/>
      <c r="O138" s="52"/>
      <c r="P138" s="52"/>
      <c r="Q138" s="52"/>
      <c r="R138" s="52"/>
      <c r="S138" s="52"/>
      <c r="T138" s="52"/>
      <c r="U138" s="52"/>
      <c r="V138" s="52"/>
      <c r="W138" s="1"/>
      <c r="X138" s="1"/>
      <c r="Y138" s="1"/>
      <c r="Z138" s="1"/>
      <c r="AA138" s="1"/>
      <c r="AB138" s="1"/>
      <c r="AC138" s="1"/>
      <c r="AD138" s="1"/>
    </row>
    <row r="139" spans="1:30">
      <c r="A139" s="1"/>
      <c r="B139" s="52"/>
      <c r="C139" s="52"/>
      <c r="D139" s="52"/>
      <c r="E139" s="361"/>
      <c r="F139" s="52"/>
      <c r="G139" s="52"/>
      <c r="H139" s="52"/>
      <c r="I139" s="52"/>
      <c r="J139" s="52"/>
      <c r="K139" s="52"/>
      <c r="L139" s="52"/>
      <c r="M139" s="52"/>
      <c r="N139" s="52"/>
      <c r="O139" s="52"/>
      <c r="P139" s="52"/>
      <c r="Q139" s="52"/>
      <c r="R139" s="52"/>
      <c r="S139" s="52"/>
      <c r="T139" s="52"/>
      <c r="U139" s="52"/>
      <c r="V139" s="52"/>
      <c r="W139" s="1"/>
      <c r="X139" s="1"/>
      <c r="Y139" s="1"/>
      <c r="Z139" s="1"/>
      <c r="AA139" s="1"/>
      <c r="AB139" s="1"/>
      <c r="AC139" s="1"/>
      <c r="AD139" s="1"/>
    </row>
    <row r="140" spans="1:30">
      <c r="A140" s="1"/>
      <c r="B140" s="52"/>
      <c r="C140" s="52"/>
      <c r="D140" s="52"/>
      <c r="E140" s="361"/>
      <c r="F140" s="52"/>
      <c r="G140" s="52"/>
      <c r="H140" s="52"/>
      <c r="I140" s="52"/>
      <c r="J140" s="52"/>
      <c r="K140" s="52"/>
      <c r="L140" s="52"/>
      <c r="M140" s="52"/>
      <c r="N140" s="52"/>
      <c r="O140" s="52"/>
      <c r="P140" s="52"/>
      <c r="Q140" s="52"/>
      <c r="R140" s="52"/>
      <c r="S140" s="52"/>
      <c r="T140" s="52"/>
      <c r="U140" s="52"/>
      <c r="V140" s="52"/>
      <c r="W140" s="1"/>
      <c r="X140" s="1"/>
      <c r="Y140" s="1"/>
      <c r="Z140" s="1"/>
      <c r="AA140" s="1"/>
      <c r="AB140" s="1"/>
      <c r="AC140" s="1"/>
      <c r="AD140" s="1"/>
    </row>
    <row r="141" spans="1:30">
      <c r="A141" s="1"/>
      <c r="B141" s="52"/>
      <c r="C141" s="52"/>
      <c r="D141" s="52"/>
      <c r="E141" s="361"/>
      <c r="F141" s="52"/>
      <c r="G141" s="52"/>
      <c r="H141" s="52"/>
      <c r="I141" s="52"/>
      <c r="J141" s="52"/>
      <c r="K141" s="52"/>
      <c r="L141" s="52"/>
      <c r="M141" s="52"/>
      <c r="N141" s="52"/>
      <c r="O141" s="52"/>
      <c r="P141" s="52"/>
      <c r="Q141" s="52"/>
      <c r="R141" s="52"/>
      <c r="S141" s="52"/>
      <c r="T141" s="52"/>
      <c r="U141" s="52"/>
      <c r="V141" s="52"/>
      <c r="W141" s="1"/>
      <c r="X141" s="1"/>
      <c r="Y141" s="1"/>
      <c r="Z141" s="1"/>
      <c r="AA141" s="1"/>
      <c r="AB141" s="1"/>
      <c r="AC141" s="1"/>
      <c r="AD141" s="1"/>
    </row>
    <row r="142" spans="1:30">
      <c r="A142" s="1"/>
      <c r="B142" s="52"/>
      <c r="C142" s="52"/>
      <c r="D142" s="52"/>
      <c r="E142" s="361"/>
      <c r="F142" s="52"/>
      <c r="G142" s="52"/>
      <c r="H142" s="52"/>
      <c r="I142" s="52"/>
      <c r="J142" s="52"/>
      <c r="K142" s="52"/>
      <c r="L142" s="52"/>
      <c r="M142" s="52"/>
      <c r="N142" s="52"/>
      <c r="O142" s="52"/>
      <c r="P142" s="52"/>
      <c r="Q142" s="52"/>
      <c r="R142" s="52"/>
      <c r="S142" s="52"/>
      <c r="T142" s="52"/>
      <c r="U142" s="52"/>
      <c r="V142" s="52"/>
      <c r="W142" s="1"/>
      <c r="X142" s="1"/>
      <c r="Y142" s="1"/>
      <c r="Z142" s="1"/>
      <c r="AA142" s="1"/>
      <c r="AB142" s="1"/>
      <c r="AC142" s="1"/>
      <c r="AD142" s="1"/>
    </row>
    <row r="143" spans="1:30">
      <c r="A143" s="1"/>
      <c r="B143" s="52"/>
      <c r="C143" s="52"/>
      <c r="D143" s="52"/>
      <c r="E143" s="361"/>
      <c r="F143" s="52"/>
      <c r="G143" s="52"/>
      <c r="H143" s="52"/>
      <c r="I143" s="52"/>
      <c r="J143" s="52"/>
      <c r="K143" s="52"/>
      <c r="L143" s="52"/>
      <c r="M143" s="52"/>
      <c r="N143" s="52"/>
      <c r="O143" s="52"/>
      <c r="P143" s="52"/>
      <c r="Q143" s="52"/>
      <c r="R143" s="52"/>
      <c r="S143" s="52"/>
      <c r="T143" s="52"/>
      <c r="U143" s="52"/>
      <c r="V143" s="52"/>
      <c r="W143" s="1"/>
      <c r="X143" s="1"/>
      <c r="Y143" s="1"/>
      <c r="Z143" s="1"/>
      <c r="AA143" s="1"/>
      <c r="AB143" s="1"/>
      <c r="AC143" s="1"/>
      <c r="AD143" s="1"/>
    </row>
    <row r="144" spans="1:30">
      <c r="A144" s="1"/>
      <c r="B144" s="52"/>
      <c r="C144" s="52"/>
      <c r="D144" s="52"/>
      <c r="E144" s="361"/>
      <c r="F144" s="52"/>
      <c r="G144" s="52"/>
      <c r="H144" s="52"/>
      <c r="I144" s="52"/>
      <c r="J144" s="52"/>
      <c r="K144" s="52"/>
      <c r="L144" s="52"/>
      <c r="M144" s="52"/>
      <c r="N144" s="52"/>
      <c r="O144" s="52"/>
      <c r="P144" s="52"/>
      <c r="Q144" s="52"/>
      <c r="R144" s="52"/>
      <c r="S144" s="52"/>
      <c r="T144" s="52"/>
      <c r="U144" s="52"/>
      <c r="V144" s="52"/>
      <c r="W144" s="1"/>
      <c r="X144" s="1"/>
      <c r="Y144" s="1"/>
      <c r="Z144" s="1"/>
      <c r="AA144" s="1"/>
      <c r="AB144" s="1"/>
      <c r="AC144" s="1"/>
      <c r="AD144" s="1"/>
    </row>
    <row r="145" spans="1:30">
      <c r="A145" s="1"/>
      <c r="B145" s="52"/>
      <c r="C145" s="52"/>
      <c r="D145" s="52"/>
      <c r="E145" s="361"/>
      <c r="F145" s="52"/>
      <c r="G145" s="52"/>
      <c r="H145" s="52"/>
      <c r="I145" s="52"/>
      <c r="J145" s="52"/>
      <c r="K145" s="52"/>
      <c r="L145" s="52"/>
      <c r="M145" s="52"/>
      <c r="N145" s="52"/>
      <c r="O145" s="52"/>
      <c r="P145" s="52"/>
      <c r="Q145" s="52"/>
      <c r="R145" s="52"/>
      <c r="S145" s="52"/>
      <c r="T145" s="52"/>
      <c r="U145" s="52"/>
      <c r="V145" s="52"/>
      <c r="W145" s="1"/>
      <c r="X145" s="1"/>
      <c r="Y145" s="1"/>
      <c r="Z145" s="1"/>
      <c r="AA145" s="1"/>
      <c r="AB145" s="1"/>
      <c r="AC145" s="1"/>
      <c r="AD145" s="1"/>
    </row>
    <row r="146" spans="1:30">
      <c r="A146" s="1"/>
      <c r="B146" s="52"/>
      <c r="C146" s="52"/>
      <c r="D146" s="52"/>
      <c r="E146" s="52"/>
      <c r="F146" s="52"/>
      <c r="G146" s="52"/>
      <c r="H146" s="52"/>
      <c r="I146" s="52"/>
      <c r="J146" s="52"/>
      <c r="K146" s="52"/>
      <c r="L146" s="52"/>
      <c r="M146" s="52"/>
      <c r="N146" s="52"/>
      <c r="O146" s="52"/>
      <c r="P146" s="52"/>
      <c r="Q146" s="52"/>
      <c r="R146" s="52"/>
      <c r="S146" s="52"/>
      <c r="T146" s="52"/>
      <c r="U146" s="52"/>
      <c r="V146" s="52"/>
      <c r="W146" s="1"/>
      <c r="X146" s="1"/>
      <c r="Y146" s="1"/>
      <c r="Z146" s="1"/>
      <c r="AA146" s="1"/>
      <c r="AB146" s="1"/>
      <c r="AC146" s="1"/>
      <c r="AD146" s="1"/>
    </row>
    <row r="147" spans="1:30">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c r="U174" s="1"/>
      <c r="V174" s="1"/>
      <c r="W174" s="1"/>
      <c r="X174" s="1"/>
      <c r="Y174" s="1"/>
      <c r="Z174" s="1"/>
      <c r="AA174" s="1"/>
      <c r="AB174" s="1"/>
      <c r="AC174" s="1"/>
      <c r="AD174" s="1"/>
    </row>
  </sheetData>
  <mergeCells count="5">
    <mergeCell ref="B2:G2"/>
    <mergeCell ref="C49:G49"/>
    <mergeCell ref="C77:F77"/>
    <mergeCell ref="O1:T1"/>
    <mergeCell ref="O2:T2"/>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CM294"/>
  <sheetViews>
    <sheetView zoomScale="66" zoomScaleNormal="66" workbookViewId="0">
      <selection activeCell="X31" sqref="X31"/>
    </sheetView>
  </sheetViews>
  <sheetFormatPr defaultRowHeight="14.4"/>
  <cols>
    <col min="1" max="1" width="3.33203125" customWidth="1"/>
    <col min="2" max="2" width="50.6640625" customWidth="1"/>
    <col min="3" max="3" width="53.21875" customWidth="1"/>
    <col min="4" max="8" width="17.88671875" bestFit="1" customWidth="1"/>
    <col min="9" max="9" width="14.33203125" bestFit="1" customWidth="1"/>
    <col min="10" max="10" width="39.44140625" customWidth="1"/>
    <col min="11" max="11" width="9.33203125" bestFit="1" customWidth="1"/>
    <col min="12" max="12" width="9.88671875" bestFit="1" customWidth="1"/>
    <col min="13" max="14" width="9.33203125" bestFit="1" customWidth="1"/>
  </cols>
  <sheetData>
    <row r="1" spans="1:91" ht="25.8">
      <c r="A1" s="245"/>
      <c r="B1" s="246" t="s">
        <v>504</v>
      </c>
      <c r="C1" s="246"/>
      <c r="D1" s="58"/>
      <c r="E1" s="58"/>
      <c r="F1" s="58"/>
      <c r="G1" s="58"/>
      <c r="H1" s="612"/>
      <c r="I1" s="885"/>
      <c r="J1" s="57" t="s">
        <v>802</v>
      </c>
      <c r="K1" s="944" t="s">
        <v>158</v>
      </c>
      <c r="L1" s="944"/>
      <c r="M1" s="944"/>
      <c r="N1" s="944"/>
      <c r="O1" s="944"/>
      <c r="P1" s="944"/>
      <c r="Q1" s="882"/>
      <c r="R1" s="882"/>
      <c r="S1" s="882"/>
      <c r="T1" s="944" t="s">
        <v>158</v>
      </c>
      <c r="U1" s="944"/>
      <c r="V1" s="944"/>
      <c r="W1" s="944"/>
      <c r="X1" s="944"/>
      <c r="Y1" s="944"/>
      <c r="Z1" s="882"/>
      <c r="AA1" s="882"/>
      <c r="AB1" s="882"/>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91" ht="24.6">
      <c r="A2" s="250"/>
      <c r="B2" s="60"/>
      <c r="C2" s="613"/>
      <c r="D2" s="945" t="s">
        <v>158</v>
      </c>
      <c r="E2" s="945"/>
      <c r="F2" s="945"/>
      <c r="G2" s="945"/>
      <c r="H2" s="957"/>
      <c r="I2" s="886"/>
      <c r="J2" s="60"/>
      <c r="K2" s="944" t="s">
        <v>158</v>
      </c>
      <c r="L2" s="944"/>
      <c r="M2" s="944"/>
      <c r="N2" s="944"/>
      <c r="O2" s="944"/>
      <c r="P2" s="944"/>
      <c r="Q2" s="882"/>
      <c r="R2" s="882"/>
      <c r="S2" s="882"/>
      <c r="T2" s="944" t="s">
        <v>158</v>
      </c>
      <c r="U2" s="944"/>
      <c r="V2" s="944"/>
      <c r="W2" s="944"/>
      <c r="X2" s="944"/>
      <c r="Y2" s="944"/>
      <c r="Z2" s="882"/>
      <c r="AA2" s="882"/>
      <c r="AB2" s="882"/>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pans="1:91">
      <c r="A3" s="251"/>
      <c r="B3" s="61"/>
      <c r="C3" s="614" t="s">
        <v>708</v>
      </c>
      <c r="D3" s="123">
        <v>42369</v>
      </c>
      <c r="E3" s="123">
        <v>42735</v>
      </c>
      <c r="F3" s="123">
        <v>43100</v>
      </c>
      <c r="G3" s="123">
        <v>43465</v>
      </c>
      <c r="H3" s="284">
        <v>43830</v>
      </c>
      <c r="I3" s="886"/>
      <c r="J3" s="61"/>
      <c r="K3" s="62"/>
      <c r="L3" s="62"/>
      <c r="M3" s="62"/>
      <c r="N3" s="62"/>
      <c r="O3" s="62"/>
      <c r="P3" s="62"/>
      <c r="Q3" s="62"/>
      <c r="R3" s="62"/>
      <c r="S3" s="62"/>
      <c r="T3" s="62"/>
      <c r="U3" s="62"/>
      <c r="V3" s="62"/>
      <c r="W3" s="62"/>
      <c r="X3" s="62"/>
      <c r="Y3" s="62"/>
      <c r="Z3" s="62"/>
      <c r="AA3" s="62"/>
      <c r="AB3" s="62"/>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21">
      <c r="A4" s="253"/>
      <c r="B4" s="573" t="s">
        <v>505</v>
      </c>
      <c r="C4" s="577"/>
      <c r="D4" s="52"/>
      <c r="E4" s="52"/>
      <c r="F4" s="52"/>
      <c r="G4" s="52"/>
      <c r="H4" s="273"/>
      <c r="I4" s="253"/>
      <c r="J4" s="52"/>
      <c r="K4" s="125"/>
      <c r="L4" s="125"/>
      <c r="M4" s="125"/>
      <c r="N4" s="125"/>
      <c r="O4" s="125"/>
      <c r="P4" s="125"/>
      <c r="Q4" s="125"/>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row>
    <row r="5" spans="1:91">
      <c r="A5" s="253"/>
      <c r="B5" s="574" t="s">
        <v>673</v>
      </c>
      <c r="C5" s="578" t="s">
        <v>307</v>
      </c>
      <c r="D5" s="621">
        <f>('Reorganised Statements'!C80*(1-0.279))/'Financial statements'!F94</f>
        <v>1.5816243240485663E-2</v>
      </c>
      <c r="E5" s="374">
        <f>('Reorganised Statements'!D80*(1-0.279))/'Financial statements'!G94</f>
        <v>3.0750264754019443E-2</v>
      </c>
      <c r="F5" s="374">
        <f>('Reorganised Statements'!E80*(1-0.279))/'Financial statements'!H94</f>
        <v>5.1453412403256606E-2</v>
      </c>
      <c r="G5" s="374">
        <f>('Reorganised Statements'!F80*(1-0.279))/'Financial statements'!I94</f>
        <v>4.1028549308042193E-2</v>
      </c>
      <c r="H5" s="359">
        <f>('Reorganised Statements'!G80*(1-0.279))/'Financial statements'!J94</f>
        <v>4.6184335664335663E-2</v>
      </c>
      <c r="I5" s="171"/>
      <c r="J5" s="2"/>
      <c r="K5" s="125"/>
      <c r="L5" s="125"/>
      <c r="M5" s="125"/>
      <c r="N5" s="125"/>
      <c r="O5" s="125"/>
      <c r="P5" s="125"/>
      <c r="Q5" s="125"/>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row>
    <row r="6" spans="1:91" ht="40.5" customHeight="1">
      <c r="A6" s="253"/>
      <c r="B6" s="574"/>
      <c r="C6" s="579"/>
      <c r="D6" s="2"/>
      <c r="E6" s="26"/>
      <c r="F6" s="26"/>
      <c r="G6" s="26"/>
      <c r="H6" s="536"/>
      <c r="I6" s="171"/>
      <c r="J6" s="2"/>
      <c r="K6" s="125"/>
      <c r="L6" s="125"/>
      <c r="M6" s="125"/>
      <c r="N6" s="125"/>
      <c r="O6" s="125"/>
      <c r="P6" s="125"/>
      <c r="Q6" s="125"/>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c r="A7" s="253"/>
      <c r="B7" s="574" t="s">
        <v>506</v>
      </c>
      <c r="C7" s="579" t="s">
        <v>507</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15">
        <f>('Financial statements'!J265+(('Financial statements'!J237+'Financial statements'!J238)*(1-0.279)))/'Financial statements'!J94</f>
        <v>4.2858554778554783E-2</v>
      </c>
      <c r="I7" s="171"/>
      <c r="J7" s="2"/>
      <c r="K7" s="125"/>
      <c r="L7" s="125"/>
      <c r="M7" s="125"/>
      <c r="N7" s="125"/>
      <c r="O7" s="125"/>
      <c r="P7" s="125"/>
      <c r="Q7" s="125"/>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ht="41.25" customHeight="1">
      <c r="A8" s="253"/>
      <c r="B8" s="574"/>
      <c r="C8" s="579"/>
      <c r="D8" s="2"/>
      <c r="E8" s="26"/>
      <c r="F8" s="26"/>
      <c r="G8" s="26"/>
      <c r="H8" s="536"/>
      <c r="I8" s="171"/>
      <c r="J8" s="2"/>
      <c r="K8" s="125"/>
      <c r="L8" s="125"/>
      <c r="M8" s="125"/>
      <c r="N8" s="125"/>
      <c r="O8" s="125"/>
      <c r="P8" s="125"/>
      <c r="Q8" s="125"/>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c r="A9" s="253"/>
      <c r="B9" s="574" t="s">
        <v>508</v>
      </c>
      <c r="C9" s="580" t="s">
        <v>509</v>
      </c>
      <c r="D9" s="120">
        <f>('Reorganised Statements'!C80*(1-0.279))/('Financial statements'!F112-'Reorganised Statements'!C39)</f>
        <v>2.2019176136363634E-2</v>
      </c>
      <c r="E9" s="120">
        <f>('Reorganised Statements'!D80*(1-0.279))/('Financial statements'!G112-'Reorganised Statements'!D39)</f>
        <v>4.5151682216567707E-2</v>
      </c>
      <c r="F9" s="120">
        <f>('Reorganised Statements'!E80*(1-0.279))/('Financial statements'!H112-'Reorganised Statements'!E39)</f>
        <v>7.3645518630412882E-2</v>
      </c>
      <c r="G9" s="120">
        <f>('Reorganised Statements'!F80*(1-0.279))/('Financial statements'!I112-'Reorganised Statements'!F39)</f>
        <v>5.8873489793084294E-2</v>
      </c>
      <c r="H9" s="615">
        <f>('Reorganised Statements'!G80*(1-0.279))/('Financial statements'!J112-'Reorganised Statements'!G39)</f>
        <v>6.8208069402368496E-2</v>
      </c>
      <c r="I9" s="171"/>
      <c r="J9" s="2"/>
      <c r="K9" s="125"/>
      <c r="L9" s="125"/>
      <c r="M9" s="125"/>
      <c r="N9" s="125"/>
      <c r="O9" s="125"/>
      <c r="P9" s="125"/>
      <c r="Q9" s="125"/>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ht="41.25" customHeight="1">
      <c r="A10" s="253"/>
      <c r="B10" s="574"/>
      <c r="C10" s="579"/>
      <c r="D10" s="2"/>
      <c r="E10" s="26"/>
      <c r="F10" s="26"/>
      <c r="G10" s="26"/>
      <c r="H10" s="536"/>
      <c r="I10" s="171"/>
      <c r="J10" s="2"/>
      <c r="K10" s="125"/>
      <c r="L10" s="125"/>
      <c r="M10" s="125"/>
      <c r="N10" s="125"/>
      <c r="O10" s="125"/>
      <c r="P10" s="125"/>
      <c r="Q10" s="125"/>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c r="A11" s="253"/>
      <c r="B11" s="574" t="s">
        <v>711</v>
      </c>
      <c r="C11" s="579" t="s">
        <v>674</v>
      </c>
      <c r="D11" s="621">
        <f>('Reorganised Statements'!C80*(1-0.279))/(('Financial statements'!F112+'Financial statements'!G112 )/2-('Reorganised Statements'!C39+'Reorganised Statements'!D39)/2)</f>
        <v>2.1966132917670397E-2</v>
      </c>
      <c r="E11" s="621">
        <f>('Reorganised Statements'!D80*(1-0.279))/(('Financial statements'!G112+'Financial statements'!H112 )/2-('Reorganised Statements'!D39+'Reorganised Statements'!E39)/2)</f>
        <v>4.5547664884135468E-2</v>
      </c>
      <c r="F11" s="621">
        <f>('Reorganised Statements'!E80*(1-0.279))/(('Financial statements'!H112+'Financial statements'!I112 )/2-('Reorganised Statements'!E39+'Reorganised Statements'!F39)/2)</f>
        <v>7.2344544940644434E-2</v>
      </c>
      <c r="G11" s="621">
        <f>('Reorganised Statements'!F80*(1-0.279))/(('Financial statements'!I112+'Financial statements'!J112 )/2-('Reorganised Statements'!F39+'Reorganised Statements'!G39)/2)</f>
        <v>5.8625181497614601E-2</v>
      </c>
      <c r="H11" s="359"/>
      <c r="I11" s="887"/>
      <c r="J11" s="2"/>
      <c r="K11" s="125"/>
      <c r="L11" s="125"/>
      <c r="M11" s="125"/>
      <c r="N11" s="125"/>
      <c r="O11" s="125"/>
      <c r="P11" s="125"/>
      <c r="Q11" s="125"/>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ht="40.5" customHeight="1">
      <c r="A12" s="253"/>
      <c r="B12" s="360"/>
      <c r="C12" s="577"/>
      <c r="D12" s="621"/>
      <c r="E12" s="374"/>
      <c r="F12" s="374"/>
      <c r="G12" s="374"/>
      <c r="H12" s="359"/>
      <c r="I12" s="888"/>
      <c r="J12" s="891"/>
      <c r="K12" s="375"/>
      <c r="L12" s="375"/>
      <c r="M12" s="375"/>
      <c r="N12" s="375"/>
      <c r="O12" s="125"/>
      <c r="P12" s="125"/>
      <c r="Q12" s="125"/>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c r="A13" s="253"/>
      <c r="B13" s="574" t="s">
        <v>510</v>
      </c>
      <c r="C13" s="580" t="s">
        <v>675</v>
      </c>
      <c r="D13" s="120">
        <f>(('Reorganised Statements'!C80*(1-0.279))/'Financial statements'!F198)*('Financial statements'!F198/-('Reorganised Statements'!C35+'Reorganised Statements'!C39))</f>
        <v>2.2019176136363634E-2</v>
      </c>
      <c r="E13" s="120">
        <f>(('Reorganised Statements'!D80*(1-0.279))/'Financial statements'!G198)*('Financial statements'!G198/-('Reorganised Statements'!D35+'Reorganised Statements'!D39))</f>
        <v>4.5151682216567707E-2</v>
      </c>
      <c r="F13" s="120">
        <f>(('Reorganised Statements'!E80*(1-0.279))/'Financial statements'!H198)*('Financial statements'!H198/-('Reorganised Statements'!E35+'Reorganised Statements'!E39))</f>
        <v>7.3645518630412896E-2</v>
      </c>
      <c r="G13" s="120">
        <f>(('Reorganised Statements'!F80*(1-0.279))/'Financial statements'!I198)*('Financial statements'!I198/-('Reorganised Statements'!F35+'Reorganised Statements'!F39))</f>
        <v>5.8873489793084294E-2</v>
      </c>
      <c r="H13" s="615">
        <f>(('Reorganised Statements'!G80*(1-0.279))/'Financial statements'!J198)*('Financial statements'!J198/-('Reorganised Statements'!G35+'Reorganised Statements'!G39))</f>
        <v>6.820806940236851E-2</v>
      </c>
      <c r="I13" s="171"/>
      <c r="J13" s="2"/>
      <c r="K13" s="125"/>
      <c r="L13" s="125"/>
      <c r="M13" s="125"/>
      <c r="N13" s="125"/>
      <c r="O13" s="125"/>
      <c r="P13" s="125"/>
      <c r="Q13" s="125"/>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ht="41.25" customHeight="1">
      <c r="A14" s="253"/>
      <c r="B14" s="360"/>
      <c r="C14" s="577"/>
      <c r="D14" s="52"/>
      <c r="E14" s="374"/>
      <c r="F14" s="374"/>
      <c r="G14" s="374"/>
      <c r="H14" s="359"/>
      <c r="I14" s="171"/>
      <c r="J14" s="2"/>
      <c r="K14" s="125"/>
      <c r="L14" s="125"/>
      <c r="M14" s="125"/>
      <c r="N14" s="125"/>
      <c r="O14" s="125"/>
      <c r="P14" s="125"/>
      <c r="Q14" s="125"/>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c r="A15" s="253"/>
      <c r="B15" s="575" t="s">
        <v>709</v>
      </c>
      <c r="C15" s="579" t="s">
        <v>805</v>
      </c>
      <c r="D15" s="622">
        <f>D9+(D51)*(D9-((('Financial statements'!F237+'Financial statements'!F238)/'Financial statements'!F121))*(1-0.279))</f>
        <v>9.6539885414308434E-3</v>
      </c>
      <c r="E15" s="622">
        <f>E9+(E51)*(E9-((('Financial statements'!G237+'Financial statements'!G238)/'Financial statements'!G121))*(1-0.279))</f>
        <v>6.4865684759365771E-2</v>
      </c>
      <c r="F15" s="622">
        <f>F9+(F51)*(F9-((('Financial statements'!H237+'Financial statements'!H238)/'Financial statements'!H121))*(1-0.279))</f>
        <v>0.13948470613820163</v>
      </c>
      <c r="G15" s="622">
        <f>G9+(G51)*(G9-((('Financial statements'!I237+'Financial statements'!I238)/'Financial statements'!I121))*(1-0.279))</f>
        <v>9.3093939557667385E-2</v>
      </c>
      <c r="H15" s="616">
        <f>H9+(H51)*(H9-((('Financial statements'!J237+'Financial statements'!J238)/'Financial statements'!J121))*(1-0.279))</f>
        <v>0.11453675084937648</v>
      </c>
      <c r="I15" s="171"/>
      <c r="J15" s="2"/>
      <c r="K15" s="125"/>
      <c r="L15" s="125"/>
      <c r="M15" s="125"/>
      <c r="N15" s="125"/>
      <c r="O15" s="125"/>
      <c r="P15" s="125"/>
      <c r="Q15" s="125"/>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ht="40.5" customHeight="1">
      <c r="A16" s="253"/>
      <c r="B16" s="360"/>
      <c r="C16" s="580"/>
      <c r="D16" s="2"/>
      <c r="E16" s="26"/>
      <c r="F16" s="26"/>
      <c r="G16" s="26"/>
      <c r="H16" s="536"/>
      <c r="I16" s="171"/>
      <c r="J16" s="2"/>
      <c r="K16" s="125"/>
      <c r="L16" s="125"/>
      <c r="M16" s="125"/>
      <c r="N16" s="125"/>
      <c r="O16" s="125"/>
      <c r="P16" s="125"/>
      <c r="Q16" s="125"/>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c r="A17" s="253"/>
      <c r="B17" s="575" t="s">
        <v>511</v>
      </c>
      <c r="C17" s="579" t="s">
        <v>676</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15">
        <f>'Financial statements'!J265/'Financial statements'!J112</f>
        <v>0.10654615173924951</v>
      </c>
      <c r="I17" s="171"/>
      <c r="J17" s="2"/>
      <c r="K17" s="125"/>
      <c r="L17" s="125"/>
      <c r="M17" s="125"/>
      <c r="N17" s="125"/>
      <c r="O17" s="125"/>
      <c r="P17" s="125"/>
      <c r="Q17" s="125"/>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ht="40.5" customHeight="1">
      <c r="A18" s="253"/>
      <c r="B18" s="488"/>
      <c r="C18" s="577"/>
      <c r="D18" s="497"/>
      <c r="E18" s="376"/>
      <c r="F18" s="376"/>
      <c r="G18" s="376"/>
      <c r="H18" s="628"/>
      <c r="I18" s="889"/>
      <c r="J18" s="621"/>
      <c r="K18" s="125"/>
      <c r="L18" s="125"/>
      <c r="M18" s="125"/>
      <c r="N18" s="125"/>
      <c r="O18" s="125"/>
      <c r="P18" s="125"/>
      <c r="Q18" s="125"/>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row>
    <row r="19" spans="1:91">
      <c r="A19" s="253"/>
      <c r="B19" s="574" t="s">
        <v>710</v>
      </c>
      <c r="C19" s="579" t="s">
        <v>677</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15"/>
      <c r="I19" s="171"/>
      <c r="J19" s="2"/>
      <c r="K19" s="125"/>
      <c r="L19" s="125"/>
      <c r="M19" s="125"/>
      <c r="N19" s="125"/>
      <c r="O19" s="125"/>
      <c r="P19" s="125"/>
      <c r="Q19" s="125"/>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row>
    <row r="20" spans="1:91">
      <c r="A20" s="272"/>
      <c r="B20" s="581"/>
      <c r="C20" s="529"/>
      <c r="D20" s="623"/>
      <c r="E20" s="582"/>
      <c r="F20" s="582"/>
      <c r="G20" s="582"/>
      <c r="H20" s="629"/>
      <c r="I20" s="171"/>
      <c r="J20" s="2"/>
      <c r="K20" s="125"/>
      <c r="L20" s="125"/>
      <c r="M20" s="125"/>
      <c r="N20" s="125"/>
      <c r="O20" s="125"/>
      <c r="P20" s="125"/>
      <c r="Q20" s="125"/>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row>
    <row r="21" spans="1:91" ht="21">
      <c r="A21" s="253"/>
      <c r="B21" s="573" t="s">
        <v>512</v>
      </c>
      <c r="C21" s="577"/>
      <c r="D21" s="497"/>
      <c r="E21" s="378"/>
      <c r="F21" s="378"/>
      <c r="G21" s="378"/>
      <c r="H21" s="616"/>
      <c r="I21" s="171"/>
      <c r="J21" s="2"/>
      <c r="K21" s="125"/>
      <c r="L21" s="125"/>
      <c r="M21" s="125"/>
      <c r="N21" s="125"/>
      <c r="O21" s="125"/>
      <c r="P21" s="125"/>
      <c r="Q21" s="125"/>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row>
    <row r="22" spans="1:91">
      <c r="A22" s="253"/>
      <c r="B22" s="574" t="s">
        <v>513</v>
      </c>
      <c r="C22" s="579" t="s">
        <v>678</v>
      </c>
      <c r="D22" s="624">
        <f>'Financial statements'!F91/'Financial statements'!F177</f>
        <v>1.1253091508656223</v>
      </c>
      <c r="E22" s="379">
        <f>'Financial statements'!G91/'Financial statements'!G177</f>
        <v>1.2138888888888888</v>
      </c>
      <c r="F22" s="379">
        <f>'Financial statements'!H91/'Financial statements'!H177</f>
        <v>1.2121212121212122</v>
      </c>
      <c r="G22" s="379">
        <f>'Financial statements'!I91/'Financial statements'!I177</f>
        <v>1.0911094783247612</v>
      </c>
      <c r="H22" s="617">
        <f>'Financial statements'!J91/'Financial statements'!J177</f>
        <v>1.1802656546489563</v>
      </c>
      <c r="I22" s="171"/>
      <c r="J22" s="2"/>
      <c r="K22" s="125"/>
      <c r="L22" s="125"/>
      <c r="M22" s="125"/>
      <c r="N22" s="125"/>
      <c r="O22" s="125"/>
      <c r="P22" s="125"/>
      <c r="Q22" s="125"/>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row>
    <row r="23" spans="1:91">
      <c r="A23" s="253"/>
      <c r="B23" s="574"/>
      <c r="C23" s="579"/>
      <c r="D23" s="624">
        <f>('Financial statements'!F91-'Financial statements'!F87-'Financial statements'!F89)/'Financial statements'!F177</f>
        <v>1.0255564715581205</v>
      </c>
      <c r="E23" s="379">
        <f>('Financial statements'!G91-'Financial statements'!G87-'Financial statements'!G89)/'Financial statements'!G177</f>
        <v>1.0996031746031747</v>
      </c>
      <c r="F23" s="379">
        <f>('Financial statements'!H91-'Financial statements'!H87-'Financial statements'!H89)/'Financial statements'!H177</f>
        <v>1.1630388390951771</v>
      </c>
      <c r="G23" s="379">
        <f>('Financial statements'!I91-'Financial statements'!I87-'Financial statements'!I89)/'Financial statements'!I177</f>
        <v>1.0672299779573842</v>
      </c>
      <c r="H23" s="617">
        <f>('Financial statements'!J91-'Financial statements'!J87-'Financial statements'!J89)/'Financial statements'!J177</f>
        <v>1.152561669829222</v>
      </c>
      <c r="I23" s="171"/>
      <c r="J23" s="2"/>
      <c r="K23" s="125"/>
      <c r="L23" s="125"/>
      <c r="M23" s="125"/>
      <c r="N23" s="125"/>
      <c r="O23" s="125"/>
      <c r="P23" s="125"/>
      <c r="Q23" s="125"/>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c r="A24" s="253"/>
      <c r="B24" s="488"/>
      <c r="C24" s="577"/>
      <c r="D24" s="496"/>
      <c r="E24" s="380"/>
      <c r="F24" s="380"/>
      <c r="G24" s="380"/>
      <c r="H24" s="630"/>
      <c r="I24" s="171"/>
      <c r="J24" s="2"/>
      <c r="K24" s="125"/>
      <c r="L24" s="125"/>
      <c r="M24" s="125"/>
      <c r="N24" s="125"/>
      <c r="O24" s="125"/>
      <c r="P24" s="125"/>
      <c r="Q24" s="125"/>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c r="A25" s="253"/>
      <c r="B25" s="574" t="s">
        <v>514</v>
      </c>
      <c r="C25" s="579" t="s">
        <v>679</v>
      </c>
      <c r="D25" s="624">
        <f>('Financial statements'!F90+'Financial statements'!F87)/'Financial statements'!F177</f>
        <v>0.33264633140972794</v>
      </c>
      <c r="E25" s="379">
        <f>('Financial statements'!G90+'Financial statements'!G87)/'Financial statements'!G177</f>
        <v>0.24603174603174602</v>
      </c>
      <c r="F25" s="379">
        <f>('Financial statements'!H90+'Financial statements'!H87)/'Financial statements'!H177</f>
        <v>0.29833546734955185</v>
      </c>
      <c r="G25" s="379">
        <f>('Financial statements'!I90+'Financial statements'!I87)/'Financial statements'!I177</f>
        <v>0.23512123438648053</v>
      </c>
      <c r="H25" s="617">
        <f>('Financial statements'!J90+'Financial statements'!J87)/'Financial statements'!J177</f>
        <v>0.1685009487666034</v>
      </c>
      <c r="I25" s="171"/>
      <c r="J25" s="2"/>
      <c r="K25" s="125"/>
      <c r="L25" s="125"/>
      <c r="M25" s="125"/>
      <c r="N25" s="125"/>
      <c r="O25" s="125"/>
      <c r="P25" s="125"/>
      <c r="Q25" s="125"/>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c r="A26" s="253"/>
      <c r="B26" s="574" t="s">
        <v>712</v>
      </c>
      <c r="C26" s="579" t="s">
        <v>683</v>
      </c>
      <c r="D26" s="624">
        <f>('Financial statements'!F91-'Financial statements'!F57)/'Financial statements'!F177</f>
        <v>1.0494641384995878</v>
      </c>
      <c r="E26" s="379">
        <f>('Financial statements'!G91-'Financial statements'!G57)/'Financial statements'!G177</f>
        <v>1.1507936507936507</v>
      </c>
      <c r="F26" s="379">
        <f>('Financial statements'!H91-'Financial statements'!H57)/'Financial statements'!H177</f>
        <v>1.1493811352966283</v>
      </c>
      <c r="G26" s="379">
        <f>('Financial statements'!I91-'Financial statements'!I57)/'Financial statements'!I177</f>
        <v>1.0224099926524615</v>
      </c>
      <c r="H26" s="617">
        <f>('Financial statements'!J91-'Financial statements'!J57)/'Financial statements'!J177</f>
        <v>1.1104364326375711</v>
      </c>
      <c r="I26" s="171"/>
      <c r="J26" s="2"/>
      <c r="K26" s="125"/>
      <c r="L26" s="125"/>
      <c r="M26" s="125"/>
      <c r="N26" s="125"/>
      <c r="O26" s="125"/>
      <c r="P26" s="125"/>
      <c r="Q26" s="125"/>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c r="A27" s="253"/>
      <c r="B27" s="575"/>
      <c r="C27" s="579"/>
      <c r="D27" s="624"/>
      <c r="E27" s="379"/>
      <c r="F27" s="379"/>
      <c r="G27" s="379"/>
      <c r="H27" s="617"/>
      <c r="I27" s="171"/>
      <c r="J27" s="2"/>
      <c r="K27" s="125"/>
      <c r="L27" s="125"/>
      <c r="M27" s="125"/>
      <c r="N27" s="125"/>
      <c r="O27" s="125"/>
      <c r="P27" s="125"/>
      <c r="Q27" s="125"/>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c r="A28" s="253"/>
      <c r="B28" s="575"/>
      <c r="C28" s="579"/>
      <c r="D28" s="624"/>
      <c r="E28" s="379"/>
      <c r="F28" s="379"/>
      <c r="G28" s="379"/>
      <c r="H28" s="617"/>
      <c r="I28" s="171"/>
      <c r="J28" s="2"/>
      <c r="K28" s="125"/>
      <c r="L28" s="125"/>
      <c r="M28" s="125"/>
      <c r="N28" s="125"/>
      <c r="O28" s="125"/>
      <c r="P28" s="125"/>
      <c r="Q28" s="125"/>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c r="A29" s="272"/>
      <c r="B29" s="583"/>
      <c r="C29" s="529"/>
      <c r="D29" s="625"/>
      <c r="E29" s="584"/>
      <c r="F29" s="584"/>
      <c r="G29" s="584"/>
      <c r="H29" s="631"/>
      <c r="I29" s="171"/>
      <c r="J29" s="2"/>
      <c r="K29" s="125"/>
      <c r="L29" s="125"/>
      <c r="M29" s="125"/>
      <c r="N29" s="125"/>
      <c r="O29" s="125"/>
      <c r="P29" s="125"/>
      <c r="Q29" s="125"/>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ht="21">
      <c r="A30" s="253"/>
      <c r="B30" s="573" t="s">
        <v>688</v>
      </c>
      <c r="C30" s="579"/>
      <c r="D30" s="624"/>
      <c r="E30" s="379"/>
      <c r="F30" s="379"/>
      <c r="G30" s="379"/>
      <c r="H30" s="617"/>
      <c r="I30" s="171"/>
      <c r="J30" s="2"/>
      <c r="K30" s="125"/>
      <c r="L30" s="125"/>
      <c r="M30" s="125"/>
      <c r="N30" s="125"/>
      <c r="O30" s="125"/>
      <c r="P30" s="125"/>
      <c r="Q30" s="125"/>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c r="A31" s="253"/>
      <c r="B31" s="575" t="s">
        <v>689</v>
      </c>
      <c r="C31" s="579"/>
      <c r="D31" s="624"/>
      <c r="E31" s="379"/>
      <c r="F31" s="379"/>
      <c r="G31" s="379"/>
      <c r="H31" s="617"/>
      <c r="I31" s="171"/>
      <c r="J31" s="2"/>
      <c r="K31" s="125"/>
      <c r="L31" s="125"/>
      <c r="M31" s="125"/>
      <c r="N31" s="125"/>
      <c r="O31" s="125"/>
      <c r="P31" s="125"/>
      <c r="Q31" s="125"/>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c r="A32" s="253"/>
      <c r="B32" s="575"/>
      <c r="C32" s="579"/>
      <c r="D32" s="624"/>
      <c r="E32" s="379"/>
      <c r="F32" s="379"/>
      <c r="G32" s="379"/>
      <c r="H32" s="617"/>
      <c r="I32" s="171"/>
      <c r="J32" s="2"/>
      <c r="K32" s="125"/>
      <c r="L32" s="125"/>
      <c r="M32" s="125"/>
      <c r="N32" s="125"/>
      <c r="O32" s="125"/>
      <c r="P32" s="125"/>
      <c r="Q32" s="125"/>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c r="A33" s="253"/>
      <c r="B33" s="575" t="s">
        <v>696</v>
      </c>
      <c r="C33" s="579" t="s">
        <v>700</v>
      </c>
      <c r="D33" s="626">
        <f>'Reorganised Statements'!C11*365 / 'Forecasts Simone'!B10</f>
        <v>114.54459002535926</v>
      </c>
      <c r="E33" s="632">
        <f>'Reorganised Statements'!D11*365 / 'Forecasts Simone'!C10</f>
        <v>145.09168303863785</v>
      </c>
      <c r="F33" s="632">
        <f>'Reorganised Statements'!E11*365 / 'Forecasts Simone'!D10</f>
        <v>109.10822898032201</v>
      </c>
      <c r="G33" s="632">
        <f>'Reorganised Statements'!F11*365 / 'Forecasts Simone'!E10</f>
        <v>103.66209535959177</v>
      </c>
      <c r="H33" s="618">
        <f>'Reorganised Statements'!G11*365 / 'Forecasts Simone'!F10</f>
        <v>94.914349901712995</v>
      </c>
      <c r="I33" s="171"/>
      <c r="J33" s="2"/>
      <c r="K33" s="125"/>
      <c r="L33" s="125"/>
      <c r="M33" s="125"/>
      <c r="N33" s="125"/>
      <c r="O33" s="125"/>
      <c r="P33" s="125"/>
      <c r="Q33" s="125"/>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c r="A34" s="253"/>
      <c r="B34" s="575"/>
      <c r="C34" s="579"/>
      <c r="D34" s="624"/>
      <c r="E34" s="379"/>
      <c r="F34" s="379"/>
      <c r="G34" s="379"/>
      <c r="H34" s="617"/>
      <c r="I34" s="171"/>
      <c r="J34" s="2"/>
      <c r="K34" s="125"/>
      <c r="L34" s="125"/>
      <c r="M34" s="125"/>
      <c r="N34" s="125"/>
      <c r="O34" s="125"/>
      <c r="P34" s="125"/>
      <c r="Q34" s="125"/>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c r="A35" s="253"/>
      <c r="B35" s="575" t="s">
        <v>697</v>
      </c>
      <c r="C35" s="579" t="s">
        <v>699</v>
      </c>
      <c r="D35" s="626">
        <f>-'Forecasts Simone'!B63*365/'Forecasts Simone'!B15</f>
        <v>29.378827646544181</v>
      </c>
      <c r="E35" s="632">
        <f>-'Forecasts Simone'!C63*365/'Forecasts Simone'!C15</f>
        <v>27.62256068538791</v>
      </c>
      <c r="F35" s="632">
        <f>-'Forecasts Simone'!D63*365/'Forecasts Simone'!D15</f>
        <v>18.952666902154714</v>
      </c>
      <c r="G35" s="632">
        <f>-'Forecasts Simone'!E63*365/'Forecasts Simone'!E15</f>
        <v>20.398983861326958</v>
      </c>
      <c r="H35" s="618">
        <f>-'Forecasts Simone'!F63*365/'Forecasts Simone'!F15</f>
        <v>16.773226773226774</v>
      </c>
      <c r="I35" s="171"/>
      <c r="J35" s="2"/>
      <c r="K35" s="125"/>
      <c r="L35" s="125"/>
      <c r="M35" s="125"/>
      <c r="N35" s="125"/>
      <c r="O35" s="125"/>
      <c r="P35" s="125"/>
      <c r="Q35" s="125"/>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c r="A36" s="253"/>
      <c r="B36" s="575"/>
      <c r="C36" s="579"/>
      <c r="D36" s="624"/>
      <c r="E36" s="379"/>
      <c r="F36" s="379"/>
      <c r="G36" s="379"/>
      <c r="H36" s="617"/>
      <c r="I36" s="171"/>
      <c r="J36" s="2"/>
      <c r="K36" s="125"/>
      <c r="L36" s="125"/>
      <c r="M36" s="125"/>
      <c r="N36" s="125"/>
      <c r="O36" s="125"/>
      <c r="P36" s="125"/>
      <c r="Q36" s="125"/>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c r="A37" s="253"/>
      <c r="B37" s="575" t="s">
        <v>698</v>
      </c>
      <c r="C37" s="579" t="s">
        <v>701</v>
      </c>
      <c r="D37" s="626">
        <f>'Forecasts Simone'!B65*365/('Forecasts Simone'!B15+'Forecasts Simone'!B16)</f>
        <v>142.73061497326202</v>
      </c>
      <c r="E37" s="632">
        <f>'Forecasts Simone'!C65*365/('Forecasts Simone'!C15+'Forecasts Simone'!C16)</f>
        <v>176.6911507520112</v>
      </c>
      <c r="F37" s="632">
        <f>'Forecasts Simone'!D65*365/('Forecasts Simone'!D15+'Forecasts Simone'!D16)</f>
        <v>136.93697364846508</v>
      </c>
      <c r="G37" s="632">
        <f>'Forecasts Simone'!E65*365/('Forecasts Simone'!E15+'Forecasts Simone'!E16)</f>
        <v>119.05470914127424</v>
      </c>
      <c r="H37" s="618">
        <f>'Forecasts Simone'!F65*365/('Forecasts Simone'!F15+'Forecasts Simone'!F16)</f>
        <v>104.84193173002328</v>
      </c>
      <c r="I37" s="171"/>
      <c r="J37" s="2"/>
      <c r="K37" s="125"/>
      <c r="L37" s="125"/>
      <c r="M37" s="125"/>
      <c r="N37" s="125"/>
      <c r="O37" s="125"/>
      <c r="P37" s="125"/>
      <c r="Q37" s="125"/>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c r="A38" s="253"/>
      <c r="B38" s="575"/>
      <c r="C38" s="579"/>
      <c r="D38" s="626"/>
      <c r="E38" s="632"/>
      <c r="F38" s="632"/>
      <c r="G38" s="632"/>
      <c r="H38" s="618"/>
      <c r="I38" s="171"/>
      <c r="J38" s="2"/>
      <c r="K38" s="125"/>
      <c r="L38" s="125"/>
      <c r="M38" s="125"/>
      <c r="N38" s="125"/>
      <c r="O38" s="125"/>
      <c r="P38" s="125"/>
      <c r="Q38" s="125"/>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c r="A39" s="253"/>
      <c r="B39" s="575" t="s">
        <v>705</v>
      </c>
      <c r="C39" s="579" t="s">
        <v>704</v>
      </c>
      <c r="D39" s="626">
        <f>'Forecasts Simone'!B65*365/'Forecasts Simone'!B15</f>
        <v>186.81102362204723</v>
      </c>
      <c r="E39" s="632">
        <f>'Forecasts Simone'!C65*365/'Forecasts Simone'!C15</f>
        <v>240.43788672060924</v>
      </c>
      <c r="F39" s="632">
        <f>'Forecasts Simone'!D65*365/'Forecasts Simone'!D15</f>
        <v>178.05192511480041</v>
      </c>
      <c r="G39" s="632">
        <f>'Forecasts Simone'!E65*365/'Forecasts Simone'!E15</f>
        <v>154.13777644949192</v>
      </c>
      <c r="H39" s="618">
        <f>'Forecasts Simone'!F65*365/'Forecasts Simone'!F15</f>
        <v>135.00624375624375</v>
      </c>
      <c r="I39" s="171"/>
      <c r="J39" s="2"/>
      <c r="K39" s="125"/>
      <c r="L39" s="125"/>
      <c r="M39" s="125"/>
      <c r="N39" s="125"/>
      <c r="O39" s="125"/>
      <c r="P39" s="125"/>
      <c r="Q39" s="125"/>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c r="A40" s="253"/>
      <c r="B40" s="575"/>
      <c r="C40" s="579"/>
      <c r="D40" s="624"/>
      <c r="E40" s="379"/>
      <c r="F40" s="379"/>
      <c r="G40" s="379"/>
      <c r="H40" s="617"/>
      <c r="I40" s="171"/>
      <c r="J40" s="2"/>
      <c r="K40" s="125"/>
      <c r="L40" s="125"/>
      <c r="M40" s="125"/>
      <c r="N40" s="125"/>
      <c r="O40" s="125"/>
      <c r="P40" s="125"/>
      <c r="Q40" s="125"/>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c r="A41" s="253"/>
      <c r="B41" s="575" t="s">
        <v>702</v>
      </c>
      <c r="C41" s="579" t="s">
        <v>703</v>
      </c>
      <c r="D41" s="626">
        <f>D33+D35-D37</f>
        <v>1.1928026986414295</v>
      </c>
      <c r="E41" s="632">
        <f t="shared" ref="E41:H41" si="0">E33+E35-E37</f>
        <v>-3.9769070279854191</v>
      </c>
      <c r="F41" s="632">
        <f t="shared" si="0"/>
        <v>-8.8760777659883558</v>
      </c>
      <c r="G41" s="632">
        <f t="shared" si="0"/>
        <v>5.0063700796444834</v>
      </c>
      <c r="H41" s="618">
        <f t="shared" si="0"/>
        <v>6.8456449449165007</v>
      </c>
      <c r="I41" s="171"/>
      <c r="J41" s="2"/>
      <c r="K41" s="125"/>
      <c r="L41" s="125"/>
      <c r="M41" s="125"/>
      <c r="N41" s="125"/>
      <c r="O41" s="125"/>
      <c r="P41" s="125"/>
      <c r="Q41" s="125"/>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c r="A42" s="253"/>
      <c r="B42" s="575" t="s">
        <v>706</v>
      </c>
      <c r="C42" s="579" t="s">
        <v>707</v>
      </c>
      <c r="D42" s="626">
        <f>D33+D35-D39</f>
        <v>-42.887605950143779</v>
      </c>
      <c r="E42" s="632">
        <f t="shared" ref="E42:H42" si="1">E33+E35-E39</f>
        <v>-67.723642996583465</v>
      </c>
      <c r="F42" s="632">
        <f t="shared" si="1"/>
        <v>-49.991029232323683</v>
      </c>
      <c r="G42" s="632">
        <f t="shared" si="1"/>
        <v>-30.076697228573195</v>
      </c>
      <c r="H42" s="618">
        <f t="shared" si="1"/>
        <v>-23.318667081303971</v>
      </c>
      <c r="I42" s="171"/>
      <c r="J42" s="2"/>
      <c r="K42" s="125"/>
      <c r="L42" s="125"/>
      <c r="M42" s="125"/>
      <c r="N42" s="125"/>
      <c r="O42" s="125"/>
      <c r="P42" s="125"/>
      <c r="Q42" s="125"/>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c r="A43" s="253"/>
      <c r="B43" s="575"/>
      <c r="C43" s="579"/>
      <c r="D43" s="624"/>
      <c r="E43" s="379"/>
      <c r="F43" s="379"/>
      <c r="G43" s="379"/>
      <c r="H43" s="617"/>
      <c r="I43" s="171"/>
      <c r="J43" s="2"/>
      <c r="K43" s="125"/>
      <c r="L43" s="125"/>
      <c r="M43" s="125"/>
      <c r="N43" s="125"/>
      <c r="O43" s="125"/>
      <c r="P43" s="125"/>
      <c r="Q43" s="125"/>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c r="A44" s="272"/>
      <c r="B44" s="583"/>
      <c r="C44" s="529"/>
      <c r="D44" s="625"/>
      <c r="E44" s="584"/>
      <c r="F44" s="584"/>
      <c r="G44" s="584"/>
      <c r="H44" s="631"/>
      <c r="I44" s="171"/>
      <c r="J44" s="2"/>
      <c r="K44" s="125"/>
      <c r="L44" s="125"/>
      <c r="M44" s="125"/>
      <c r="N44" s="125"/>
      <c r="O44" s="125"/>
      <c r="P44" s="125"/>
      <c r="Q44" s="125"/>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ht="21">
      <c r="A45" s="253"/>
      <c r="B45" s="576" t="s">
        <v>515</v>
      </c>
      <c r="C45" s="579"/>
      <c r="D45" s="2"/>
      <c r="E45" s="26"/>
      <c r="F45" s="26"/>
      <c r="G45" s="26"/>
      <c r="H45" s="536"/>
      <c r="I45" s="171"/>
      <c r="J45" s="2"/>
      <c r="K45" s="125"/>
      <c r="L45" s="125"/>
      <c r="M45" s="125"/>
      <c r="N45" s="125"/>
      <c r="O45" s="125"/>
      <c r="P45" s="125"/>
      <c r="Q45" s="125"/>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c r="A46" s="253"/>
      <c r="B46" s="574" t="s">
        <v>516</v>
      </c>
      <c r="C46" s="579" t="s">
        <v>680</v>
      </c>
      <c r="D46" s="624">
        <f>'Reorganised Statements'!C80/('Financial statements'!F237+'Financial statements'!F238)</f>
        <v>1.5357142857142858</v>
      </c>
      <c r="E46" s="379">
        <f>'Reorganised Statements'!D80/('Financial statements'!G237+'Financial statements'!G238)</f>
        <v>3.3059701492537314</v>
      </c>
      <c r="F46" s="379">
        <f>'Reorganised Statements'!E80/('Financial statements'!H237+'Financial statements'!H238)</f>
        <v>6.283185840707965</v>
      </c>
      <c r="G46" s="379">
        <f>'Reorganised Statements'!F80/('Financial statements'!I237+'Financial statements'!I238)</f>
        <v>5.4444444444444446</v>
      </c>
      <c r="H46" s="617">
        <f>'Reorganised Statements'!G80/('Financial statements'!J237+'Financial statements'!J238)</f>
        <v>7.0102040816326534</v>
      </c>
      <c r="I46" s="171"/>
      <c r="J46" s="2"/>
      <c r="K46" s="125"/>
      <c r="L46" s="125"/>
      <c r="M46" s="125"/>
      <c r="N46" s="125"/>
      <c r="O46" s="125"/>
      <c r="P46" s="125"/>
      <c r="Q46" s="125"/>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ht="41.25" customHeight="1">
      <c r="A47" s="253"/>
      <c r="B47" s="488"/>
      <c r="C47" s="579"/>
      <c r="D47" s="621"/>
      <c r="E47" s="374"/>
      <c r="F47" s="374"/>
      <c r="G47" s="374"/>
      <c r="H47" s="359"/>
      <c r="I47" s="889"/>
      <c r="J47" s="2"/>
      <c r="K47" s="125"/>
      <c r="L47" s="125"/>
      <c r="M47" s="125"/>
      <c r="N47" s="125"/>
      <c r="O47" s="125"/>
      <c r="P47" s="125"/>
      <c r="Q47" s="125"/>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c r="A48" s="253"/>
      <c r="B48" s="575" t="s">
        <v>517</v>
      </c>
      <c r="C48" s="579" t="s">
        <v>681</v>
      </c>
      <c r="D48" s="120">
        <f>'Reorganised Statements'!C39/('Reorganised Statements'!C35+'Reorganised Statements'!C39)</f>
        <v>0.53707386363636367</v>
      </c>
      <c r="E48" s="29">
        <f>'Reorganised Statements'!D39/('Reorganised Statements'!D35+'Reorganised Statements'!D39)</f>
        <v>0.53647158608990675</v>
      </c>
      <c r="F48" s="29">
        <f>'Reorganised Statements'!E39/('Reorganised Statements'!E35+'Reorganised Statements'!E39)</f>
        <v>0.56653718889368432</v>
      </c>
      <c r="G48" s="29">
        <f>'Reorganised Statements'!F39/('Reorganised Statements'!F35+'Reorganised Statements'!F39)</f>
        <v>0.51076239411192892</v>
      </c>
      <c r="H48" s="615">
        <f>'Reorganised Statements'!G39/('Reorganised Statements'!G35+'Reorganised Statements'!G39)</f>
        <v>0.49724593775819331</v>
      </c>
      <c r="I48" s="890"/>
      <c r="J48" s="120"/>
      <c r="K48" s="382"/>
      <c r="L48" s="125"/>
      <c r="M48" s="125"/>
      <c r="N48" s="125"/>
      <c r="O48" s="125"/>
      <c r="P48" s="125"/>
      <c r="Q48" s="125"/>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c r="A49" s="253"/>
      <c r="B49" s="574" t="s">
        <v>806</v>
      </c>
      <c r="C49" s="579" t="s">
        <v>685</v>
      </c>
      <c r="D49" s="120">
        <f>'Reorganised Statements'!C42/'Reorganised Statements'!C44</f>
        <v>0.49109931292941911</v>
      </c>
      <c r="E49" s="29">
        <f>'Reorganised Statements'!D42/'Reorganised Statements'!D44</f>
        <v>0.5085431654676259</v>
      </c>
      <c r="F49" s="29">
        <f>'Reorganised Statements'!E42/'Reorganised Statements'!E44</f>
        <v>0.51869009584664538</v>
      </c>
      <c r="G49" s="29">
        <f>'Reorganised Statements'!F42/'Reorganised Statements'!F44</f>
        <v>0.46434544625209062</v>
      </c>
      <c r="H49" s="615">
        <f>'Reorganised Statements'!G42/'Reorganised Statements'!G44</f>
        <v>0.46528998242530756</v>
      </c>
      <c r="I49" s="171"/>
      <c r="J49" s="2"/>
      <c r="K49" s="125"/>
      <c r="L49" s="125"/>
      <c r="M49" s="125"/>
      <c r="N49" s="125"/>
      <c r="O49" s="125"/>
      <c r="P49" s="125"/>
      <c r="Q49" s="125"/>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ht="41.25" customHeight="1">
      <c r="A50" s="253"/>
      <c r="B50" s="574"/>
      <c r="C50" s="579"/>
      <c r="D50" s="120"/>
      <c r="E50" s="29"/>
      <c r="F50" s="29"/>
      <c r="G50" s="29"/>
      <c r="H50" s="615"/>
      <c r="I50" s="171"/>
      <c r="J50" s="2"/>
      <c r="K50" s="125"/>
      <c r="L50" s="125"/>
      <c r="M50" s="125"/>
      <c r="N50" s="125"/>
      <c r="O50" s="125"/>
      <c r="P50" s="125"/>
      <c r="Q50" s="125"/>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c r="A51" s="253"/>
      <c r="B51" s="575" t="s">
        <v>518</v>
      </c>
      <c r="C51" s="579" t="s">
        <v>682</v>
      </c>
      <c r="D51" s="624">
        <f>'Reorganised Statements'!C39/'Reorganised Statements'!C35</f>
        <v>1.1601718318502607</v>
      </c>
      <c r="E51" s="379">
        <f>'Reorganised Statements'!D39/'Reorganised Statements'!D35</f>
        <v>1.1573650503202195</v>
      </c>
      <c r="F51" s="379">
        <f>'Reorganised Statements'!E39/'Reorganised Statements'!E35</f>
        <v>1.3070029870560902</v>
      </c>
      <c r="G51" s="379">
        <f>'Reorganised Statements'!F39/'Reorganised Statements'!F35</f>
        <v>1.0439965938120919</v>
      </c>
      <c r="H51" s="617">
        <f>'Reorganised Statements'!G39/'Reorganised Statements'!G35</f>
        <v>0.98904409750753219</v>
      </c>
      <c r="I51" s="171"/>
      <c r="J51" s="2"/>
      <c r="K51" s="125"/>
      <c r="L51" s="125"/>
      <c r="M51" s="125"/>
      <c r="N51" s="125"/>
      <c r="O51" s="125"/>
      <c r="P51" s="125"/>
      <c r="Q51" s="125"/>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ht="16.2" customHeight="1">
      <c r="A52" s="253"/>
      <c r="B52" s="574"/>
      <c r="C52" s="579"/>
      <c r="D52" s="52"/>
      <c r="E52" s="26"/>
      <c r="F52" s="26"/>
      <c r="G52" s="26"/>
      <c r="H52" s="536"/>
      <c r="I52" s="171"/>
      <c r="J52" s="2"/>
      <c r="K52" s="125"/>
      <c r="L52" s="125"/>
      <c r="M52" s="125"/>
      <c r="N52" s="125"/>
      <c r="O52" s="125"/>
      <c r="P52" s="125"/>
      <c r="Q52" s="125"/>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ht="16.2" customHeight="1">
      <c r="A53" s="253"/>
      <c r="B53" s="574" t="s">
        <v>686</v>
      </c>
      <c r="C53" s="579" t="s">
        <v>687</v>
      </c>
      <c r="D53" s="627">
        <f>'Reorganised Statements'!C35/('Reorganised Statements'!C35+'Reorganised Statements'!C39)</f>
        <v>0.46292613636363639</v>
      </c>
      <c r="E53" s="633">
        <f>'Reorganised Statements'!D35/('Reorganised Statements'!D35+'Reorganised Statements'!D39)</f>
        <v>0.46352841391009331</v>
      </c>
      <c r="F53" s="633">
        <f>'Reorganised Statements'!E35/('Reorganised Statements'!E35+'Reorganised Statements'!E39)</f>
        <v>0.43346281110631563</v>
      </c>
      <c r="G53" s="633">
        <f>'Reorganised Statements'!F35/('Reorganised Statements'!F35+'Reorganised Statements'!F39)</f>
        <v>0.48923760588807108</v>
      </c>
      <c r="H53" s="619">
        <f>'Reorganised Statements'!G35/('Reorganised Statements'!G35+'Reorganised Statements'!G39)</f>
        <v>0.50275406224180663</v>
      </c>
      <c r="I53" s="171"/>
      <c r="J53" s="2"/>
      <c r="K53" s="125"/>
      <c r="L53" s="125"/>
      <c r="M53" s="125"/>
      <c r="N53" s="125"/>
      <c r="O53" s="125"/>
      <c r="P53" s="125"/>
      <c r="Q53" s="125"/>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ht="15" customHeight="1">
      <c r="A54" s="253"/>
      <c r="B54" s="574"/>
      <c r="C54" s="579"/>
      <c r="D54" s="52"/>
      <c r="E54" s="26"/>
      <c r="F54" s="26"/>
      <c r="G54" s="26"/>
      <c r="H54" s="536"/>
      <c r="I54" s="171"/>
      <c r="J54" s="2"/>
      <c r="K54" s="125"/>
      <c r="L54" s="125"/>
      <c r="M54" s="125"/>
      <c r="N54" s="125"/>
      <c r="O54" s="125"/>
      <c r="P54" s="125"/>
      <c r="Q54" s="125"/>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c r="A55" s="253"/>
      <c r="B55" s="574" t="s">
        <v>520</v>
      </c>
      <c r="C55" s="579" t="s">
        <v>684</v>
      </c>
      <c r="D55" s="6"/>
      <c r="E55" s="374">
        <f>-('Cash flows'!D19+'Cash flows'!D20+'Cash flows'!D13)/('Cash flows'!D5*(1-0.279))</f>
        <v>1.612383102225089</v>
      </c>
      <c r="F55" s="374">
        <f>('Cash flows'!E19+'Cash flows'!E20+'Cash flows'!E13)/('Cash flows'!E5*(1-0.279))</f>
        <v>1.0216639643687369</v>
      </c>
      <c r="G55" s="374">
        <f>-('Cash flows'!F19+'Cash flows'!F20+'Cash flows'!F13)/('Cash flows'!F5*(1-0.279))</f>
        <v>1.3468632945549928</v>
      </c>
      <c r="H55" s="359">
        <f>-('Cash flows'!G19+'Cash flows'!G20+'Cash flows'!G13)/('Cash flows'!G5*(1-0.279))</f>
        <v>0.65815107999362032</v>
      </c>
      <c r="I55" s="253"/>
      <c r="J55" s="52"/>
      <c r="K55" s="125"/>
      <c r="M55" s="392"/>
      <c r="N55" s="125"/>
      <c r="O55" s="125"/>
      <c r="P55" s="125"/>
      <c r="Q55" s="125"/>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c r="A56" s="253"/>
      <c r="B56" s="360"/>
      <c r="C56" s="577"/>
      <c r="D56" s="52"/>
      <c r="E56" s="572" t="s">
        <v>672</v>
      </c>
      <c r="F56" s="46"/>
      <c r="G56" s="46"/>
      <c r="H56" s="273"/>
      <c r="I56" s="171"/>
      <c r="J56" s="2"/>
      <c r="K56" s="125"/>
      <c r="L56" s="125"/>
      <c r="M56" s="125"/>
      <c r="N56" s="125"/>
      <c r="O56" s="125"/>
      <c r="P56" s="125"/>
      <c r="Q56" s="125"/>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ht="12.75" customHeight="1">
      <c r="A57" s="253"/>
      <c r="B57" s="574"/>
      <c r="C57" s="579"/>
      <c r="D57" s="52"/>
      <c r="E57" s="46"/>
      <c r="F57" s="634" t="s">
        <v>521</v>
      </c>
      <c r="G57" s="635">
        <f>AVERAGE(E55:H55)</f>
        <v>1.1597653602856097</v>
      </c>
      <c r="H57" s="536"/>
      <c r="I57" s="171"/>
      <c r="J57" s="2"/>
      <c r="K57" s="125"/>
      <c r="L57" s="125"/>
      <c r="M57" s="125"/>
      <c r="N57" s="125"/>
      <c r="O57" s="125"/>
      <c r="P57" s="125"/>
      <c r="Q57" s="125"/>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ht="15" thickBot="1">
      <c r="A58" s="265"/>
      <c r="B58" s="369"/>
      <c r="C58" s="620"/>
      <c r="D58" s="368"/>
      <c r="E58" s="636"/>
      <c r="F58" s="636"/>
      <c r="G58" s="636"/>
      <c r="H58" s="276"/>
      <c r="I58" s="171"/>
      <c r="J58" s="2"/>
      <c r="K58" s="125"/>
      <c r="L58" s="125"/>
      <c r="M58" s="125"/>
      <c r="N58" s="125"/>
      <c r="O58" s="125"/>
      <c r="P58" s="125"/>
      <c r="Q58" s="125"/>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c r="A59" s="1"/>
      <c r="B59" s="1"/>
      <c r="C59" s="1"/>
      <c r="D59" s="1"/>
      <c r="E59" s="1"/>
      <c r="F59" s="1"/>
      <c r="G59" s="1"/>
      <c r="H59" s="1"/>
      <c r="I59" s="1"/>
      <c r="J59" s="125"/>
      <c r="K59" s="125"/>
      <c r="L59" s="125"/>
      <c r="M59" s="125"/>
      <c r="N59" s="125"/>
      <c r="O59" s="125"/>
      <c r="P59" s="125"/>
      <c r="Q59" s="125"/>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c r="A60" s="1"/>
      <c r="B60" s="1"/>
      <c r="C60" s="1"/>
      <c r="D60" s="1"/>
      <c r="E60" s="1"/>
      <c r="F60" s="1"/>
      <c r="G60" s="1"/>
      <c r="H60" s="1"/>
      <c r="I60" s="125"/>
      <c r="J60" s="125"/>
      <c r="K60" s="125"/>
      <c r="L60" s="125"/>
      <c r="M60" s="125"/>
      <c r="N60" s="125"/>
      <c r="O60" s="125"/>
      <c r="P60" s="125"/>
      <c r="Q60" s="125"/>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c r="A61" s="1"/>
      <c r="B61" s="1"/>
      <c r="C61" s="1"/>
      <c r="D61" s="1"/>
      <c r="E61" s="1"/>
      <c r="F61" s="1"/>
      <c r="G61" s="1"/>
      <c r="H61" s="1"/>
      <c r="I61" s="125"/>
      <c r="J61" s="125"/>
      <c r="K61" s="125"/>
      <c r="L61" s="125"/>
      <c r="M61" s="125"/>
      <c r="N61" s="125"/>
      <c r="O61" s="125"/>
      <c r="P61" s="125"/>
      <c r="Q61" s="125"/>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c r="A62" s="1"/>
      <c r="B62" s="1"/>
      <c r="C62" s="1"/>
      <c r="D62" s="1"/>
      <c r="E62" s="1"/>
      <c r="F62" s="1"/>
      <c r="G62" s="1"/>
      <c r="H62" s="1"/>
      <c r="I62" s="125"/>
      <c r="J62" s="125"/>
      <c r="K62" s="125"/>
      <c r="L62" s="125"/>
      <c r="M62" s="125"/>
      <c r="N62" s="125"/>
      <c r="O62" s="125"/>
      <c r="P62" s="125"/>
      <c r="Q62" s="125"/>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ht="21">
      <c r="A63" s="1"/>
      <c r="B63" s="372"/>
      <c r="C63" s="125"/>
      <c r="D63" s="125"/>
      <c r="E63" s="125"/>
      <c r="F63" s="125"/>
      <c r="G63" s="125"/>
      <c r="H63" s="125"/>
      <c r="I63" s="125"/>
      <c r="J63" s="125"/>
      <c r="K63" s="125"/>
      <c r="L63" s="125"/>
      <c r="M63" s="125"/>
      <c r="N63" s="125"/>
      <c r="O63" s="125"/>
      <c r="P63" s="125"/>
      <c r="Q63" s="125"/>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c r="A64" s="1"/>
      <c r="B64" s="125"/>
      <c r="C64" s="382"/>
      <c r="D64" s="382"/>
      <c r="E64" s="382"/>
      <c r="F64" s="382"/>
      <c r="G64" s="382"/>
      <c r="H64" s="125"/>
      <c r="I64" s="125"/>
      <c r="J64" s="125"/>
      <c r="K64" s="125"/>
      <c r="L64" s="125"/>
      <c r="M64" s="125"/>
      <c r="N64" s="125"/>
      <c r="O64" s="125"/>
      <c r="P64" s="125"/>
      <c r="Q64" s="125"/>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c r="A65" s="1"/>
      <c r="B65" s="125"/>
      <c r="C65" s="382"/>
      <c r="D65" s="382"/>
      <c r="E65" s="382"/>
      <c r="F65" s="382"/>
      <c r="G65" s="382"/>
      <c r="H65" s="125"/>
      <c r="I65" s="125"/>
      <c r="J65" s="125"/>
      <c r="K65" s="125"/>
      <c r="L65" s="125"/>
      <c r="M65" s="125"/>
      <c r="N65" s="125"/>
      <c r="O65" s="125"/>
      <c r="P65" s="125"/>
      <c r="Q65" s="125"/>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c r="A66" s="1"/>
      <c r="B66" s="125"/>
      <c r="C66" s="382"/>
      <c r="D66" s="382"/>
      <c r="E66" s="382"/>
      <c r="F66" s="382"/>
      <c r="G66" s="382"/>
      <c r="H66" s="125"/>
      <c r="I66" s="125"/>
      <c r="J66" s="125"/>
      <c r="K66" s="125"/>
      <c r="L66" s="125"/>
      <c r="M66" s="125"/>
      <c r="N66" s="125"/>
      <c r="O66" s="125"/>
      <c r="P66" s="125"/>
      <c r="Q66" s="125"/>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c r="A67" s="1"/>
      <c r="B67" s="125"/>
      <c r="C67" s="382"/>
      <c r="D67" s="382"/>
      <c r="E67" s="382"/>
      <c r="F67" s="382"/>
      <c r="G67" s="382"/>
      <c r="H67" s="125"/>
      <c r="I67" s="125"/>
      <c r="J67" s="125"/>
      <c r="K67" s="125"/>
      <c r="L67" s="125"/>
      <c r="M67" s="125"/>
      <c r="N67" s="125"/>
      <c r="O67" s="125"/>
      <c r="P67" s="125"/>
      <c r="Q67" s="125"/>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c r="A68" s="1"/>
      <c r="B68" s="125"/>
      <c r="C68" s="382"/>
      <c r="D68" s="382"/>
      <c r="E68" s="382"/>
      <c r="F68" s="382"/>
      <c r="G68" s="382"/>
      <c r="H68" s="125"/>
      <c r="I68" s="125"/>
      <c r="J68" s="125"/>
      <c r="K68" s="125"/>
      <c r="L68" s="125"/>
      <c r="M68" s="125"/>
      <c r="N68" s="125"/>
      <c r="O68" s="125"/>
      <c r="P68" s="125"/>
      <c r="Q68" s="125"/>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c r="A69" s="1"/>
      <c r="B69" s="1"/>
      <c r="C69" s="125"/>
      <c r="D69" s="659"/>
      <c r="E69" s="659"/>
      <c r="F69" s="659"/>
      <c r="G69" s="659"/>
      <c r="H69" s="659"/>
      <c r="I69" s="2"/>
      <c r="J69" s="125"/>
      <c r="K69" s="125"/>
      <c r="L69" s="125"/>
      <c r="M69" s="125"/>
      <c r="N69" s="125"/>
      <c r="O69" s="125"/>
      <c r="P69" s="125"/>
      <c r="Q69" s="125"/>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c r="A70" s="1"/>
      <c r="B70" s="1"/>
      <c r="C70" s="381"/>
      <c r="D70" s="382"/>
      <c r="E70" s="382"/>
      <c r="F70" s="382"/>
      <c r="G70" s="382"/>
      <c r="H70" s="125"/>
      <c r="I70" s="125"/>
      <c r="J70" s="125"/>
      <c r="K70" s="125"/>
      <c r="L70" s="125"/>
      <c r="M70" s="125"/>
      <c r="N70" s="125"/>
      <c r="O70" s="125"/>
      <c r="P70" s="125"/>
      <c r="Q70" s="125"/>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c r="A71" s="1"/>
      <c r="B71" s="1"/>
      <c r="C71" s="125"/>
      <c r="D71" s="377"/>
      <c r="E71" s="377"/>
      <c r="F71" s="377"/>
      <c r="G71" s="377"/>
      <c r="H71" s="377"/>
      <c r="I71" s="125"/>
      <c r="J71" s="125"/>
      <c r="K71" s="125"/>
      <c r="L71" s="125"/>
      <c r="M71" s="125"/>
      <c r="N71" s="125"/>
      <c r="O71" s="125"/>
      <c r="P71" s="125"/>
      <c r="Q71" s="125"/>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c r="A72" s="1"/>
      <c r="B72" s="1"/>
      <c r="C72" s="125"/>
      <c r="D72" s="377"/>
      <c r="E72" s="377"/>
      <c r="F72" s="377"/>
      <c r="G72" s="377"/>
      <c r="H72" s="377"/>
      <c r="I72" s="125"/>
      <c r="J72" s="125"/>
      <c r="K72" s="125"/>
      <c r="L72" s="125"/>
      <c r="M72" s="125"/>
      <c r="N72" s="125"/>
      <c r="O72" s="125"/>
      <c r="P72" s="125"/>
      <c r="Q72" s="125"/>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c r="A73" s="1"/>
      <c r="B73" s="1"/>
      <c r="C73" s="125"/>
      <c r="D73" s="377"/>
      <c r="E73" s="377"/>
      <c r="F73" s="377"/>
      <c r="G73" s="377"/>
      <c r="H73" s="377"/>
      <c r="I73" s="125"/>
      <c r="J73" s="125"/>
      <c r="K73" s="125"/>
      <c r="L73" s="125"/>
      <c r="M73" s="125"/>
      <c r="N73" s="125"/>
      <c r="O73" s="125"/>
      <c r="P73" s="125"/>
      <c r="Q73" s="125"/>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c r="A74" s="1"/>
      <c r="B74" s="1"/>
      <c r="C74" s="373"/>
      <c r="D74" s="377"/>
      <c r="E74" s="377"/>
      <c r="F74" s="377"/>
      <c r="G74" s="377"/>
      <c r="H74" s="377"/>
      <c r="I74" s="125"/>
      <c r="J74" s="125"/>
      <c r="K74" s="125"/>
      <c r="L74" s="125"/>
      <c r="M74" s="125"/>
      <c r="N74" s="125"/>
      <c r="O74" s="125"/>
      <c r="P74" s="125"/>
      <c r="Q74" s="125"/>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c r="A75" s="1"/>
      <c r="B75" s="1"/>
      <c r="C75" s="125"/>
      <c r="D75" s="377"/>
      <c r="E75" s="377"/>
      <c r="F75" s="377"/>
      <c r="G75" s="377"/>
      <c r="H75" s="377"/>
      <c r="I75" s="125"/>
      <c r="J75" s="125"/>
      <c r="K75" s="125"/>
      <c r="L75" s="125"/>
      <c r="M75" s="125"/>
      <c r="N75" s="125"/>
      <c r="O75" s="125"/>
      <c r="P75" s="125"/>
      <c r="Q75" s="125"/>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c r="A76" s="1"/>
      <c r="B76" s="1"/>
      <c r="C76" s="373"/>
      <c r="D76" s="377"/>
      <c r="E76" s="377"/>
      <c r="F76" s="377"/>
      <c r="G76" s="377"/>
      <c r="H76" s="377"/>
      <c r="I76" s="125"/>
      <c r="J76" s="125"/>
      <c r="K76" s="125"/>
      <c r="L76" s="125"/>
      <c r="M76" s="125"/>
      <c r="N76" s="125"/>
      <c r="O76" s="125"/>
      <c r="P76" s="125"/>
      <c r="Q76" s="125"/>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c r="A77" s="1"/>
      <c r="B77" s="52"/>
      <c r="C77" s="659"/>
      <c r="D77" s="659"/>
      <c r="E77" s="659"/>
      <c r="F77" s="659"/>
      <c r="G77" s="659"/>
      <c r="H77" s="377"/>
      <c r="I77" s="125"/>
      <c r="J77" s="125"/>
      <c r="K77" s="125"/>
      <c r="L77" s="125"/>
      <c r="M77" s="125"/>
      <c r="N77" s="125"/>
      <c r="O77" s="125"/>
      <c r="P77" s="125"/>
      <c r="Q77" s="125"/>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c r="A78" s="1"/>
      <c r="B78" s="100"/>
      <c r="C78" s="2"/>
      <c r="D78" s="621"/>
      <c r="E78" s="621"/>
      <c r="F78" s="621"/>
      <c r="G78" s="621"/>
      <c r="H78" s="377"/>
      <c r="I78" s="125"/>
      <c r="J78" s="125"/>
      <c r="K78" s="125"/>
      <c r="L78" s="125"/>
      <c r="M78" s="125"/>
      <c r="N78" s="125"/>
      <c r="O78" s="125"/>
      <c r="P78" s="125"/>
      <c r="Q78" s="125"/>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c r="A79" s="1"/>
      <c r="B79" s="52"/>
      <c r="C79" s="2"/>
      <c r="D79" s="621"/>
      <c r="E79" s="621"/>
      <c r="F79" s="621"/>
      <c r="G79" s="621"/>
      <c r="H79" s="377"/>
      <c r="I79" s="125"/>
      <c r="J79" s="125"/>
      <c r="K79" s="125"/>
      <c r="L79" s="125"/>
      <c r="M79" s="125"/>
      <c r="N79" s="125"/>
      <c r="O79" s="125"/>
      <c r="P79" s="125"/>
      <c r="Q79" s="125"/>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c r="A80" s="1"/>
      <c r="B80" s="52"/>
      <c r="C80" s="702"/>
      <c r="D80" s="702"/>
      <c r="E80" s="702"/>
      <c r="F80" s="702"/>
      <c r="G80" s="702"/>
      <c r="H80" s="377"/>
      <c r="I80" s="125"/>
      <c r="J80" s="125"/>
      <c r="K80" s="125"/>
      <c r="L80" s="125"/>
      <c r="M80" s="125"/>
      <c r="N80" s="125"/>
      <c r="O80" s="125"/>
      <c r="P80" s="125"/>
      <c r="Q80" s="125"/>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c r="A81" s="1"/>
      <c r="B81" s="52"/>
      <c r="C81" s="2"/>
      <c r="D81" s="621"/>
      <c r="E81" s="621"/>
      <c r="F81" s="621"/>
      <c r="G81" s="621"/>
      <c r="H81" s="377"/>
      <c r="I81" s="125"/>
      <c r="J81" s="125"/>
      <c r="K81" s="125"/>
      <c r="L81" s="125"/>
      <c r="M81" s="125"/>
      <c r="N81" s="125"/>
      <c r="O81" s="125"/>
      <c r="P81" s="125"/>
      <c r="Q81" s="125"/>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c r="A82" s="1"/>
      <c r="B82" s="52"/>
      <c r="C82" s="622"/>
      <c r="D82" s="622"/>
      <c r="E82" s="622"/>
      <c r="F82" s="622"/>
      <c r="G82" s="622"/>
      <c r="H82" s="377"/>
      <c r="I82" s="125"/>
      <c r="J82" s="125"/>
      <c r="K82" s="125"/>
      <c r="L82" s="125"/>
      <c r="M82" s="125"/>
      <c r="N82" s="125"/>
      <c r="O82" s="125"/>
      <c r="P82" s="125"/>
      <c r="Q82" s="125"/>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c r="A83" s="1"/>
      <c r="B83" s="52"/>
      <c r="C83" s="2"/>
      <c r="D83" s="621"/>
      <c r="E83" s="621"/>
      <c r="F83" s="621"/>
      <c r="G83" s="621"/>
      <c r="H83" s="377"/>
      <c r="I83" s="125"/>
      <c r="J83" s="125"/>
      <c r="K83" s="125"/>
      <c r="L83" s="125"/>
      <c r="M83" s="125"/>
      <c r="N83" s="125"/>
      <c r="O83" s="125"/>
      <c r="P83" s="125"/>
      <c r="Q83" s="125"/>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c r="A84" s="1"/>
      <c r="B84" s="52"/>
      <c r="C84" s="622"/>
      <c r="D84" s="622"/>
      <c r="E84" s="622"/>
      <c r="F84" s="622"/>
      <c r="G84" s="622"/>
      <c r="H84" s="377"/>
      <c r="I84" s="125"/>
      <c r="J84" s="125"/>
      <c r="K84" s="125"/>
      <c r="L84" s="125"/>
      <c r="M84" s="125"/>
      <c r="N84" s="125"/>
      <c r="O84" s="125"/>
      <c r="P84" s="125"/>
      <c r="Q84" s="125"/>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c r="A85" s="1"/>
      <c r="B85" s="52"/>
      <c r="C85" s="2"/>
      <c r="D85" s="621"/>
      <c r="E85" s="621"/>
      <c r="F85" s="621"/>
      <c r="G85" s="621"/>
      <c r="H85" s="377"/>
      <c r="I85" s="125"/>
      <c r="J85" s="125"/>
      <c r="K85" s="125"/>
      <c r="L85" s="125"/>
      <c r="M85" s="125"/>
      <c r="N85" s="125"/>
      <c r="O85" s="125"/>
      <c r="P85" s="125"/>
      <c r="Q85" s="125"/>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c r="A86" s="1"/>
      <c r="B86" s="52"/>
      <c r="C86" s="873"/>
      <c r="D86" s="873"/>
      <c r="E86" s="873"/>
      <c r="F86" s="873"/>
      <c r="G86" s="873"/>
      <c r="H86" s="377"/>
      <c r="I86" s="125"/>
      <c r="J86" s="125"/>
      <c r="K86" s="125"/>
      <c r="L86" s="125"/>
      <c r="M86" s="125"/>
      <c r="N86" s="125"/>
      <c r="O86" s="125"/>
      <c r="P86" s="125"/>
      <c r="Q86" s="125"/>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c r="A87" s="1"/>
      <c r="B87" s="52"/>
      <c r="C87" s="874"/>
      <c r="D87" s="621"/>
      <c r="E87" s="621"/>
      <c r="F87" s="621"/>
      <c r="G87" s="621"/>
      <c r="H87" s="377"/>
      <c r="I87" s="125"/>
      <c r="J87" s="125"/>
      <c r="K87" s="125"/>
      <c r="L87" s="125"/>
      <c r="M87" s="125"/>
      <c r="N87" s="125"/>
      <c r="O87" s="125"/>
      <c r="P87" s="125"/>
      <c r="Q87" s="125"/>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c r="A88" s="1"/>
      <c r="B88" s="52"/>
      <c r="C88" s="622"/>
      <c r="D88" s="622"/>
      <c r="E88" s="622"/>
      <c r="F88" s="622"/>
      <c r="G88" s="622"/>
      <c r="H88" s="377"/>
      <c r="I88" s="125"/>
      <c r="J88" s="125"/>
      <c r="K88" s="125"/>
      <c r="L88" s="125"/>
      <c r="M88" s="125"/>
      <c r="N88" s="125"/>
      <c r="O88" s="125"/>
      <c r="P88" s="125"/>
      <c r="Q88" s="125"/>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c r="A89" s="1"/>
      <c r="B89" s="52"/>
      <c r="C89" s="2"/>
      <c r="D89" s="621"/>
      <c r="E89" s="621"/>
      <c r="F89" s="621"/>
      <c r="G89" s="621"/>
      <c r="H89" s="377"/>
      <c r="I89" s="125"/>
      <c r="J89" s="125"/>
      <c r="K89" s="125"/>
      <c r="L89" s="125"/>
      <c r="M89" s="125"/>
      <c r="N89" s="125"/>
      <c r="O89" s="125"/>
      <c r="P89" s="125"/>
      <c r="Q89" s="125"/>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c r="A90" s="1"/>
      <c r="B90" s="52"/>
      <c r="C90" s="622"/>
      <c r="D90" s="622"/>
      <c r="E90" s="622"/>
      <c r="F90" s="622"/>
      <c r="G90" s="622"/>
      <c r="H90" s="377"/>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c r="A91" s="1"/>
      <c r="B91" s="52"/>
      <c r="C91" s="2"/>
      <c r="D91" s="621"/>
      <c r="E91" s="621"/>
      <c r="F91" s="621"/>
      <c r="G91" s="621"/>
      <c r="H91" s="377"/>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c r="A92" s="1"/>
      <c r="B92" s="52"/>
      <c r="C92" s="875"/>
      <c r="D92" s="875"/>
      <c r="E92" s="875"/>
      <c r="F92" s="875"/>
      <c r="G92" s="875"/>
      <c r="H92" s="377"/>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c r="A93" s="1"/>
      <c r="B93" s="52"/>
      <c r="C93" s="2"/>
      <c r="D93" s="621"/>
      <c r="E93" s="621"/>
      <c r="F93" s="621"/>
      <c r="G93" s="621"/>
      <c r="H93" s="377"/>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c r="A94" s="1"/>
      <c r="B94" s="52"/>
      <c r="C94" s="622"/>
      <c r="D94" s="622"/>
      <c r="E94" s="622"/>
      <c r="F94" s="622"/>
      <c r="G94" s="622"/>
      <c r="H94" s="377"/>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c r="A95" s="1"/>
      <c r="B95" s="52"/>
      <c r="C95" s="877"/>
      <c r="D95" s="621"/>
      <c r="E95" s="621"/>
      <c r="F95" s="621"/>
      <c r="G95" s="621"/>
      <c r="H95" s="362"/>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c r="A96" s="1"/>
      <c r="B96" s="100"/>
      <c r="C96" s="5"/>
      <c r="D96" s="621"/>
      <c r="E96" s="621"/>
      <c r="F96" s="621"/>
      <c r="G96" s="621"/>
      <c r="H96" s="362"/>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c r="A97" s="1"/>
      <c r="B97" s="52"/>
      <c r="C97" s="876"/>
      <c r="D97" s="876"/>
      <c r="E97" s="876"/>
      <c r="F97" s="876"/>
      <c r="G97" s="876"/>
      <c r="H97" s="362"/>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c r="A98" s="1"/>
      <c r="B98" s="52"/>
      <c r="C98" s="52"/>
      <c r="D98" s="593"/>
      <c r="E98" s="593"/>
      <c r="F98" s="593"/>
      <c r="G98" s="593"/>
      <c r="H98" s="658"/>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c r="A99" s="1"/>
      <c r="B99" s="52"/>
      <c r="C99" s="52"/>
      <c r="D99" s="593"/>
      <c r="E99" s="593"/>
      <c r="F99" s="593"/>
      <c r="G99" s="593"/>
      <c r="H99" s="658"/>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c r="A100" s="1"/>
      <c r="B100" s="52"/>
      <c r="C100" s="496"/>
      <c r="D100" s="496"/>
      <c r="E100" s="496"/>
      <c r="F100" s="496"/>
      <c r="G100" s="496"/>
      <c r="H100" s="658"/>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c r="A101" s="1"/>
      <c r="B101" s="52"/>
      <c r="C101" s="496"/>
      <c r="D101" s="496"/>
      <c r="E101" s="496"/>
      <c r="F101" s="496"/>
      <c r="G101" s="496"/>
      <c r="H101" s="658"/>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c r="A102" s="1"/>
      <c r="B102" s="52"/>
      <c r="C102" s="52"/>
      <c r="D102" s="593"/>
      <c r="E102" s="593"/>
      <c r="F102" s="593"/>
      <c r="G102" s="593"/>
      <c r="H102" s="658"/>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c r="A103" s="1"/>
      <c r="B103" s="100"/>
      <c r="C103" s="52"/>
      <c r="D103" s="593"/>
      <c r="E103" s="593"/>
      <c r="F103" s="593"/>
      <c r="G103" s="593"/>
      <c r="H103" s="658"/>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c r="A104" s="1"/>
      <c r="B104" s="52"/>
      <c r="C104" s="52"/>
      <c r="D104" s="593"/>
      <c r="E104" s="593"/>
      <c r="F104" s="593"/>
      <c r="G104" s="593"/>
      <c r="H104" s="658"/>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c r="A105" s="1"/>
      <c r="B105" s="52"/>
      <c r="C105" s="639"/>
      <c r="D105" s="639"/>
      <c r="E105" s="639"/>
      <c r="F105" s="639"/>
      <c r="G105" s="639"/>
      <c r="H105" s="658"/>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c r="A106" s="1"/>
      <c r="B106" s="52"/>
      <c r="C106" s="52"/>
      <c r="D106" s="593"/>
      <c r="E106" s="593"/>
      <c r="F106" s="593"/>
      <c r="G106" s="593"/>
      <c r="H106" s="658"/>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c r="A107" s="1"/>
      <c r="B107" s="52"/>
      <c r="C107" s="639"/>
      <c r="D107" s="639"/>
      <c r="E107" s="639"/>
      <c r="F107" s="639"/>
      <c r="G107" s="639"/>
      <c r="H107" s="658"/>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c r="A108" s="1"/>
      <c r="B108" s="52"/>
      <c r="C108" s="52"/>
      <c r="D108" s="593"/>
      <c r="E108" s="593"/>
      <c r="F108" s="593"/>
      <c r="G108" s="593"/>
      <c r="H108" s="658"/>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c r="A109" s="1"/>
      <c r="B109" s="52"/>
      <c r="C109" s="639"/>
      <c r="D109" s="639"/>
      <c r="E109" s="639"/>
      <c r="F109" s="639"/>
      <c r="G109" s="639"/>
      <c r="H109" s="658"/>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c r="A110" s="1"/>
      <c r="B110" s="52"/>
      <c r="C110" s="52"/>
      <c r="D110" s="361"/>
      <c r="E110" s="361"/>
      <c r="F110" s="361"/>
      <c r="G110" s="361"/>
      <c r="H110" s="362"/>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c r="A111" s="1"/>
      <c r="B111" s="52"/>
      <c r="C111" s="810"/>
      <c r="D111" s="810"/>
      <c r="E111" s="810"/>
      <c r="F111" s="810"/>
      <c r="G111" s="810"/>
      <c r="H111" s="362"/>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c r="A112" s="1"/>
      <c r="B112" s="52"/>
      <c r="C112" s="52"/>
      <c r="D112" s="361"/>
      <c r="E112" s="361"/>
      <c r="F112" s="361"/>
      <c r="G112" s="361"/>
      <c r="H112" s="362"/>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c r="A113" s="1"/>
      <c r="B113" s="52"/>
      <c r="C113" s="639"/>
      <c r="D113" s="639"/>
      <c r="E113" s="639"/>
      <c r="F113" s="639"/>
      <c r="G113" s="639"/>
      <c r="H113" s="362"/>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c r="A114" s="1"/>
      <c r="B114" s="52"/>
      <c r="C114" s="639"/>
      <c r="D114" s="639"/>
      <c r="E114" s="639"/>
      <c r="F114" s="639"/>
      <c r="G114" s="639"/>
      <c r="H114" s="362"/>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row>
    <row r="115" spans="1:91">
      <c r="A115" s="1"/>
      <c r="B115" s="52"/>
      <c r="C115" s="52"/>
      <c r="D115" s="361"/>
      <c r="E115" s="361"/>
      <c r="F115" s="361"/>
      <c r="G115" s="361"/>
      <c r="H115" s="362"/>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row>
    <row r="116" spans="1:91">
      <c r="A116" s="1"/>
      <c r="B116" s="100"/>
      <c r="C116" s="52"/>
      <c r="D116" s="361"/>
      <c r="E116" s="361"/>
      <c r="F116" s="361"/>
      <c r="G116" s="361"/>
      <c r="H116" s="362"/>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row>
    <row r="117" spans="1:91">
      <c r="A117" s="1"/>
      <c r="B117" s="52"/>
      <c r="C117" s="52"/>
      <c r="D117" s="361"/>
      <c r="E117" s="361"/>
      <c r="F117" s="361"/>
      <c r="G117" s="361"/>
      <c r="H117" s="362"/>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row>
    <row r="118" spans="1:91">
      <c r="A118" s="1"/>
      <c r="B118" s="52"/>
      <c r="C118" s="496"/>
      <c r="D118" s="496"/>
      <c r="E118" s="496"/>
      <c r="F118" s="496"/>
      <c r="G118" s="496"/>
      <c r="H118" s="362"/>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row>
    <row r="119" spans="1:91">
      <c r="A119" s="1"/>
      <c r="B119" s="52"/>
      <c r="C119" s="52"/>
      <c r="D119" s="361"/>
      <c r="E119" s="361"/>
      <c r="F119" s="361"/>
      <c r="G119" s="361"/>
      <c r="H119" s="362"/>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c r="A120" s="1"/>
      <c r="B120" s="52"/>
      <c r="C120" s="497"/>
      <c r="D120" s="497"/>
      <c r="E120" s="497"/>
      <c r="F120" s="497"/>
      <c r="G120" s="497"/>
      <c r="H120" s="362"/>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c r="A121" s="1"/>
      <c r="B121" s="52"/>
      <c r="C121" s="52"/>
      <c r="D121" s="361"/>
      <c r="E121" s="361"/>
      <c r="F121" s="361"/>
      <c r="G121" s="361"/>
      <c r="H121" s="362"/>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c r="A122" s="1"/>
      <c r="B122" s="52"/>
      <c r="C122" s="593"/>
      <c r="D122" s="593"/>
      <c r="E122" s="593"/>
      <c r="F122" s="593"/>
      <c r="G122" s="593"/>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c r="A123" s="1"/>
      <c r="B123" s="52"/>
      <c r="C123" s="52"/>
      <c r="D123" s="52"/>
      <c r="E123" s="52"/>
      <c r="F123" s="52"/>
      <c r="G123" s="5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c r="A124" s="1"/>
      <c r="B124" s="52"/>
      <c r="C124" s="815"/>
      <c r="D124" s="815"/>
      <c r="E124" s="815"/>
      <c r="F124" s="815"/>
      <c r="G124" s="815"/>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row>
    <row r="125" spans="1:91">
      <c r="A125" s="1"/>
      <c r="B125" s="52"/>
      <c r="C125" s="52"/>
      <c r="D125" s="52"/>
      <c r="E125" s="52"/>
      <c r="F125" s="52"/>
      <c r="G125" s="5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row>
    <row r="126" spans="1:91">
      <c r="A126" s="1"/>
      <c r="B126" s="52"/>
      <c r="C126" s="52"/>
      <c r="D126" s="815"/>
      <c r="E126" s="815"/>
      <c r="F126" s="815"/>
      <c r="G126" s="815"/>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row>
    <row r="127" spans="1:9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row>
    <row r="128" spans="1:9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row>
    <row r="129" spans="1:9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row>
    <row r="130" spans="1:9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row>
    <row r="131" spans="1:9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row>
    <row r="132" spans="1:9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row>
    <row r="133" spans="1:9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row>
    <row r="134" spans="1:9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row>
    <row r="135" spans="1:9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row>
    <row r="136" spans="1:9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row>
    <row r="159" spans="1:9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row>
    <row r="160" spans="1:9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row>
    <row r="161" spans="1:9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row>
    <row r="162" spans="1:9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row>
    <row r="163" spans="1:9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row>
    <row r="164" spans="1:9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row>
    <row r="165" spans="1:9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row>
    <row r="166" spans="1:9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row>
    <row r="167" spans="1:9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row>
    <row r="168" spans="1:9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row>
    <row r="169" spans="1:9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row>
    <row r="170" spans="1:9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row>
    <row r="171" spans="1:9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row>
    <row r="246" spans="1:9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row>
    <row r="247" spans="1:9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row>
    <row r="248" spans="1:9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row>
    <row r="249" spans="1:9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row>
    <row r="250" spans="1:9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row>
    <row r="251" spans="1:9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row>
    <row r="252" spans="1:9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row>
    <row r="253" spans="1:9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row>
    <row r="254" spans="1:9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27:9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27:9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27:9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27:9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27:9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27:9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27:9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27:9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27:9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27:9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27:9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27:9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27:9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27:9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27:9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27:9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27:9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27:9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27:9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27:9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27:9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row>
    <row r="278" spans="27:9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row>
    <row r="279" spans="27:9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row>
    <row r="280" spans="27:9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row>
    <row r="281" spans="27:9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row>
    <row r="282" spans="27:9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row>
    <row r="283" spans="27:9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row>
    <row r="284" spans="27:9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row>
    <row r="285" spans="27:9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row>
    <row r="286" spans="27:9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row>
    <row r="287" spans="27:9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row>
    <row r="288" spans="27:9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row>
    <row r="289" spans="27:9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row>
    <row r="290" spans="27:9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27:9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27:9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27:9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27:9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sheetData>
  <mergeCells count="5">
    <mergeCell ref="D2:H2"/>
    <mergeCell ref="K1:P1"/>
    <mergeCell ref="K2:P2"/>
    <mergeCell ref="T1:Y1"/>
    <mergeCell ref="T2:Y2"/>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4.4"/>
  <cols>
    <col min="1" max="1" width="53.5546875" customWidth="1"/>
    <col min="3" max="3" width="15.6640625" customWidth="1"/>
    <col min="4" max="4" width="18.44140625" customWidth="1"/>
    <col min="5" max="5" width="12.88671875" customWidth="1"/>
    <col min="6" max="6" width="15.109375" customWidth="1"/>
    <col min="7" max="7" width="13.109375" customWidth="1"/>
  </cols>
  <sheetData>
    <row r="1" spans="1:12" ht="25.8">
      <c r="A1" s="958" t="s">
        <v>315</v>
      </c>
      <c r="B1" s="948"/>
      <c r="C1" s="124"/>
      <c r="D1" s="124"/>
      <c r="E1" s="124"/>
      <c r="F1" s="124"/>
      <c r="G1" s="282"/>
      <c r="H1" s="1"/>
      <c r="I1" s="1"/>
      <c r="J1" s="1"/>
      <c r="K1" s="1"/>
      <c r="L1" s="1"/>
    </row>
    <row r="2" spans="1:12">
      <c r="A2" s="283"/>
      <c r="B2" s="946" t="s">
        <v>158</v>
      </c>
      <c r="C2" s="946"/>
      <c r="D2" s="946"/>
      <c r="E2" s="946"/>
      <c r="F2" s="946"/>
      <c r="G2" s="947"/>
      <c r="H2" s="1"/>
      <c r="I2" s="1"/>
      <c r="J2" s="1"/>
      <c r="K2" s="1"/>
      <c r="L2" s="1"/>
    </row>
    <row r="3" spans="1:12">
      <c r="A3" s="251"/>
      <c r="B3" s="122" t="s">
        <v>1</v>
      </c>
      <c r="C3" s="123">
        <v>42369</v>
      </c>
      <c r="D3" s="123">
        <v>42735</v>
      </c>
      <c r="E3" s="123">
        <v>43100</v>
      </c>
      <c r="F3" s="123">
        <v>43465</v>
      </c>
      <c r="G3" s="284">
        <v>43830</v>
      </c>
      <c r="H3" s="1"/>
      <c r="I3" s="1"/>
      <c r="J3" s="1"/>
      <c r="K3" s="1"/>
      <c r="L3" s="1"/>
    </row>
    <row r="4" spans="1:12">
      <c r="A4" s="285"/>
      <c r="B4" s="2"/>
      <c r="C4" s="28"/>
      <c r="D4" s="26"/>
      <c r="E4" s="26"/>
      <c r="F4" s="26"/>
      <c r="G4" s="254"/>
      <c r="H4" s="1"/>
      <c r="I4" s="1"/>
      <c r="J4" s="1"/>
      <c r="K4" s="1"/>
      <c r="L4" s="1"/>
    </row>
    <row r="5" spans="1:12">
      <c r="A5" s="286" t="s">
        <v>326</v>
      </c>
      <c r="B5" s="134"/>
      <c r="C5" s="144">
        <v>5067</v>
      </c>
      <c r="D5" s="136">
        <v>5129</v>
      </c>
      <c r="E5" s="136">
        <v>4606</v>
      </c>
      <c r="F5" s="136">
        <v>4620</v>
      </c>
      <c r="G5" s="287">
        <v>4869</v>
      </c>
      <c r="H5" s="1"/>
      <c r="I5" s="1"/>
      <c r="J5" s="1"/>
      <c r="K5" s="1"/>
      <c r="L5" s="1"/>
    </row>
    <row r="6" spans="1:12">
      <c r="A6" s="286" t="s">
        <v>327</v>
      </c>
      <c r="B6" s="134"/>
      <c r="C6" s="144">
        <v>1348</v>
      </c>
      <c r="D6" s="136">
        <v>1704</v>
      </c>
      <c r="E6" s="136">
        <v>1863</v>
      </c>
      <c r="F6" s="136">
        <v>2302</v>
      </c>
      <c r="G6" s="287">
        <v>2379</v>
      </c>
      <c r="H6" s="1"/>
      <c r="I6" s="1"/>
      <c r="J6" s="1"/>
      <c r="K6" s="1"/>
      <c r="L6" s="1"/>
    </row>
    <row r="7" spans="1:12">
      <c r="A7" s="286" t="s">
        <v>322</v>
      </c>
      <c r="B7" s="134"/>
      <c r="C7" s="144">
        <v>137</v>
      </c>
      <c r="D7" s="136">
        <v>136</v>
      </c>
      <c r="E7" s="136">
        <v>107</v>
      </c>
      <c r="F7" s="136">
        <v>45</v>
      </c>
      <c r="G7" s="287">
        <v>65</v>
      </c>
      <c r="H7" s="1"/>
      <c r="I7" s="1"/>
      <c r="J7" s="1"/>
      <c r="K7" s="1"/>
      <c r="L7" s="1"/>
    </row>
    <row r="8" spans="1:12">
      <c r="A8" s="296" t="s">
        <v>472</v>
      </c>
      <c r="B8" s="135"/>
      <c r="C8" s="145">
        <v>-57</v>
      </c>
      <c r="D8" s="137">
        <v>-56</v>
      </c>
      <c r="E8" s="137">
        <v>-36</v>
      </c>
      <c r="F8" s="137">
        <v>-22</v>
      </c>
      <c r="G8" s="308">
        <v>-20</v>
      </c>
      <c r="H8" s="1"/>
      <c r="I8" s="1"/>
      <c r="J8" s="1"/>
      <c r="K8" s="1"/>
      <c r="L8" s="1"/>
    </row>
    <row r="9" spans="1:12">
      <c r="A9" s="288" t="s">
        <v>328</v>
      </c>
      <c r="B9" s="289"/>
      <c r="C9" s="139">
        <f>SUM(C5:C8)</f>
        <v>6495</v>
      </c>
      <c r="D9" s="139">
        <f t="shared" ref="D9:G9" si="0">SUM(D5:D8)</f>
        <v>6913</v>
      </c>
      <c r="E9" s="139">
        <f t="shared" si="0"/>
        <v>6540</v>
      </c>
      <c r="F9" s="139">
        <f t="shared" si="0"/>
        <v>6945</v>
      </c>
      <c r="G9" s="290">
        <f t="shared" si="0"/>
        <v>7293</v>
      </c>
      <c r="H9" s="1"/>
      <c r="I9" s="1"/>
      <c r="J9" s="1"/>
      <c r="K9" s="1"/>
      <c r="L9" s="1"/>
    </row>
    <row r="10" spans="1:12">
      <c r="A10" s="286"/>
      <c r="B10" s="134"/>
      <c r="C10" s="144"/>
      <c r="D10" s="136"/>
      <c r="E10" s="136"/>
      <c r="F10" s="136"/>
      <c r="G10" s="287"/>
      <c r="H10" s="1"/>
      <c r="I10" s="1"/>
      <c r="J10" s="1"/>
      <c r="K10" s="1"/>
      <c r="L10" s="1"/>
    </row>
    <row r="11" spans="1:12">
      <c r="A11" s="286" t="s">
        <v>317</v>
      </c>
      <c r="B11" s="134"/>
      <c r="C11" s="144">
        <v>184</v>
      </c>
      <c r="D11" s="136">
        <v>159</v>
      </c>
      <c r="E11" s="136">
        <v>147</v>
      </c>
      <c r="F11" s="136">
        <v>187</v>
      </c>
      <c r="G11" s="287">
        <v>184</v>
      </c>
      <c r="H11" s="1"/>
      <c r="I11" s="1"/>
      <c r="J11" s="1"/>
      <c r="K11" s="1"/>
      <c r="L11" s="1"/>
    </row>
    <row r="12" spans="1:12">
      <c r="A12" s="286" t="s">
        <v>318</v>
      </c>
      <c r="B12" s="134"/>
      <c r="C12" s="144">
        <v>1485</v>
      </c>
      <c r="D12" s="136">
        <v>1821</v>
      </c>
      <c r="E12" s="136">
        <v>1671</v>
      </c>
      <c r="F12" s="136">
        <v>1781</v>
      </c>
      <c r="G12" s="287">
        <v>1852</v>
      </c>
      <c r="H12" s="1"/>
      <c r="I12" s="1"/>
      <c r="J12" s="1"/>
      <c r="K12" s="1"/>
      <c r="L12" s="1"/>
    </row>
    <row r="13" spans="1:12">
      <c r="A13" s="286" t="s">
        <v>323</v>
      </c>
      <c r="B13" s="134"/>
      <c r="C13" s="144">
        <v>-1170</v>
      </c>
      <c r="D13" s="136">
        <v>-1384</v>
      </c>
      <c r="E13" s="136">
        <v>-1381</v>
      </c>
      <c r="F13" s="136">
        <v>-1413</v>
      </c>
      <c r="G13" s="287">
        <v>-1481</v>
      </c>
      <c r="H13" s="1"/>
      <c r="I13" s="1"/>
      <c r="J13" s="1"/>
      <c r="K13" s="1"/>
      <c r="L13" s="1"/>
    </row>
    <row r="14" spans="1:12">
      <c r="A14" s="291" t="s">
        <v>329</v>
      </c>
      <c r="B14" s="292"/>
      <c r="C14" s="152">
        <f>SUM(C11:C13)</f>
        <v>499</v>
      </c>
      <c r="D14" s="152">
        <f t="shared" ref="D14:G14" si="1">SUM(D11:D13)</f>
        <v>596</v>
      </c>
      <c r="E14" s="152">
        <f t="shared" si="1"/>
        <v>437</v>
      </c>
      <c r="F14" s="152">
        <f t="shared" si="1"/>
        <v>555</v>
      </c>
      <c r="G14" s="336">
        <f t="shared" si="1"/>
        <v>555</v>
      </c>
      <c r="H14" s="1"/>
      <c r="I14" s="1"/>
      <c r="J14" s="1"/>
      <c r="K14" s="1"/>
      <c r="L14" s="1"/>
    </row>
    <row r="15" spans="1:12">
      <c r="A15" s="294"/>
      <c r="B15" s="133"/>
      <c r="C15" s="143"/>
      <c r="D15" s="138"/>
      <c r="E15" s="138"/>
      <c r="F15" s="138"/>
      <c r="G15" s="295"/>
      <c r="H15" s="1"/>
      <c r="I15" s="1"/>
      <c r="J15" s="1"/>
      <c r="K15" s="1"/>
      <c r="L15" s="1"/>
    </row>
    <row r="16" spans="1:12">
      <c r="A16" s="286" t="s">
        <v>11</v>
      </c>
      <c r="B16" s="134"/>
      <c r="C16" s="136">
        <f>SUM(C17:C23)</f>
        <v>465</v>
      </c>
      <c r="D16" s="136">
        <f t="shared" ref="D16:G16" si="2">SUM(D17:D23)</f>
        <v>473</v>
      </c>
      <c r="E16" s="136">
        <f t="shared" si="2"/>
        <v>555</v>
      </c>
      <c r="F16" s="136">
        <f t="shared" si="2"/>
        <v>486</v>
      </c>
      <c r="G16" s="287">
        <f t="shared" si="2"/>
        <v>653</v>
      </c>
      <c r="H16" s="1"/>
      <c r="I16" s="1"/>
      <c r="J16" s="1"/>
      <c r="K16" s="1"/>
      <c r="L16" s="1"/>
    </row>
    <row r="17" spans="1:12">
      <c r="A17" s="286" t="s">
        <v>319</v>
      </c>
      <c r="B17" s="134"/>
      <c r="C17" s="144">
        <v>183</v>
      </c>
      <c r="D17" s="136">
        <v>389</v>
      </c>
      <c r="E17" s="136">
        <v>216</v>
      </c>
      <c r="F17" s="136">
        <v>313</v>
      </c>
      <c r="G17" s="287">
        <v>567</v>
      </c>
      <c r="H17" s="1"/>
      <c r="I17" s="1"/>
      <c r="J17" s="1"/>
      <c r="K17" s="1"/>
      <c r="L17" s="1"/>
    </row>
    <row r="18" spans="1:12">
      <c r="A18" s="286" t="s">
        <v>320</v>
      </c>
      <c r="B18" s="134"/>
      <c r="C18" s="144">
        <v>171</v>
      </c>
      <c r="D18" s="136">
        <v>218</v>
      </c>
      <c r="E18" s="136">
        <v>8</v>
      </c>
      <c r="F18" s="136">
        <v>16</v>
      </c>
      <c r="G18" s="287">
        <v>10</v>
      </c>
      <c r="H18" s="1"/>
      <c r="I18" s="1"/>
      <c r="J18" s="1"/>
      <c r="K18" s="1"/>
      <c r="L18" s="1"/>
    </row>
    <row r="19" spans="1:12">
      <c r="A19" s="296" t="s">
        <v>472</v>
      </c>
      <c r="B19" s="135"/>
      <c r="C19" s="145">
        <v>-171</v>
      </c>
      <c r="D19" s="137">
        <v>-218</v>
      </c>
      <c r="E19" s="137">
        <v>-8</v>
      </c>
      <c r="F19" s="137">
        <v>-16</v>
      </c>
      <c r="G19" s="308">
        <v>-10</v>
      </c>
      <c r="H19" s="1"/>
      <c r="I19" s="1"/>
      <c r="J19" s="1"/>
      <c r="K19" s="1"/>
      <c r="L19" s="1"/>
    </row>
    <row r="20" spans="1:12" ht="15.6" customHeight="1">
      <c r="A20" s="297" t="s">
        <v>31</v>
      </c>
      <c r="B20" s="146"/>
      <c r="C20" s="144">
        <v>6</v>
      </c>
      <c r="D20" s="136">
        <v>12</v>
      </c>
      <c r="E20" s="136">
        <v>8</v>
      </c>
      <c r="F20" s="136">
        <v>20</v>
      </c>
      <c r="G20" s="287">
        <v>25</v>
      </c>
      <c r="H20" s="1"/>
      <c r="I20" s="1"/>
      <c r="J20" s="1"/>
      <c r="K20" s="1"/>
      <c r="L20" s="1"/>
    </row>
    <row r="21" spans="1:12" ht="19.2" customHeight="1">
      <c r="A21" s="337" t="s">
        <v>472</v>
      </c>
      <c r="B21" s="338"/>
      <c r="C21" s="145">
        <v>0</v>
      </c>
      <c r="D21" s="137">
        <v>-4</v>
      </c>
      <c r="E21" s="137">
        <v>0</v>
      </c>
      <c r="F21" s="137">
        <v>-8</v>
      </c>
      <c r="G21" s="308">
        <v>-2</v>
      </c>
      <c r="H21" s="1"/>
      <c r="I21" s="1"/>
      <c r="J21" s="1"/>
      <c r="K21" s="1"/>
      <c r="L21" s="1"/>
    </row>
    <row r="22" spans="1:12">
      <c r="A22" s="286" t="s">
        <v>75</v>
      </c>
      <c r="B22" s="134"/>
      <c r="C22" s="144">
        <v>71</v>
      </c>
      <c r="D22" s="136">
        <v>70</v>
      </c>
      <c r="E22" s="136">
        <v>107</v>
      </c>
      <c r="F22" s="136">
        <v>49</v>
      </c>
      <c r="G22" s="287">
        <v>63</v>
      </c>
      <c r="H22" s="1"/>
      <c r="I22" s="1"/>
      <c r="J22" s="1"/>
      <c r="K22" s="1"/>
      <c r="L22" s="1"/>
    </row>
    <row r="23" spans="1:12" ht="17.399999999999999" customHeight="1">
      <c r="A23" s="297" t="s">
        <v>321</v>
      </c>
      <c r="B23" s="134"/>
      <c r="C23" s="144">
        <v>205</v>
      </c>
      <c r="D23" s="136">
        <v>6</v>
      </c>
      <c r="E23" s="136">
        <v>224</v>
      </c>
      <c r="F23" s="136">
        <v>112</v>
      </c>
      <c r="G23" s="287">
        <v>0</v>
      </c>
      <c r="H23" s="1"/>
      <c r="I23" s="1"/>
      <c r="J23" s="1"/>
      <c r="K23" s="1"/>
      <c r="L23" s="1"/>
    </row>
    <row r="24" spans="1:12">
      <c r="A24" s="286" t="s">
        <v>341</v>
      </c>
      <c r="B24" s="134"/>
      <c r="C24" s="144">
        <f>SUM(C25:C28)</f>
        <v>-656</v>
      </c>
      <c r="D24" s="144">
        <f t="shared" ref="D24:G24" si="3">SUM(D25:D28)</f>
        <v>-874</v>
      </c>
      <c r="E24" s="144">
        <f t="shared" si="3"/>
        <v>-650</v>
      </c>
      <c r="F24" s="144">
        <f t="shared" si="3"/>
        <v>-749</v>
      </c>
      <c r="G24" s="298">
        <f t="shared" si="3"/>
        <v>-990</v>
      </c>
      <c r="H24" s="1"/>
      <c r="I24" s="1"/>
      <c r="J24" s="1"/>
      <c r="K24" s="1"/>
      <c r="L24" s="1"/>
    </row>
    <row r="25" spans="1:12">
      <c r="A25" s="286" t="s">
        <v>120</v>
      </c>
      <c r="B25" s="134"/>
      <c r="C25" s="144">
        <v>-72</v>
      </c>
      <c r="D25" s="136">
        <v>-90</v>
      </c>
      <c r="E25" s="136">
        <v>-125</v>
      </c>
      <c r="F25" s="136">
        <v>-134</v>
      </c>
      <c r="G25" s="287">
        <v>-140</v>
      </c>
      <c r="H25" s="1"/>
      <c r="I25" s="1"/>
      <c r="J25" s="1"/>
      <c r="K25" s="1"/>
      <c r="L25" s="1"/>
    </row>
    <row r="26" spans="1:12">
      <c r="A26" s="286" t="s">
        <v>153</v>
      </c>
      <c r="B26" s="134"/>
      <c r="C26" s="144">
        <v>-43</v>
      </c>
      <c r="D26" s="136">
        <v>-33</v>
      </c>
      <c r="E26" s="136">
        <v>-4</v>
      </c>
      <c r="F26" s="136">
        <v>-34</v>
      </c>
      <c r="G26" s="287">
        <v>-6</v>
      </c>
      <c r="H26" s="1"/>
      <c r="I26" s="1"/>
      <c r="J26" s="1"/>
      <c r="K26" s="1"/>
      <c r="L26" s="1"/>
    </row>
    <row r="27" spans="1:12">
      <c r="A27" s="286" t="s">
        <v>324</v>
      </c>
      <c r="B27" s="134"/>
      <c r="C27" s="144">
        <v>-521</v>
      </c>
      <c r="D27" s="136">
        <v>-744</v>
      </c>
      <c r="E27" s="136">
        <v>-521</v>
      </c>
      <c r="F27" s="136">
        <v>-581</v>
      </c>
      <c r="G27" s="287">
        <v>-844</v>
      </c>
      <c r="H27" s="1"/>
      <c r="I27" s="1"/>
      <c r="J27" s="1"/>
      <c r="K27" s="1"/>
      <c r="L27" s="1"/>
    </row>
    <row r="28" spans="1:12">
      <c r="A28" s="286" t="s">
        <v>375</v>
      </c>
      <c r="B28" s="134"/>
      <c r="C28" s="144">
        <v>-20</v>
      </c>
      <c r="D28" s="136">
        <v>-7</v>
      </c>
      <c r="E28" s="136">
        <v>0</v>
      </c>
      <c r="F28" s="136">
        <v>0</v>
      </c>
      <c r="G28" s="287">
        <v>0</v>
      </c>
      <c r="H28" s="1"/>
      <c r="I28" s="1"/>
      <c r="J28" s="1"/>
      <c r="K28" s="1"/>
      <c r="L28" s="1"/>
    </row>
    <row r="29" spans="1:12">
      <c r="A29" s="288" t="s">
        <v>330</v>
      </c>
      <c r="B29" s="289"/>
      <c r="C29" s="149">
        <f>C14+C16+C24</f>
        <v>308</v>
      </c>
      <c r="D29" s="149">
        <f t="shared" ref="D29:G29" si="4">D14+D16+D24</f>
        <v>195</v>
      </c>
      <c r="E29" s="149">
        <f t="shared" si="4"/>
        <v>342</v>
      </c>
      <c r="F29" s="149">
        <f t="shared" si="4"/>
        <v>292</v>
      </c>
      <c r="G29" s="299">
        <f t="shared" si="4"/>
        <v>218</v>
      </c>
      <c r="H29" s="1"/>
      <c r="I29" s="1"/>
      <c r="J29" s="1"/>
      <c r="K29" s="1"/>
      <c r="L29" s="1"/>
    </row>
    <row r="30" spans="1:12">
      <c r="A30" s="286"/>
      <c r="B30" s="134"/>
      <c r="C30" s="144"/>
      <c r="D30" s="136"/>
      <c r="E30" s="136"/>
      <c r="F30" s="136"/>
      <c r="G30" s="287"/>
      <c r="H30" s="1"/>
      <c r="I30" s="1"/>
      <c r="J30" s="1"/>
      <c r="K30" s="1"/>
      <c r="L30" s="1"/>
    </row>
    <row r="31" spans="1:12">
      <c r="A31" s="286" t="s">
        <v>374</v>
      </c>
      <c r="B31" s="134"/>
      <c r="C31" s="144">
        <v>308</v>
      </c>
      <c r="D31" s="136">
        <v>341</v>
      </c>
      <c r="E31" s="136">
        <v>301</v>
      </c>
      <c r="F31" s="136">
        <v>264</v>
      </c>
      <c r="G31" s="287">
        <v>277</v>
      </c>
      <c r="H31" s="1"/>
      <c r="I31" s="1"/>
      <c r="J31" s="1"/>
      <c r="K31" s="1"/>
      <c r="L31" s="1"/>
    </row>
    <row r="32" spans="1:12">
      <c r="A32" s="286" t="s">
        <v>113</v>
      </c>
      <c r="B32" s="134"/>
      <c r="C32" s="144">
        <v>-332</v>
      </c>
      <c r="D32" s="136">
        <v>-365</v>
      </c>
      <c r="E32" s="136">
        <v>-319</v>
      </c>
      <c r="F32" s="136">
        <v>-314</v>
      </c>
      <c r="G32" s="287">
        <v>-307</v>
      </c>
      <c r="H32" s="1"/>
      <c r="I32" s="1"/>
      <c r="J32" s="1"/>
      <c r="K32" s="1"/>
      <c r="L32" s="1"/>
    </row>
    <row r="33" spans="1:12">
      <c r="A33" s="286" t="s">
        <v>325</v>
      </c>
      <c r="B33" s="134"/>
      <c r="C33" s="144">
        <v>-576</v>
      </c>
      <c r="D33" s="136">
        <v>-671</v>
      </c>
      <c r="E33" s="136">
        <v>-625</v>
      </c>
      <c r="F33" s="136">
        <v>-642</v>
      </c>
      <c r="G33" s="287">
        <v>-676</v>
      </c>
      <c r="H33" s="1"/>
      <c r="I33" s="1"/>
      <c r="J33" s="1"/>
      <c r="K33" s="1"/>
      <c r="L33" s="1"/>
    </row>
    <row r="34" spans="1:12">
      <c r="A34" s="300" t="s">
        <v>331</v>
      </c>
      <c r="B34" s="301"/>
      <c r="C34" s="148">
        <f>C9+C29+C31+C32+C33</f>
        <v>6203</v>
      </c>
      <c r="D34" s="148">
        <f t="shared" ref="D34:G34" si="5">D9+D29+D31+D32+D33</f>
        <v>6413</v>
      </c>
      <c r="E34" s="148">
        <f t="shared" si="5"/>
        <v>6239</v>
      </c>
      <c r="F34" s="148">
        <f t="shared" si="5"/>
        <v>6545</v>
      </c>
      <c r="G34" s="302">
        <f t="shared" si="5"/>
        <v>6805</v>
      </c>
      <c r="H34" s="1"/>
      <c r="I34" s="1"/>
      <c r="J34" s="1"/>
      <c r="K34" s="1"/>
      <c r="L34" s="1"/>
    </row>
    <row r="35" spans="1:12">
      <c r="A35" s="286"/>
      <c r="B35" s="134"/>
      <c r="C35" s="144"/>
      <c r="D35" s="136"/>
      <c r="E35" s="136"/>
      <c r="F35" s="136"/>
      <c r="G35" s="287"/>
      <c r="H35" s="1"/>
      <c r="I35" s="1"/>
      <c r="J35" s="1"/>
      <c r="K35" s="1"/>
      <c r="L35" s="1"/>
    </row>
    <row r="36" spans="1:12">
      <c r="A36" s="286"/>
      <c r="B36" s="134"/>
      <c r="C36" s="144"/>
      <c r="D36" s="136"/>
      <c r="E36" s="136"/>
      <c r="F36" s="136"/>
      <c r="G36" s="287"/>
      <c r="H36" s="1"/>
      <c r="I36" s="1"/>
      <c r="J36" s="1"/>
      <c r="K36" s="1"/>
      <c r="L36" s="1"/>
    </row>
    <row r="37" spans="1:12">
      <c r="A37" s="286"/>
      <c r="B37" s="134"/>
      <c r="C37" s="144"/>
      <c r="D37" s="136"/>
      <c r="E37" s="136"/>
      <c r="F37" s="136"/>
      <c r="G37" s="287"/>
      <c r="H37" s="1"/>
      <c r="I37" s="1"/>
      <c r="J37" s="1"/>
      <c r="K37" s="1"/>
      <c r="L37" s="1"/>
    </row>
    <row r="38" spans="1:12">
      <c r="A38" s="303" t="s">
        <v>338</v>
      </c>
      <c r="B38" s="304"/>
      <c r="C38" s="150">
        <v>-3259</v>
      </c>
      <c r="D38" s="151">
        <v>-3279</v>
      </c>
      <c r="E38" s="151">
        <v>-3013</v>
      </c>
      <c r="F38" s="151">
        <v>-3523</v>
      </c>
      <c r="G38" s="325">
        <v>-3651</v>
      </c>
      <c r="H38" s="1"/>
      <c r="I38" s="1"/>
      <c r="J38" s="1"/>
      <c r="K38" s="1"/>
      <c r="L38" s="1"/>
    </row>
    <row r="39" spans="1:12">
      <c r="A39" s="286"/>
      <c r="B39" s="134"/>
      <c r="C39" s="144"/>
      <c r="D39" s="136"/>
      <c r="E39" s="136"/>
      <c r="F39" s="136"/>
      <c r="G39" s="287"/>
      <c r="H39" s="1"/>
      <c r="I39" s="1"/>
      <c r="J39" s="1"/>
      <c r="K39" s="1"/>
      <c r="L39" s="1"/>
    </row>
    <row r="40" spans="1:12">
      <c r="A40" s="286" t="s">
        <v>105</v>
      </c>
      <c r="B40" s="134"/>
      <c r="C40" s="144">
        <v>-3089</v>
      </c>
      <c r="D40" s="136">
        <v>-3436</v>
      </c>
      <c r="E40" s="136">
        <v>-3501</v>
      </c>
      <c r="F40" s="136">
        <v>-2984</v>
      </c>
      <c r="G40" s="287">
        <v>-3307</v>
      </c>
      <c r="H40" s="1"/>
      <c r="I40" s="1"/>
      <c r="J40" s="1"/>
      <c r="K40" s="1"/>
      <c r="L40" s="1"/>
    </row>
    <row r="41" spans="1:12">
      <c r="A41" s="286" t="s">
        <v>473</v>
      </c>
      <c r="B41" s="134"/>
      <c r="C41" s="144">
        <v>-27</v>
      </c>
      <c r="D41" s="136">
        <v>-19</v>
      </c>
      <c r="E41" s="136">
        <v>-23</v>
      </c>
      <c r="F41" s="136">
        <v>-14</v>
      </c>
      <c r="G41" s="287">
        <v>-9</v>
      </c>
      <c r="H41" s="1"/>
      <c r="I41" s="1"/>
      <c r="J41" s="1"/>
      <c r="K41" s="1"/>
      <c r="L41" s="1"/>
    </row>
    <row r="42" spans="1:12">
      <c r="A42" s="286" t="s">
        <v>474</v>
      </c>
      <c r="B42" s="134"/>
      <c r="C42" s="136">
        <v>57</v>
      </c>
      <c r="D42" s="136">
        <v>60</v>
      </c>
      <c r="E42" s="136">
        <v>36</v>
      </c>
      <c r="F42" s="136">
        <v>30</v>
      </c>
      <c r="G42" s="287">
        <v>22</v>
      </c>
      <c r="H42" s="1"/>
      <c r="I42" s="1"/>
      <c r="J42" s="1"/>
      <c r="K42" s="1"/>
      <c r="L42" s="1"/>
    </row>
    <row r="43" spans="1:12">
      <c r="A43" s="286" t="s">
        <v>150</v>
      </c>
      <c r="B43" s="134"/>
      <c r="C43" s="144">
        <v>-692</v>
      </c>
      <c r="D43" s="136">
        <v>-359</v>
      </c>
      <c r="E43" s="136">
        <v>-437</v>
      </c>
      <c r="F43" s="136">
        <v>-694</v>
      </c>
      <c r="G43" s="287">
        <v>-304</v>
      </c>
      <c r="H43" s="1"/>
      <c r="I43" s="1"/>
      <c r="J43" s="1"/>
      <c r="K43" s="1"/>
      <c r="L43" s="1"/>
    </row>
    <row r="44" spans="1:12">
      <c r="A44" s="305" t="s">
        <v>337</v>
      </c>
      <c r="B44" s="306"/>
      <c r="C44" s="155">
        <f>C40+C41+C42+C43</f>
        <v>-3751</v>
      </c>
      <c r="D44" s="155">
        <v>-3754</v>
      </c>
      <c r="E44" s="155">
        <v>-3925</v>
      </c>
      <c r="F44" s="155">
        <v>-3662</v>
      </c>
      <c r="G44" s="339">
        <v>-3598</v>
      </c>
      <c r="H44" s="1"/>
      <c r="I44" s="1"/>
      <c r="J44" s="1"/>
      <c r="K44" s="1"/>
      <c r="L44" s="1"/>
    </row>
    <row r="45" spans="1:12">
      <c r="A45" s="296"/>
      <c r="B45" s="135"/>
      <c r="C45" s="145"/>
      <c r="D45" s="137"/>
      <c r="E45" s="137"/>
      <c r="F45" s="137"/>
      <c r="G45" s="308"/>
      <c r="H45" s="1"/>
      <c r="I45" s="1"/>
      <c r="J45" s="1"/>
      <c r="K45" s="1"/>
      <c r="L45" s="1"/>
    </row>
    <row r="46" spans="1:12">
      <c r="A46" s="296" t="s">
        <v>475</v>
      </c>
      <c r="B46" s="135"/>
      <c r="C46" s="137">
        <v>171</v>
      </c>
      <c r="D46" s="137">
        <v>218</v>
      </c>
      <c r="E46" s="137">
        <v>8</v>
      </c>
      <c r="F46" s="137">
        <v>16</v>
      </c>
      <c r="G46" s="308">
        <v>10</v>
      </c>
      <c r="H46" s="1"/>
      <c r="I46" s="1"/>
      <c r="J46" s="1"/>
      <c r="K46" s="1"/>
      <c r="L46" s="1"/>
    </row>
    <row r="47" spans="1:12">
      <c r="A47" s="286" t="s">
        <v>77</v>
      </c>
      <c r="B47" s="134"/>
      <c r="C47" s="144">
        <v>636</v>
      </c>
      <c r="D47" s="136">
        <v>402</v>
      </c>
      <c r="E47" s="136">
        <v>691</v>
      </c>
      <c r="F47" s="136">
        <v>624</v>
      </c>
      <c r="G47" s="287">
        <v>434</v>
      </c>
      <c r="H47" s="1"/>
      <c r="I47" s="1"/>
      <c r="J47" s="1"/>
      <c r="K47" s="1"/>
      <c r="L47" s="1"/>
    </row>
    <row r="48" spans="1:12">
      <c r="A48" s="288" t="s">
        <v>332</v>
      </c>
      <c r="B48" s="289"/>
      <c r="C48" s="139">
        <f>C44+C46+C47</f>
        <v>-2944</v>
      </c>
      <c r="D48" s="139">
        <f t="shared" ref="D48:G48" si="6">D44+D46+D47</f>
        <v>-3134</v>
      </c>
      <c r="E48" s="139">
        <f t="shared" si="6"/>
        <v>-3226</v>
      </c>
      <c r="F48" s="139">
        <f t="shared" si="6"/>
        <v>-3022</v>
      </c>
      <c r="G48" s="290">
        <f t="shared" si="6"/>
        <v>-3154</v>
      </c>
      <c r="H48" s="1"/>
      <c r="I48" s="1"/>
      <c r="J48" s="1"/>
      <c r="K48" s="1"/>
      <c r="L48" s="1"/>
    </row>
    <row r="49" spans="1:12">
      <c r="A49" s="286"/>
      <c r="B49" s="134"/>
      <c r="C49" s="144"/>
      <c r="D49" s="136"/>
      <c r="E49" s="136"/>
      <c r="F49" s="136"/>
      <c r="G49" s="287"/>
      <c r="H49" s="1"/>
      <c r="I49" s="1"/>
      <c r="J49" s="1"/>
      <c r="K49" s="1"/>
      <c r="L49" s="1"/>
    </row>
    <row r="50" spans="1:12">
      <c r="A50" s="300" t="s">
        <v>331</v>
      </c>
      <c r="B50" s="301"/>
      <c r="C50" s="148">
        <f>C38+C48</f>
        <v>-6203</v>
      </c>
      <c r="D50" s="148">
        <f t="shared" ref="D50:G50" si="7">D38+D48</f>
        <v>-6413</v>
      </c>
      <c r="E50" s="148">
        <f t="shared" si="7"/>
        <v>-6239</v>
      </c>
      <c r="F50" s="148">
        <f t="shared" si="7"/>
        <v>-6545</v>
      </c>
      <c r="G50" s="302">
        <f t="shared" si="7"/>
        <v>-6805</v>
      </c>
      <c r="H50" s="1"/>
      <c r="I50" s="1"/>
      <c r="J50" s="1"/>
      <c r="K50" s="1"/>
      <c r="L50" s="1"/>
    </row>
    <row r="51" spans="1:12" ht="15" thickBot="1">
      <c r="A51" s="340" t="s">
        <v>344</v>
      </c>
      <c r="B51" s="341"/>
      <c r="C51" s="342">
        <f>C34+C50</f>
        <v>0</v>
      </c>
      <c r="D51" s="342">
        <f t="shared" ref="D51:G51" si="8">D34+D50</f>
        <v>0</v>
      </c>
      <c r="E51" s="342">
        <f t="shared" si="8"/>
        <v>0</v>
      </c>
      <c r="F51" s="342">
        <f t="shared" si="8"/>
        <v>0</v>
      </c>
      <c r="G51" s="343">
        <f t="shared" si="8"/>
        <v>0</v>
      </c>
      <c r="H51" s="1"/>
      <c r="I51" s="1"/>
      <c r="J51" s="1"/>
      <c r="K51" s="1"/>
      <c r="L51" s="1"/>
    </row>
    <row r="52" spans="1:12">
      <c r="B52" s="1"/>
      <c r="C52" s="1"/>
      <c r="D52" s="1"/>
      <c r="E52" s="1"/>
      <c r="F52" s="1"/>
      <c r="G52" s="1"/>
      <c r="H52" s="1"/>
      <c r="I52" s="1"/>
      <c r="J52" s="1"/>
      <c r="K52" s="1"/>
      <c r="L52" s="1"/>
    </row>
    <row r="53" spans="1:12" ht="15" thickBot="1">
      <c r="A53" s="1"/>
      <c r="C53" s="1"/>
      <c r="D53" s="1"/>
      <c r="E53" s="1"/>
      <c r="F53" s="1"/>
      <c r="G53" s="1"/>
      <c r="H53" s="1"/>
      <c r="I53" s="1"/>
      <c r="J53" s="1"/>
      <c r="K53" s="1"/>
      <c r="L53" s="1"/>
    </row>
    <row r="54" spans="1:12" ht="24.6">
      <c r="A54" s="313" t="s">
        <v>302</v>
      </c>
      <c r="B54" s="314"/>
      <c r="C54" s="314"/>
      <c r="D54" s="314"/>
      <c r="E54" s="314"/>
      <c r="F54" s="314"/>
      <c r="G54" s="315"/>
      <c r="H54" s="1"/>
      <c r="I54" s="1"/>
      <c r="J54" s="1"/>
      <c r="K54" s="1"/>
      <c r="L54" s="1"/>
    </row>
    <row r="55" spans="1:12">
      <c r="A55" s="316"/>
      <c r="B55" s="107"/>
      <c r="C55" s="949" t="s">
        <v>163</v>
      </c>
      <c r="D55" s="949"/>
      <c r="E55" s="949"/>
      <c r="F55" s="949"/>
      <c r="G55" s="950"/>
      <c r="H55" s="1"/>
      <c r="I55" s="1"/>
      <c r="J55" s="1"/>
      <c r="K55" s="1"/>
      <c r="L55" s="1"/>
    </row>
    <row r="56" spans="1:12">
      <c r="A56" s="251"/>
      <c r="B56" s="121" t="s">
        <v>1</v>
      </c>
      <c r="C56" s="108">
        <v>42369</v>
      </c>
      <c r="D56" s="108">
        <v>42735</v>
      </c>
      <c r="E56" s="108">
        <v>43100</v>
      </c>
      <c r="F56" s="108">
        <v>43465</v>
      </c>
      <c r="G56" s="252">
        <v>43830</v>
      </c>
      <c r="H56" s="1"/>
      <c r="I56" s="1"/>
      <c r="J56" s="1"/>
      <c r="K56" s="1"/>
      <c r="L56" s="1"/>
    </row>
    <row r="57" spans="1:12">
      <c r="A57" s="253"/>
      <c r="B57" s="52"/>
      <c r="C57" s="45"/>
      <c r="D57" s="46"/>
      <c r="E57" s="46"/>
      <c r="F57" s="46"/>
      <c r="G57" s="344"/>
      <c r="H57" s="1"/>
      <c r="I57" s="1"/>
      <c r="J57" s="1"/>
      <c r="K57" s="1"/>
      <c r="L57" s="1"/>
    </row>
    <row r="58" spans="1:12">
      <c r="A58" s="285" t="s">
        <v>343</v>
      </c>
      <c r="B58" s="52"/>
      <c r="C58" s="143">
        <f>SUM(C61:C62)</f>
        <v>4921</v>
      </c>
      <c r="D58" s="138">
        <f t="shared" ref="D58:G58" si="9">SUM(D61:D62)</f>
        <v>4860</v>
      </c>
      <c r="E58" s="138">
        <f t="shared" si="9"/>
        <v>5796</v>
      </c>
      <c r="F58" s="138">
        <f t="shared" si="9"/>
        <v>6494</v>
      </c>
      <c r="G58" s="295">
        <f t="shared" si="9"/>
        <v>7324</v>
      </c>
      <c r="H58" s="1"/>
      <c r="I58" s="1"/>
      <c r="J58" s="1"/>
      <c r="K58" s="1"/>
      <c r="L58" s="1"/>
    </row>
    <row r="59" spans="1:12">
      <c r="A59" s="171" t="s">
        <v>167</v>
      </c>
      <c r="B59" s="52"/>
      <c r="C59" s="144">
        <v>3947</v>
      </c>
      <c r="D59" s="136">
        <v>3734</v>
      </c>
      <c r="E59" s="136">
        <v>4633</v>
      </c>
      <c r="F59" s="136">
        <v>5268</v>
      </c>
      <c r="G59" s="287">
        <v>6046</v>
      </c>
      <c r="H59" s="1"/>
      <c r="I59" s="1"/>
      <c r="J59" s="1"/>
      <c r="K59" s="1"/>
      <c r="L59" s="1"/>
    </row>
    <row r="60" spans="1:12">
      <c r="A60" s="171" t="s">
        <v>169</v>
      </c>
      <c r="B60" s="52"/>
      <c r="C60" s="144">
        <v>785</v>
      </c>
      <c r="D60" s="136">
        <v>847</v>
      </c>
      <c r="E60" s="136">
        <v>957</v>
      </c>
      <c r="F60" s="136">
        <v>1003</v>
      </c>
      <c r="G60" s="287">
        <v>1076</v>
      </c>
      <c r="H60" s="1"/>
      <c r="I60" s="1"/>
      <c r="J60" s="1"/>
      <c r="K60" s="1"/>
      <c r="L60" s="1"/>
    </row>
    <row r="61" spans="1:12">
      <c r="A61" s="345" t="s">
        <v>171</v>
      </c>
      <c r="B61" s="52"/>
      <c r="C61" s="145">
        <f>SUM(C59:C60)</f>
        <v>4732</v>
      </c>
      <c r="D61" s="137">
        <f>SUM(D59:D60)</f>
        <v>4581</v>
      </c>
      <c r="E61" s="137">
        <f>SUM(E59:E60)</f>
        <v>5590</v>
      </c>
      <c r="F61" s="137">
        <f>SUM(F59:F60)</f>
        <v>6271</v>
      </c>
      <c r="G61" s="308">
        <f>SUM(G59:G60)</f>
        <v>7122</v>
      </c>
      <c r="H61" s="1"/>
      <c r="I61" s="1"/>
      <c r="J61" s="1"/>
      <c r="K61" s="1"/>
      <c r="L61" s="1"/>
    </row>
    <row r="62" spans="1:12">
      <c r="A62" s="171" t="s">
        <v>173</v>
      </c>
      <c r="B62" s="52"/>
      <c r="C62" s="144">
        <v>189</v>
      </c>
      <c r="D62" s="136">
        <v>279</v>
      </c>
      <c r="E62" s="136">
        <v>206</v>
      </c>
      <c r="F62" s="136">
        <v>223</v>
      </c>
      <c r="G62" s="287">
        <v>202</v>
      </c>
      <c r="H62" s="1"/>
      <c r="I62" s="1"/>
      <c r="J62" s="1"/>
      <c r="K62" s="1"/>
      <c r="L62" s="1"/>
    </row>
    <row r="63" spans="1:12">
      <c r="A63" s="171"/>
      <c r="B63" s="52"/>
      <c r="C63" s="144"/>
      <c r="D63" s="144"/>
      <c r="E63" s="136"/>
      <c r="F63" s="136"/>
      <c r="G63" s="287"/>
      <c r="H63" s="1"/>
      <c r="I63" s="1"/>
      <c r="J63" s="1"/>
      <c r="K63" s="1"/>
      <c r="L63" s="1"/>
    </row>
    <row r="64" spans="1:12">
      <c r="A64" s="171" t="s">
        <v>177</v>
      </c>
      <c r="B64" s="52"/>
      <c r="C64" s="144">
        <v>-2286</v>
      </c>
      <c r="D64" s="144">
        <v>-2101</v>
      </c>
      <c r="E64" s="136">
        <v>-2831</v>
      </c>
      <c r="F64" s="136">
        <v>-3346</v>
      </c>
      <c r="G64" s="287">
        <v>-4004</v>
      </c>
      <c r="H64" s="1"/>
      <c r="I64" s="1"/>
      <c r="J64" s="1"/>
      <c r="K64" s="1"/>
      <c r="L64" s="1"/>
    </row>
    <row r="65" spans="1:12">
      <c r="A65" s="171" t="s">
        <v>179</v>
      </c>
      <c r="B65" s="52"/>
      <c r="C65" s="144">
        <v>-706</v>
      </c>
      <c r="D65" s="144">
        <v>-758</v>
      </c>
      <c r="E65" s="136">
        <v>-850</v>
      </c>
      <c r="F65" s="136">
        <v>-986</v>
      </c>
      <c r="G65" s="287">
        <v>-1152</v>
      </c>
      <c r="H65" s="1"/>
      <c r="I65" s="1"/>
      <c r="J65" s="1"/>
      <c r="K65" s="1"/>
      <c r="L65" s="1"/>
    </row>
    <row r="66" spans="1:12">
      <c r="A66" s="171" t="s">
        <v>183</v>
      </c>
      <c r="B66" s="52"/>
      <c r="C66" s="144">
        <v>-252</v>
      </c>
      <c r="D66" s="144">
        <v>-243</v>
      </c>
      <c r="E66" s="136">
        <v>-281</v>
      </c>
      <c r="F66" s="136">
        <v>-266</v>
      </c>
      <c r="G66" s="287">
        <v>-234</v>
      </c>
      <c r="H66" s="1"/>
      <c r="I66" s="1"/>
      <c r="J66" s="1"/>
      <c r="K66" s="1"/>
      <c r="L66" s="1"/>
    </row>
    <row r="67" spans="1:12">
      <c r="A67" s="171" t="s">
        <v>333</v>
      </c>
      <c r="B67" s="52"/>
      <c r="C67" s="144">
        <f>-SUM(C72:C73)</f>
        <v>-629</v>
      </c>
      <c r="D67" s="144">
        <f>-SUM(D72:D73)</f>
        <v>-596</v>
      </c>
      <c r="E67" s="136">
        <f>-SUM(E72:E73)</f>
        <v>-635</v>
      </c>
      <c r="F67" s="136">
        <f>-SUM(F72:F73)</f>
        <v>-665</v>
      </c>
      <c r="G67" s="287">
        <f>-SUM(G72:G73)</f>
        <v>-700</v>
      </c>
      <c r="H67" s="1"/>
      <c r="I67" s="1"/>
      <c r="J67" s="1"/>
      <c r="K67" s="1"/>
      <c r="L67" s="1"/>
    </row>
    <row r="68" spans="1:12">
      <c r="A68" s="171" t="s">
        <v>187</v>
      </c>
      <c r="B68" s="52"/>
      <c r="C68" s="144">
        <v>441</v>
      </c>
      <c r="D68" s="144">
        <v>433</v>
      </c>
      <c r="E68" s="136">
        <v>471</v>
      </c>
      <c r="F68" s="136">
        <v>494</v>
      </c>
      <c r="G68" s="287">
        <v>527</v>
      </c>
      <c r="H68" s="1"/>
      <c r="I68" s="1"/>
      <c r="J68" s="1"/>
      <c r="K68" s="1"/>
      <c r="L68" s="1"/>
    </row>
    <row r="69" spans="1:12">
      <c r="A69" s="171" t="s">
        <v>189</v>
      </c>
      <c r="B69" s="52"/>
      <c r="C69" s="144">
        <v>163</v>
      </c>
      <c r="D69" s="144">
        <v>146</v>
      </c>
      <c r="E69" s="136">
        <v>160</v>
      </c>
      <c r="F69" s="136">
        <v>173</v>
      </c>
      <c r="G69" s="287">
        <v>179</v>
      </c>
      <c r="H69" s="1"/>
      <c r="I69" s="1"/>
      <c r="J69" s="1"/>
      <c r="K69" s="1"/>
      <c r="L69" s="1"/>
    </row>
    <row r="70" spans="1:12">
      <c r="A70" s="171" t="s">
        <v>191</v>
      </c>
      <c r="B70" s="52"/>
      <c r="C70" s="144">
        <v>25</v>
      </c>
      <c r="D70" s="144">
        <v>26</v>
      </c>
      <c r="E70" s="136">
        <v>29</v>
      </c>
      <c r="F70" s="136">
        <v>31</v>
      </c>
      <c r="G70" s="287">
        <v>31</v>
      </c>
      <c r="H70" s="1"/>
      <c r="I70" s="1"/>
      <c r="J70" s="1"/>
      <c r="K70" s="1"/>
      <c r="L70" s="1"/>
    </row>
    <row r="71" spans="1:12">
      <c r="A71" s="171" t="s">
        <v>192</v>
      </c>
      <c r="B71" s="52"/>
      <c r="C71" s="144">
        <v>27</v>
      </c>
      <c r="D71" s="144">
        <v>36</v>
      </c>
      <c r="E71" s="136">
        <v>27</v>
      </c>
      <c r="F71" s="136">
        <v>33</v>
      </c>
      <c r="G71" s="287">
        <v>42</v>
      </c>
      <c r="H71" s="1"/>
      <c r="I71" s="1"/>
      <c r="J71" s="1"/>
      <c r="K71" s="1"/>
      <c r="L71" s="1"/>
    </row>
    <row r="72" spans="1:12">
      <c r="A72" s="345" t="s">
        <v>194</v>
      </c>
      <c r="B72" s="52"/>
      <c r="C72" s="145">
        <f>SUM(C68:C71)</f>
        <v>656</v>
      </c>
      <c r="D72" s="145">
        <f>SUM(D68:D71)</f>
        <v>641</v>
      </c>
      <c r="E72" s="137">
        <f>SUM(E68:E71)</f>
        <v>687</v>
      </c>
      <c r="F72" s="137">
        <f t="shared" ref="F72" si="10">SUM(F68:F71)</f>
        <v>731</v>
      </c>
      <c r="G72" s="308">
        <f>SUM(G68:G71)</f>
        <v>779</v>
      </c>
      <c r="H72" s="1"/>
      <c r="I72" s="1"/>
      <c r="J72" s="1"/>
      <c r="K72" s="1"/>
      <c r="L72" s="1"/>
    </row>
    <row r="73" spans="1:12">
      <c r="A73" s="171" t="s">
        <v>196</v>
      </c>
      <c r="B73" s="52"/>
      <c r="C73" s="144">
        <v>-27</v>
      </c>
      <c r="D73" s="144">
        <v>-45</v>
      </c>
      <c r="E73" s="136">
        <v>-52</v>
      </c>
      <c r="F73" s="136">
        <v>-66</v>
      </c>
      <c r="G73" s="287">
        <v>-79</v>
      </c>
      <c r="H73" s="1"/>
      <c r="I73" s="1"/>
      <c r="J73" s="1"/>
      <c r="K73" s="1"/>
      <c r="L73" s="1"/>
    </row>
    <row r="74" spans="1:12">
      <c r="A74" s="346" t="s">
        <v>342</v>
      </c>
      <c r="B74" s="278"/>
      <c r="C74" s="152">
        <f>SUM(C64:C67)</f>
        <v>-3873</v>
      </c>
      <c r="D74" s="152">
        <f>SUM(D64:D67)</f>
        <v>-3698</v>
      </c>
      <c r="E74" s="153">
        <f>SUM(E64:E67)</f>
        <v>-4597</v>
      </c>
      <c r="F74" s="153">
        <f>SUM(F64:F67)</f>
        <v>-5263</v>
      </c>
      <c r="G74" s="293">
        <f>SUM(G64:G67)</f>
        <v>-6090</v>
      </c>
      <c r="H74" s="1"/>
      <c r="I74" s="1"/>
      <c r="J74" s="1"/>
      <c r="K74" s="1"/>
      <c r="L74" s="1"/>
    </row>
    <row r="75" spans="1:12">
      <c r="A75" s="285"/>
      <c r="B75" s="52"/>
      <c r="C75" s="144"/>
      <c r="D75" s="144"/>
      <c r="E75" s="136"/>
      <c r="F75" s="136"/>
      <c r="G75" s="287"/>
      <c r="H75" s="1"/>
      <c r="I75" s="1"/>
      <c r="J75" s="1"/>
      <c r="K75" s="1"/>
      <c r="L75" s="1"/>
    </row>
    <row r="76" spans="1:12">
      <c r="A76" s="321" t="s">
        <v>306</v>
      </c>
      <c r="B76" s="347"/>
      <c r="C76" s="149">
        <f>SUM(C58,C74)</f>
        <v>1048</v>
      </c>
      <c r="D76" s="149">
        <f>SUM(D58,D74)</f>
        <v>1162</v>
      </c>
      <c r="E76" s="139">
        <f>SUM(E58,E74)</f>
        <v>1199</v>
      </c>
      <c r="F76" s="139">
        <f>SUM(F58,F74)</f>
        <v>1231</v>
      </c>
      <c r="G76" s="290">
        <f>SUM(G58,G74)</f>
        <v>1234</v>
      </c>
      <c r="H76" s="1"/>
      <c r="I76" s="1"/>
      <c r="J76" s="1"/>
      <c r="K76" s="1"/>
      <c r="L76" s="1"/>
    </row>
    <row r="77" spans="1:12">
      <c r="A77" s="171"/>
      <c r="B77" s="52"/>
      <c r="C77" s="234"/>
      <c r="D77" s="234"/>
      <c r="E77" s="140"/>
      <c r="F77" s="140"/>
      <c r="G77" s="348"/>
      <c r="H77" s="1"/>
      <c r="I77" s="1"/>
      <c r="J77" s="1"/>
      <c r="K77" s="1"/>
      <c r="L77" s="1"/>
    </row>
    <row r="78" spans="1:12">
      <c r="A78" s="171" t="s">
        <v>334</v>
      </c>
      <c r="B78" s="52"/>
      <c r="C78" s="144">
        <f>-SUM(C79:C81)</f>
        <v>-754</v>
      </c>
      <c r="D78" s="144">
        <f t="shared" ref="D78:G78" si="11">-SUM(D79:D81)</f>
        <v>-648</v>
      </c>
      <c r="E78" s="136">
        <f t="shared" si="11"/>
        <v>-444</v>
      </c>
      <c r="F78" s="136">
        <f t="shared" si="11"/>
        <v>-623</v>
      </c>
      <c r="G78" s="287">
        <f t="shared" si="11"/>
        <v>-511</v>
      </c>
      <c r="H78" s="1"/>
      <c r="I78" s="1"/>
      <c r="J78" s="1"/>
      <c r="K78" s="1"/>
      <c r="L78" s="1"/>
    </row>
    <row r="79" spans="1:12">
      <c r="A79" s="171" t="s">
        <v>202</v>
      </c>
      <c r="B79" s="52"/>
      <c r="C79" s="144">
        <v>54</v>
      </c>
      <c r="D79" s="144">
        <v>55</v>
      </c>
      <c r="E79" s="136">
        <v>72</v>
      </c>
      <c r="F79" s="136">
        <v>91</v>
      </c>
      <c r="G79" s="287">
        <v>123</v>
      </c>
      <c r="H79" s="1"/>
      <c r="I79" s="1"/>
      <c r="J79" s="1"/>
      <c r="K79" s="1"/>
      <c r="L79" s="1"/>
    </row>
    <row r="80" spans="1:12">
      <c r="A80" s="171" t="s">
        <v>204</v>
      </c>
      <c r="B80" s="52"/>
      <c r="C80" s="144">
        <v>341</v>
      </c>
      <c r="D80" s="144">
        <v>348</v>
      </c>
      <c r="E80" s="136">
        <v>338</v>
      </c>
      <c r="F80" s="136">
        <v>372</v>
      </c>
      <c r="G80" s="287">
        <v>379</v>
      </c>
      <c r="H80" s="1"/>
      <c r="I80" s="1"/>
      <c r="J80" s="1"/>
      <c r="K80" s="1"/>
      <c r="L80" s="1"/>
    </row>
    <row r="81" spans="1:12">
      <c r="A81" s="171" t="s">
        <v>206</v>
      </c>
      <c r="B81" s="52"/>
      <c r="C81" s="144">
        <v>359</v>
      </c>
      <c r="D81" s="144">
        <v>245</v>
      </c>
      <c r="E81" s="136">
        <v>34</v>
      </c>
      <c r="F81" s="136">
        <v>160</v>
      </c>
      <c r="G81" s="287">
        <v>9</v>
      </c>
      <c r="H81" s="1"/>
      <c r="I81" s="1"/>
      <c r="J81" s="1"/>
      <c r="K81" s="1"/>
      <c r="L81" s="1"/>
    </row>
    <row r="82" spans="1:12">
      <c r="A82" s="171" t="s">
        <v>456</v>
      </c>
      <c r="B82" s="52"/>
      <c r="C82" s="145">
        <f>-SUM(C83:C84)</f>
        <v>-79</v>
      </c>
      <c r="D82" s="145">
        <f t="shared" ref="D82:G82" si="12">-SUM(D83:D84)</f>
        <v>-71</v>
      </c>
      <c r="E82" s="137">
        <f t="shared" si="12"/>
        <v>-45</v>
      </c>
      <c r="F82" s="137">
        <f t="shared" si="12"/>
        <v>-20</v>
      </c>
      <c r="G82" s="308">
        <f t="shared" si="12"/>
        <v>-36</v>
      </c>
      <c r="H82" s="1"/>
      <c r="I82" s="1"/>
      <c r="J82" s="1"/>
      <c r="K82" s="1"/>
      <c r="L82" s="1"/>
    </row>
    <row r="83" spans="1:12">
      <c r="A83" s="171" t="s">
        <v>210</v>
      </c>
      <c r="B83" s="52"/>
      <c r="C83" s="144">
        <v>57</v>
      </c>
      <c r="D83" s="144">
        <v>50</v>
      </c>
      <c r="E83" s="136">
        <v>10</v>
      </c>
      <c r="F83" s="136">
        <v>-5</v>
      </c>
      <c r="G83" s="287">
        <v>21</v>
      </c>
      <c r="H83" s="1"/>
      <c r="I83" s="1"/>
      <c r="J83" s="1"/>
      <c r="K83" s="1"/>
      <c r="L83" s="1"/>
    </row>
    <row r="84" spans="1:12" ht="14.4" customHeight="1">
      <c r="A84" s="349" t="s">
        <v>212</v>
      </c>
      <c r="B84" s="52"/>
      <c r="C84" s="144">
        <v>22</v>
      </c>
      <c r="D84" s="144">
        <v>21</v>
      </c>
      <c r="E84" s="136">
        <v>35</v>
      </c>
      <c r="F84" s="136">
        <v>25</v>
      </c>
      <c r="G84" s="287">
        <v>15</v>
      </c>
      <c r="H84" s="1"/>
      <c r="I84" s="1"/>
      <c r="J84" s="1"/>
      <c r="K84" s="1"/>
      <c r="L84" s="1"/>
    </row>
    <row r="85" spans="1:12">
      <c r="A85" s="285"/>
      <c r="B85" s="52"/>
      <c r="C85" s="143"/>
      <c r="D85" s="144"/>
      <c r="E85" s="138"/>
      <c r="F85" s="138"/>
      <c r="G85" s="295"/>
      <c r="H85" s="1"/>
      <c r="I85" s="1"/>
      <c r="J85" s="1"/>
      <c r="K85" s="1"/>
      <c r="L85" s="1"/>
    </row>
    <row r="86" spans="1:12">
      <c r="A86" s="321" t="s">
        <v>303</v>
      </c>
      <c r="B86" s="347"/>
      <c r="C86" s="149">
        <f>SUM(C76,C78,C82)</f>
        <v>215</v>
      </c>
      <c r="D86" s="149">
        <f>SUM(D76,D78,D82)</f>
        <v>443</v>
      </c>
      <c r="E86" s="139">
        <f>SUM(E76,E78,E82)</f>
        <v>710</v>
      </c>
      <c r="F86" s="139">
        <f>SUM(F76,F78,F82)</f>
        <v>588</v>
      </c>
      <c r="G86" s="290">
        <f>SUM(G76,G78,G82)</f>
        <v>687</v>
      </c>
      <c r="H86" s="1"/>
      <c r="I86" s="1"/>
      <c r="J86" s="1"/>
      <c r="K86" s="1"/>
      <c r="L86" s="1"/>
    </row>
    <row r="87" spans="1:12">
      <c r="A87" s="285"/>
      <c r="B87" s="52"/>
      <c r="C87" s="143"/>
      <c r="D87" s="144"/>
      <c r="E87" s="138"/>
      <c r="F87" s="138"/>
      <c r="G87" s="295"/>
      <c r="H87" s="1"/>
      <c r="I87" s="1"/>
      <c r="J87" s="1"/>
      <c r="K87" s="1"/>
      <c r="L87" s="1"/>
    </row>
    <row r="88" spans="1:12">
      <c r="A88" s="171" t="s">
        <v>217</v>
      </c>
      <c r="B88" s="52"/>
      <c r="C88" s="144">
        <v>1</v>
      </c>
      <c r="D88" s="144">
        <v>52</v>
      </c>
      <c r="E88" s="136">
        <v>0</v>
      </c>
      <c r="F88" s="136">
        <v>14</v>
      </c>
      <c r="G88" s="287">
        <v>4</v>
      </c>
      <c r="H88" s="1"/>
      <c r="I88" s="1"/>
      <c r="J88" s="1"/>
      <c r="K88" s="1"/>
      <c r="L88" s="1"/>
    </row>
    <row r="89" spans="1:12">
      <c r="A89" s="171" t="s">
        <v>219</v>
      </c>
      <c r="B89" s="52"/>
      <c r="C89" s="144">
        <f>SUM(C93,-C102,C103)</f>
        <v>-138</v>
      </c>
      <c r="D89" s="144">
        <f t="shared" ref="D89:G89" si="13">SUM(D93,-D102,D103)</f>
        <v>-161</v>
      </c>
      <c r="E89" s="136">
        <f t="shared" si="13"/>
        <v>-134</v>
      </c>
      <c r="F89" s="136">
        <f t="shared" si="13"/>
        <v>-112</v>
      </c>
      <c r="G89" s="287">
        <f t="shared" si="13"/>
        <v>-110</v>
      </c>
      <c r="H89" s="1"/>
      <c r="I89" s="1"/>
      <c r="J89" s="1"/>
      <c r="K89" s="1"/>
      <c r="L89" s="1"/>
    </row>
    <row r="90" spans="1:12">
      <c r="A90" s="171" t="s">
        <v>221</v>
      </c>
      <c r="B90" s="52"/>
      <c r="C90" s="144"/>
      <c r="D90" s="144"/>
      <c r="E90" s="136"/>
      <c r="F90" s="136"/>
      <c r="G90" s="287"/>
      <c r="H90" s="1"/>
      <c r="I90" s="1"/>
      <c r="J90" s="1"/>
      <c r="K90" s="1"/>
      <c r="L90" s="1"/>
    </row>
    <row r="91" spans="1:12">
      <c r="A91" s="171" t="s">
        <v>223</v>
      </c>
      <c r="B91" s="52"/>
      <c r="C91" s="144"/>
      <c r="D91" s="144"/>
      <c r="E91" s="136"/>
      <c r="F91" s="136">
        <v>0</v>
      </c>
      <c r="G91" s="287">
        <v>4</v>
      </c>
      <c r="H91" s="1"/>
      <c r="I91" s="1"/>
      <c r="J91" s="1"/>
      <c r="K91" s="1"/>
      <c r="L91" s="1"/>
    </row>
    <row r="92" spans="1:12">
      <c r="A92" s="171" t="s">
        <v>224</v>
      </c>
      <c r="B92" s="52"/>
      <c r="C92" s="144"/>
      <c r="D92" s="144"/>
      <c r="E92" s="136"/>
      <c r="F92" s="136">
        <v>16</v>
      </c>
      <c r="G92" s="287">
        <v>12</v>
      </c>
      <c r="H92" s="1"/>
      <c r="I92" s="1"/>
      <c r="J92" s="1"/>
      <c r="K92" s="1"/>
      <c r="L92" s="1"/>
    </row>
    <row r="93" spans="1:12">
      <c r="A93" s="171" t="s">
        <v>225</v>
      </c>
      <c r="B93" s="52"/>
      <c r="C93" s="144">
        <v>28</v>
      </c>
      <c r="D93" s="144">
        <v>34</v>
      </c>
      <c r="E93" s="136">
        <v>19</v>
      </c>
      <c r="F93" s="136">
        <f t="shared" ref="F93" si="14">SUM(F91:F92)</f>
        <v>16</v>
      </c>
      <c r="G93" s="287">
        <f>SUM(G91:G92)</f>
        <v>16</v>
      </c>
      <c r="H93" s="1"/>
      <c r="I93" s="1"/>
      <c r="J93" s="1"/>
      <c r="K93" s="1"/>
      <c r="L93" s="1"/>
    </row>
    <row r="94" spans="1:12">
      <c r="A94" s="171" t="s">
        <v>226</v>
      </c>
      <c r="B94" s="52"/>
      <c r="C94" s="144"/>
      <c r="D94" s="144"/>
      <c r="E94" s="136"/>
      <c r="F94" s="136"/>
      <c r="G94" s="287"/>
      <c r="H94" s="1"/>
      <c r="I94" s="1"/>
      <c r="J94" s="1"/>
      <c r="K94" s="1"/>
      <c r="L94" s="1"/>
    </row>
    <row r="95" spans="1:12">
      <c r="A95" s="171" t="s">
        <v>228</v>
      </c>
      <c r="B95" s="52"/>
      <c r="C95" s="144">
        <v>125</v>
      </c>
      <c r="D95" s="144">
        <v>125</v>
      </c>
      <c r="E95" s="136">
        <v>104</v>
      </c>
      <c r="F95" s="136">
        <v>102</v>
      </c>
      <c r="G95" s="287">
        <v>94</v>
      </c>
      <c r="H95" s="1"/>
      <c r="I95" s="1"/>
      <c r="J95" s="1"/>
      <c r="K95" s="1"/>
      <c r="L95" s="1"/>
    </row>
    <row r="96" spans="1:12">
      <c r="A96" s="171" t="s">
        <v>230</v>
      </c>
      <c r="B96" s="52"/>
      <c r="C96" s="144">
        <v>15</v>
      </c>
      <c r="D96" s="144">
        <v>9</v>
      </c>
      <c r="E96" s="136">
        <v>9</v>
      </c>
      <c r="F96" s="136">
        <v>6</v>
      </c>
      <c r="G96" s="287">
        <v>4</v>
      </c>
      <c r="H96" s="1"/>
      <c r="I96" s="1"/>
      <c r="J96" s="1"/>
      <c r="K96" s="1"/>
      <c r="L96" s="1"/>
    </row>
    <row r="97" spans="1:12">
      <c r="A97" s="171" t="s">
        <v>232</v>
      </c>
      <c r="B97" s="52"/>
      <c r="C97" s="144">
        <v>5</v>
      </c>
      <c r="D97" s="144">
        <v>6</v>
      </c>
      <c r="E97" s="136">
        <v>8</v>
      </c>
      <c r="F97" s="136">
        <v>8</v>
      </c>
      <c r="G97" s="287">
        <v>7</v>
      </c>
      <c r="H97" s="1"/>
      <c r="I97" s="1"/>
      <c r="J97" s="1"/>
      <c r="K97" s="1"/>
      <c r="L97" s="1"/>
    </row>
    <row r="98" spans="1:12">
      <c r="A98" s="171" t="s">
        <v>234</v>
      </c>
      <c r="B98" s="52"/>
      <c r="C98" s="144">
        <v>0</v>
      </c>
      <c r="D98" s="144">
        <v>1</v>
      </c>
      <c r="E98" s="136">
        <v>2</v>
      </c>
      <c r="F98" s="136">
        <v>2</v>
      </c>
      <c r="G98" s="287">
        <v>1</v>
      </c>
      <c r="H98" s="1"/>
      <c r="I98" s="1"/>
      <c r="J98" s="1"/>
      <c r="K98" s="1"/>
      <c r="L98" s="1"/>
    </row>
    <row r="99" spans="1:12">
      <c r="A99" s="171" t="s">
        <v>236</v>
      </c>
      <c r="B99" s="52"/>
      <c r="C99" s="144">
        <v>17</v>
      </c>
      <c r="D99" s="144">
        <v>51</v>
      </c>
      <c r="E99" s="136">
        <v>35</v>
      </c>
      <c r="F99" s="136">
        <v>14</v>
      </c>
      <c r="G99" s="287">
        <v>24</v>
      </c>
      <c r="H99" s="1"/>
      <c r="I99" s="1"/>
      <c r="J99" s="1"/>
      <c r="K99" s="1"/>
      <c r="L99" s="1"/>
    </row>
    <row r="100" spans="1:12">
      <c r="A100" s="171" t="s">
        <v>238</v>
      </c>
      <c r="B100" s="52"/>
      <c r="C100" s="144">
        <v>162</v>
      </c>
      <c r="D100" s="144">
        <f>SUM(D95:D99)</f>
        <v>192</v>
      </c>
      <c r="E100" s="136">
        <f>SUM(E95:E99)</f>
        <v>158</v>
      </c>
      <c r="F100" s="136">
        <f>SUM(F95:F99)</f>
        <v>132</v>
      </c>
      <c r="G100" s="287">
        <f>SUM(G95:G99)</f>
        <v>130</v>
      </c>
      <c r="H100" s="1"/>
      <c r="I100" s="1"/>
      <c r="J100" s="1"/>
      <c r="K100" s="1"/>
      <c r="L100" s="1"/>
    </row>
    <row r="101" spans="1:12">
      <c r="A101" s="171" t="s">
        <v>240</v>
      </c>
      <c r="B101" s="52"/>
      <c r="C101" s="144">
        <v>0</v>
      </c>
      <c r="D101" s="144">
        <v>0</v>
      </c>
      <c r="E101" s="136">
        <v>0</v>
      </c>
      <c r="F101" s="136">
        <v>0</v>
      </c>
      <c r="G101" s="287">
        <v>0</v>
      </c>
      <c r="H101" s="1"/>
      <c r="I101" s="1"/>
      <c r="J101" s="1"/>
      <c r="K101" s="1"/>
      <c r="L101" s="1"/>
    </row>
    <row r="102" spans="1:12">
      <c r="A102" s="171" t="s">
        <v>242</v>
      </c>
      <c r="B102" s="52"/>
      <c r="C102" s="144">
        <f>SUM(C100:C101)</f>
        <v>162</v>
      </c>
      <c r="D102" s="144">
        <f>SUM(D100:D101)</f>
        <v>192</v>
      </c>
      <c r="E102" s="136">
        <f>SUM(E100:E101)</f>
        <v>158</v>
      </c>
      <c r="F102" s="136">
        <f>SUM(F100:F101)</f>
        <v>132</v>
      </c>
      <c r="G102" s="287">
        <f>SUM(G100:G101)</f>
        <v>130</v>
      </c>
      <c r="H102" s="1"/>
      <c r="I102" s="1"/>
      <c r="J102" s="1"/>
      <c r="K102" s="1"/>
      <c r="L102" s="1"/>
    </row>
    <row r="103" spans="1:12">
      <c r="A103" s="171" t="s">
        <v>244</v>
      </c>
      <c r="B103" s="52"/>
      <c r="C103" s="144">
        <v>-4</v>
      </c>
      <c r="D103" s="144">
        <v>-3</v>
      </c>
      <c r="E103" s="136">
        <v>5</v>
      </c>
      <c r="F103" s="136">
        <v>4</v>
      </c>
      <c r="G103" s="287">
        <v>4</v>
      </c>
      <c r="H103" s="1"/>
      <c r="I103" s="1"/>
      <c r="J103" s="1"/>
      <c r="K103" s="1"/>
      <c r="L103" s="1"/>
    </row>
    <row r="104" spans="1:12">
      <c r="A104" s="171" t="s">
        <v>246</v>
      </c>
      <c r="B104" s="52"/>
      <c r="C104" s="144"/>
      <c r="D104" s="144">
        <v>0</v>
      </c>
      <c r="E104" s="136">
        <v>0</v>
      </c>
      <c r="F104" s="136">
        <v>0</v>
      </c>
      <c r="G104" s="287">
        <v>0</v>
      </c>
      <c r="H104" s="1"/>
      <c r="I104" s="1"/>
      <c r="J104" s="1"/>
      <c r="K104" s="1"/>
      <c r="L104" s="1"/>
    </row>
    <row r="105" spans="1:12">
      <c r="A105" s="345" t="s">
        <v>373</v>
      </c>
      <c r="B105" s="52"/>
      <c r="C105" s="144">
        <f>SUM(C88:C89)</f>
        <v>-137</v>
      </c>
      <c r="D105" s="144">
        <f t="shared" ref="D105:G105" si="15">SUM(D88:D89)</f>
        <v>-109</v>
      </c>
      <c r="E105" s="136">
        <f t="shared" si="15"/>
        <v>-134</v>
      </c>
      <c r="F105" s="136">
        <f t="shared" si="15"/>
        <v>-98</v>
      </c>
      <c r="G105" s="287">
        <f t="shared" si="15"/>
        <v>-106</v>
      </c>
      <c r="H105" s="1"/>
      <c r="I105" s="1"/>
      <c r="J105" s="1"/>
      <c r="K105" s="1"/>
      <c r="L105" s="1"/>
    </row>
    <row r="106" spans="1:12">
      <c r="A106" s="97"/>
      <c r="B106" s="52"/>
      <c r="C106" s="334"/>
      <c r="D106" s="334"/>
      <c r="E106" s="335"/>
      <c r="F106" s="335"/>
      <c r="G106" s="350"/>
      <c r="H106" s="1"/>
      <c r="I106" s="1"/>
      <c r="J106" s="1"/>
      <c r="K106" s="1"/>
      <c r="L106" s="1"/>
    </row>
    <row r="107" spans="1:12">
      <c r="A107" s="321" t="s">
        <v>304</v>
      </c>
      <c r="B107" s="347"/>
      <c r="C107" s="149">
        <f>SUM(C86,C88,C89)</f>
        <v>78</v>
      </c>
      <c r="D107" s="149">
        <f>SUM(D86,D88,D89)</f>
        <v>334</v>
      </c>
      <c r="E107" s="139">
        <f>SUM(E86,E88,E89)</f>
        <v>576</v>
      </c>
      <c r="F107" s="139">
        <f>SUM(F86,F88,F89)</f>
        <v>490</v>
      </c>
      <c r="G107" s="290">
        <f>SUM(G86,G88,G89)</f>
        <v>581</v>
      </c>
      <c r="H107" s="1"/>
      <c r="I107" s="1"/>
      <c r="J107" s="1"/>
      <c r="K107" s="1"/>
      <c r="L107" s="1"/>
    </row>
    <row r="108" spans="1:12">
      <c r="A108" s="97"/>
      <c r="B108" s="52"/>
      <c r="C108" s="334"/>
      <c r="D108" s="334"/>
      <c r="E108" s="335"/>
      <c r="F108" s="335"/>
      <c r="G108" s="350"/>
      <c r="H108" s="1"/>
      <c r="I108" s="1"/>
      <c r="J108" s="1"/>
      <c r="K108" s="1"/>
      <c r="L108" s="1"/>
    </row>
    <row r="109" spans="1:12">
      <c r="A109" s="171" t="s">
        <v>254</v>
      </c>
      <c r="B109" s="52"/>
      <c r="C109" s="144">
        <v>105</v>
      </c>
      <c r="D109" s="144">
        <v>138</v>
      </c>
      <c r="E109" s="136">
        <v>107</v>
      </c>
      <c r="F109" s="136">
        <v>146</v>
      </c>
      <c r="G109" s="287">
        <v>147</v>
      </c>
      <c r="H109" s="1"/>
      <c r="I109" s="1"/>
      <c r="J109" s="1"/>
      <c r="K109" s="1"/>
      <c r="L109" s="1"/>
    </row>
    <row r="110" spans="1:12">
      <c r="A110" s="171" t="s">
        <v>256</v>
      </c>
      <c r="B110" s="52"/>
      <c r="C110" s="144">
        <v>23</v>
      </c>
      <c r="D110" s="144">
        <v>25</v>
      </c>
      <c r="E110" s="136">
        <v>26</v>
      </c>
      <c r="F110" s="136">
        <v>30</v>
      </c>
      <c r="G110" s="287">
        <v>30</v>
      </c>
      <c r="H110" s="1"/>
      <c r="I110" s="1"/>
      <c r="J110" s="1"/>
      <c r="K110" s="1"/>
      <c r="L110" s="1"/>
    </row>
    <row r="111" spans="1:12">
      <c r="A111" s="171" t="s">
        <v>258</v>
      </c>
      <c r="B111" s="52"/>
      <c r="C111" s="144">
        <v>-17</v>
      </c>
      <c r="D111" s="144">
        <v>4</v>
      </c>
      <c r="E111" s="136">
        <v>-1</v>
      </c>
      <c r="F111" s="136">
        <v>2</v>
      </c>
      <c r="G111" s="287">
        <v>5</v>
      </c>
      <c r="H111" s="1"/>
      <c r="I111" s="1"/>
      <c r="J111" s="1"/>
      <c r="K111" s="1"/>
      <c r="L111" s="1"/>
    </row>
    <row r="112" spans="1:12">
      <c r="A112" s="345" t="s">
        <v>260</v>
      </c>
      <c r="B112" s="52"/>
      <c r="C112" s="145">
        <f>SUM(C109:C111)</f>
        <v>111</v>
      </c>
      <c r="D112" s="145">
        <f>SUM(D109:D111)</f>
        <v>167</v>
      </c>
      <c r="E112" s="137">
        <f>SUM(E109:E111)</f>
        <v>132</v>
      </c>
      <c r="F112" s="137">
        <f>SUM(F109:F111)</f>
        <v>178</v>
      </c>
      <c r="G112" s="308">
        <f>SUM(G109:G111)</f>
        <v>182</v>
      </c>
      <c r="H112" s="1"/>
      <c r="I112" s="1"/>
      <c r="J112" s="1"/>
      <c r="K112" s="1"/>
      <c r="L112" s="1"/>
    </row>
    <row r="113" spans="1:12">
      <c r="A113" s="171" t="s">
        <v>339</v>
      </c>
      <c r="B113" s="52"/>
      <c r="C113" s="144">
        <v>142</v>
      </c>
      <c r="D113" s="144">
        <v>44</v>
      </c>
      <c r="E113" s="136">
        <v>88</v>
      </c>
      <c r="F113" s="136">
        <v>33</v>
      </c>
      <c r="G113" s="287">
        <v>71</v>
      </c>
      <c r="H113" s="1"/>
      <c r="I113" s="1"/>
      <c r="J113" s="1"/>
      <c r="K113" s="1"/>
      <c r="L113" s="1"/>
    </row>
    <row r="114" spans="1:12">
      <c r="A114" s="171" t="s">
        <v>340</v>
      </c>
      <c r="B114" s="52"/>
      <c r="C114" s="144">
        <v>-120</v>
      </c>
      <c r="D114" s="144">
        <v>-89</v>
      </c>
      <c r="E114" s="136">
        <v>-28</v>
      </c>
      <c r="F114" s="136">
        <v>-54</v>
      </c>
      <c r="G114" s="287">
        <v>-64</v>
      </c>
      <c r="H114" s="1"/>
      <c r="I114" s="1"/>
      <c r="J114" s="1"/>
      <c r="K114" s="1"/>
      <c r="L114" s="1"/>
    </row>
    <row r="115" spans="1:12">
      <c r="A115" s="171" t="s">
        <v>305</v>
      </c>
      <c r="B115" s="52"/>
      <c r="C115" s="144">
        <f>-SUM(C112:C114)</f>
        <v>-133</v>
      </c>
      <c r="D115" s="144">
        <f t="shared" ref="D115:G115" si="16">-SUM(D112:D114)</f>
        <v>-122</v>
      </c>
      <c r="E115" s="136">
        <f t="shared" si="16"/>
        <v>-192</v>
      </c>
      <c r="F115" s="136">
        <f t="shared" si="16"/>
        <v>-157</v>
      </c>
      <c r="G115" s="287">
        <f t="shared" si="16"/>
        <v>-189</v>
      </c>
      <c r="H115" s="1"/>
      <c r="I115" s="1"/>
      <c r="J115" s="1"/>
      <c r="K115" s="1"/>
      <c r="L115" s="1"/>
    </row>
    <row r="116" spans="1:12">
      <c r="A116" s="171" t="s">
        <v>335</v>
      </c>
      <c r="B116" s="52"/>
      <c r="C116" s="144">
        <f>SUM(C117:C118)</f>
        <v>130</v>
      </c>
      <c r="D116" s="144">
        <f t="shared" ref="D116:G116" si="17">SUM(D117:D118)</f>
        <v>20</v>
      </c>
      <c r="E116" s="136">
        <f t="shared" si="17"/>
        <v>-91</v>
      </c>
      <c r="F116" s="136">
        <f t="shared" si="17"/>
        <v>11</v>
      </c>
      <c r="G116" s="287">
        <f t="shared" si="17"/>
        <v>-3</v>
      </c>
      <c r="H116" s="1"/>
      <c r="I116" s="1"/>
      <c r="J116" s="1"/>
      <c r="K116" s="1"/>
      <c r="L116" s="1"/>
    </row>
    <row r="117" spans="1:12">
      <c r="A117" s="171" t="s">
        <v>269</v>
      </c>
      <c r="B117" s="52"/>
      <c r="C117" s="144">
        <v>0</v>
      </c>
      <c r="D117" s="144">
        <v>19</v>
      </c>
      <c r="E117" s="136">
        <v>-85</v>
      </c>
      <c r="F117" s="136">
        <v>21</v>
      </c>
      <c r="G117" s="287">
        <v>1</v>
      </c>
      <c r="H117" s="1"/>
      <c r="I117" s="1"/>
      <c r="J117" s="1"/>
      <c r="K117" s="1"/>
      <c r="L117" s="1"/>
    </row>
    <row r="118" spans="1:12">
      <c r="A118" s="171" t="s">
        <v>273</v>
      </c>
      <c r="B118" s="52"/>
      <c r="C118" s="144">
        <v>130</v>
      </c>
      <c r="D118" s="144">
        <v>1</v>
      </c>
      <c r="E118" s="136">
        <v>-6</v>
      </c>
      <c r="F118" s="136">
        <v>-10</v>
      </c>
      <c r="G118" s="287">
        <v>-4</v>
      </c>
      <c r="H118" s="1"/>
      <c r="I118" s="1"/>
      <c r="J118" s="1"/>
      <c r="K118" s="1"/>
      <c r="L118" s="1"/>
    </row>
    <row r="119" spans="1:12">
      <c r="A119" s="171"/>
      <c r="B119" s="52"/>
      <c r="C119" s="144"/>
      <c r="D119" s="144"/>
      <c r="E119" s="136"/>
      <c r="F119" s="136"/>
      <c r="G119" s="287"/>
      <c r="H119" s="1"/>
      <c r="I119" s="1"/>
      <c r="J119" s="1"/>
      <c r="K119" s="1"/>
      <c r="L119" s="1"/>
    </row>
    <row r="120" spans="1:12" ht="15" thickBot="1">
      <c r="A120" s="326" t="s">
        <v>336</v>
      </c>
      <c r="B120" s="351"/>
      <c r="C120" s="311">
        <f>SUM(C107,C115:C116)</f>
        <v>75</v>
      </c>
      <c r="D120" s="311">
        <f>SUM(D107,D115:D116)</f>
        <v>232</v>
      </c>
      <c r="E120" s="352">
        <f>SUM(E107,E115:E116)</f>
        <v>293</v>
      </c>
      <c r="F120" s="352">
        <f>SUM(F107,F115:F116)</f>
        <v>344</v>
      </c>
      <c r="G120" s="312">
        <f>SUM(G107,G115:G116)</f>
        <v>389</v>
      </c>
      <c r="H120" s="1"/>
      <c r="I120" s="1"/>
      <c r="J120" s="1"/>
      <c r="K120" s="1"/>
      <c r="L120" s="1"/>
    </row>
    <row r="121" spans="1:12">
      <c r="A121" s="1"/>
      <c r="B121" s="1"/>
      <c r="C121" s="1"/>
      <c r="D121" s="1"/>
      <c r="E121" s="1"/>
      <c r="F121" s="1"/>
      <c r="G121" s="1"/>
      <c r="H121" s="1"/>
      <c r="I121" s="1"/>
      <c r="J121" s="1"/>
      <c r="K121" s="1"/>
      <c r="L121" s="1"/>
    </row>
    <row r="122" spans="1:12" ht="15" thickBot="1">
      <c r="A122" s="1"/>
      <c r="B122" s="1"/>
      <c r="C122" s="1"/>
      <c r="D122" s="1"/>
      <c r="E122" s="1"/>
      <c r="F122" s="1"/>
      <c r="G122" s="1"/>
      <c r="H122" s="1"/>
      <c r="I122" s="1"/>
      <c r="J122" s="1"/>
      <c r="K122" s="1"/>
      <c r="L122" s="1"/>
    </row>
    <row r="123" spans="1:12" ht="24.6">
      <c r="A123" s="328" t="s">
        <v>346</v>
      </c>
      <c r="B123" s="247"/>
      <c r="C123" s="248"/>
      <c r="D123" s="248"/>
      <c r="E123" s="248"/>
      <c r="F123" s="249"/>
      <c r="G123" s="1"/>
      <c r="H123" s="1"/>
      <c r="I123" s="1"/>
      <c r="J123" s="1"/>
      <c r="K123" s="1"/>
      <c r="L123" s="1"/>
    </row>
    <row r="124" spans="1:12">
      <c r="A124" s="250"/>
      <c r="B124" s="60"/>
      <c r="C124" s="951" t="s">
        <v>163</v>
      </c>
      <c r="D124" s="951"/>
      <c r="E124" s="951"/>
      <c r="F124" s="952"/>
      <c r="G124" s="1"/>
      <c r="H124" s="1"/>
      <c r="I124" s="1"/>
      <c r="J124" s="1"/>
      <c r="K124" s="1"/>
      <c r="L124" s="1"/>
    </row>
    <row r="125" spans="1:12">
      <c r="A125" s="251"/>
      <c r="B125" s="121" t="s">
        <v>1</v>
      </c>
      <c r="C125" s="108">
        <v>42735</v>
      </c>
      <c r="D125" s="108">
        <v>43100</v>
      </c>
      <c r="E125" s="108">
        <v>43465</v>
      </c>
      <c r="F125" s="252">
        <v>43830</v>
      </c>
      <c r="G125" s="1"/>
      <c r="H125" s="1"/>
      <c r="I125" s="1"/>
      <c r="J125" s="1"/>
      <c r="K125" s="1"/>
      <c r="L125" s="1"/>
    </row>
    <row r="126" spans="1:12">
      <c r="A126" s="171"/>
      <c r="B126" s="2"/>
      <c r="C126" s="28"/>
      <c r="D126" s="26"/>
      <c r="E126" s="26"/>
      <c r="F126" s="254"/>
      <c r="G126" s="1"/>
      <c r="H126" s="1"/>
      <c r="I126" s="1"/>
      <c r="J126" s="1"/>
      <c r="K126" s="1"/>
      <c r="L126" s="1"/>
    </row>
    <row r="127" spans="1:12">
      <c r="A127" s="285" t="s">
        <v>303</v>
      </c>
      <c r="B127" s="2"/>
      <c r="C127" s="174">
        <v>443</v>
      </c>
      <c r="D127" s="175">
        <v>710</v>
      </c>
      <c r="E127" s="175">
        <v>588</v>
      </c>
      <c r="F127" s="255">
        <v>687</v>
      </c>
      <c r="G127" s="1"/>
      <c r="H127" s="1"/>
      <c r="I127" s="1"/>
      <c r="J127" s="1"/>
      <c r="K127" s="1"/>
      <c r="L127" s="1"/>
    </row>
    <row r="128" spans="1:12">
      <c r="A128" s="171" t="s">
        <v>347</v>
      </c>
      <c r="B128" s="2"/>
      <c r="C128" s="176">
        <v>-122</v>
      </c>
      <c r="D128" s="177">
        <v>-192</v>
      </c>
      <c r="E128" s="177">
        <v>-157</v>
      </c>
      <c r="F128" s="256">
        <v>-189</v>
      </c>
      <c r="G128" s="1"/>
      <c r="H128" s="1"/>
      <c r="I128" s="1"/>
      <c r="J128" s="1"/>
      <c r="K128" s="1"/>
      <c r="L128" s="1"/>
    </row>
    <row r="129" spans="1:12">
      <c r="A129" s="171" t="s">
        <v>376</v>
      </c>
      <c r="B129" s="2"/>
      <c r="C129" s="172">
        <v>-39.814371257485028</v>
      </c>
      <c r="D129" s="173">
        <v>-44.666666666666664</v>
      </c>
      <c r="E129" s="173">
        <v>-31.400000000000002</v>
      </c>
      <c r="F129" s="353">
        <v>-34.481927710843372</v>
      </c>
      <c r="G129" s="1"/>
      <c r="H129" s="1"/>
      <c r="I129" s="1"/>
      <c r="J129" s="1"/>
      <c r="K129" s="1"/>
      <c r="L129" s="1"/>
    </row>
    <row r="130" spans="1:12">
      <c r="A130" s="321" t="s">
        <v>348</v>
      </c>
      <c r="B130" s="22"/>
      <c r="C130" s="178">
        <f>C127+C128+C129</f>
        <v>281.18562874251495</v>
      </c>
      <c r="D130" s="178">
        <f t="shared" ref="D130:F130" si="18">D127+D128+D129</f>
        <v>473.33333333333331</v>
      </c>
      <c r="E130" s="178">
        <f t="shared" si="18"/>
        <v>399.6</v>
      </c>
      <c r="F130" s="356">
        <f t="shared" si="18"/>
        <v>463.51807228915663</v>
      </c>
      <c r="G130" s="1"/>
      <c r="H130" s="1"/>
      <c r="I130" s="1"/>
      <c r="J130" s="1"/>
      <c r="K130" s="1"/>
      <c r="L130" s="1"/>
    </row>
    <row r="131" spans="1:12">
      <c r="A131" s="171"/>
      <c r="B131" s="2"/>
      <c r="C131" s="176"/>
      <c r="D131" s="177"/>
      <c r="E131" s="177"/>
      <c r="F131" s="256"/>
      <c r="G131" s="1"/>
      <c r="H131" s="1"/>
      <c r="I131" s="1"/>
      <c r="J131" s="1"/>
      <c r="K131" s="1"/>
      <c r="L131" s="1"/>
    </row>
    <row r="132" spans="1:12">
      <c r="A132" s="171" t="s">
        <v>370</v>
      </c>
      <c r="B132" s="2"/>
      <c r="C132" s="176">
        <v>25</v>
      </c>
      <c r="D132" s="177">
        <v>12</v>
      </c>
      <c r="E132" s="177">
        <v>-40</v>
      </c>
      <c r="F132" s="256">
        <v>3</v>
      </c>
      <c r="G132" s="1"/>
      <c r="H132" s="1"/>
      <c r="I132" s="1"/>
      <c r="J132" s="1"/>
      <c r="K132" s="1"/>
      <c r="L132" s="1"/>
    </row>
    <row r="133" spans="1:12">
      <c r="A133" s="171" t="s">
        <v>349</v>
      </c>
      <c r="B133" s="2"/>
      <c r="C133" s="176">
        <v>-336</v>
      </c>
      <c r="D133" s="177">
        <v>150</v>
      </c>
      <c r="E133" s="177">
        <v>-110</v>
      </c>
      <c r="F133" s="256">
        <v>-71</v>
      </c>
      <c r="G133" s="1"/>
      <c r="H133" s="1"/>
      <c r="I133" s="1"/>
      <c r="J133" s="1"/>
      <c r="K133" s="1"/>
      <c r="L133" s="1"/>
    </row>
    <row r="134" spans="1:12">
      <c r="A134" s="171" t="s">
        <v>369</v>
      </c>
      <c r="B134" s="2"/>
      <c r="C134" s="176">
        <v>214</v>
      </c>
      <c r="D134" s="177">
        <v>-3</v>
      </c>
      <c r="E134" s="177">
        <v>32</v>
      </c>
      <c r="F134" s="256">
        <v>68</v>
      </c>
      <c r="G134" s="1"/>
      <c r="H134" s="1"/>
      <c r="I134" s="1"/>
      <c r="J134" s="1"/>
      <c r="K134" s="1"/>
      <c r="L134" s="1"/>
    </row>
    <row r="135" spans="1:12">
      <c r="A135" s="321" t="s">
        <v>371</v>
      </c>
      <c r="B135" s="22"/>
      <c r="C135" s="178">
        <f>C132+C133+C134</f>
        <v>-97</v>
      </c>
      <c r="D135" s="178">
        <f t="shared" ref="D135:F135" si="19">D132+D133+D134</f>
        <v>159</v>
      </c>
      <c r="E135" s="178">
        <f t="shared" si="19"/>
        <v>-118</v>
      </c>
      <c r="F135" s="356">
        <f t="shared" si="19"/>
        <v>0</v>
      </c>
      <c r="G135" s="1"/>
      <c r="H135" s="1"/>
      <c r="I135" s="1"/>
      <c r="J135" s="1"/>
      <c r="K135" s="1"/>
      <c r="L135" s="1"/>
    </row>
    <row r="136" spans="1:12">
      <c r="A136" s="171"/>
      <c r="B136" s="2"/>
      <c r="C136" s="176"/>
      <c r="D136" s="177"/>
      <c r="E136" s="177"/>
      <c r="F136" s="256"/>
      <c r="G136" s="1"/>
      <c r="H136" s="1"/>
      <c r="I136" s="1"/>
      <c r="J136" s="1"/>
      <c r="K136" s="1"/>
      <c r="L136" s="1"/>
    </row>
    <row r="137" spans="1:12">
      <c r="A137" s="171" t="s">
        <v>350</v>
      </c>
      <c r="B137" s="2"/>
      <c r="C137" s="176">
        <v>-8</v>
      </c>
      <c r="D137" s="177">
        <v>-82</v>
      </c>
      <c r="E137" s="177">
        <v>69</v>
      </c>
      <c r="F137" s="256">
        <v>-167</v>
      </c>
      <c r="G137" s="1"/>
      <c r="H137" s="1"/>
      <c r="I137" s="1"/>
      <c r="J137" s="1"/>
      <c r="K137" s="1"/>
      <c r="L137" s="1"/>
    </row>
    <row r="138" spans="1:12">
      <c r="A138" s="171" t="s">
        <v>351</v>
      </c>
      <c r="B138" s="2"/>
      <c r="C138" s="176">
        <v>218</v>
      </c>
      <c r="D138" s="177">
        <v>-224</v>
      </c>
      <c r="E138" s="177">
        <v>99</v>
      </c>
      <c r="F138" s="256">
        <v>241</v>
      </c>
      <c r="G138" s="1"/>
      <c r="H138" s="1"/>
      <c r="I138" s="1"/>
      <c r="J138" s="1"/>
      <c r="K138" s="1"/>
      <c r="L138" s="1"/>
    </row>
    <row r="139" spans="1:12">
      <c r="A139" s="321" t="s">
        <v>372</v>
      </c>
      <c r="B139" s="22"/>
      <c r="C139" s="178">
        <f>C135+C137+C138</f>
        <v>113</v>
      </c>
      <c r="D139" s="178">
        <f t="shared" ref="D139:F139" si="20">D135+D137+D138</f>
        <v>-147</v>
      </c>
      <c r="E139" s="178">
        <f t="shared" si="20"/>
        <v>50</v>
      </c>
      <c r="F139" s="356">
        <f t="shared" si="20"/>
        <v>74</v>
      </c>
      <c r="G139" s="1"/>
      <c r="H139" s="1"/>
      <c r="I139" s="1"/>
      <c r="J139" s="1"/>
      <c r="K139" s="1"/>
      <c r="L139" s="1"/>
    </row>
    <row r="140" spans="1:12">
      <c r="A140" s="171"/>
      <c r="B140" s="2"/>
      <c r="C140" s="176"/>
      <c r="D140" s="177"/>
      <c r="E140" s="177"/>
      <c r="F140" s="256"/>
      <c r="G140" s="1"/>
      <c r="H140" s="1"/>
      <c r="I140" s="1"/>
      <c r="J140" s="1"/>
      <c r="K140" s="1"/>
      <c r="L140" s="1"/>
    </row>
    <row r="141" spans="1:12">
      <c r="A141" s="171" t="s">
        <v>352</v>
      </c>
      <c r="B141" s="2"/>
      <c r="C141" s="176">
        <v>-1066</v>
      </c>
      <c r="D141" s="177">
        <v>-80</v>
      </c>
      <c r="E141" s="177">
        <v>-1076</v>
      </c>
      <c r="F141" s="256">
        <v>-837</v>
      </c>
      <c r="G141" s="1"/>
      <c r="H141" s="1"/>
      <c r="I141" s="1"/>
      <c r="J141" s="1"/>
      <c r="K141" s="1"/>
      <c r="L141" s="1"/>
    </row>
    <row r="142" spans="1:12">
      <c r="A142" s="171" t="s">
        <v>353</v>
      </c>
      <c r="B142" s="2"/>
      <c r="C142" s="176">
        <v>648</v>
      </c>
      <c r="D142" s="177">
        <v>444</v>
      </c>
      <c r="E142" s="177">
        <v>623</v>
      </c>
      <c r="F142" s="256">
        <v>511</v>
      </c>
      <c r="G142" s="1"/>
      <c r="H142" s="1"/>
      <c r="I142" s="1"/>
      <c r="J142" s="1"/>
      <c r="K142" s="1"/>
      <c r="L142" s="1"/>
    </row>
    <row r="143" spans="1:12">
      <c r="A143" s="171" t="s">
        <v>354</v>
      </c>
      <c r="B143" s="2"/>
      <c r="C143" s="176">
        <v>95</v>
      </c>
      <c r="D143" s="176">
        <v>-46</v>
      </c>
      <c r="E143" s="176">
        <v>17</v>
      </c>
      <c r="F143" s="259">
        <v>34</v>
      </c>
      <c r="G143" s="1"/>
      <c r="H143" s="1"/>
      <c r="I143" s="1"/>
      <c r="J143" s="1"/>
      <c r="K143" s="1"/>
      <c r="L143" s="1"/>
    </row>
    <row r="144" spans="1:12">
      <c r="A144" s="171" t="s">
        <v>355</v>
      </c>
      <c r="B144" s="2"/>
      <c r="C144" s="176">
        <v>33</v>
      </c>
      <c r="D144" s="176">
        <v>-46</v>
      </c>
      <c r="E144" s="176">
        <v>-5</v>
      </c>
      <c r="F144" s="259">
        <v>-7</v>
      </c>
      <c r="G144" s="1"/>
      <c r="H144" s="1"/>
      <c r="I144" s="1"/>
      <c r="J144" s="1"/>
      <c r="K144" s="1"/>
      <c r="L144" s="1"/>
    </row>
    <row r="145" spans="1:12">
      <c r="A145" s="171" t="s">
        <v>368</v>
      </c>
      <c r="B145" s="2"/>
      <c r="C145" s="176">
        <v>-33</v>
      </c>
      <c r="D145" s="176">
        <v>40</v>
      </c>
      <c r="E145" s="176">
        <v>37</v>
      </c>
      <c r="F145" s="259">
        <v>-13</v>
      </c>
      <c r="G145" s="1"/>
      <c r="H145" s="1"/>
      <c r="I145" s="1"/>
      <c r="J145" s="1"/>
      <c r="K145" s="1"/>
      <c r="L145" s="1"/>
    </row>
    <row r="146" spans="1:12">
      <c r="A146" s="171" t="s">
        <v>356</v>
      </c>
      <c r="B146" s="2"/>
      <c r="C146" s="176">
        <v>20</v>
      </c>
      <c r="D146" s="177">
        <v>-91</v>
      </c>
      <c r="E146" s="177">
        <v>11</v>
      </c>
      <c r="F146" s="256">
        <v>-3</v>
      </c>
      <c r="G146" s="1"/>
      <c r="H146" s="1"/>
      <c r="I146" s="1"/>
      <c r="J146" s="1"/>
      <c r="K146" s="1"/>
      <c r="L146" s="1"/>
    </row>
    <row r="147" spans="1:12">
      <c r="A147" s="329" t="s">
        <v>357</v>
      </c>
      <c r="B147" s="17"/>
      <c r="C147" s="180">
        <f>C130+C139+SUM(C141:C146)</f>
        <v>91.18562874251495</v>
      </c>
      <c r="D147" s="180">
        <f t="shared" ref="D147:F147" si="21">D130+D139+SUM(D141:D146)</f>
        <v>547.33333333333326</v>
      </c>
      <c r="E147" s="180">
        <f t="shared" si="21"/>
        <v>56.600000000000023</v>
      </c>
      <c r="F147" s="260">
        <f t="shared" si="21"/>
        <v>222.51807228915663</v>
      </c>
      <c r="G147" s="1"/>
      <c r="H147" s="1"/>
      <c r="I147" s="1"/>
      <c r="J147" s="1"/>
      <c r="K147" s="1"/>
      <c r="L147" s="1"/>
    </row>
    <row r="148" spans="1:12">
      <c r="A148" s="171" t="s">
        <v>358</v>
      </c>
      <c r="B148" s="2"/>
      <c r="C148" s="184">
        <f>C147/C127</f>
        <v>0.20583663373028205</v>
      </c>
      <c r="D148" s="184">
        <f t="shared" ref="D148:F148" si="22">D147/D127</f>
        <v>0.77089201877934266</v>
      </c>
      <c r="E148" s="184">
        <f t="shared" si="22"/>
        <v>9.6258503401360579E-2</v>
      </c>
      <c r="F148" s="261">
        <f t="shared" si="22"/>
        <v>0.3238982129390926</v>
      </c>
      <c r="G148" s="1"/>
      <c r="H148" s="1"/>
      <c r="I148" s="1"/>
      <c r="J148" s="1"/>
      <c r="K148" s="1"/>
      <c r="L148" s="1"/>
    </row>
    <row r="149" spans="1:12">
      <c r="A149" s="171"/>
      <c r="B149" s="2"/>
      <c r="C149" s="176"/>
      <c r="D149" s="177"/>
      <c r="E149" s="177"/>
      <c r="F149" s="256"/>
      <c r="G149" s="1"/>
      <c r="H149" s="1"/>
      <c r="I149" s="1"/>
      <c r="J149" s="1"/>
      <c r="K149" s="1"/>
      <c r="L149" s="1"/>
    </row>
    <row r="150" spans="1:12">
      <c r="A150" s="171" t="s">
        <v>359</v>
      </c>
      <c r="B150" s="2"/>
      <c r="C150" s="176">
        <f>C7+C8-D7-D8 +D105</f>
        <v>-109</v>
      </c>
      <c r="D150" s="176">
        <f t="shared" ref="D150:F150" si="23">D7+D8-E7-E8 +E105</f>
        <v>-125</v>
      </c>
      <c r="E150" s="176">
        <f t="shared" si="23"/>
        <v>-50</v>
      </c>
      <c r="F150" s="259">
        <f t="shared" si="23"/>
        <v>-128</v>
      </c>
      <c r="G150" s="1"/>
      <c r="H150" s="1"/>
      <c r="I150" s="1"/>
      <c r="J150" s="1"/>
      <c r="K150" s="1"/>
      <c r="L150" s="1"/>
    </row>
    <row r="151" spans="1:12">
      <c r="A151" s="171" t="s">
        <v>360</v>
      </c>
      <c r="B151" s="2"/>
      <c r="C151" s="176">
        <f>C44-D44</f>
        <v>3</v>
      </c>
      <c r="D151" s="176">
        <f t="shared" ref="D151:F151" si="24">D44-E44</f>
        <v>171</v>
      </c>
      <c r="E151" s="176">
        <f t="shared" si="24"/>
        <v>-263</v>
      </c>
      <c r="F151" s="259">
        <f t="shared" si="24"/>
        <v>-64</v>
      </c>
      <c r="G151" s="1"/>
      <c r="H151" s="1"/>
      <c r="I151" s="1"/>
      <c r="J151" s="1"/>
      <c r="K151" s="1"/>
      <c r="L151" s="1"/>
    </row>
    <row r="152" spans="1:12">
      <c r="A152" s="171" t="s">
        <v>377</v>
      </c>
      <c r="B152" s="2"/>
      <c r="C152" s="241">
        <f>-C129</f>
        <v>39.814371257485028</v>
      </c>
      <c r="D152" s="241">
        <f t="shared" ref="D152:F152" si="25">-D129</f>
        <v>44.666666666666664</v>
      </c>
      <c r="E152" s="241">
        <f t="shared" si="25"/>
        <v>31.400000000000002</v>
      </c>
      <c r="F152" s="357">
        <f t="shared" si="25"/>
        <v>34.481927710843372</v>
      </c>
      <c r="G152" s="1"/>
      <c r="H152" s="1"/>
      <c r="I152" s="1"/>
      <c r="J152" s="1"/>
      <c r="K152" s="1"/>
      <c r="L152" s="1"/>
    </row>
    <row r="153" spans="1:12">
      <c r="A153" s="329" t="s">
        <v>361</v>
      </c>
      <c r="B153" s="17"/>
      <c r="C153" s="354">
        <f>C147+C150+C151+C152</f>
        <v>24.999999999999979</v>
      </c>
      <c r="D153" s="354">
        <f t="shared" ref="D153:F153" si="26">D147+D150+D151+D152</f>
        <v>637.99999999999989</v>
      </c>
      <c r="E153" s="354">
        <f t="shared" si="26"/>
        <v>-224.99999999999997</v>
      </c>
      <c r="F153" s="358">
        <f t="shared" si="26"/>
        <v>65</v>
      </c>
      <c r="G153" s="1"/>
      <c r="H153" s="1"/>
      <c r="I153" s="1"/>
      <c r="J153" s="1"/>
      <c r="K153" s="1"/>
      <c r="L153" s="1"/>
    </row>
    <row r="154" spans="1:12">
      <c r="A154" s="171" t="s">
        <v>362</v>
      </c>
      <c r="B154" s="2"/>
      <c r="C154" s="355">
        <f>C153/C127</f>
        <v>5.6433408577878055E-2</v>
      </c>
      <c r="D154" s="355">
        <f t="shared" ref="D154:F154" si="27">D153/D127</f>
        <v>0.89859154929577445</v>
      </c>
      <c r="E154" s="355">
        <f t="shared" si="27"/>
        <v>-0.38265306122448972</v>
      </c>
      <c r="F154" s="359">
        <f t="shared" si="27"/>
        <v>9.4614264919941779E-2</v>
      </c>
      <c r="G154" s="1"/>
      <c r="H154" s="1"/>
      <c r="I154" s="1"/>
      <c r="J154" s="1"/>
      <c r="K154" s="1"/>
      <c r="L154" s="1"/>
    </row>
    <row r="155" spans="1:12">
      <c r="A155" s="171"/>
      <c r="B155" s="2"/>
      <c r="C155" s="182"/>
      <c r="D155" s="183"/>
      <c r="E155" s="183"/>
      <c r="F155" s="263"/>
      <c r="G155" s="1"/>
      <c r="H155" s="1"/>
      <c r="I155" s="1"/>
      <c r="J155" s="1"/>
      <c r="K155" s="1"/>
      <c r="L155" s="1"/>
    </row>
    <row r="156" spans="1:12">
      <c r="A156" s="171" t="s">
        <v>363</v>
      </c>
      <c r="B156" s="2"/>
      <c r="C156" s="183">
        <f>C38-D38-D120</f>
        <v>-212</v>
      </c>
      <c r="D156" s="183">
        <f t="shared" ref="D156:F156" si="28">D38-E38-E120</f>
        <v>-559</v>
      </c>
      <c r="E156" s="183">
        <f t="shared" si="28"/>
        <v>166</v>
      </c>
      <c r="F156" s="263">
        <f t="shared" si="28"/>
        <v>-261</v>
      </c>
      <c r="G156" s="1"/>
      <c r="H156" s="1"/>
      <c r="I156" s="1"/>
      <c r="J156" s="1"/>
      <c r="K156" s="1"/>
      <c r="L156" s="1"/>
    </row>
    <row r="157" spans="1:12">
      <c r="A157" s="285" t="s">
        <v>364</v>
      </c>
      <c r="B157" s="2"/>
      <c r="C157" s="182">
        <f>C153+C156</f>
        <v>-187.00000000000003</v>
      </c>
      <c r="D157" s="182">
        <f t="shared" ref="D157:F157" si="29">D153+D156</f>
        <v>78.999999999999886</v>
      </c>
      <c r="E157" s="182">
        <f t="shared" si="29"/>
        <v>-58.999999999999972</v>
      </c>
      <c r="F157" s="264">
        <f t="shared" si="29"/>
        <v>-196</v>
      </c>
      <c r="G157" s="1"/>
      <c r="H157" s="1"/>
      <c r="I157" s="1"/>
      <c r="J157" s="1"/>
      <c r="K157" s="1"/>
      <c r="L157" s="1"/>
    </row>
    <row r="158" spans="1:12">
      <c r="A158" s="285" t="s">
        <v>476</v>
      </c>
      <c r="B158" s="2"/>
      <c r="C158" s="182">
        <f>C46-D46</f>
        <v>-47</v>
      </c>
      <c r="D158" s="182">
        <f t="shared" ref="D158:F158" si="30">D46-E46</f>
        <v>210</v>
      </c>
      <c r="E158" s="182">
        <f t="shared" si="30"/>
        <v>-8</v>
      </c>
      <c r="F158" s="264">
        <f t="shared" si="30"/>
        <v>6</v>
      </c>
      <c r="G158" s="1"/>
      <c r="H158" s="1"/>
      <c r="I158" s="1"/>
      <c r="J158" s="1"/>
      <c r="K158" s="1"/>
      <c r="L158" s="1"/>
    </row>
    <row r="159" spans="1:12">
      <c r="A159" s="171"/>
      <c r="B159" s="2"/>
      <c r="C159" s="182"/>
      <c r="D159" s="182"/>
      <c r="E159" s="182"/>
      <c r="F159" s="264"/>
      <c r="G159" s="1"/>
      <c r="H159" s="1"/>
      <c r="I159" s="1"/>
      <c r="J159" s="1"/>
      <c r="K159" s="1"/>
      <c r="L159" s="1"/>
    </row>
    <row r="160" spans="1:12">
      <c r="A160" s="171" t="s">
        <v>365</v>
      </c>
      <c r="B160" s="2"/>
      <c r="C160" s="182">
        <v>636</v>
      </c>
      <c r="D160" s="183">
        <v>402</v>
      </c>
      <c r="E160" s="183">
        <v>691</v>
      </c>
      <c r="F160" s="263">
        <v>624</v>
      </c>
      <c r="G160" s="1"/>
      <c r="H160" s="1"/>
      <c r="I160" s="1"/>
      <c r="J160" s="1"/>
      <c r="K160" s="1"/>
      <c r="L160" s="1"/>
    </row>
    <row r="161" spans="1:12">
      <c r="A161" s="171" t="s">
        <v>366</v>
      </c>
      <c r="B161" s="2"/>
      <c r="C161" s="182">
        <v>402</v>
      </c>
      <c r="D161" s="183">
        <v>691</v>
      </c>
      <c r="E161" s="183">
        <v>624</v>
      </c>
      <c r="F161" s="263">
        <v>434</v>
      </c>
      <c r="G161" s="1"/>
      <c r="H161" s="1"/>
      <c r="I161" s="1"/>
      <c r="J161" s="1"/>
      <c r="K161" s="1"/>
      <c r="L161" s="1"/>
    </row>
    <row r="162" spans="1:12" ht="15" thickBot="1">
      <c r="A162" s="330" t="s">
        <v>367</v>
      </c>
      <c r="B162" s="266"/>
      <c r="C162" s="267">
        <v>-234</v>
      </c>
      <c r="D162" s="267">
        <v>289</v>
      </c>
      <c r="E162" s="267">
        <v>-67</v>
      </c>
      <c r="F162" s="268">
        <v>-190</v>
      </c>
      <c r="G162" s="1"/>
      <c r="H162" s="1"/>
      <c r="I162" s="1"/>
      <c r="J162" s="1"/>
      <c r="K162" s="1"/>
      <c r="L162" s="1"/>
    </row>
    <row r="163" spans="1:12" ht="15" thickBot="1">
      <c r="A163" s="253"/>
      <c r="B163" s="52"/>
      <c r="C163" s="52"/>
      <c r="D163" s="52"/>
      <c r="E163" s="52"/>
      <c r="F163" s="273"/>
      <c r="G163" s="1"/>
      <c r="H163" s="1"/>
      <c r="I163" s="1"/>
      <c r="J163" s="1"/>
      <c r="K163" s="1"/>
      <c r="L163" s="1"/>
    </row>
    <row r="164" spans="1:12" ht="15" thickBot="1">
      <c r="A164" s="269" t="s">
        <v>378</v>
      </c>
      <c r="B164" s="270"/>
      <c r="C164" s="270">
        <f>IF(C157+C158=C162,0,"differentfrom0")</f>
        <v>0</v>
      </c>
      <c r="D164" s="270">
        <f t="shared" ref="D164:F164" si="31">IF(D157+D158=D162,0,"differentfrom0")</f>
        <v>0</v>
      </c>
      <c r="E164" s="270">
        <f t="shared" si="31"/>
        <v>0</v>
      </c>
      <c r="F164" s="271">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A2A </vt:lpstr>
      <vt:lpstr>Index </vt:lpstr>
      <vt:lpstr>Financial statements</vt:lpstr>
      <vt:lpstr>Income Statement</vt:lpstr>
      <vt:lpstr>Reorganised Statements</vt:lpstr>
      <vt:lpstr>Cash flows</vt:lpstr>
      <vt:lpstr>Trailing 12-months</vt:lpstr>
      <vt:lpstr>Ratios </vt:lpstr>
      <vt:lpstr>Consob Reorg </vt:lpstr>
      <vt:lpstr>WACC</vt:lpstr>
      <vt:lpstr>Forecasts Gianmarco </vt:lpstr>
      <vt:lpstr>Forecasts Simone</vt:lpstr>
      <vt:lpstr>DCF Valuation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2020-07-06T15:35:56Z</dcterms:modified>
</cp:coreProperties>
</file>