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
    </mc:Choice>
  </mc:AlternateContent>
  <xr:revisionPtr revIDLastSave="795" documentId="13_ncr:1_{D6F335B7-F14E-4252-BB11-080FF721C412}" xr6:coauthVersionLast="45" xr6:coauthVersionMax="45" xr10:uidLastSave="{C7DA1365-7120-4DEA-8FA6-AE4172619FEB}"/>
  <bookViews>
    <workbookView xWindow="-108" yWindow="-108" windowWidth="23256" windowHeight="12576" firstSheet="4"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rco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 i="19" l="1"/>
  <c r="H17" i="19"/>
  <c r="E74" i="19"/>
  <c r="H85" i="19"/>
  <c r="H86" i="19" s="1"/>
  <c r="H87" i="19" s="1"/>
  <c r="E79" i="19"/>
  <c r="E118" i="19"/>
  <c r="E113" i="19"/>
  <c r="H124" i="19"/>
  <c r="K155" i="19"/>
  <c r="I29" i="19"/>
  <c r="I26" i="19"/>
  <c r="K162" i="19"/>
  <c r="K148" i="19"/>
  <c r="G67" i="16"/>
  <c r="K78" i="17" l="1"/>
  <c r="D17" i="13" l="1"/>
  <c r="D51" i="13"/>
  <c r="D15" i="13" s="1"/>
  <c r="E15" i="13"/>
  <c r="F15" i="13"/>
  <c r="G15" i="13"/>
  <c r="H15" i="13"/>
  <c r="E13" i="13"/>
  <c r="F13" i="13"/>
  <c r="G13" i="13"/>
  <c r="H13" i="13"/>
  <c r="D13" i="13"/>
  <c r="E11" i="13"/>
  <c r="F11" i="13"/>
  <c r="G11" i="13"/>
  <c r="D11" i="13"/>
  <c r="D5" i="13"/>
  <c r="D9" i="13"/>
  <c r="H69" i="17" l="1"/>
  <c r="I69" i="17"/>
  <c r="J69" i="17" s="1"/>
  <c r="K69" i="17" s="1"/>
  <c r="G67" i="17"/>
  <c r="G68" i="17"/>
  <c r="G69" i="17"/>
  <c r="G70" i="17"/>
  <c r="C173" i="17"/>
  <c r="D173" i="17"/>
  <c r="E173" i="17"/>
  <c r="B173" i="17"/>
  <c r="G117" i="17"/>
  <c r="K34" i="17"/>
  <c r="K33" i="17"/>
  <c r="H33" i="17"/>
  <c r="I33" i="17"/>
  <c r="J33" i="17"/>
  <c r="H34" i="17"/>
  <c r="I34" i="17"/>
  <c r="J34" i="17"/>
  <c r="G34" i="17"/>
  <c r="G33" i="17"/>
  <c r="F87" i="11" l="1"/>
  <c r="G20" i="11"/>
  <c r="D135" i="19" l="1"/>
  <c r="H107" i="19"/>
  <c r="H123" i="19" s="1"/>
  <c r="I107" i="19"/>
  <c r="I123" i="19" s="1"/>
  <c r="J107" i="19"/>
  <c r="J123" i="19" s="1"/>
  <c r="K107" i="19"/>
  <c r="L107" i="19"/>
  <c r="L108" i="19" s="1"/>
  <c r="D95" i="19"/>
  <c r="H68" i="19"/>
  <c r="I68" i="19"/>
  <c r="I84" i="19" s="1"/>
  <c r="J68" i="19"/>
  <c r="K68" i="19"/>
  <c r="K69" i="19" s="1"/>
  <c r="L68" i="19"/>
  <c r="L84" i="19" s="1"/>
  <c r="C56" i="19"/>
  <c r="E78" i="19" s="1"/>
  <c r="K108" i="19" l="1"/>
  <c r="E117" i="19"/>
  <c r="E112" i="19" s="1"/>
  <c r="K123" i="19"/>
  <c r="J108" i="19"/>
  <c r="I108" i="19"/>
  <c r="L123" i="19"/>
  <c r="J69" i="19"/>
  <c r="K84" i="19"/>
  <c r="J84" i="19"/>
  <c r="H84" i="19"/>
  <c r="L69" i="19"/>
  <c r="E73" i="19" s="1"/>
  <c r="M84" i="19" s="1"/>
  <c r="N84" i="19" s="1"/>
  <c r="O84" i="19" s="1"/>
  <c r="I69" i="19"/>
  <c r="M123" i="19" l="1"/>
  <c r="N123" i="19" s="1"/>
  <c r="O123" i="19" s="1"/>
  <c r="I11" i="19" l="1"/>
  <c r="J11" i="19" s="1"/>
  <c r="K11" i="19" s="1"/>
  <c r="L11"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G140" i="17" s="1"/>
  <c r="L30" i="19"/>
  <c r="I13" i="19"/>
  <c r="G11" i="19"/>
  <c r="F11" i="19"/>
  <c r="E11" i="19"/>
  <c r="D11" i="19"/>
  <c r="C138" i="17" s="1"/>
  <c r="C137" i="17" s="1"/>
  <c r="C11" i="19"/>
  <c r="B138" i="17" s="1"/>
  <c r="B137" i="17" s="1"/>
  <c r="D13" i="19" l="1"/>
  <c r="H13" i="19"/>
  <c r="F138" i="17"/>
  <c r="F137" i="17" s="1"/>
  <c r="E13" i="19"/>
  <c r="D138" i="17"/>
  <c r="D137" i="17" s="1"/>
  <c r="F13" i="19"/>
  <c r="E138" i="17"/>
  <c r="E137" i="17" s="1"/>
  <c r="I138" i="17"/>
  <c r="I137" i="17" s="1"/>
  <c r="G13" i="19"/>
  <c r="J13" i="19" l="1"/>
  <c r="J138" i="17"/>
  <c r="J137" i="17" s="1"/>
  <c r="K138" i="17" l="1"/>
  <c r="K137" i="17" s="1"/>
  <c r="K13" i="19"/>
  <c r="L13" i="19" l="1"/>
  <c r="L29" i="19" s="1"/>
  <c r="L31" i="19" l="1"/>
  <c r="M11" i="19" s="1"/>
  <c r="M13" i="19" l="1"/>
  <c r="N11" i="19"/>
  <c r="O11" i="19" s="1"/>
  <c r="N13" i="19" l="1"/>
  <c r="O13"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67" i="17" s="1"/>
  <c r="I67" i="17" s="1"/>
  <c r="J67" i="17" s="1"/>
  <c r="K67" i="17" s="1"/>
  <c r="H35" i="13"/>
  <c r="D39" i="13"/>
  <c r="B69" i="17"/>
  <c r="D37" i="13"/>
  <c r="F35" i="13"/>
  <c r="D67" i="17"/>
  <c r="H39" i="13"/>
  <c r="F69" i="17"/>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J9" i="16" l="1"/>
  <c r="J10" i="16" s="1"/>
  <c r="E227" i="17"/>
  <c r="D227" i="17"/>
  <c r="G235" i="17"/>
  <c r="F227" i="17"/>
  <c r="C227" i="17"/>
  <c r="G144" i="17"/>
  <c r="H84" i="17"/>
  <c r="G202" i="17"/>
  <c r="H85" i="17"/>
  <c r="G203" i="17"/>
  <c r="H86" i="17"/>
  <c r="H235" i="17" s="1"/>
  <c r="G204" i="17"/>
  <c r="D140" i="17"/>
  <c r="H145" i="17"/>
  <c r="E58" i="16"/>
  <c r="D41" i="16"/>
  <c r="D44" i="16" s="1"/>
  <c r="F99" i="17"/>
  <c r="B99" i="17"/>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F65" i="16"/>
  <c r="F42" i="13"/>
  <c r="F41" i="13"/>
  <c r="E42" i="13"/>
  <c r="E41" i="13"/>
  <c r="H42" i="13"/>
  <c r="H41" i="13"/>
  <c r="G42" i="13"/>
  <c r="G41" i="13"/>
  <c r="D42" i="13"/>
  <c r="D41" i="13"/>
  <c r="I140" i="17"/>
  <c r="I145" i="17"/>
  <c r="V127" i="17"/>
  <c r="G60" i="16"/>
  <c r="G65" i="16" l="1"/>
  <c r="C57" i="19"/>
  <c r="C54" i="19"/>
  <c r="I143" i="17"/>
  <c r="I147" i="17" s="1"/>
  <c r="J235" i="17"/>
  <c r="I237" i="17"/>
  <c r="I236" i="17"/>
  <c r="K86" i="17"/>
  <c r="K204" i="17" s="1"/>
  <c r="J204" i="17"/>
  <c r="K84" i="17"/>
  <c r="K202" i="17" s="1"/>
  <c r="J202" i="17"/>
  <c r="K85" i="17"/>
  <c r="K203" i="17" s="1"/>
  <c r="J203" i="17"/>
  <c r="G63" i="16"/>
  <c r="C15" i="11" s="1"/>
  <c r="J140" i="17"/>
  <c r="J145" i="17"/>
  <c r="I17" i="19" l="1"/>
  <c r="H18" i="19"/>
  <c r="I85" i="19"/>
  <c r="J85" i="19" s="1"/>
  <c r="I24" i="19"/>
  <c r="O17" i="19"/>
  <c r="E80" i="19"/>
  <c r="C17" i="11"/>
  <c r="C58" i="19"/>
  <c r="K236" i="17"/>
  <c r="J236" i="17"/>
  <c r="J143" i="17"/>
  <c r="J147" i="17" s="1"/>
  <c r="I207" i="17"/>
  <c r="K237" i="17"/>
  <c r="J237" i="17"/>
  <c r="K235" i="17"/>
  <c r="K145" i="17"/>
  <c r="K140" i="17"/>
  <c r="J18" i="19" l="1"/>
  <c r="L86" i="19"/>
  <c r="J86" i="19"/>
  <c r="K86" i="19"/>
  <c r="K17" i="19"/>
  <c r="L17" i="19" s="1"/>
  <c r="I86" i="19"/>
  <c r="I87" i="19" s="1"/>
  <c r="E131" i="11"/>
  <c r="J131" i="11"/>
  <c r="I18" i="19"/>
  <c r="I30" i="19"/>
  <c r="P17" i="19"/>
  <c r="E119" i="19"/>
  <c r="K143" i="17"/>
  <c r="K147" i="17" s="1"/>
  <c r="J207" i="17"/>
  <c r="L18" i="19" l="1"/>
  <c r="K18" i="19"/>
  <c r="K85" i="19"/>
  <c r="J87" i="19"/>
  <c r="K207" i="17"/>
  <c r="G57" i="11"/>
  <c r="H57" i="11"/>
  <c r="I57" i="11"/>
  <c r="F57" i="11"/>
  <c r="G155" i="2"/>
  <c r="G145" i="2" s="1"/>
  <c r="G138" i="2" s="1"/>
  <c r="F155" i="2"/>
  <c r="F145" i="2" s="1"/>
  <c r="F138" i="2" s="1"/>
  <c r="E155" i="2"/>
  <c r="D155" i="2"/>
  <c r="D145" i="2" s="1"/>
  <c r="G135" i="2"/>
  <c r="F135" i="2"/>
  <c r="E135" i="2"/>
  <c r="D135" i="2"/>
  <c r="I31" i="19" l="1"/>
  <c r="M17" i="19" s="1"/>
  <c r="M18" i="19" s="1"/>
  <c r="J34" i="19"/>
  <c r="K87" i="19"/>
  <c r="L85" i="19"/>
  <c r="M85" i="19" s="1"/>
  <c r="E145" i="2"/>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N85" i="19" l="1"/>
  <c r="M86" i="19"/>
  <c r="M87" i="19" s="1"/>
  <c r="N17" i="19"/>
  <c r="L87" i="19"/>
  <c r="D90" i="19" s="1"/>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O85" i="19" l="1"/>
  <c r="O86" i="19" s="1"/>
  <c r="N86" i="19"/>
  <c r="N87" i="19" s="1"/>
  <c r="P18" i="19"/>
  <c r="J36" i="19" s="1"/>
  <c r="N18" i="19"/>
  <c r="O18" i="19"/>
  <c r="G7" i="13"/>
  <c r="J249" i="1"/>
  <c r="J259" i="1" s="1"/>
  <c r="J262" i="1" s="1"/>
  <c r="J265" i="1" s="1"/>
  <c r="E72" i="11"/>
  <c r="E70" i="11"/>
  <c r="F25" i="11"/>
  <c r="G53" i="11"/>
  <c r="I51" i="11"/>
  <c r="H51" i="11"/>
  <c r="I55" i="11"/>
  <c r="G55" i="11"/>
  <c r="H53" i="11"/>
  <c r="I53" i="11"/>
  <c r="G51" i="11"/>
  <c r="I49" i="11"/>
  <c r="G49" i="11"/>
  <c r="E21" i="11" s="1"/>
  <c r="F45" i="11"/>
  <c r="G45" i="11"/>
  <c r="H45" i="11"/>
  <c r="I45" i="11"/>
  <c r="J35" i="19" l="1"/>
  <c r="J37" i="19" s="1"/>
  <c r="P85" i="19"/>
  <c r="F24" i="11"/>
  <c r="F23" i="11"/>
  <c r="J52" i="11" s="1"/>
  <c r="F22" i="11"/>
  <c r="J50" i="11" s="1"/>
  <c r="J54" i="11"/>
  <c r="K54" i="11" s="1"/>
  <c r="L54" i="11" s="1"/>
  <c r="M54" i="11" s="1"/>
  <c r="N54" i="11" s="1"/>
  <c r="O54" i="11" s="1"/>
  <c r="H7" i="13"/>
  <c r="J44" i="11"/>
  <c r="P86" i="19" l="1"/>
  <c r="P87" i="19" s="1"/>
  <c r="D92" i="19" s="1"/>
  <c r="O87" i="19"/>
  <c r="D91" i="19" s="1"/>
  <c r="J37" i="11"/>
  <c r="J45" i="11"/>
  <c r="K44" i="11"/>
  <c r="K56" i="11"/>
  <c r="D93" i="19" l="1"/>
  <c r="D96" i="19" s="1"/>
  <c r="K45" i="1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F199" i="17" s="1"/>
  <c r="Y199" i="17" s="1"/>
  <c r="D21" i="2"/>
  <c r="H19" i="2"/>
  <c r="G19" i="2"/>
  <c r="F19" i="2"/>
  <c r="E19" i="2"/>
  <c r="D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H110" i="2"/>
  <c r="F180" i="17" s="1"/>
  <c r="Y180" i="17" s="1"/>
  <c r="G110" i="2"/>
  <c r="E180" i="17" s="1"/>
  <c r="X180" i="17" s="1"/>
  <c r="F110" i="2"/>
  <c r="D180" i="17" s="1"/>
  <c r="W180" i="17" s="1"/>
  <c r="E110" i="2"/>
  <c r="C180" i="17" s="1"/>
  <c r="V180" i="17" s="1"/>
  <c r="D110" i="2"/>
  <c r="B180" i="17" s="1"/>
  <c r="U180" i="17" s="1"/>
  <c r="H106" i="2"/>
  <c r="H109" i="2" s="1"/>
  <c r="G106" i="2"/>
  <c r="G109" i="2" s="1"/>
  <c r="E178" i="17" s="1"/>
  <c r="F106" i="2"/>
  <c r="F109" i="2" s="1"/>
  <c r="E106" i="2"/>
  <c r="E109" i="2" s="1"/>
  <c r="D106" i="2"/>
  <c r="D109" i="2" s="1"/>
  <c r="D96" i="2"/>
  <c r="H94" i="2"/>
  <c r="H96" i="2" s="1"/>
  <c r="F113" i="17" s="1"/>
  <c r="F114" i="17" s="1"/>
  <c r="G94" i="2"/>
  <c r="G96" i="2" s="1"/>
  <c r="E113" i="17" s="1"/>
  <c r="E114" i="17" s="1"/>
  <c r="G114" i="17" s="1"/>
  <c r="F94" i="2"/>
  <c r="F96" i="2" s="1"/>
  <c r="E94" i="2"/>
  <c r="E96" i="2" s="1"/>
  <c r="H87" i="2"/>
  <c r="G87" i="2"/>
  <c r="H76" i="2"/>
  <c r="F58" i="17" s="1"/>
  <c r="G76" i="2"/>
  <c r="E58" i="17" s="1"/>
  <c r="F76" i="2"/>
  <c r="D58" i="17" s="1"/>
  <c r="E76" i="2"/>
  <c r="C58" i="17" s="1"/>
  <c r="D76" i="2"/>
  <c r="B58" i="17" s="1"/>
  <c r="B171" i="17" s="1"/>
  <c r="U171" i="17" s="1"/>
  <c r="H72" i="2"/>
  <c r="G72" i="2"/>
  <c r="F72" i="2"/>
  <c r="E72" i="2"/>
  <c r="D72" i="2"/>
  <c r="H66" i="2"/>
  <c r="H61" i="2" s="1"/>
  <c r="F18" i="17" s="1"/>
  <c r="G66" i="2"/>
  <c r="G61" i="2" s="1"/>
  <c r="E18" i="17" s="1"/>
  <c r="F66" i="2"/>
  <c r="F61" i="2" s="1"/>
  <c r="D18" i="17" s="1"/>
  <c r="E66" i="2"/>
  <c r="E61" i="2" s="1"/>
  <c r="C18" i="17" s="1"/>
  <c r="C165" i="17" s="1"/>
  <c r="V165" i="17" s="1"/>
  <c r="V167" i="17" s="1"/>
  <c r="D66" i="2"/>
  <c r="D61" i="2" s="1"/>
  <c r="B18" i="17" s="1"/>
  <c r="B165" i="17" s="1"/>
  <c r="U165" i="17" s="1"/>
  <c r="U167" i="17" s="1"/>
  <c r="H55" i="2"/>
  <c r="G55" i="2"/>
  <c r="F55" i="2"/>
  <c r="F52" i="2" s="1"/>
  <c r="E52" i="5" s="1"/>
  <c r="E55" i="2"/>
  <c r="E52" i="2" s="1"/>
  <c r="D52" i="5" s="1"/>
  <c r="D55" i="2"/>
  <c r="X178" i="17" l="1"/>
  <c r="E220" i="17"/>
  <c r="X220" i="17" s="1"/>
  <c r="U168" i="17"/>
  <c r="U172" i="17"/>
  <c r="G64" i="5"/>
  <c r="F178" i="17"/>
  <c r="V172"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B19" i="17"/>
  <c r="B21" i="17" s="1"/>
  <c r="D19" i="17"/>
  <c r="G58" i="17"/>
  <c r="H114" i="17"/>
  <c r="C19" i="17"/>
  <c r="F19" i="17"/>
  <c r="E19" i="17"/>
  <c r="F83" i="2"/>
  <c r="D113" i="17"/>
  <c r="D114" i="17" s="1"/>
  <c r="E83" i="2"/>
  <c r="C113" i="17"/>
  <c r="C114" i="17" s="1"/>
  <c r="D83" i="2"/>
  <c r="B113" i="17"/>
  <c r="B114" i="17" s="1"/>
  <c r="G52" i="2"/>
  <c r="F52" i="5" s="1"/>
  <c r="E57" i="5"/>
  <c r="D94" i="5" s="1"/>
  <c r="D68" i="2"/>
  <c r="C54" i="5"/>
  <c r="E99" i="2"/>
  <c r="C117" i="17" s="1"/>
  <c r="F64" i="5"/>
  <c r="E81" i="5" s="1"/>
  <c r="F68" i="2"/>
  <c r="F70" i="2" s="1"/>
  <c r="F80" i="2" s="1"/>
  <c r="E54" i="5"/>
  <c r="E56" i="5" s="1"/>
  <c r="F99" i="2"/>
  <c r="D117" i="17" s="1"/>
  <c r="G68" i="2"/>
  <c r="F54" i="5"/>
  <c r="C57" i="5"/>
  <c r="E95" i="5"/>
  <c r="E94" i="5" s="1"/>
  <c r="F57" i="5"/>
  <c r="E68" i="2"/>
  <c r="E70" i="2" s="1"/>
  <c r="E80" i="2" s="1"/>
  <c r="D54" i="5"/>
  <c r="D56" i="5" s="1"/>
  <c r="F95" i="5"/>
  <c r="F94" i="5" s="1"/>
  <c r="G57" i="5"/>
  <c r="H68" i="2"/>
  <c r="G54" i="5"/>
  <c r="D57" i="5"/>
  <c r="D13" i="8"/>
  <c r="E13" i="8"/>
  <c r="G13" i="8"/>
  <c r="D28" i="8"/>
  <c r="F13" i="8"/>
  <c r="H83" i="2"/>
  <c r="D52" i="2"/>
  <c r="H52" i="2"/>
  <c r="G83" i="2"/>
  <c r="E39" i="2"/>
  <c r="F39" i="2"/>
  <c r="G39" i="2"/>
  <c r="H39" i="2"/>
  <c r="D39" i="2"/>
  <c r="E13" i="2"/>
  <c r="F13" i="2"/>
  <c r="G13" i="2"/>
  <c r="H13" i="2"/>
  <c r="D13" i="2"/>
  <c r="V173" i="17" l="1"/>
  <c r="V178" i="17"/>
  <c r="C220" i="17"/>
  <c r="V220" i="17" s="1"/>
  <c r="Y178" i="17"/>
  <c r="F220" i="17"/>
  <c r="Y220" i="17" s="1"/>
  <c r="Y172" i="17"/>
  <c r="Y168" i="17"/>
  <c r="W178" i="17"/>
  <c r="D220" i="17"/>
  <c r="W220" i="17" s="1"/>
  <c r="U173" i="17"/>
  <c r="W172" i="17"/>
  <c r="W168" i="17"/>
  <c r="X168" i="17"/>
  <c r="X172" i="17"/>
  <c r="T15" i="17"/>
  <c r="D175" i="17"/>
  <c r="C175" i="17"/>
  <c r="H58" i="17"/>
  <c r="G171" i="17"/>
  <c r="D42" i="2"/>
  <c r="D53" i="13"/>
  <c r="D48" i="13"/>
  <c r="G48" i="13"/>
  <c r="G51" i="13"/>
  <c r="G53" i="13"/>
  <c r="C61" i="5"/>
  <c r="C62" i="5" s="1"/>
  <c r="E48" i="13"/>
  <c r="E53" i="13"/>
  <c r="E51" i="13"/>
  <c r="E8" i="16"/>
  <c r="F8" i="16"/>
  <c r="H51" i="13"/>
  <c r="H48" i="13"/>
  <c r="H53" i="13"/>
  <c r="E25" i="17"/>
  <c r="E26" i="17" s="1"/>
  <c r="E21" i="17"/>
  <c r="F48" i="13"/>
  <c r="F53" i="13"/>
  <c r="F51" i="13"/>
  <c r="D99" i="2"/>
  <c r="B117" i="17" s="1"/>
  <c r="F25" i="17"/>
  <c r="F21" i="17"/>
  <c r="D25" i="17"/>
  <c r="D26" i="17" s="1"/>
  <c r="D21" i="17"/>
  <c r="G70" i="2"/>
  <c r="G80" i="2" s="1"/>
  <c r="G101" i="2" s="1"/>
  <c r="G114" i="2" s="1"/>
  <c r="C25" i="17"/>
  <c r="C21" i="17"/>
  <c r="B25" i="17"/>
  <c r="E61" i="5"/>
  <c r="E62" i="5" s="1"/>
  <c r="D103" i="5" s="1"/>
  <c r="I114" i="17"/>
  <c r="J114" i="17" s="1"/>
  <c r="K114" i="17" s="1"/>
  <c r="G61" i="5"/>
  <c r="G62" i="5" s="1"/>
  <c r="D61" i="5"/>
  <c r="D62" i="5" s="1"/>
  <c r="C103" i="5" s="1"/>
  <c r="F61" i="5"/>
  <c r="F62" i="5" s="1"/>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F118" i="17" s="1"/>
  <c r="G99" i="2"/>
  <c r="E117" i="17" s="1"/>
  <c r="E118" i="17" s="1"/>
  <c r="F16" i="8"/>
  <c r="E16" i="8"/>
  <c r="G16" i="8"/>
  <c r="H42" i="2"/>
  <c r="D133" i="19" s="1"/>
  <c r="D16" i="8"/>
  <c r="D44" i="2"/>
  <c r="D29" i="8"/>
  <c r="F9" i="19" l="1"/>
  <c r="F14" i="19"/>
  <c r="X173" i="17"/>
  <c r="Y173" i="17"/>
  <c r="W176" i="17"/>
  <c r="W173" i="17"/>
  <c r="D14" i="19"/>
  <c r="D9" i="19"/>
  <c r="C241" i="17"/>
  <c r="V241" i="17" s="1"/>
  <c r="V175" i="17"/>
  <c r="V176" i="17" s="1"/>
  <c r="D241" i="17"/>
  <c r="W241" i="17" s="1"/>
  <c r="W175" i="17"/>
  <c r="E14" i="19"/>
  <c r="E9"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E123" i="2"/>
  <c r="D123" i="2"/>
  <c r="H101" i="2"/>
  <c r="H114" i="2" s="1"/>
  <c r="H46" i="13"/>
  <c r="H5" i="13"/>
  <c r="F28" i="8"/>
  <c r="F123" i="2"/>
  <c r="D7" i="8"/>
  <c r="D8" i="8" s="1"/>
  <c r="D101" i="2"/>
  <c r="D114" i="2" s="1"/>
  <c r="D46" i="13"/>
  <c r="F44" i="2"/>
  <c r="F49" i="13" s="1"/>
  <c r="G28" i="8"/>
  <c r="H44" i="2"/>
  <c r="H49" i="13" s="1"/>
  <c r="E44" i="2"/>
  <c r="E49" i="13" s="1"/>
  <c r="G44" i="2"/>
  <c r="G49" i="13" s="1"/>
  <c r="F34" i="8"/>
  <c r="C80" i="5"/>
  <c r="F80" i="5"/>
  <c r="D65" i="5"/>
  <c r="D68" i="5" s="1"/>
  <c r="D71" i="5" s="1"/>
  <c r="C109" i="5" s="1"/>
  <c r="E8" i="8"/>
  <c r="E30" i="8"/>
  <c r="E103" i="5"/>
  <c r="D30" i="8"/>
  <c r="F103" i="5"/>
  <c r="F7" i="8"/>
  <c r="E20" i="2"/>
  <c r="F20" i="2"/>
  <c r="G20" i="2"/>
  <c r="H20" i="2"/>
  <c r="D20" i="2"/>
  <c r="G52" i="1"/>
  <c r="H52" i="1"/>
  <c r="I52" i="1"/>
  <c r="J52" i="1"/>
  <c r="F52" i="1"/>
  <c r="G34" i="8" l="1"/>
  <c r="G9" i="19"/>
  <c r="G14" i="19"/>
  <c r="C9" i="19"/>
  <c r="C14"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F137" i="2" l="1"/>
  <c r="F132" i="2" s="1"/>
  <c r="H15" i="17"/>
  <c r="H162" i="17" s="1"/>
  <c r="H11" i="17"/>
  <c r="H159" i="17" s="1"/>
  <c r="H16" i="17"/>
  <c r="H163" i="17" s="1"/>
  <c r="H18" i="17"/>
  <c r="H165" i="17" s="1"/>
  <c r="F139" i="2"/>
  <c r="G99" i="17"/>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D17" i="2"/>
  <c r="F19" i="8"/>
  <c r="E19" i="8"/>
  <c r="F8" i="2"/>
  <c r="G8" i="2"/>
  <c r="E8" i="2"/>
  <c r="G17" i="2"/>
  <c r="S55" i="1"/>
  <c r="G16" i="2"/>
  <c r="S80" i="1"/>
  <c r="H17" i="2"/>
  <c r="S165" i="1"/>
  <c r="F177" i="1"/>
  <c r="D25" i="13" s="1"/>
  <c r="F16" i="2"/>
  <c r="S50" i="1"/>
  <c r="S29" i="1"/>
  <c r="H6" i="2"/>
  <c r="S75" i="1"/>
  <c r="H16" i="2"/>
  <c r="E17" i="2"/>
  <c r="S122" i="1"/>
  <c r="S158" i="1"/>
  <c r="D5" i="2"/>
  <c r="F91" i="1"/>
  <c r="D16" i="2"/>
  <c r="D15" i="2" s="1"/>
  <c r="S38" i="1"/>
  <c r="H18" i="2"/>
  <c r="S126" i="1"/>
  <c r="S18" i="1"/>
  <c r="H5" i="2"/>
  <c r="E16" i="2"/>
  <c r="F17" i="2"/>
  <c r="S115" i="1"/>
  <c r="S111" i="1"/>
  <c r="J112" i="1"/>
  <c r="I112" i="1"/>
  <c r="G9" i="13" s="1"/>
  <c r="F112" i="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D26" i="2"/>
  <c r="B76" i="17" s="1"/>
  <c r="G15" i="2"/>
  <c r="H8" i="2"/>
  <c r="E71" i="11" s="1"/>
  <c r="H15" i="2"/>
  <c r="F198" i="17" s="1"/>
  <c r="D8" i="2"/>
  <c r="F15" i="2"/>
  <c r="E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H26" i="2"/>
  <c r="F76" i="17" s="1"/>
  <c r="F66" i="17"/>
  <c r="E34" i="17"/>
  <c r="F45" i="17"/>
  <c r="E44" i="17"/>
  <c r="E45" i="17"/>
  <c r="G26" i="2"/>
  <c r="E76" i="17" s="1"/>
  <c r="E66" i="17"/>
  <c r="B41" i="17"/>
  <c r="B188" i="17" s="1"/>
  <c r="B33" i="17"/>
  <c r="B34" i="17" s="1"/>
  <c r="D45" i="17"/>
  <c r="D44" i="17"/>
  <c r="B78" i="17"/>
  <c r="I6" i="16"/>
  <c r="C40" i="16"/>
  <c r="C43" i="16" s="1"/>
  <c r="I7" i="16"/>
  <c r="B70" i="17"/>
  <c r="E26" i="2"/>
  <c r="C76" i="17" s="1"/>
  <c r="C80" i="17" s="1"/>
  <c r="C66" i="17"/>
  <c r="F33" i="17"/>
  <c r="F34" i="17" s="1"/>
  <c r="F41" i="17"/>
  <c r="G50" i="17"/>
  <c r="G53" i="17" s="1"/>
  <c r="G56" i="17" s="1"/>
  <c r="F26" i="2"/>
  <c r="D76" i="17" s="1"/>
  <c r="D66" i="17"/>
  <c r="E26" i="13"/>
  <c r="E22" i="13"/>
  <c r="E23" i="13"/>
  <c r="G47" i="11"/>
  <c r="G58" i="11"/>
  <c r="G46" i="11"/>
  <c r="I44" i="11"/>
  <c r="H55" i="13"/>
  <c r="G57" i="13" s="1"/>
  <c r="H58" i="11"/>
  <c r="H46" i="11"/>
  <c r="H47" i="11"/>
  <c r="F47" i="11"/>
  <c r="F58" i="11"/>
  <c r="F46"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D80" i="17"/>
  <c r="C78" i="17"/>
  <c r="F70" i="17"/>
  <c r="H70" i="17" s="1"/>
  <c r="I70" i="17" s="1"/>
  <c r="J70" i="17" s="1"/>
  <c r="K70" i="17" s="1"/>
  <c r="G37" i="17"/>
  <c r="G39" i="17" s="1"/>
  <c r="C72" i="17"/>
  <c r="F78" i="17"/>
  <c r="G78" i="17" s="1"/>
  <c r="H78" i="17" s="1"/>
  <c r="I78" i="17" s="1"/>
  <c r="J78" i="17" s="1"/>
  <c r="G26" i="13"/>
  <c r="G22" i="13"/>
  <c r="G23" i="13"/>
  <c r="I58" i="11"/>
  <c r="I46" i="11"/>
  <c r="H19" i="11" s="1"/>
  <c r="I47"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C53" i="19" l="1"/>
  <c r="F191" i="17"/>
  <c r="F205" i="17" s="1"/>
  <c r="Y188" i="17"/>
  <c r="F233" i="17"/>
  <c r="Y233" i="17" s="1"/>
  <c r="J44" i="17"/>
  <c r="G44" i="17"/>
  <c r="X43" i="17"/>
  <c r="I44" i="17"/>
  <c r="K44" i="17"/>
  <c r="H44" i="17"/>
  <c r="X42" i="17"/>
  <c r="I38" i="17" s="1"/>
  <c r="G42" i="17"/>
  <c r="G170" i="17" s="1"/>
  <c r="G234" i="17" s="1"/>
  <c r="J35" i="11"/>
  <c r="J38" i="11" s="1"/>
  <c r="J40" i="11" s="1"/>
  <c r="F83" i="5"/>
  <c r="F100" i="5" s="1"/>
  <c r="G31" i="8"/>
  <c r="G35" i="8" s="1"/>
  <c r="G41" i="8" s="1"/>
  <c r="F105" i="5"/>
  <c r="H125" i="19" l="1"/>
  <c r="H126" i="19" s="1"/>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4" i="19" l="1"/>
  <c r="J124" i="19" s="1"/>
  <c r="G80" i="17"/>
  <c r="G200" i="17"/>
  <c r="H80" i="17"/>
  <c r="G55" i="17"/>
  <c r="G52" i="17"/>
  <c r="G189" i="17" s="1"/>
  <c r="H37" i="17"/>
  <c r="H39" i="17" s="1"/>
  <c r="G41" i="17"/>
  <c r="G188" i="17" s="1"/>
  <c r="H66" i="17"/>
  <c r="I76" i="17"/>
  <c r="L35" i="11"/>
  <c r="L38" i="11" s="1"/>
  <c r="J125" i="19" l="1"/>
  <c r="J126" i="19" s="1"/>
  <c r="K125" i="19"/>
  <c r="I125" i="19"/>
  <c r="I126" i="19" s="1"/>
  <c r="L125" i="19"/>
  <c r="H231" i="17"/>
  <c r="G231" i="17"/>
  <c r="I80" i="17"/>
  <c r="I200" i="17"/>
  <c r="G191" i="17"/>
  <c r="G205" i="17" s="1"/>
  <c r="G233" i="17"/>
  <c r="H42" i="17"/>
  <c r="H48" i="17"/>
  <c r="G32" i="17"/>
  <c r="G31" i="17"/>
  <c r="K76" i="17"/>
  <c r="J76" i="17"/>
  <c r="J200" i="17" s="1"/>
  <c r="I66" i="17"/>
  <c r="I72" i="17" s="1"/>
  <c r="H72" i="17"/>
  <c r="M35" i="11"/>
  <c r="M38" i="11" s="1"/>
  <c r="K124" i="19" l="1"/>
  <c r="L124" i="19" s="1"/>
  <c r="K200" i="17"/>
  <c r="K231" i="17" s="1"/>
  <c r="J231" i="17"/>
  <c r="I231" i="17"/>
  <c r="H41" i="17"/>
  <c r="K80" i="17"/>
  <c r="J80" i="17"/>
  <c r="K66" i="17"/>
  <c r="J66" i="17"/>
  <c r="H50" i="17"/>
  <c r="H53" i="17" s="1"/>
  <c r="H56" i="17" s="1"/>
  <c r="I37" i="17"/>
  <c r="I39" i="17" s="1"/>
  <c r="G30" i="17"/>
  <c r="H45" i="17"/>
  <c r="O35" i="11"/>
  <c r="O38" i="11" s="1"/>
  <c r="N35" i="11"/>
  <c r="N38" i="11" s="1"/>
  <c r="K126" i="19" l="1"/>
  <c r="M124" i="19"/>
  <c r="L126" i="19"/>
  <c r="H188" i="17"/>
  <c r="H170" i="17"/>
  <c r="H234" i="17" s="1"/>
  <c r="H31" i="17"/>
  <c r="K72" i="17"/>
  <c r="I42" i="17"/>
  <c r="J72" i="17"/>
  <c r="H52" i="17"/>
  <c r="H189" i="17" s="1"/>
  <c r="M125" i="19" l="1"/>
  <c r="M126" i="19" s="1"/>
  <c r="D129" i="19"/>
  <c r="N124" i="19"/>
  <c r="N125" i="19" s="1"/>
  <c r="H233" i="17"/>
  <c r="H191" i="17"/>
  <c r="H205" i="17" s="1"/>
  <c r="I48" i="17"/>
  <c r="H32" i="17"/>
  <c r="H30" i="17" s="1"/>
  <c r="I41" i="17"/>
  <c r="I188" i="17" s="1"/>
  <c r="I45" i="17"/>
  <c r="O124" i="19" l="1"/>
  <c r="O125" i="19" s="1"/>
  <c r="N126" i="19"/>
  <c r="I31" i="17"/>
  <c r="J37" i="17"/>
  <c r="J39" i="17" s="1"/>
  <c r="I50" i="17"/>
  <c r="I53" i="17" s="1"/>
  <c r="I170" i="17" s="1"/>
  <c r="I234" i="17" s="1"/>
  <c r="E67" i="11"/>
  <c r="K40" i="11"/>
  <c r="K42" i="11" s="1"/>
  <c r="K58" i="11" s="1"/>
  <c r="K60" i="11" s="1"/>
  <c r="P124" i="19" l="1"/>
  <c r="I56" i="17"/>
  <c r="I52" i="17"/>
  <c r="I189" i="17" s="1"/>
  <c r="J42" i="17"/>
  <c r="L40" i="11"/>
  <c r="P125" i="19" l="1"/>
  <c r="P126" i="19" s="1"/>
  <c r="O126" i="19"/>
  <c r="D130" i="19" s="1"/>
  <c r="I191" i="17"/>
  <c r="I205" i="17" s="1"/>
  <c r="I233" i="17"/>
  <c r="J45" i="17"/>
  <c r="J41" i="17"/>
  <c r="J188" i="17" s="1"/>
  <c r="J48" i="17"/>
  <c r="I32" i="17"/>
  <c r="I30" i="17" s="1"/>
  <c r="M40" i="11"/>
  <c r="L42" i="11"/>
  <c r="L58" i="11" s="1"/>
  <c r="L60" i="11" s="1"/>
  <c r="D131" i="19" l="1"/>
  <c r="D132" i="19" s="1"/>
  <c r="D134" i="19" s="1"/>
  <c r="D136" i="19" s="1"/>
  <c r="J31" i="17"/>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J30" i="17" s="1"/>
  <c r="K48" i="17"/>
  <c r="O42" i="11"/>
  <c r="O58" i="11" s="1"/>
  <c r="E69" i="11"/>
  <c r="E73" i="11" s="1"/>
  <c r="E74" i="11" s="1"/>
  <c r="K188" i="17" l="1"/>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6" i="17" l="1"/>
  <c r="B179" i="17" s="1"/>
  <c r="G167" i="17"/>
  <c r="G168" i="17" s="1"/>
  <c r="F167" i="17"/>
  <c r="F168" i="17" s="1"/>
  <c r="E167" i="17"/>
  <c r="E172" i="17" s="1"/>
  <c r="E219" i="17" s="1"/>
  <c r="X219" i="17" s="1"/>
  <c r="C167" i="17"/>
  <c r="C172" i="17" s="1"/>
  <c r="C219" i="17" s="1"/>
  <c r="V219" i="17" s="1"/>
  <c r="K167" i="17"/>
  <c r="I167" i="17"/>
  <c r="D167" i="17"/>
  <c r="D168" i="17" s="1"/>
  <c r="H167" i="17"/>
  <c r="J167" i="17"/>
  <c r="J168" i="17" s="1"/>
  <c r="K172" i="17" l="1"/>
  <c r="K168" i="17"/>
  <c r="I172" i="17"/>
  <c r="I173" i="17" s="1"/>
  <c r="I168" i="17"/>
  <c r="U179" i="17"/>
  <c r="B181" i="17"/>
  <c r="H172" i="17"/>
  <c r="H168" i="17"/>
  <c r="K219" i="17"/>
  <c r="K124" i="17"/>
  <c r="K126" i="17" s="1"/>
  <c r="H219" i="17"/>
  <c r="H124" i="17"/>
  <c r="H126" i="17" s="1"/>
  <c r="G172" i="17"/>
  <c r="D172" i="17"/>
  <c r="C176" i="17"/>
  <c r="H176" i="17"/>
  <c r="H173" i="17"/>
  <c r="K173" i="17"/>
  <c r="K176" i="17"/>
  <c r="E176" i="17"/>
  <c r="F172" i="17"/>
  <c r="F219" i="17" s="1"/>
  <c r="Y219" i="17" s="1"/>
  <c r="C168" i="17"/>
  <c r="E168" i="17"/>
  <c r="J172" i="17"/>
  <c r="I124" i="17" l="1"/>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7" i="19" l="1"/>
  <c r="E181" i="17"/>
  <c r="E246" i="17" s="1"/>
  <c r="X246" i="17" s="1"/>
  <c r="X179" i="17"/>
  <c r="C181" i="17"/>
  <c r="C246" i="17" s="1"/>
  <c r="V246" i="17" s="1"/>
  <c r="V179" i="17"/>
  <c r="V244" i="17"/>
  <c r="D68" i="19" s="1"/>
  <c r="D107" i="19"/>
  <c r="J120" i="17"/>
  <c r="G120" i="17"/>
  <c r="K130" i="17"/>
  <c r="K122" i="17"/>
  <c r="K128" i="17" s="1"/>
  <c r="I130" i="17"/>
  <c r="I122" i="17"/>
  <c r="I128" i="17" s="1"/>
  <c r="H130" i="17"/>
  <c r="H122" i="17"/>
  <c r="H128" i="17" s="1"/>
  <c r="C222" i="17"/>
  <c r="C239" i="17" s="1"/>
  <c r="C243" i="17"/>
  <c r="V243" i="17" s="1"/>
  <c r="E222" i="17"/>
  <c r="E239" i="17" s="1"/>
  <c r="E244" i="17" s="1"/>
  <c r="E247" i="17" s="1"/>
  <c r="X247" i="17" s="1"/>
  <c r="E243" i="17"/>
  <c r="X243" i="17" s="1"/>
  <c r="X244" i="17" s="1"/>
  <c r="F68" i="19" s="1"/>
  <c r="D179" i="17"/>
  <c r="D221" i="17"/>
  <c r="F179" i="17"/>
  <c r="F221" i="17"/>
  <c r="Y221" i="17" s="1"/>
  <c r="Y222" i="17" s="1"/>
  <c r="Y239" i="17" s="1"/>
  <c r="F181" i="17" l="1"/>
  <c r="F246" i="17" s="1"/>
  <c r="Y246" i="17" s="1"/>
  <c r="Y179" i="17"/>
  <c r="D243" i="17"/>
  <c r="W243" i="17" s="1"/>
  <c r="W221" i="17"/>
  <c r="W222" i="17" s="1"/>
  <c r="W239" i="17" s="1"/>
  <c r="D181" i="17"/>
  <c r="D246" i="17" s="1"/>
  <c r="W246" i="17" s="1"/>
  <c r="W179" i="17"/>
  <c r="G107" i="19"/>
  <c r="I178" i="17"/>
  <c r="I131" i="17"/>
  <c r="K178" i="17"/>
  <c r="K131" i="17"/>
  <c r="G122" i="17"/>
  <c r="G128" i="17" s="1"/>
  <c r="G130" i="17"/>
  <c r="J130" i="17"/>
  <c r="J122" i="17"/>
  <c r="J128" i="17" s="1"/>
  <c r="H178" i="17"/>
  <c r="H131" i="17"/>
  <c r="D222" i="17"/>
  <c r="D239" i="17" s="1"/>
  <c r="D244" i="17" s="1"/>
  <c r="D247" i="17" s="1"/>
  <c r="W247" i="17" s="1"/>
  <c r="F222" i="17"/>
  <c r="F239" i="17" s="1"/>
  <c r="F243" i="17"/>
  <c r="Y243" i="17" s="1"/>
  <c r="Y244" i="17" s="1"/>
  <c r="G68" i="19" s="1"/>
  <c r="H69" i="19" s="1"/>
  <c r="C244" i="17"/>
  <c r="C247" i="17" s="1"/>
  <c r="V247" i="17" s="1"/>
  <c r="W244" i="17" l="1"/>
  <c r="E68" i="19" s="1"/>
  <c r="F69" i="19" s="1"/>
  <c r="E107" i="19"/>
  <c r="G108" i="19"/>
  <c r="H108"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08" i="19" l="1"/>
  <c r="F108"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D131" i="2"/>
  <c r="F142" i="2"/>
  <c r="D127" i="2"/>
  <c r="G142" i="2"/>
  <c r="G131" i="2"/>
  <c r="G128" i="2"/>
  <c r="Q174" i="1"/>
  <c r="Q87" i="1"/>
  <c r="D150" i="2"/>
  <c r="D147" i="2"/>
  <c r="D151" i="2"/>
  <c r="D157" i="2"/>
  <c r="E127" i="2"/>
  <c r="J184" i="1"/>
  <c r="D128" i="2"/>
  <c r="S39" i="1"/>
  <c r="G127" i="2"/>
  <c r="F33" i="1"/>
  <c r="F46" i="1"/>
  <c r="F95" i="1"/>
  <c r="F184" i="1"/>
  <c r="E142" i="2"/>
  <c r="J46" i="1"/>
  <c r="J95" i="1"/>
  <c r="S87" i="1"/>
  <c r="S174" i="1"/>
  <c r="H95" i="1"/>
  <c r="H184" i="1"/>
  <c r="F131" i="2"/>
  <c r="D126" i="2"/>
  <c r="D129" i="2"/>
  <c r="D133" i="2"/>
  <c r="D141" i="2"/>
  <c r="D142" i="2"/>
  <c r="J33" i="1"/>
  <c r="S33" i="1"/>
  <c r="R174" i="1"/>
  <c r="R87" i="1"/>
  <c r="F127" i="2"/>
  <c r="F128" i="2"/>
  <c r="P174" i="1"/>
  <c r="P87" i="1"/>
  <c r="P33" i="1"/>
  <c r="G150" i="2"/>
  <c r="G126" i="2"/>
  <c r="G129" i="2"/>
  <c r="G133" i="2"/>
  <c r="G141" i="2"/>
  <c r="G147" i="2"/>
  <c r="G151" i="2"/>
  <c r="G157" i="2"/>
  <c r="H46" i="1"/>
  <c r="Q39" i="1"/>
  <c r="R33" i="1"/>
  <c r="E131" i="2"/>
  <c r="E128" i="2"/>
  <c r="F150" i="2"/>
  <c r="F126" i="2"/>
  <c r="F129" i="2"/>
  <c r="F133" i="2"/>
  <c r="F141" i="2"/>
  <c r="F147" i="2"/>
  <c r="F151" i="2"/>
  <c r="F157" i="2"/>
  <c r="G95" i="1"/>
  <c r="G184" i="1"/>
  <c r="H33" i="1"/>
  <c r="Q33" i="1"/>
  <c r="R39" i="1"/>
  <c r="I33" i="1"/>
  <c r="I46" i="1"/>
  <c r="I95" i="1"/>
  <c r="I184" i="1"/>
  <c r="E157" i="2"/>
  <c r="E126" i="2"/>
  <c r="E129" i="2"/>
  <c r="E133" i="2"/>
  <c r="E141" i="2"/>
  <c r="E147" i="2"/>
  <c r="E151" i="2"/>
  <c r="E150" i="2"/>
  <c r="G33" i="1"/>
  <c r="G46" i="1"/>
  <c r="P39" i="1"/>
</calcChain>
</file>

<file path=xl/sharedStrings.xml><?xml version="1.0" encoding="utf-8"?>
<sst xmlns="http://schemas.openxmlformats.org/spreadsheetml/2006/main" count="1552" uniqueCount="826">
  <si>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</si>
  <si>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</si>
  <si>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</si>
  <si>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</si>
  <si>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</si>
  <si>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</si>
  <si>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</si>
  <si>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</si>
  <si>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</si>
  <si>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</si>
  <si>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</si>
  <si>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</si>
  <si>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</si>
  <si>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</si>
  <si>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</si>
  <si>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</si>
  <si>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</si>
  <si>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</si>
  <si>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</si>
  <si>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</si>
  <si>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</si>
  <si>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</si>
  <si>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</si>
  <si>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</si>
  <si>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</si>
  <si>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</si>
  <si>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</si>
  <si>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</si>
  <si>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</si>
  <si>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</si>
  <si>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</si>
  <si>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</si>
  <si>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</si>
  <si>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</si>
  <si>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</si>
  <si>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</si>
  <si>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</si>
  <si>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</si>
  <si>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</si>
  <si>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</si>
  <si>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</si>
  <si>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</si>
  <si>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</si>
  <si>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</si>
  <si>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</si>
  <si>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</si>
  <si>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</si>
  <si>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</si>
  <si>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</si>
  <si>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</si>
  <si>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</si>
  <si>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</si>
  <si>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</si>
  <si>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</si>
  <si>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</si>
  <si>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</si>
  <si>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</si>
  <si>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</si>
  <si>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</si>
  <si>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</si>
  <si>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</si>
  <si>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</si>
  <si>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</si>
  <si>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</si>
  <si>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</si>
  <si>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</si>
  <si>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</si>
  <si>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</si>
  <si>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</si>
  <si>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</si>
  <si>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</si>
  <si>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</si>
  <si>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</si>
  <si>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</si>
  <si>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</si>
  <si>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</si>
  <si>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</si>
  <si>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</si>
  <si>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</si>
  <si>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</si>
  <si>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</si>
  <si>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</si>
  <si>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</si>
  <si>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</si>
  <si>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</si>
  <si>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</si>
  <si>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</si>
  <si>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</si>
  <si>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</si>
  <si>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</si>
  <si>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</si>
  <si>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</si>
  <si>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</si>
  <si>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</si>
  <si>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</si>
  <si>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</si>
  <si>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</si>
  <si>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</si>
  <si>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</si>
  <si>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</si>
  <si>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</si>
  <si>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</si>
  <si>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</si>
  <si>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</si>
  <si>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</si>
  <si>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</si>
  <si>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</si>
  <si>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</si>
  <si>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</si>
  <si>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</si>
  <si>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</si>
  <si>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</si>
  <si>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</si>
  <si>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</si>
  <si>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</si>
  <si>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</si>
  <si>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</si>
  <si>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</si>
  <si>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</si>
  <si>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</si>
  <si>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</si>
  <si>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</si>
  <si>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</si>
  <si>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</si>
  <si>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</si>
  <si>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</si>
  <si>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</si>
  <si>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</si>
  <si>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</si>
  <si>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</si>
  <si>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</si>
  <si>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</si>
  <si>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</si>
  <si>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</si>
  <si>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</si>
  <si>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</si>
  <si>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</si>
  <si>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</si>
  <si>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</si>
  <si>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</si>
  <si>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</si>
  <si>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</si>
  <si>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</si>
  <si>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</si>
  <si>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</si>
  <si>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</si>
  <si>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</si>
  <si>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</si>
  <si>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</si>
  <si>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</si>
  <si>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</si>
  <si>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</si>
  <si>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</si>
  <si>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</si>
  <si>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</si>
  <si>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</si>
  <si>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</si>
  <si>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</si>
  <si>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</si>
  <si>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</si>
  <si>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</si>
  <si>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</si>
  <si>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</si>
  <si>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</si>
  <si>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</si>
  <si>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</si>
  <si>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</si>
  <si>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</si>
  <si>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</si>
  <si>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</si>
  <si>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</si>
  <si>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</si>
  <si>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</si>
  <si>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</si>
  <si>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</si>
  <si>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</si>
  <si>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</si>
  <si>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</si>
  <si>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</si>
  <si>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</si>
  <si>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</si>
  <si>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</si>
  <si>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</si>
  <si>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</si>
  <si>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</si>
  <si>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</si>
  <si>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</si>
  <si>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</si>
  <si>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</si>
  <si>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</si>
  <si>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</si>
  <si>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</si>
  <si>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</si>
  <si>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</si>
  <si>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</si>
  <si>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</si>
  <si>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</si>
  <si>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</si>
  <si>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</si>
  <si>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</si>
  <si>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</si>
  <si>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</si>
  <si>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</si>
  <si>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</si>
  <si>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</si>
  <si>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</si>
  <si>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</si>
  <si>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</si>
  <si>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</si>
  <si>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</si>
  <si>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</si>
  <si>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</si>
  <si>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</si>
  <si>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</si>
  <si>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</si>
  <si>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</si>
  <si>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</si>
  <si>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</si>
  <si>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</si>
  <si>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</si>
  <si>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</si>
  <si>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</si>
  <si>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</si>
  <si>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</si>
  <si>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</si>
  <si>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</si>
  <si>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</si>
  <si>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</si>
  <si>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</si>
  <si>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</si>
  <si>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</si>
  <si>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</si>
  <si>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</si>
  <si>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</si>
  <si>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</si>
  <si>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</si>
  <si>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</si>
  <si>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</si>
  <si>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</si>
  <si>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</si>
  <si>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</si>
  <si>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</si>
  <si>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</si>
  <si>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</si>
  <si>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</si>
  <si>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</si>
  <si>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</si>
  <si>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</si>
  <si>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</si>
  <si>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</si>
  <si>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</si>
  <si>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</si>
  <si>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</si>
  <si>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</si>
  <si>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</si>
  <si>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</si>
  <si>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</si>
  <si>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</si>
  <si>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</si>
  <si>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</si>
  <si>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</si>
  <si>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</si>
  <si>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</si>
  <si>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</si>
  <si>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</si>
  <si>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</si>
  <si>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</si>
  <si>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</si>
  <si>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</si>
  <si>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</si>
  <si>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</si>
  <si>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</si>
  <si>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</si>
  <si>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</si>
  <si>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</si>
  <si>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</si>
  <si>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</si>
  <si>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</si>
  <si>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</si>
  <si>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</si>
  <si>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</si>
  <si>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</si>
  <si>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</si>
  <si>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</si>
  <si>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</si>
  <si>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</si>
  <si>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</si>
  <si>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</si>
  <si>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</si>
  <si>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</si>
  <si>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</si>
  <si>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</si>
  <si>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</si>
  <si>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</si>
  <si>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</si>
  <si>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</si>
  <si>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</si>
  <si>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</si>
  <si>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</si>
  <si>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</si>
  <si>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</si>
  <si>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</si>
  <si>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</si>
  <si>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</si>
  <si>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</si>
  <si>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</si>
  <si>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</si>
  <si>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</si>
  <si>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</si>
  <si>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</si>
  <si>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</si>
  <si>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</si>
  <si>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</si>
  <si>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</si>
  <si>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</si>
  <si>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</si>
  <si>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</si>
  <si>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</si>
  <si>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</si>
  <si>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</si>
  <si>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</si>
  <si>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</si>
  <si>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</si>
  <si>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</si>
  <si>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</si>
  <si>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</si>
  <si>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</si>
  <si>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</si>
  <si>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</si>
  <si>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</si>
  <si>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</si>
  <si>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</si>
  <si>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</si>
  <si>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</si>
  <si>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</si>
  <si>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</si>
  <si>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</si>
  <si>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</si>
  <si>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</si>
  <si>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</si>
  <si>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</si>
  <si>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</si>
  <si>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</si>
  <si>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</si>
  <si>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</si>
  <si>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</si>
  <si>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</si>
  <si>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</si>
  <si>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</si>
  <si>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</si>
  <si>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</si>
  <si>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</si>
  <si>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</si>
  <si>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</si>
  <si>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</si>
  <si>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</si>
  <si>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</si>
  <si>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</si>
  <si>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</si>
  <si>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</si>
  <si>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</si>
  <si>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</si>
  <si>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</si>
  <si>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</si>
  <si>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</si>
  <si>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</si>
  <si>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</si>
  <si>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</si>
  <si>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</si>
  <si>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</si>
  <si>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</si>
  <si>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</si>
  <si>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</si>
  <si>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</si>
  <si>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</si>
  <si>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</si>
  <si>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</si>
  <si>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</si>
  <si>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</si>
  <si>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</si>
  <si>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</si>
  <si>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</si>
  <si>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</si>
  <si>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</si>
  <si>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</si>
  <si>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</si>
  <si>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</si>
  <si>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</si>
  <si>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</si>
  <si>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</si>
  <si>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</si>
  <si>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</si>
  <si>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</si>
  <si>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</si>
  <si>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</si>
  <si>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</si>
  <si>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</si>
  <si>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</si>
  <si>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</si>
  <si>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</si>
  <si>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</si>
  <si>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</si>
  <si>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</si>
  <si>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</si>
  <si>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</si>
  <si>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</si>
  <si>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</si>
  <si>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</si>
  <si>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</si>
  <si>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</si>
  <si>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</si>
  <si>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</si>
  <si>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</si>
  <si>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</si>
  <si>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</si>
  <si>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</si>
  <si>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</si>
  <si>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</si>
  <si>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</si>
  <si>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</si>
  <si>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</si>
  <si>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</si>
  <si>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</si>
  <si>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</si>
  <si>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</si>
  <si>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</si>
  <si>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</si>
  <si>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</si>
  <si>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</si>
  <si>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</si>
  <si>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</si>
  <si>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</si>
  <si>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</si>
  <si>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</si>
  <si>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</si>
  <si>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</si>
  <si>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</si>
  <si>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</si>
  <si>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</si>
  <si>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</si>
  <si>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</si>
  <si>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</si>
  <si>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</si>
  <si>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</si>
  <si>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</si>
  <si>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</si>
  <si>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</si>
  <si>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</si>
  <si>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</si>
  <si>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</si>
  <si>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</si>
  <si>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</si>
  <si>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</si>
  <si>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</si>
  <si>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</si>
  <si>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</si>
  <si>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</si>
  <si>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</si>
  <si>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</si>
  <si>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</si>
  <si>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</si>
  <si>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</si>
  <si>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</si>
  <si>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</si>
  <si>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</si>
  <si>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</si>
  <si>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</si>
  <si>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</si>
  <si>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</si>
  <si>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</si>
  <si>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</si>
  <si>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</si>
  <si>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</si>
  <si>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</si>
  <si>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</si>
  <si>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</si>
  <si>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</si>
  <si>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</si>
  <si>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</si>
  <si>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</si>
  <si>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</si>
  <si>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</si>
  <si>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</si>
  <si>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</si>
  <si>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</si>
  <si>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</si>
  <si>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</si>
  <si>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</si>
  <si>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</si>
  <si>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</si>
  <si>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</si>
  <si>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</si>
  <si>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</si>
  <si>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</si>
  <si>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</si>
  <si>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</si>
  <si>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</si>
  <si>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</si>
  <si>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</si>
  <si>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</si>
  <si>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</si>
  <si>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</si>
  <si>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</si>
  <si>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</si>
  <si>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</si>
  <si>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</si>
  <si>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</si>
  <si>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</si>
  <si>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</si>
  <si>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</si>
  <si>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</si>
  <si>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</si>
  <si>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</si>
  <si>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</si>
  <si>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</si>
  <si>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</si>
  <si>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</si>
  <si>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</si>
  <si>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</si>
  <si>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</si>
  <si>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</si>
  <si>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</si>
  <si>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</si>
  <si>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</si>
  <si>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</si>
  <si>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</si>
  <si>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</si>
  <si>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</si>
  <si>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</si>
  <si>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</si>
  <si>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</si>
  <si>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</si>
  <si>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</si>
  <si>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</si>
  <si>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</si>
  <si>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</si>
  <si>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</si>
  <si>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</si>
  <si>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</si>
  <si>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</si>
  <si>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</si>
  <si>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</si>
  <si>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</si>
  <si>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</si>
  <si>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</si>
  <si>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</si>
  <si>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</si>
  <si>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</si>
  <si>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</si>
  <si>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</si>
  <si>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</si>
  <si>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</si>
  <si>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</si>
  <si>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</si>
  <si>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</si>
  <si>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</si>
  <si>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</si>
  <si>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</si>
  <si>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</si>
  <si>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</si>
  <si>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</si>
  <si>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</si>
  <si>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</si>
  <si>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</si>
  <si>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</si>
  <si>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</si>
  <si>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</si>
  <si>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</si>
  <si>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</si>
  <si>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</si>
  <si>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</si>
  <si>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</si>
  <si>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</si>
  <si>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</si>
  <si>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</si>
  <si>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</si>
  <si>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</si>
  <si>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</si>
  <si>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</si>
  <si>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</si>
  <si>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</si>
  <si>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</si>
  <si>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</si>
  <si>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</si>
  <si>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</si>
  <si>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</si>
  <si>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</si>
  <si>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</si>
  <si>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</si>
  <si>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</si>
  <si>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</si>
  <si>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</si>
  <si>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</si>
  <si>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</si>
  <si>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</si>
  <si>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</si>
  <si>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</si>
  <si>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</si>
  <si>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</si>
  <si>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</si>
  <si>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</si>
  <si>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</si>
  <si>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</si>
  <si>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</si>
  <si>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</si>
  <si>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</si>
  <si>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</si>
  <si>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</si>
  <si>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</si>
  <si>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</si>
  <si>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</si>
  <si>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</si>
  <si>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</si>
  <si>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</si>
  <si>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</si>
  <si>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</si>
  <si>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</si>
  <si>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</si>
  <si>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</si>
  <si>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</si>
  <si>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</si>
  <si>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</si>
  <si>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</si>
  <si>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</si>
  <si>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</si>
  <si>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</si>
  <si>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</si>
  <si>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</si>
  <si>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</si>
  <si>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</si>
  <si>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</si>
  <si>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</si>
  <si>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</si>
  <si>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</si>
  <si>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</si>
  <si>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</si>
  <si>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</si>
  <si>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</si>
  <si>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</si>
  <si>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</si>
  <si>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</si>
  <si>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</si>
  <si>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</si>
  <si>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</si>
  <si>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</si>
  <si>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</si>
  <si>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</si>
  <si>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</si>
  <si>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</si>
  <si>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</si>
  <si>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</si>
  <si>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</si>
  <si>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</si>
  <si>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</si>
  <si>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</si>
  <si>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</si>
  <si>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</si>
  <si>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</si>
  <si>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</si>
  <si>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</si>
  <si>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</si>
  <si>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</si>
  <si>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</si>
  <si>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</si>
  <si>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</si>
  <si>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</si>
  <si>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</si>
  <si>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</si>
  <si>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</si>
  <si>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</si>
  <si>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</si>
  <si>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</si>
  <si>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</si>
  <si>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</si>
  <si>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</si>
  <si>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</si>
  <si>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</si>
  <si>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</si>
  <si>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</si>
  <si>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</si>
  <si>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</si>
  <si>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</si>
  <si>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</si>
  <si>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</si>
  <si>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</si>
  <si>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</si>
  <si>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</si>
  <si>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</si>
  <si>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</si>
  <si>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</si>
  <si>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</si>
  <si>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</si>
  <si>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</si>
  <si>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</si>
  <si>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</si>
  <si>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</si>
  <si>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</si>
  <si>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</si>
  <si>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</si>
  <si>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</si>
  <si>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</si>
  <si>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</si>
  <si>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</si>
  <si>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</si>
  <si>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</si>
  <si>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</si>
  <si>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</si>
  <si>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</si>
  <si>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</si>
  <si>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</si>
  <si>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</si>
  <si>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</si>
  <si>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</si>
  <si>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</si>
  <si>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</si>
  <si>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</si>
  <si>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</si>
  <si>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</si>
  <si>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</si>
  <si>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</si>
  <si>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</si>
  <si>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</si>
  <si>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</si>
  <si>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</si>
  <si>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</si>
  <si>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</si>
  <si>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</si>
  <si>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</si>
  <si>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</si>
  <si>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</si>
  <si>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</si>
  <si>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</si>
  <si>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</si>
  <si>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</si>
  <si>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</si>
  <si>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</si>
  <si>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</si>
  <si>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</si>
  <si>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</si>
  <si>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</si>
  <si>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</si>
  <si>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</si>
  <si>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</si>
  <si>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</si>
  <si>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</si>
  <si>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</si>
  <si>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</si>
  <si>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</si>
  <si>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</si>
  <si>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</si>
  <si>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</si>
  <si>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</si>
  <si>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</si>
  <si>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</si>
  <si>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</si>
  <si>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</si>
  <si>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</si>
  <si>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</si>
  <si>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</si>
  <si>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</si>
  <si>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</si>
  <si>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</si>
  <si>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</si>
  <si>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</si>
  <si>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</si>
  <si>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</si>
  <si>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</si>
  <si>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</si>
  <si>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</si>
  <si>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</si>
  <si>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</si>
  <si>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</si>
  <si>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</si>
  <si>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</si>
  <si>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</si>
  <si>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</si>
  <si>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</si>
  <si>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</si>
  <si>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</si>
  <si>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</si>
  <si>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</si>
  <si>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</si>
  <si>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</si>
  <si>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</si>
  <si>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</si>
  <si>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</si>
  <si>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</si>
  <si>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</si>
  <si>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</si>
  <si>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</si>
  <si>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</si>
  <si>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</si>
  <si>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</si>
  <si>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</si>
  <si>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</si>
  <si>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</si>
  <si>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</si>
  <si>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</si>
  <si>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</si>
  <si>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</si>
  <si>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</si>
  <si>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</si>
  <si>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</si>
  <si>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</si>
  <si>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</si>
  <si>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</si>
  <si>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</si>
  <si>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</si>
  <si>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</si>
  <si>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</si>
  <si>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</si>
  <si>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</si>
  <si>
    <t xml:space="preserve">Wacc (book values) </t>
  </si>
  <si>
    <t xml:space="preserve">Stable phase </t>
  </si>
  <si>
    <t xml:space="preserve">Dividend model </t>
  </si>
  <si>
    <t xml:space="preserve">Enterprise value </t>
  </si>
  <si>
    <t xml:space="preserve">Covid effect </t>
  </si>
  <si>
    <t xml:space="preserve">Case 1 (Without Covid19) </t>
  </si>
  <si>
    <t xml:space="preserve">Case 2 (Covid19 for first 2 years) </t>
  </si>
  <si>
    <t xml:space="preserve">Case 3 (Covid19 perpetual) </t>
  </si>
  <si>
    <t xml:space="preserve">FCFE valuation </t>
  </si>
  <si>
    <t xml:space="preserve">FCFF valuation </t>
  </si>
  <si>
    <t>-</t>
  </si>
  <si>
    <t>Normality</t>
  </si>
  <si>
    <t xml:space="preserve">Cost of capital </t>
  </si>
  <si>
    <t xml:space="preserve">Sensitivity table: cost of equity.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</si>
</sst>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67">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
      <b/>
      <sz val="18"/>
      <color theme="0"/>
      <name val="Arial Black"/>
      <family val="2"/>
    </font>
    <font>
      <sz val="18"/>
      <color theme="0"/>
      <name val="Arial Black"/>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41">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1" borderId="39" xfId="0" applyFont="1" applyFill="1" applyBorder="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6"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6" fillId="13" borderId="28" xfId="0" applyFont="1" applyFill="1" applyBorder="1"/>
    <xf numFmtId="0" fontId="65" fillId="13" borderId="1" xfId="0" applyFont="1" applyFill="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xf numFmtId="0" fontId="0" fillId="2" borderId="49" xfId="0" applyFont="1" applyFill="1" applyBorder="1"/>
    <xf numFmtId="0" fontId="34" fillId="2" borderId="29" xfId="0"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6" borderId="0" xfId="2" applyNumberFormat="1" applyFont="1" applyFill="1" applyAlignment="1">
      <alignment horizontal="center"/>
    </xf>
    <xf numFmtId="169" fontId="23" fillId="26" borderId="67" xfId="2" applyNumberFormat="1" applyFont="1" applyFill="1" applyBorder="1" applyAlignment="1">
      <alignment horizontal="center"/>
    </xf>
    <xf numFmtId="169" fontId="23" fillId="26" borderId="57" xfId="2" applyNumberFormat="1" applyFont="1" applyFill="1" applyBorder="1" applyAlignment="1">
      <alignment horizontal="center"/>
    </xf>
    <xf numFmtId="169"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0" fontId="31" fillId="13" borderId="5" xfId="0" applyFont="1" applyFill="1" applyBorder="1"/>
    <xf numFmtId="0" fontId="31" fillId="13" borderId="6" xfId="0" applyFon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Notice</a:t>
          </a:r>
          <a:r>
            <a:rPr lang="it-IT" sz="1100"/>
            <a:t>: I called</a:t>
          </a:r>
          <a:r>
            <a:rPr lang="it-IT" sz="1100" baseline="0"/>
            <a:t> NaN growth rates involving negative numbers. </a:t>
          </a:r>
        </a:p>
        <a:p>
          <a:endParaRPr lang="it-IT" sz="1100"/>
        </a:p>
      </xdr:txBody>
    </xdr:sp>
    <xdr:clientData/>
  </xdr:twoCellAnchor>
  <xdr:twoCellAnchor>
    <xdr:from>
      <xdr:col>5</xdr:col>
      <xdr:colOff>388620</xdr:colOff>
      <xdr:row>144</xdr:row>
      <xdr:rowOff>152400</xdr:rowOff>
    </xdr:from>
    <xdr:to>
      <xdr:col>6</xdr:col>
      <xdr:colOff>0</xdr:colOff>
      <xdr:row>146</xdr:row>
      <xdr:rowOff>0</xdr:rowOff>
    </xdr:to>
    <xdr:sp macro="" textlink="">
      <xdr:nvSpPr>
        <xdr:cNvPr id="4" name="Freccia a destra 3">
          <a:extLst>
            <a:ext uri="{FF2B5EF4-FFF2-40B4-BE49-F238E27FC236}">
              <a16:creationId xmlns:a16="http://schemas.microsoft.com/office/drawing/2014/main" id="{45AC1347-F178-4177-83BB-455383FDB80C}"/>
            </a:ext>
          </a:extLst>
        </xdr:cNvPr>
        <xdr:cNvSpPr/>
      </xdr:nvSpPr>
      <xdr:spPr>
        <a:xfrm>
          <a:off x="4183380" y="2713482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388620</xdr:colOff>
      <xdr:row>148</xdr:row>
      <xdr:rowOff>91440</xdr:rowOff>
    </xdr:from>
    <xdr:to>
      <xdr:col>6</xdr:col>
      <xdr:colOff>0</xdr:colOff>
      <xdr:row>149</xdr:row>
      <xdr:rowOff>121920</xdr:rowOff>
    </xdr:to>
    <xdr:sp macro="" textlink="">
      <xdr:nvSpPr>
        <xdr:cNvPr id="7" name="Freccia a destra 6">
          <a:extLst>
            <a:ext uri="{FF2B5EF4-FFF2-40B4-BE49-F238E27FC236}">
              <a16:creationId xmlns:a16="http://schemas.microsoft.com/office/drawing/2014/main" id="{B94A98AB-FFE8-4943-95B7-A19C5900886B}"/>
            </a:ext>
          </a:extLst>
        </xdr:cNvPr>
        <xdr:cNvSpPr/>
      </xdr:nvSpPr>
      <xdr:spPr>
        <a:xfrm>
          <a:off x="4183380" y="278053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381000</xdr:colOff>
      <xdr:row>152</xdr:row>
      <xdr:rowOff>160020</xdr:rowOff>
    </xdr:from>
    <xdr:to>
      <xdr:col>5</xdr:col>
      <xdr:colOff>601980</xdr:colOff>
      <xdr:row>154</xdr:row>
      <xdr:rowOff>7620</xdr:rowOff>
    </xdr:to>
    <xdr:sp macro="" textlink="">
      <xdr:nvSpPr>
        <xdr:cNvPr id="9" name="Freccia a destra 8">
          <a:extLst>
            <a:ext uri="{FF2B5EF4-FFF2-40B4-BE49-F238E27FC236}">
              <a16:creationId xmlns:a16="http://schemas.microsoft.com/office/drawing/2014/main" id="{BEB75CAE-292A-49D8-9251-BE799AF19BE0}"/>
            </a:ext>
          </a:extLst>
        </xdr:cNvPr>
        <xdr:cNvSpPr/>
      </xdr:nvSpPr>
      <xdr:spPr>
        <a:xfrm>
          <a:off x="4175760" y="286054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xdr:col>
      <xdr:colOff>7620</xdr:colOff>
      <xdr:row>160</xdr:row>
      <xdr:rowOff>91440</xdr:rowOff>
    </xdr:from>
    <xdr:to>
      <xdr:col>5</xdr:col>
      <xdr:colOff>0</xdr:colOff>
      <xdr:row>177</xdr:row>
      <xdr:rowOff>121920</xdr:rowOff>
    </xdr:to>
    <xdr:sp macro="" textlink="">
      <xdr:nvSpPr>
        <xdr:cNvPr id="6" name="CasellaDiTesto 5">
          <a:extLst>
            <a:ext uri="{FF2B5EF4-FFF2-40B4-BE49-F238E27FC236}">
              <a16:creationId xmlns:a16="http://schemas.microsoft.com/office/drawing/2014/main" id="{A93434A3-1B8C-44E8-883D-D1CE19644BEB}"/>
            </a:ext>
          </a:extLst>
        </xdr:cNvPr>
        <xdr:cNvSpPr txBox="1"/>
      </xdr:nvSpPr>
      <xdr:spPr>
        <a:xfrm>
          <a:off x="617220" y="30015180"/>
          <a:ext cx="3177540" cy="3147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Case 1</a:t>
          </a:r>
          <a:r>
            <a:rPr lang="it-IT" sz="1100" b="1" baseline="0"/>
            <a:t> </a:t>
          </a:r>
        </a:p>
        <a:p>
          <a:r>
            <a:rPr lang="it-IT" sz="1100" baseline="0"/>
            <a:t>I did not consider Covid19 effect, this is an optimistic view, anyway this result is clearly biased. </a:t>
          </a:r>
        </a:p>
        <a:p>
          <a:endParaRPr lang="it-IT" sz="1100" baseline="0"/>
        </a:p>
        <a:p>
          <a:r>
            <a:rPr lang="it-IT" sz="1100" b="1" baseline="0"/>
            <a:t>Case 2 </a:t>
          </a:r>
        </a:p>
        <a:p>
          <a:r>
            <a:rPr lang="it-IT" sz="1100" baseline="0"/>
            <a:t>I considered Covid19 effect allowing for an increase in cost of equity (or capital) for first two years, then I used analytically computed cost of equity. </a:t>
          </a:r>
        </a:p>
        <a:p>
          <a:endParaRPr lang="it-IT" sz="1100" baseline="0"/>
        </a:p>
        <a:p>
          <a:r>
            <a:rPr lang="it-IT" sz="1100" b="1" baseline="0"/>
            <a:t>Case 3 </a:t>
          </a:r>
        </a:p>
        <a:p>
          <a:r>
            <a:rPr lang="it-IT" sz="1100" baseline="0"/>
            <a:t>This represents the worst case: I used higher cost of equity  (or capital) according to Damodaran dataset even for stable growth. </a:t>
          </a:r>
        </a:p>
        <a:p>
          <a:endParaRPr lang="it-IT" sz="1100"/>
        </a:p>
        <a:p>
          <a:r>
            <a:rPr lang="it-IT" sz="1100" b="1"/>
            <a:t>Notice</a:t>
          </a:r>
          <a:r>
            <a:rPr lang="it-IT" sz="1100"/>
            <a:t>, a more complete</a:t>
          </a:r>
          <a:r>
            <a:rPr lang="it-IT" sz="1100" baseline="0"/>
            <a:t> consideration would include Covid effects even in other valuation output: </a:t>
          </a:r>
        </a:p>
        <a:p>
          <a:r>
            <a:rPr lang="it-IT" sz="1100" baseline="0"/>
            <a:t>stable growth rate and Free cash flows.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65315</xdr:colOff>
      <xdr:row>13</xdr:row>
      <xdr:rowOff>108857</xdr:rowOff>
    </xdr:from>
    <xdr:to>
      <xdr:col>21</xdr:col>
      <xdr:colOff>54429</xdr:colOff>
      <xdr:row>23</xdr:row>
      <xdr:rowOff>76200</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334515" y="2754086"/>
          <a:ext cx="4865914" cy="1850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approach n° 3.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87086</xdr:colOff>
      <xdr:row>4</xdr:row>
      <xdr:rowOff>0</xdr:rowOff>
    </xdr:from>
    <xdr:to>
      <xdr:col>21</xdr:col>
      <xdr:colOff>10886</xdr:colOff>
      <xdr:row>10</xdr:row>
      <xdr:rowOff>43543</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356286" y="925286"/>
          <a:ext cx="4800600" cy="1197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13</xdr:col>
      <xdr:colOff>32657</xdr:colOff>
      <xdr:row>25</xdr:row>
      <xdr:rowOff>108857</xdr:rowOff>
    </xdr:from>
    <xdr:to>
      <xdr:col>21</xdr:col>
      <xdr:colOff>0</xdr:colOff>
      <xdr:row>44</xdr:row>
      <xdr:rowOff>32658</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301857" y="5040086"/>
          <a:ext cx="4844143" cy="3516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13</xdr:col>
      <xdr:colOff>76200</xdr:colOff>
      <xdr:row>45</xdr:row>
      <xdr:rowOff>130629</xdr:rowOff>
    </xdr:from>
    <xdr:to>
      <xdr:col>21</xdr:col>
      <xdr:colOff>10886</xdr:colOff>
      <xdr:row>67</xdr:row>
      <xdr:rowOff>152400</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345400" y="8839200"/>
          <a:ext cx="4811486" cy="4169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100" baseline="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were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NWC/sales and incremented each year to reach as  value for 2024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a:t>
          </a:r>
          <a:r>
            <a:rPr lang="it-IT" sz="1100" baseline="0"/>
            <a:t> took information from A2A about future debt repayments, in this way I could distinguish between future short term financial debt and bank loans, bonds (M/L). </a:t>
          </a:r>
        </a:p>
        <a:p>
          <a:r>
            <a:rPr lang="it-IT" sz="1100" baseline="0"/>
            <a:t>Then I further divided the latter, using past percentages, in  bonds and other financing.</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Interests assumptions</a:t>
          </a:r>
          <a:r>
            <a:rPr lang="it-IT" sz="1100"/>
            <a:t>:</a:t>
          </a:r>
        </a:p>
        <a:p>
          <a:r>
            <a:rPr lang="it-IT" sz="1100"/>
            <a:t>For</a:t>
          </a:r>
          <a:r>
            <a:rPr lang="it-IT" sz="1100" baseline="0"/>
            <a:t> bond interests I used the following assumption: all new issues will pay on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Then, (strict assumption) in order to get a forecast for total financial expenses I used the average Interest % of total financial expenses of past two years. (78,60%)</a:t>
          </a:r>
        </a:p>
        <a:p>
          <a:endParaRPr lang="it-IT" sz="1100" baseline="0"/>
        </a:p>
        <a:p>
          <a:r>
            <a:rPr lang="it-IT" sz="1100" baseline="0"/>
            <a:t>Due to unpredictability of financial balance and financial items I will consider this result as a proxy for their forecasts (no interest income and other non-recurring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tangible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b="1"/>
            <a:t>Notice: </a:t>
          </a:r>
          <a:r>
            <a:rPr lang="it-IT" sz="1100"/>
            <a:t>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181" activePane="bottomRight" state="frozen"/>
      <selection activeCell="B1" sqref="B1"/>
      <selection pane="topRight" activeCell="E1" sqref="E1"/>
      <selection pane="bottomLeft" activeCell="B4" sqref="B4"/>
      <selection pane="bottomRight" activeCell="K95" sqref="K95"/>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6" t="s">
        <v>536</v>
      </c>
      <c r="D2" s="1"/>
      <c r="E2" s="920" t="s">
        <v>158</v>
      </c>
      <c r="F2" s="920"/>
      <c r="G2" s="920"/>
      <c r="H2" s="920"/>
      <c r="I2" s="920"/>
      <c r="J2" s="920"/>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Q214" zoomScale="80" zoomScaleNormal="80" workbookViewId="0">
      <selection activeCell="T244" sqref="T244:AD244"/>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33203125" customWidth="1"/>
    <col min="18" max="18" width="12.6640625" bestFit="1" customWidth="1"/>
    <col min="19" max="19" width="35.33203125" customWidth="1"/>
    <col min="20" max="20" width="29.44140625" customWidth="1"/>
    <col min="21" max="24" width="10.44140625" bestFit="1" customWidth="1"/>
  </cols>
  <sheetData>
    <row r="1" spans="1:41" ht="21">
      <c r="A1" s="782" t="s">
        <v>746</v>
      </c>
      <c r="B1" s="777"/>
      <c r="C1" s="777"/>
      <c r="D1" s="777"/>
      <c r="E1" s="777"/>
      <c r="F1" s="777"/>
      <c r="G1" s="777"/>
      <c r="H1" s="777"/>
      <c r="I1" s="777"/>
      <c r="J1" s="777"/>
      <c r="K1" s="778"/>
      <c r="L1" s="1"/>
      <c r="M1" s="788" t="s">
        <v>748</v>
      </c>
      <c r="N1" s="789"/>
      <c r="O1" s="777"/>
      <c r="P1" s="777"/>
      <c r="Q1" s="794"/>
      <c r="R1" s="1"/>
      <c r="S1" s="795" t="s">
        <v>751</v>
      </c>
      <c r="T1" s="793"/>
      <c r="U1" s="793"/>
      <c r="V1" s="794"/>
      <c r="W1" s="1"/>
      <c r="X1" s="1"/>
      <c r="Y1" s="1"/>
      <c r="Z1" s="1"/>
      <c r="AA1" s="1"/>
      <c r="AB1" s="1"/>
      <c r="AC1" s="1"/>
      <c r="AD1" s="1"/>
      <c r="AE1" s="1"/>
      <c r="AF1" s="1"/>
      <c r="AG1" s="1"/>
      <c r="AH1" s="1"/>
      <c r="AI1" s="1"/>
      <c r="AJ1" s="1"/>
      <c r="AK1" s="1"/>
      <c r="AL1" s="1"/>
      <c r="AM1" s="1"/>
      <c r="AN1" s="1"/>
      <c r="AO1" s="1"/>
    </row>
    <row r="2" spans="1:41" ht="18" thickBot="1">
      <c r="A2" s="779"/>
      <c r="B2" s="780"/>
      <c r="C2" s="780"/>
      <c r="D2" s="780"/>
      <c r="E2" s="780"/>
      <c r="F2" s="780"/>
      <c r="G2" s="780"/>
      <c r="H2" s="780"/>
      <c r="I2" s="780"/>
      <c r="J2" s="780"/>
      <c r="K2" s="781"/>
      <c r="L2" s="1"/>
      <c r="M2" s="785"/>
      <c r="N2" s="786"/>
      <c r="O2" s="786"/>
      <c r="P2" s="786"/>
      <c r="Q2" s="787"/>
      <c r="R2" s="1"/>
      <c r="S2" s="785"/>
      <c r="T2" s="786"/>
      <c r="U2" s="786"/>
      <c r="V2" s="787"/>
      <c r="W2" s="1"/>
      <c r="X2" s="1"/>
      <c r="Y2" s="1"/>
      <c r="Z2" s="1"/>
      <c r="AA2" s="1"/>
      <c r="AB2" s="1"/>
      <c r="AC2" s="1"/>
      <c r="AD2" s="1"/>
      <c r="AE2" s="1"/>
      <c r="AF2" s="1"/>
      <c r="AG2" s="1"/>
      <c r="AH2" s="1"/>
      <c r="AI2" s="1"/>
      <c r="AJ2" s="1"/>
      <c r="AK2" s="1"/>
      <c r="AL2" s="1"/>
      <c r="AM2" s="1"/>
      <c r="AN2" s="1"/>
      <c r="AO2" s="1"/>
    </row>
    <row r="3" spans="1:41"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thickBot="1">
      <c r="A4" s="1"/>
      <c r="B4" s="1"/>
      <c r="C4" s="1"/>
      <c r="D4" s="434"/>
      <c r="E4" s="434"/>
      <c r="F4" s="1"/>
      <c r="G4" s="1"/>
      <c r="H4" s="1"/>
      <c r="I4" s="1"/>
      <c r="J4" s="1"/>
      <c r="K4" s="1"/>
      <c r="L4" s="1"/>
      <c r="M4" s="1"/>
      <c r="N4" s="1"/>
      <c r="O4" s="1"/>
      <c r="P4" s="1"/>
      <c r="Q4" s="1"/>
      <c r="R4" s="1"/>
      <c r="S4" s="340" t="s">
        <v>419</v>
      </c>
      <c r="T4" s="341">
        <v>2017</v>
      </c>
      <c r="U4" s="341">
        <v>2018</v>
      </c>
      <c r="V4" s="459">
        <v>2019</v>
      </c>
      <c r="W4" s="1"/>
      <c r="X4" s="1"/>
      <c r="Y4" s="1"/>
      <c r="Z4" s="1"/>
      <c r="AA4" s="1"/>
      <c r="AB4" s="434"/>
      <c r="AC4" s="1"/>
      <c r="AD4" s="1"/>
      <c r="AE4" s="1"/>
      <c r="AF4" s="1"/>
      <c r="AG4" s="1"/>
      <c r="AH4" s="1"/>
      <c r="AI4" s="1"/>
      <c r="AJ4" s="1"/>
      <c r="AK4" s="1"/>
      <c r="AL4" s="1"/>
      <c r="AM4" s="1"/>
      <c r="AN4" s="1"/>
      <c r="AO4" s="1"/>
    </row>
    <row r="5" spans="1:41" ht="15" thickBot="1">
      <c r="A5" s="811" t="s">
        <v>491</v>
      </c>
      <c r="B5" s="771" t="s">
        <v>471</v>
      </c>
      <c r="C5" s="772"/>
      <c r="D5" s="783"/>
      <c r="E5" s="783"/>
      <c r="F5" s="784"/>
      <c r="G5" s="772" t="s">
        <v>747</v>
      </c>
      <c r="H5" s="772"/>
      <c r="I5" s="772"/>
      <c r="J5" s="772"/>
      <c r="K5" s="784"/>
      <c r="L5" s="1"/>
      <c r="M5" s="1"/>
      <c r="N5" s="1"/>
      <c r="O5" s="1"/>
      <c r="P5" s="1"/>
      <c r="Q5" s="1"/>
      <c r="R5" s="371"/>
      <c r="S5" s="790" t="s">
        <v>545</v>
      </c>
      <c r="T5" s="370"/>
      <c r="U5" s="610">
        <f>E11/E10</f>
        <v>3.5560516664008932E-2</v>
      </c>
      <c r="V5" s="435">
        <f>F11/F10</f>
        <v>2.8362819432743613E-2</v>
      </c>
      <c r="W5" s="52"/>
      <c r="X5" s="52"/>
      <c r="Y5" s="52"/>
      <c r="Z5" s="52"/>
      <c r="AA5" s="1"/>
      <c r="AB5" s="434"/>
      <c r="AC5" s="1"/>
      <c r="AD5" s="1"/>
      <c r="AE5" s="1"/>
      <c r="AF5" s="1"/>
      <c r="AG5" s="1"/>
      <c r="AH5" s="1"/>
      <c r="AI5" s="1"/>
      <c r="AJ5" s="1"/>
      <c r="AK5" s="1"/>
      <c r="AL5" s="1"/>
      <c r="AM5" s="1"/>
      <c r="AN5" s="1"/>
      <c r="AO5" s="1"/>
    </row>
    <row r="6" spans="1:41">
      <c r="A6" s="775"/>
      <c r="B6" s="1">
        <v>2015</v>
      </c>
      <c r="C6" s="1">
        <v>2016</v>
      </c>
      <c r="D6" s="1">
        <v>2017</v>
      </c>
      <c r="E6" s="1">
        <v>2018</v>
      </c>
      <c r="F6" s="369">
        <v>2019</v>
      </c>
      <c r="G6" s="1">
        <v>2020</v>
      </c>
      <c r="H6" s="1">
        <v>2021</v>
      </c>
      <c r="I6" s="1">
        <v>2022</v>
      </c>
      <c r="J6" s="1">
        <v>2023</v>
      </c>
      <c r="K6" s="369">
        <v>2024</v>
      </c>
      <c r="L6" s="1"/>
      <c r="M6" s="1"/>
      <c r="N6" s="1"/>
      <c r="O6" s="1"/>
      <c r="P6" s="1"/>
      <c r="Q6" s="1"/>
      <c r="R6" s="415"/>
      <c r="S6" s="792" t="s">
        <v>749</v>
      </c>
      <c r="T6" s="610">
        <f>AVERAGE(U5:V5)</f>
        <v>3.1961668048376274E-2</v>
      </c>
      <c r="U6" s="610"/>
      <c r="V6" s="278"/>
      <c r="W6" s="52"/>
      <c r="X6" s="52"/>
      <c r="Y6" s="52"/>
      <c r="Z6" s="52"/>
      <c r="AA6" s="1"/>
      <c r="AB6" s="434"/>
      <c r="AC6" s="1"/>
      <c r="AD6" s="1"/>
      <c r="AE6" s="1"/>
      <c r="AF6" s="1"/>
      <c r="AG6" s="1"/>
      <c r="AH6" s="1"/>
      <c r="AI6" s="1"/>
      <c r="AJ6" s="1"/>
      <c r="AK6" s="1"/>
      <c r="AL6" s="1"/>
      <c r="AM6" s="1"/>
      <c r="AN6" s="1"/>
      <c r="AO6" s="1"/>
    </row>
    <row r="7" spans="1:41">
      <c r="A7" s="595"/>
      <c r="B7" s="1"/>
      <c r="C7" s="1"/>
      <c r="D7" s="434"/>
      <c r="E7" s="434"/>
      <c r="F7" s="369"/>
      <c r="G7" s="1"/>
      <c r="H7" s="1"/>
      <c r="I7" s="1"/>
      <c r="J7" s="1"/>
      <c r="K7" s="369"/>
      <c r="L7" s="1"/>
      <c r="M7" s="1"/>
      <c r="N7" s="1"/>
      <c r="O7" s="1"/>
      <c r="P7" s="1"/>
      <c r="Q7" s="1"/>
      <c r="R7" s="1"/>
      <c r="S7" s="791"/>
      <c r="T7" s="610"/>
      <c r="U7" s="610"/>
      <c r="V7" s="278"/>
      <c r="W7" s="52"/>
      <c r="X7" s="370"/>
      <c r="Y7" s="370"/>
      <c r="Z7" s="52"/>
      <c r="AA7" s="1"/>
      <c r="AB7" s="434"/>
      <c r="AC7" s="1"/>
      <c r="AD7" s="1"/>
      <c r="AE7" s="1"/>
      <c r="AF7" s="1"/>
      <c r="AG7" s="1"/>
      <c r="AH7" s="1"/>
      <c r="AI7" s="1"/>
      <c r="AJ7" s="1"/>
      <c r="AK7" s="1"/>
      <c r="AL7" s="1"/>
      <c r="AM7" s="1"/>
      <c r="AN7" s="1"/>
      <c r="AO7" s="1"/>
    </row>
    <row r="8" spans="1:41">
      <c r="A8" s="595" t="s">
        <v>492</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792" t="s">
        <v>547</v>
      </c>
      <c r="T8" s="370">
        <f>-D15/D10</f>
        <v>0.50644007155635062</v>
      </c>
      <c r="U8" s="370">
        <f t="shared" ref="U8:V8" si="0">-E15/E10</f>
        <v>0.53356721416042097</v>
      </c>
      <c r="V8" s="435">
        <f t="shared" si="0"/>
        <v>0.56220162875596746</v>
      </c>
      <c r="W8" s="52"/>
      <c r="X8" s="610"/>
      <c r="Y8" s="52"/>
      <c r="Z8" s="52"/>
      <c r="AA8" s="1"/>
      <c r="AB8" s="434"/>
      <c r="AC8" s="1"/>
      <c r="AD8" s="1"/>
      <c r="AE8" s="1"/>
      <c r="AF8" s="1"/>
      <c r="AG8" s="1"/>
      <c r="AH8" s="1"/>
      <c r="AI8" s="1"/>
      <c r="AJ8" s="1"/>
      <c r="AK8" s="1"/>
      <c r="AL8" s="1"/>
      <c r="AM8" s="1"/>
      <c r="AN8" s="1"/>
      <c r="AO8" s="1"/>
    </row>
    <row r="9" spans="1:41">
      <c r="A9" s="595"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5"/>
      <c r="S9" s="792" t="s">
        <v>750</v>
      </c>
      <c r="T9" s="370">
        <f>AVERAGE(T8:V8)</f>
        <v>0.53406963815757968</v>
      </c>
      <c r="U9" s="370"/>
      <c r="V9" s="278"/>
      <c r="W9" s="52"/>
      <c r="X9" s="52"/>
      <c r="Y9" s="52"/>
      <c r="Z9" s="52"/>
      <c r="AA9" s="1"/>
      <c r="AB9" s="434"/>
      <c r="AC9" s="1"/>
      <c r="AD9" s="1"/>
      <c r="AE9" s="1"/>
      <c r="AF9" s="1"/>
      <c r="AG9" s="1"/>
      <c r="AH9" s="1"/>
      <c r="AI9" s="1"/>
      <c r="AJ9" s="1"/>
      <c r="AK9" s="1"/>
      <c r="AL9" s="1"/>
      <c r="AM9" s="1"/>
      <c r="AN9" s="1"/>
      <c r="AO9" s="1"/>
    </row>
    <row r="10" spans="1:41">
      <c r="A10" s="812" t="s">
        <v>546</v>
      </c>
      <c r="B10" s="506">
        <f>B8+B9</f>
        <v>4732</v>
      </c>
      <c r="C10" s="506">
        <f t="shared" ref="C10:F10" si="1">C8+C9</f>
        <v>4581</v>
      </c>
      <c r="D10" s="506">
        <f t="shared" si="1"/>
        <v>5590</v>
      </c>
      <c r="E10" s="506">
        <f t="shared" si="1"/>
        <v>6271</v>
      </c>
      <c r="F10" s="507">
        <f t="shared" si="1"/>
        <v>7122</v>
      </c>
      <c r="G10" s="506">
        <f>G25/G26</f>
        <v>7229.9878811512444</v>
      </c>
      <c r="H10" s="506">
        <f t="shared" ref="H10:J10" si="2">H25/H26</f>
        <v>7339.613136983131</v>
      </c>
      <c r="I10" s="506">
        <f t="shared" si="2"/>
        <v>7450.9005943171169</v>
      </c>
      <c r="J10" s="506">
        <f t="shared" si="2"/>
        <v>7563.8754564132787</v>
      </c>
      <c r="K10" s="507">
        <f>K25/K26</f>
        <v>7675.7218275645055</v>
      </c>
      <c r="L10" s="1"/>
      <c r="M10" s="1"/>
      <c r="N10" s="1"/>
      <c r="O10" s="1"/>
      <c r="P10" s="1"/>
      <c r="Q10" s="1"/>
      <c r="R10" s="415"/>
      <c r="S10" s="792"/>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6">
        <f>'Reorganised Statements'!D56</f>
        <v>189</v>
      </c>
      <c r="C11" s="456">
        <f>'Reorganised Statements'!E56</f>
        <v>279</v>
      </c>
      <c r="D11" s="456">
        <f>'Reorganised Statements'!F56</f>
        <v>206</v>
      </c>
      <c r="E11" s="456">
        <f>'Reorganised Statements'!G56</f>
        <v>223</v>
      </c>
      <c r="F11" s="457">
        <f>'Reorganised Statements'!H56</f>
        <v>202</v>
      </c>
      <c r="G11" s="456">
        <f>G10*T6</f>
        <v>231.0824726511394</v>
      </c>
      <c r="H11" s="456">
        <f>T6*H10</f>
        <v>234.58627868775648</v>
      </c>
      <c r="I11" s="456">
        <f>T6*I10</f>
        <v>238.14321145701319</v>
      </c>
      <c r="J11" s="456">
        <f>T6*J10</f>
        <v>241.7540764971418</v>
      </c>
      <c r="K11" s="457">
        <f>T6*K10</f>
        <v>245.32887308429278</v>
      </c>
      <c r="L11" s="1"/>
      <c r="M11" s="1"/>
      <c r="N11" s="1"/>
      <c r="O11" s="1"/>
      <c r="P11" s="1"/>
      <c r="Q11" s="1"/>
      <c r="R11" s="371"/>
      <c r="S11" s="792" t="s">
        <v>548</v>
      </c>
      <c r="T11" s="370">
        <f>-D16/D10</f>
        <v>0.15205724508050089</v>
      </c>
      <c r="U11" s="370">
        <f t="shared" ref="U11:V11" si="3">-E16/E10</f>
        <v>0.15723170148301707</v>
      </c>
      <c r="V11" s="435">
        <f t="shared" si="3"/>
        <v>0.16175231676495366</v>
      </c>
      <c r="W11" s="52"/>
      <c r="X11" s="610"/>
      <c r="Y11" s="52"/>
      <c r="Z11" s="52"/>
      <c r="AA11" s="1"/>
      <c r="AB11" s="434"/>
      <c r="AC11" s="1"/>
      <c r="AD11" s="1"/>
      <c r="AE11" s="1"/>
      <c r="AF11" s="1"/>
      <c r="AG11" s="1"/>
      <c r="AH11" s="1"/>
      <c r="AI11" s="1"/>
      <c r="AJ11" s="1"/>
      <c r="AK11" s="1"/>
      <c r="AL11" s="1"/>
      <c r="AM11" s="1"/>
      <c r="AN11" s="1"/>
      <c r="AO11" s="1"/>
    </row>
    <row r="12" spans="1:41">
      <c r="A12" s="71" t="s">
        <v>457</v>
      </c>
      <c r="B12" s="447">
        <f>B8+B9+B11</f>
        <v>4921</v>
      </c>
      <c r="C12" s="447">
        <f t="shared" ref="C12:F12" si="4">C8+C9+C11</f>
        <v>4860</v>
      </c>
      <c r="D12" s="447">
        <f t="shared" si="4"/>
        <v>5796</v>
      </c>
      <c r="E12" s="447">
        <f t="shared" si="4"/>
        <v>6494</v>
      </c>
      <c r="F12" s="448">
        <f t="shared" si="4"/>
        <v>7324</v>
      </c>
      <c r="G12" s="447">
        <f>G10+G11</f>
        <v>7461.0703538023836</v>
      </c>
      <c r="H12" s="447">
        <f t="shared" ref="H12:K12" si="5">H10+H11</f>
        <v>7574.1994156708879</v>
      </c>
      <c r="I12" s="447">
        <f t="shared" si="5"/>
        <v>7689.0438057741303</v>
      </c>
      <c r="J12" s="447">
        <f t="shared" si="5"/>
        <v>7805.6295329104205</v>
      </c>
      <c r="K12" s="448">
        <f t="shared" si="5"/>
        <v>7921.0507006487978</v>
      </c>
      <c r="L12" s="1"/>
      <c r="M12" s="1"/>
      <c r="N12" s="1"/>
      <c r="O12" s="1"/>
      <c r="P12" s="1"/>
      <c r="Q12" s="1"/>
      <c r="R12" s="415"/>
      <c r="S12" s="792" t="s">
        <v>750</v>
      </c>
      <c r="T12" s="370">
        <f>AVERAGE(T11:V11)</f>
        <v>0.15701375444282387</v>
      </c>
      <c r="U12" s="370"/>
      <c r="V12" s="278"/>
      <c r="W12" s="52"/>
      <c r="X12" s="52"/>
      <c r="Y12" s="52"/>
      <c r="Z12" s="52"/>
      <c r="AA12" s="1"/>
      <c r="AB12" s="434"/>
      <c r="AC12" s="1"/>
      <c r="AD12" s="1"/>
      <c r="AE12" s="1"/>
      <c r="AF12" s="1"/>
      <c r="AG12" s="1"/>
      <c r="AH12" s="1"/>
      <c r="AI12" s="1"/>
      <c r="AJ12" s="1"/>
      <c r="AK12" s="1"/>
      <c r="AL12" s="1"/>
      <c r="AM12" s="1"/>
      <c r="AN12" s="1"/>
      <c r="AO12" s="1"/>
    </row>
    <row r="13" spans="1:41">
      <c r="A13" s="595"/>
      <c r="B13" s="1"/>
      <c r="C13" s="1"/>
      <c r="D13" s="434"/>
      <c r="E13" s="434"/>
      <c r="F13" s="369"/>
      <c r="G13" s="1"/>
      <c r="H13" s="1"/>
      <c r="I13" s="1"/>
      <c r="J13" s="1"/>
      <c r="K13" s="369"/>
      <c r="L13" s="1"/>
      <c r="M13" s="1"/>
      <c r="N13" s="1"/>
      <c r="O13" s="1"/>
      <c r="P13" s="1"/>
      <c r="Q13" s="1"/>
      <c r="R13" s="415"/>
      <c r="S13" s="792"/>
      <c r="T13" s="370"/>
      <c r="U13" s="370"/>
      <c r="V13" s="278"/>
      <c r="W13" s="52"/>
      <c r="X13" s="370"/>
      <c r="Y13" s="370"/>
      <c r="Z13" s="370"/>
      <c r="AA13" s="1"/>
      <c r="AB13" s="434"/>
      <c r="AC13" s="1"/>
      <c r="AD13" s="1"/>
      <c r="AE13" s="1"/>
      <c r="AF13" s="1"/>
      <c r="AG13" s="1"/>
      <c r="AH13" s="1"/>
      <c r="AI13" s="1"/>
      <c r="AJ13" s="1"/>
      <c r="AK13" s="1"/>
      <c r="AL13" s="1"/>
      <c r="AM13" s="1"/>
      <c r="AN13" s="1"/>
      <c r="AO13" s="1"/>
    </row>
    <row r="14" spans="1:41">
      <c r="A14" s="96" t="s">
        <v>493</v>
      </c>
      <c r="B14" s="101"/>
      <c r="C14" s="101"/>
      <c r="D14" s="377"/>
      <c r="E14" s="377"/>
      <c r="F14" s="99"/>
      <c r="G14" s="101"/>
      <c r="H14" s="101"/>
      <c r="I14" s="101"/>
      <c r="J14" s="101"/>
      <c r="K14" s="99"/>
      <c r="L14" s="1"/>
      <c r="M14" s="1"/>
      <c r="N14" s="1"/>
      <c r="O14" s="1"/>
      <c r="P14" s="1"/>
      <c r="Q14" s="1"/>
      <c r="R14" s="371"/>
      <c r="S14" s="792" t="s">
        <v>549</v>
      </c>
      <c r="T14" s="370">
        <f>-D18/D10</f>
        <v>0.11359570661896243</v>
      </c>
      <c r="U14" s="370">
        <f t="shared" ref="U14:V14" si="6">-E18/E10</f>
        <v>0.10604369319087865</v>
      </c>
      <c r="V14" s="435">
        <f t="shared" si="6"/>
        <v>9.828699803426004E-2</v>
      </c>
      <c r="W14" s="52"/>
      <c r="X14" s="610"/>
      <c r="Y14" s="52"/>
      <c r="Z14" s="52"/>
      <c r="AA14" s="1"/>
      <c r="AB14" s="434"/>
      <c r="AC14" s="1"/>
      <c r="AD14" s="1"/>
      <c r="AE14" s="1"/>
      <c r="AF14" s="1"/>
      <c r="AG14" s="1"/>
      <c r="AH14" s="1"/>
      <c r="AI14" s="1"/>
      <c r="AJ14" s="1"/>
      <c r="AK14" s="1"/>
      <c r="AL14" s="1"/>
      <c r="AM14" s="1"/>
      <c r="AN14" s="1"/>
      <c r="AO14" s="1"/>
    </row>
    <row r="15" spans="1:41" ht="15" thickBot="1">
      <c r="A15" s="595"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6">
        <f>-G10*T9</f>
        <v>-3861.3170115701314</v>
      </c>
      <c r="H15" s="446">
        <f>-H10*T9</f>
        <v>-3919.8645322851989</v>
      </c>
      <c r="I15" s="446">
        <f>-I10*T9</f>
        <v>-3979.2997843550379</v>
      </c>
      <c r="J15" s="446">
        <f>-T9*J10</f>
        <v>-4039.6362280756375</v>
      </c>
      <c r="K15" s="458">
        <f>-T9*K10</f>
        <v>-4099.3699790456121</v>
      </c>
      <c r="L15" s="1"/>
      <c r="M15" s="1"/>
      <c r="N15" s="1"/>
      <c r="O15" s="1"/>
      <c r="P15" s="1"/>
      <c r="Q15" s="1"/>
      <c r="R15" s="415"/>
      <c r="S15" s="796" t="s">
        <v>750</v>
      </c>
      <c r="T15" s="494">
        <f>AVERAGE(T14:V14)</f>
        <v>0.10597546594803371</v>
      </c>
      <c r="U15" s="494"/>
      <c r="V15" s="281"/>
      <c r="W15" s="52"/>
      <c r="X15" s="52"/>
      <c r="Y15" s="52"/>
      <c r="Z15" s="52"/>
      <c r="AA15" s="1"/>
      <c r="AB15" s="434"/>
      <c r="AC15" s="1"/>
      <c r="AD15" s="1"/>
      <c r="AE15" s="1"/>
      <c r="AF15" s="1"/>
      <c r="AG15" s="1"/>
      <c r="AH15" s="1"/>
      <c r="AI15" s="1"/>
      <c r="AJ15" s="1"/>
      <c r="AK15" s="1"/>
      <c r="AL15" s="1"/>
      <c r="AM15" s="1"/>
      <c r="AN15" s="1"/>
      <c r="AO15" s="1"/>
    </row>
    <row r="16" spans="1:41">
      <c r="A16" s="595"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6">
        <f>-T12*G10</f>
        <v>-1135.2075417956739</v>
      </c>
      <c r="H16" s="446">
        <f>-T12*H10</f>
        <v>-1152.4202147955934</v>
      </c>
      <c r="I16" s="446">
        <f>-T12*I10</f>
        <v>-1169.8938762939981</v>
      </c>
      <c r="J16" s="446">
        <f>-T12*J10</f>
        <v>-1187.6324835493767</v>
      </c>
      <c r="K16" s="458">
        <f>-T12*K10</f>
        <v>-1205.1939022046365</v>
      </c>
      <c r="L16" s="1"/>
      <c r="M16" s="1"/>
      <c r="N16" s="1"/>
      <c r="O16" s="1"/>
      <c r="P16" s="1"/>
      <c r="Q16" s="1"/>
      <c r="R16" s="1"/>
      <c r="S16" s="1"/>
      <c r="T16" s="52"/>
      <c r="U16" s="52"/>
      <c r="V16" s="52"/>
      <c r="W16" s="52"/>
      <c r="X16" s="370"/>
      <c r="Y16" s="370"/>
      <c r="Z16" s="370"/>
      <c r="AA16" s="1"/>
      <c r="AB16" s="434"/>
      <c r="AC16" s="1"/>
      <c r="AD16" s="1"/>
      <c r="AE16" s="1"/>
      <c r="AF16" s="1"/>
      <c r="AG16" s="1"/>
      <c r="AH16" s="1"/>
      <c r="AI16" s="1"/>
      <c r="AJ16" s="1"/>
      <c r="AK16" s="1"/>
      <c r="AL16" s="1"/>
      <c r="AM16" s="1"/>
      <c r="AN16" s="1"/>
      <c r="AO16" s="1"/>
    </row>
    <row r="17" spans="1:41">
      <c r="A17" s="595"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6">
        <f>(G19-G15-G16-G18)</f>
        <v>-394.3485356689381</v>
      </c>
      <c r="H17" s="446">
        <f t="shared" ref="H17:K17" si="7">(H19-H15-H16-H18)</f>
        <v>-346.13352111880317</v>
      </c>
      <c r="I17" s="446">
        <f t="shared" si="7"/>
        <v>-294.11338730152363</v>
      </c>
      <c r="J17" s="446">
        <f t="shared" si="7"/>
        <v>-238.05606978490357</v>
      </c>
      <c r="K17" s="458">
        <f t="shared" si="7"/>
        <v>-177.04862284693229</v>
      </c>
      <c r="L17" s="1"/>
      <c r="M17" s="1"/>
      <c r="N17" s="1"/>
      <c r="O17" s="1"/>
      <c r="P17" s="1"/>
      <c r="Q17" s="1"/>
      <c r="R17" s="1"/>
      <c r="S17" s="1"/>
      <c r="T17" s="52"/>
      <c r="U17" s="52"/>
      <c r="V17" s="52"/>
      <c r="W17" s="52"/>
      <c r="X17" s="610"/>
      <c r="Y17" s="52"/>
      <c r="Z17" s="52"/>
      <c r="AA17" s="1"/>
      <c r="AB17" s="434"/>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6">
        <f>-T15*G10</f>
        <v>-766.20133450364017</v>
      </c>
      <c r="H18" s="456">
        <f>-T15*H10</f>
        <v>-777.81892207009673</v>
      </c>
      <c r="I18" s="456">
        <f>-T15*I10</f>
        <v>-789.61266221523772</v>
      </c>
      <c r="J18" s="456">
        <f>-T15*J10</f>
        <v>-801.5852258662934</v>
      </c>
      <c r="K18" s="457">
        <f>-T15*K10</f>
        <v>-813.43819716364135</v>
      </c>
      <c r="L18" s="1"/>
      <c r="M18" s="1"/>
      <c r="N18" s="1"/>
      <c r="O18" s="1"/>
      <c r="P18" s="1"/>
      <c r="Q18" s="1"/>
      <c r="R18" s="1"/>
      <c r="S18" s="1"/>
      <c r="T18" s="1"/>
      <c r="U18" s="1"/>
      <c r="V18" s="1"/>
      <c r="W18" s="1"/>
      <c r="X18" s="1"/>
      <c r="Y18" s="1"/>
      <c r="Z18" s="1"/>
      <c r="AA18" s="1"/>
      <c r="AB18" s="434"/>
      <c r="AC18" s="1"/>
      <c r="AD18" s="1"/>
      <c r="AE18" s="1"/>
      <c r="AF18" s="1"/>
      <c r="AG18" s="1"/>
      <c r="AH18" s="1"/>
      <c r="AI18" s="1"/>
      <c r="AJ18" s="1"/>
      <c r="AK18" s="1"/>
      <c r="AL18" s="1"/>
      <c r="AM18" s="1"/>
      <c r="AN18" s="1"/>
      <c r="AO18" s="1"/>
    </row>
    <row r="19" spans="1:41">
      <c r="A19" s="71" t="s">
        <v>494</v>
      </c>
      <c r="B19" s="434">
        <f>B15+B16+B17+B18</f>
        <v>-3873</v>
      </c>
      <c r="C19" s="434">
        <f t="shared" ref="C19:F19" si="8">C15+C16+C17+C18</f>
        <v>-3698</v>
      </c>
      <c r="D19" s="434">
        <f t="shared" si="8"/>
        <v>-4597</v>
      </c>
      <c r="E19" s="434">
        <f t="shared" si="8"/>
        <v>-5263</v>
      </c>
      <c r="F19" s="445">
        <f t="shared" si="8"/>
        <v>-6090</v>
      </c>
      <c r="G19" s="447">
        <f>-(G12-G25)</f>
        <v>-6157.0744235383836</v>
      </c>
      <c r="H19" s="447">
        <f t="shared" ref="H19:K19" si="9">-(H12-H25)</f>
        <v>-6196.2371902696923</v>
      </c>
      <c r="I19" s="447">
        <f t="shared" si="9"/>
        <v>-6232.9197101657974</v>
      </c>
      <c r="J19" s="447">
        <f t="shared" si="9"/>
        <v>-6266.9100072762112</v>
      </c>
      <c r="K19" s="448">
        <f t="shared" si="9"/>
        <v>-6295.0507012608223</v>
      </c>
      <c r="L19" s="1"/>
      <c r="M19" s="1"/>
      <c r="N19" s="1"/>
      <c r="O19" s="1"/>
      <c r="P19" s="1"/>
      <c r="Q19" s="1"/>
      <c r="R19" s="1"/>
      <c r="S19" s="1"/>
      <c r="T19" s="1"/>
      <c r="U19" s="1"/>
      <c r="V19" s="1"/>
      <c r="W19" s="1"/>
      <c r="X19" s="1"/>
      <c r="Y19" s="1"/>
      <c r="Z19" s="1"/>
      <c r="AA19" s="1"/>
      <c r="AB19" s="434"/>
      <c r="AC19" s="1"/>
      <c r="AD19" s="1"/>
      <c r="AE19" s="1"/>
      <c r="AF19" s="1"/>
      <c r="AG19" s="1"/>
      <c r="AH19" s="1"/>
      <c r="AI19" s="1"/>
      <c r="AJ19" s="1"/>
      <c r="AK19" s="1"/>
      <c r="AL19" s="1"/>
      <c r="AM19" s="1"/>
      <c r="AN19" s="1"/>
      <c r="AO19" s="1"/>
    </row>
    <row r="20" spans="1:41">
      <c r="A20" s="595"/>
      <c r="B20" s="1"/>
      <c r="C20" s="1"/>
      <c r="D20" s="434"/>
      <c r="E20" s="434"/>
      <c r="F20" s="369"/>
      <c r="G20" s="1"/>
      <c r="H20" s="1"/>
      <c r="I20" s="1"/>
      <c r="J20" s="1"/>
      <c r="K20" s="369"/>
      <c r="L20" s="1"/>
      <c r="M20" s="1"/>
      <c r="N20" s="1"/>
      <c r="O20" s="1"/>
      <c r="P20" s="1"/>
      <c r="Q20" s="1"/>
      <c r="R20" s="1"/>
      <c r="S20" s="1"/>
      <c r="T20" s="1"/>
      <c r="U20" s="1"/>
      <c r="V20" s="1"/>
      <c r="W20" s="1"/>
      <c r="X20" s="1"/>
      <c r="Y20" s="1"/>
      <c r="Z20" s="1"/>
      <c r="AA20" s="1"/>
      <c r="AB20" s="434"/>
      <c r="AC20" s="1"/>
      <c r="AD20" s="1"/>
      <c r="AE20" s="1"/>
      <c r="AF20" s="1"/>
      <c r="AG20" s="1"/>
      <c r="AH20" s="1"/>
      <c r="AI20" s="1"/>
      <c r="AJ20" s="1"/>
      <c r="AK20" s="1"/>
      <c r="AL20" s="1"/>
      <c r="AM20" s="1"/>
      <c r="AN20" s="1"/>
      <c r="AO20" s="1"/>
    </row>
    <row r="21" spans="1:41">
      <c r="A21" s="595" t="s">
        <v>766</v>
      </c>
      <c r="B21" s="371">
        <f>-(B19/B12)</f>
        <v>0.78703515545620806</v>
      </c>
      <c r="C21" s="371">
        <f t="shared" ref="C21:F21" si="10">-(C19/C12)</f>
        <v>0.76090534979423863</v>
      </c>
      <c r="D21" s="371">
        <f t="shared" si="10"/>
        <v>0.79313319530710835</v>
      </c>
      <c r="E21" s="371">
        <f t="shared" si="10"/>
        <v>0.81044040652910376</v>
      </c>
      <c r="F21" s="437">
        <f t="shared" si="10"/>
        <v>0.83151283451665758</v>
      </c>
      <c r="G21" s="371">
        <f>-(G19/G12)</f>
        <v>0.82522669423704809</v>
      </c>
      <c r="H21" s="371">
        <f t="shared" ref="H21:J21" si="11">-(H19/H12)</f>
        <v>0.81807156772896483</v>
      </c>
      <c r="I21" s="371">
        <f t="shared" si="11"/>
        <v>0.8106235141338578</v>
      </c>
      <c r="J21" s="371">
        <f t="shared" si="11"/>
        <v>0.80287054117203538</v>
      </c>
      <c r="K21" s="437">
        <f>-(K19/K12)</f>
        <v>0.79472420252848619</v>
      </c>
      <c r="L21" s="1"/>
      <c r="M21" s="1"/>
      <c r="N21" s="1"/>
      <c r="O21" s="1"/>
      <c r="P21" s="1"/>
      <c r="Q21" s="1"/>
      <c r="R21" s="1"/>
      <c r="S21" s="1"/>
      <c r="T21" s="1"/>
      <c r="U21" s="1"/>
      <c r="V21" s="1"/>
      <c r="W21" s="1"/>
      <c r="X21" s="1"/>
      <c r="Y21" s="1"/>
      <c r="Z21" s="1"/>
      <c r="AA21" s="1"/>
      <c r="AB21" s="434"/>
      <c r="AC21" s="1"/>
      <c r="AD21" s="1"/>
      <c r="AE21" s="1"/>
      <c r="AF21" s="1"/>
      <c r="AG21" s="1"/>
      <c r="AH21" s="1"/>
      <c r="AI21" s="1"/>
      <c r="AJ21" s="1"/>
      <c r="AK21" s="1"/>
      <c r="AL21" s="1"/>
      <c r="AM21" s="1"/>
      <c r="AN21" s="1"/>
      <c r="AO21" s="1"/>
    </row>
    <row r="22" spans="1:41">
      <c r="A22" s="595"/>
      <c r="B22" s="1"/>
      <c r="C22" s="1"/>
      <c r="D22" s="434"/>
      <c r="E22" s="434"/>
      <c r="F22" s="369"/>
      <c r="G22" s="1"/>
      <c r="H22" s="1"/>
      <c r="I22" s="1"/>
      <c r="J22" s="1"/>
      <c r="K22" s="369"/>
      <c r="L22" s="1"/>
      <c r="M22" s="1"/>
      <c r="N22" s="1"/>
      <c r="O22" s="1"/>
      <c r="P22" s="1"/>
      <c r="Q22" s="1"/>
      <c r="R22" s="1"/>
      <c r="S22" s="1"/>
      <c r="T22" s="1"/>
      <c r="U22" s="1"/>
      <c r="V22" s="1"/>
      <c r="W22" s="1"/>
      <c r="X22" s="1"/>
      <c r="Y22" s="1"/>
      <c r="Z22" s="1"/>
      <c r="AA22" s="1"/>
      <c r="AB22" s="434"/>
      <c r="AC22" s="1"/>
      <c r="AD22" s="1"/>
      <c r="AE22" s="1"/>
      <c r="AF22" s="1"/>
      <c r="AG22" s="1"/>
      <c r="AH22" s="1"/>
      <c r="AI22" s="1"/>
      <c r="AJ22" s="1"/>
      <c r="AK22" s="1"/>
      <c r="AL22" s="1"/>
      <c r="AM22" s="1"/>
      <c r="AN22" s="1"/>
      <c r="AO22" s="1"/>
    </row>
    <row r="23" spans="1:41">
      <c r="A23" s="595"/>
      <c r="B23" s="1"/>
      <c r="C23" s="1"/>
      <c r="D23" s="434"/>
      <c r="E23" s="434"/>
      <c r="F23" s="369"/>
      <c r="G23" s="1"/>
      <c r="H23" s="1"/>
      <c r="I23" s="1"/>
      <c r="J23" s="1"/>
      <c r="K23" s="369"/>
      <c r="L23" s="1"/>
      <c r="M23" s="1"/>
      <c r="N23" s="1"/>
      <c r="O23" s="1"/>
      <c r="P23" s="1"/>
      <c r="Q23" s="1"/>
      <c r="R23" s="1"/>
      <c r="S23" s="1"/>
      <c r="T23" s="1"/>
      <c r="U23" s="1"/>
      <c r="V23" s="1"/>
      <c r="W23" s="1"/>
      <c r="X23" s="1"/>
      <c r="Y23" s="1"/>
      <c r="Z23" s="1"/>
      <c r="AA23" s="1"/>
      <c r="AB23" s="434"/>
      <c r="AC23" s="1"/>
      <c r="AD23" s="1"/>
      <c r="AE23" s="1"/>
      <c r="AF23" s="1"/>
      <c r="AG23" s="1"/>
      <c r="AH23" s="1"/>
      <c r="AI23" s="1"/>
      <c r="AJ23" s="1"/>
      <c r="AK23" s="1"/>
      <c r="AL23" s="1"/>
      <c r="AM23" s="1"/>
      <c r="AN23" s="1"/>
      <c r="AO23" s="1"/>
    </row>
    <row r="24" spans="1:41" ht="1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4"/>
      <c r="AC24" s="1"/>
      <c r="AD24" s="1"/>
      <c r="AE24" s="1"/>
      <c r="AF24" s="1"/>
      <c r="AG24" s="1"/>
      <c r="AH24" s="1"/>
      <c r="AI24" s="1"/>
      <c r="AJ24" s="1"/>
      <c r="AK24" s="1"/>
      <c r="AL24" s="1"/>
      <c r="AM24" s="1"/>
      <c r="AN24" s="1"/>
      <c r="AO24" s="1"/>
    </row>
    <row r="25" spans="1:41" ht="15" thickBot="1">
      <c r="A25" s="449" t="s">
        <v>550</v>
      </c>
      <c r="B25" s="450">
        <f>B12+B19</f>
        <v>1048</v>
      </c>
      <c r="C25" s="450">
        <f t="shared" ref="C25:F25" si="12">C12+C19</f>
        <v>1162</v>
      </c>
      <c r="D25" s="450">
        <f t="shared" si="12"/>
        <v>1199</v>
      </c>
      <c r="E25" s="450">
        <f t="shared" si="12"/>
        <v>1231</v>
      </c>
      <c r="F25" s="451">
        <f t="shared" si="12"/>
        <v>1234</v>
      </c>
      <c r="G25" s="452">
        <f>(1+0.056722796)*F25</f>
        <v>1303.995930264</v>
      </c>
      <c r="H25" s="452">
        <f t="shared" ref="H25:K25" si="13">(1+0.056722796)*G25</f>
        <v>1377.9622254011952</v>
      </c>
      <c r="I25" s="452">
        <f t="shared" si="13"/>
        <v>1456.1240956083332</v>
      </c>
      <c r="J25" s="452">
        <f t="shared" si="13"/>
        <v>1538.7195256342093</v>
      </c>
      <c r="K25" s="836">
        <f t="shared" si="13"/>
        <v>1625.9999993879753</v>
      </c>
      <c r="L25" s="1"/>
      <c r="M25" s="1"/>
      <c r="N25" s="1"/>
      <c r="O25" s="1"/>
      <c r="P25" s="1"/>
      <c r="Q25" s="1"/>
      <c r="R25" s="1"/>
      <c r="S25" s="1"/>
      <c r="T25" s="1"/>
      <c r="U25" s="1"/>
      <c r="V25" s="1"/>
      <c r="W25" s="1"/>
      <c r="X25" s="1"/>
      <c r="Y25" s="1"/>
      <c r="Z25" s="1"/>
      <c r="AA25" s="1"/>
      <c r="AB25" s="434"/>
      <c r="AC25" s="1"/>
      <c r="AD25" s="1"/>
      <c r="AE25" s="1"/>
      <c r="AF25" s="1"/>
      <c r="AG25" s="1"/>
      <c r="AH25" s="1"/>
      <c r="AI25" s="1"/>
      <c r="AJ25" s="1"/>
      <c r="AK25" s="1"/>
      <c r="AL25" s="1"/>
      <c r="AM25" s="1"/>
      <c r="AN25" s="1"/>
      <c r="AO25" s="1"/>
    </row>
    <row r="26" spans="1:41">
      <c r="A26" s="96" t="s">
        <v>551</v>
      </c>
      <c r="B26" s="453">
        <f>B25/B10</f>
        <v>0.22147083685545224</v>
      </c>
      <c r="C26" s="453">
        <f t="shared" ref="C26:F26" si="14">C25/C10</f>
        <v>0.25365640689805719</v>
      </c>
      <c r="D26" s="453">
        <f t="shared" si="14"/>
        <v>0.21449016100178891</v>
      </c>
      <c r="E26" s="453">
        <f t="shared" si="14"/>
        <v>0.19630043055334079</v>
      </c>
      <c r="F26" s="454">
        <f t="shared" si="14"/>
        <v>0.17326593653468128</v>
      </c>
      <c r="G26" s="453">
        <f>(1+0.04093947)*F26</f>
        <v>0.18035935214546478</v>
      </c>
      <c r="H26" s="453">
        <f t="shared" ref="H26:J26" si="15">(1+0.04093947)*G26</f>
        <v>0.18774316843184349</v>
      </c>
      <c r="I26" s="453">
        <f t="shared" si="15"/>
        <v>0.19542927424356391</v>
      </c>
      <c r="J26" s="453">
        <f t="shared" si="15"/>
        <v>0.20343004515358007</v>
      </c>
      <c r="K26" s="454">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41" t="s">
        <v>552</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5"/>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444" t="s">
        <v>553</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6">
        <f>G31+G32</f>
        <v>7509.2239672032174</v>
      </c>
      <c r="H30" s="456">
        <f t="shared" ref="H30:K30" si="16">H31+H32</f>
        <v>7765.5960602293999</v>
      </c>
      <c r="I30" s="456">
        <f t="shared" si="16"/>
        <v>8017.6005150802248</v>
      </c>
      <c r="J30" s="456">
        <f t="shared" si="16"/>
        <v>8265.6896991172107</v>
      </c>
      <c r="K30" s="457">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554</v>
      </c>
      <c r="B31" s="1">
        <f>'Reorganised Statements'!D5</f>
        <v>5067</v>
      </c>
      <c r="C31" s="1">
        <f>'Reorganised Statements'!E5</f>
        <v>5129</v>
      </c>
      <c r="D31" s="1">
        <f>'Reorganised Statements'!F5</f>
        <v>4606</v>
      </c>
      <c r="E31" s="1">
        <f>'Reorganised Statements'!G5</f>
        <v>4620</v>
      </c>
      <c r="F31" s="369">
        <f>'Reorganised Statements'!H5</f>
        <v>4869</v>
      </c>
      <c r="G31" s="446">
        <f>G41</f>
        <v>4964.9255830968814</v>
      </c>
      <c r="H31" s="446">
        <f t="shared" ref="H31:K31" si="17">H41</f>
        <v>5060.1014455884615</v>
      </c>
      <c r="I31" s="446">
        <f t="shared" si="17"/>
        <v>5154.7360712934978</v>
      </c>
      <c r="J31" s="446">
        <f t="shared" si="17"/>
        <v>5249.0191767306296</v>
      </c>
      <c r="K31" s="458">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555</v>
      </c>
      <c r="B32" s="1">
        <f>'Reorganised Statements'!D6</f>
        <v>1348</v>
      </c>
      <c r="C32" s="1">
        <f>'Reorganised Statements'!E6</f>
        <v>1704</v>
      </c>
      <c r="D32" s="1">
        <f>'Reorganised Statements'!F6</f>
        <v>1863</v>
      </c>
      <c r="E32" s="1">
        <f>'Reorganised Statements'!G6</f>
        <v>2302</v>
      </c>
      <c r="F32" s="369">
        <f>'Reorganised Statements'!H6</f>
        <v>2379</v>
      </c>
      <c r="G32" s="446">
        <f>G52</f>
        <v>2544.298384106336</v>
      </c>
      <c r="H32" s="446">
        <f t="shared" ref="H32:K32" si="18">H52</f>
        <v>2705.4946146409388</v>
      </c>
      <c r="I32" s="446">
        <f t="shared" si="18"/>
        <v>2862.864443786727</v>
      </c>
      <c r="J32" s="446">
        <f t="shared" si="18"/>
        <v>3016.670522386582</v>
      </c>
      <c r="K32" s="458">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556</v>
      </c>
      <c r="B33" s="371">
        <f>B31/B30</f>
        <v>0.78986749805144196</v>
      </c>
      <c r="C33" s="371">
        <f t="shared" ref="C33:F33" si="19">C31/C30</f>
        <v>0.75062198156007609</v>
      </c>
      <c r="D33" s="371">
        <f t="shared" si="19"/>
        <v>0.71201113000463745</v>
      </c>
      <c r="E33" s="371">
        <f t="shared" si="19"/>
        <v>0.66743715689107197</v>
      </c>
      <c r="F33" s="437">
        <f t="shared" si="19"/>
        <v>0.67177152317880795</v>
      </c>
      <c r="G33" s="371">
        <f>G31/G30</f>
        <v>0.66117692118138405</v>
      </c>
      <c r="H33" s="371">
        <f t="shared" ref="H33:J33" si="20">H31/H30</f>
        <v>0.65160502894339101</v>
      </c>
      <c r="I33" s="371">
        <f t="shared" si="20"/>
        <v>0.6429275269574739</v>
      </c>
      <c r="J33" s="371">
        <f t="shared" si="20"/>
        <v>0.63503704685299689</v>
      </c>
      <c r="K33" s="437">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557</v>
      </c>
      <c r="B34" s="371">
        <f>1-B33</f>
        <v>0.21013250194855804</v>
      </c>
      <c r="C34" s="371">
        <f t="shared" ref="C34:F34" si="21">1-C33</f>
        <v>0.24937801843992391</v>
      </c>
      <c r="D34" s="371">
        <f t="shared" si="21"/>
        <v>0.28798886999536255</v>
      </c>
      <c r="E34" s="371">
        <f t="shared" si="21"/>
        <v>0.33256284310892803</v>
      </c>
      <c r="F34" s="437">
        <f t="shared" si="21"/>
        <v>0.32822847682119205</v>
      </c>
      <c r="G34" s="371">
        <f>G32/G30</f>
        <v>0.33882307881861601</v>
      </c>
      <c r="H34" s="371">
        <f t="shared" ref="H34:J34" si="22">H32/H30</f>
        <v>0.34839497105660905</v>
      </c>
      <c r="I34" s="371">
        <f t="shared" si="22"/>
        <v>0.3570724730425261</v>
      </c>
      <c r="J34" s="371">
        <f t="shared" si="22"/>
        <v>0.36496295314700328</v>
      </c>
      <c r="K34" s="438">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444" t="s">
        <v>558</v>
      </c>
      <c r="B36" s="101"/>
      <c r="C36" s="101"/>
      <c r="D36" s="101"/>
      <c r="E36" s="101"/>
      <c r="F36" s="99"/>
      <c r="G36" s="101"/>
      <c r="H36" s="101"/>
      <c r="I36" s="101"/>
      <c r="J36" s="101"/>
      <c r="K36" s="99"/>
      <c r="L36" s="1"/>
      <c r="M36" s="1"/>
      <c r="N36" s="1"/>
      <c r="O36" s="1"/>
      <c r="P36" s="1"/>
      <c r="Q36" s="1"/>
      <c r="R36" s="1"/>
      <c r="S36" s="340" t="s">
        <v>419</v>
      </c>
      <c r="T36" s="341"/>
      <c r="U36" s="341"/>
      <c r="V36" s="341"/>
      <c r="W36" s="341"/>
      <c r="X36" s="459"/>
      <c r="Y36" s="1"/>
      <c r="Z36" s="1"/>
      <c r="AA36" s="1"/>
      <c r="AB36" s="1"/>
      <c r="AC36" s="1"/>
      <c r="AD36" s="1"/>
      <c r="AE36" s="1"/>
      <c r="AF36" s="1"/>
      <c r="AG36" s="1"/>
      <c r="AH36" s="1"/>
      <c r="AI36" s="1"/>
      <c r="AJ36" s="1"/>
      <c r="AK36" s="1"/>
      <c r="AL36" s="1"/>
      <c r="AM36" s="1"/>
      <c r="AN36" s="1"/>
      <c r="AO36" s="1"/>
    </row>
    <row r="37" spans="1:41">
      <c r="A37" s="369" t="s">
        <v>765</v>
      </c>
      <c r="B37" s="1"/>
      <c r="C37" s="1"/>
      <c r="D37" s="1"/>
      <c r="E37" s="1"/>
      <c r="F37" s="369"/>
      <c r="G37" s="1">
        <f>F41</f>
        <v>4869</v>
      </c>
      <c r="H37" s="446">
        <f>G37+G38+G39</f>
        <v>4964.9255830968814</v>
      </c>
      <c r="I37" s="446">
        <f>H37+H38+H39</f>
        <v>5060.1014455884615</v>
      </c>
      <c r="J37" s="446">
        <f>I41</f>
        <v>5154.7360712934978</v>
      </c>
      <c r="K37" s="458">
        <f>J41</f>
        <v>5249.0191767306296</v>
      </c>
      <c r="L37" s="1"/>
      <c r="M37" s="1"/>
      <c r="N37" s="1"/>
      <c r="O37" s="1"/>
      <c r="P37" s="1"/>
      <c r="Q37" s="1"/>
      <c r="R37" s="1"/>
      <c r="S37" s="442" t="s">
        <v>752</v>
      </c>
      <c r="T37" s="443">
        <v>4476</v>
      </c>
      <c r="U37" s="52" t="s">
        <v>559</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560</v>
      </c>
      <c r="B38" s="1"/>
      <c r="C38" s="1"/>
      <c r="D38" s="1"/>
      <c r="E38" s="52"/>
      <c r="F38" s="369"/>
      <c r="G38" s="446">
        <f>X42*G10</f>
        <v>581.56987710074998</v>
      </c>
      <c r="H38" s="446">
        <f>X42*H10</f>
        <v>590.38797577661342</v>
      </c>
      <c r="I38" s="446">
        <f>X42*I10</f>
        <v>599.33977956224794</v>
      </c>
      <c r="J38" s="446">
        <f>X42*J10</f>
        <v>608.42731577182133</v>
      </c>
      <c r="K38" s="458">
        <f>X42*K10</f>
        <v>617.42407778495851</v>
      </c>
      <c r="L38" s="1"/>
      <c r="M38" s="1"/>
      <c r="N38" s="1"/>
      <c r="O38" s="1"/>
      <c r="P38" s="1"/>
      <c r="Q38" s="1"/>
      <c r="R38" s="1"/>
      <c r="S38" s="257" t="s">
        <v>561</v>
      </c>
      <c r="T38" s="369">
        <f>T37/5</f>
        <v>895.2</v>
      </c>
      <c r="U38" s="52" t="s">
        <v>562</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563</v>
      </c>
      <c r="B39" s="1"/>
      <c r="C39" s="1"/>
      <c r="D39" s="1"/>
      <c r="E39" s="52"/>
      <c r="F39" s="369"/>
      <c r="G39" s="446">
        <f>-AVERAGE(E45,F45)*G37</f>
        <v>-485.64429400386848</v>
      </c>
      <c r="H39" s="446">
        <f>-AVERAGE(E45,F45)*H37</f>
        <v>-495.21211328503387</v>
      </c>
      <c r="I39" s="446">
        <f>-AVERAGE(E45,F45)*I37</f>
        <v>-504.70515385721149</v>
      </c>
      <c r="J39" s="446">
        <f>-AVERAGE(E45,F45)*J37</f>
        <v>-514.14421033469</v>
      </c>
      <c r="K39" s="458">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7"/>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564</v>
      </c>
      <c r="B41" s="1">
        <f>B31</f>
        <v>5067</v>
      </c>
      <c r="C41" s="1">
        <f t="shared" ref="C41:F41" si="23">C31</f>
        <v>5129</v>
      </c>
      <c r="D41" s="1">
        <f t="shared" si="23"/>
        <v>4606</v>
      </c>
      <c r="E41" s="52">
        <f t="shared" si="23"/>
        <v>4620</v>
      </c>
      <c r="F41" s="369">
        <f t="shared" si="23"/>
        <v>4869</v>
      </c>
      <c r="G41" s="446">
        <f>G37+G38+G39</f>
        <v>4964.9255830968814</v>
      </c>
      <c r="H41" s="446">
        <f>H37+H38+H39</f>
        <v>5060.1014455884615</v>
      </c>
      <c r="I41" s="446">
        <f>I37+I38+I39</f>
        <v>5154.7360712934978</v>
      </c>
      <c r="J41" s="446">
        <f>J37+J38+J39</f>
        <v>5249.0191767306296</v>
      </c>
      <c r="K41" s="458">
        <f>K37+K38+K39</f>
        <v>5342.8950490737898</v>
      </c>
      <c r="L41" s="1"/>
      <c r="M41" s="1"/>
      <c r="N41" s="1"/>
      <c r="O41" s="1"/>
      <c r="P41" s="1"/>
      <c r="Q41" s="1"/>
      <c r="R41" s="1"/>
      <c r="S41" s="257" t="s">
        <v>753</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565</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6">
        <f>G39</f>
        <v>-485.64429400386848</v>
      </c>
      <c r="H42" s="446">
        <f>H39</f>
        <v>-495.21211328503387</v>
      </c>
      <c r="I42" s="446">
        <f>I39</f>
        <v>-504.70515385721149</v>
      </c>
      <c r="J42" s="446">
        <f>J39</f>
        <v>-514.14421033469</v>
      </c>
      <c r="K42" s="458">
        <f>K39</f>
        <v>-523.54820544179779</v>
      </c>
      <c r="L42" s="1"/>
      <c r="M42" s="1"/>
      <c r="N42" s="1"/>
      <c r="O42" s="1"/>
      <c r="P42" s="1"/>
      <c r="Q42" s="1"/>
      <c r="R42" s="1"/>
      <c r="S42" s="257" t="s">
        <v>566</v>
      </c>
      <c r="T42" s="438">
        <f>AVERAGE(E33:F33)</f>
        <v>0.66960434003493996</v>
      </c>
      <c r="U42" s="52" t="s">
        <v>567</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 thickBot="1">
      <c r="A43" s="369"/>
      <c r="B43" s="1"/>
      <c r="C43" s="1"/>
      <c r="D43" s="1"/>
      <c r="E43" s="52"/>
      <c r="F43" s="369"/>
      <c r="G43" s="1"/>
      <c r="H43" s="1"/>
      <c r="I43" s="1"/>
      <c r="J43" s="1"/>
      <c r="K43" s="369"/>
      <c r="L43" s="1"/>
      <c r="M43" s="1"/>
      <c r="N43" s="1"/>
      <c r="O43" s="1"/>
      <c r="P43" s="1"/>
      <c r="Q43" s="1"/>
      <c r="R43" s="1"/>
      <c r="S43" s="269" t="s">
        <v>568</v>
      </c>
      <c r="T43" s="797">
        <f>1-T42</f>
        <v>0.33039565996506004</v>
      </c>
      <c r="U43" s="379" t="s">
        <v>568</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569</v>
      </c>
      <c r="B44" s="1"/>
      <c r="C44" s="1">
        <f>B41-C41+C42</f>
        <v>-655</v>
      </c>
      <c r="D44" s="1">
        <f t="shared" ref="D44:F44" si="24">C41-D41+D42</f>
        <v>151</v>
      </c>
      <c r="E44" s="52">
        <f t="shared" si="24"/>
        <v>-546</v>
      </c>
      <c r="F44" s="369">
        <f t="shared" si="24"/>
        <v>-637</v>
      </c>
      <c r="G44" s="446">
        <f>-T38*T42</f>
        <v>-599.42980519927823</v>
      </c>
      <c r="H44" s="446">
        <f>-T38*T42</f>
        <v>-599.42980519927823</v>
      </c>
      <c r="I44" s="446">
        <f>-T38*T42</f>
        <v>-599.42980519927823</v>
      </c>
      <c r="J44" s="446">
        <f>-T38*T42</f>
        <v>-599.42980519927823</v>
      </c>
      <c r="K44" s="458">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570</v>
      </c>
      <c r="B45" s="1"/>
      <c r="C45" s="371">
        <f>-C42/B41</f>
        <v>0.11703177422537991</v>
      </c>
      <c r="D45" s="371">
        <f>-D42/C41</f>
        <v>7.2528758042503416E-2</v>
      </c>
      <c r="E45" s="370">
        <f>-E42/D41</f>
        <v>0.11550151975683891</v>
      </c>
      <c r="F45" s="437">
        <f>-F42/E41</f>
        <v>8.3982683982683978E-2</v>
      </c>
      <c r="G45" s="371">
        <f t="shared" ref="G45:K45" si="25">-G42/F41</f>
        <v>9.9742101869761443E-2</v>
      </c>
      <c r="H45" s="371">
        <f t="shared" si="25"/>
        <v>9.9742101869761443E-2</v>
      </c>
      <c r="I45" s="371">
        <f t="shared" si="25"/>
        <v>9.9742101869761443E-2</v>
      </c>
      <c r="J45" s="371">
        <f t="shared" si="25"/>
        <v>9.9742101869761457E-2</v>
      </c>
      <c r="K45" s="437">
        <f t="shared" si="25"/>
        <v>9.9742101869761443E-2</v>
      </c>
      <c r="L45" s="1"/>
      <c r="M45" s="41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444"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765</v>
      </c>
      <c r="B48" s="1"/>
      <c r="C48" s="1"/>
      <c r="D48" s="1"/>
      <c r="E48" s="52"/>
      <c r="F48" s="369"/>
      <c r="G48" s="1">
        <f>F52</f>
        <v>2379</v>
      </c>
      <c r="H48" s="446">
        <f>G52</f>
        <v>2544.298384106336</v>
      </c>
      <c r="I48" s="446">
        <f>H52</f>
        <v>2705.4946146409388</v>
      </c>
      <c r="J48" s="446">
        <f>I52</f>
        <v>2862.864443786727</v>
      </c>
      <c r="K48" s="458">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560</v>
      </c>
      <c r="B49" s="1"/>
      <c r="C49" s="1"/>
      <c r="D49" s="1"/>
      <c r="E49" s="52"/>
      <c r="F49" s="369"/>
      <c r="G49" s="446">
        <f>X43*G10</f>
        <v>286.95776277446896</v>
      </c>
      <c r="H49" s="446">
        <f>X43*H10</f>
        <v>291.3087822608374</v>
      </c>
      <c r="I49" s="446">
        <f>X43*I10</f>
        <v>295.72577441993559</v>
      </c>
      <c r="J49" s="446">
        <f>X43*J10</f>
        <v>300.20973956756546</v>
      </c>
      <c r="K49" s="458">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572</v>
      </c>
      <c r="B50" s="1"/>
      <c r="C50" s="1"/>
      <c r="D50" s="1"/>
      <c r="E50" s="52"/>
      <c r="F50" s="369"/>
      <c r="G50" s="446">
        <f>-AVERAGE(E56,F56)*G48</f>
        <v>-121.65937866813286</v>
      </c>
      <c r="H50" s="446">
        <f>-AVERAGE(E56,F56)*H48</f>
        <v>-130.11255172623424</v>
      </c>
      <c r="I50" s="446">
        <f>-AVERAGE(E56,F56)*I48</f>
        <v>-138.35594527414719</v>
      </c>
      <c r="J50" s="446">
        <f>-AVERAGE(E56,F56)*J48</f>
        <v>-146.40366096771038</v>
      </c>
      <c r="K50" s="458">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573</v>
      </c>
      <c r="B52" s="1">
        <f>B32</f>
        <v>1348</v>
      </c>
      <c r="C52" s="1">
        <f t="shared" ref="C52:F52" si="26">C32</f>
        <v>1704</v>
      </c>
      <c r="D52" s="1">
        <f t="shared" si="26"/>
        <v>1863</v>
      </c>
      <c r="E52" s="52">
        <f t="shared" si="26"/>
        <v>2302</v>
      </c>
      <c r="F52" s="369">
        <f t="shared" si="26"/>
        <v>2379</v>
      </c>
      <c r="G52" s="446">
        <f>G48+G49+G50</f>
        <v>2544.298384106336</v>
      </c>
      <c r="H52" s="446">
        <f>H48+H49+H50</f>
        <v>2705.4946146409388</v>
      </c>
      <c r="I52" s="446">
        <f>I48+I49+I50</f>
        <v>2862.864443786727</v>
      </c>
      <c r="J52" s="446">
        <f>J48+J49+J50</f>
        <v>3016.670522386582</v>
      </c>
      <c r="K52" s="458">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525</v>
      </c>
      <c r="B53" s="1">
        <f>-'Reorganised Statements'!D73</f>
        <v>-54</v>
      </c>
      <c r="C53" s="1">
        <f>-'Reorganised Statements'!E73</f>
        <v>-55</v>
      </c>
      <c r="D53" s="1">
        <f>-'Reorganised Statements'!F73</f>
        <v>-72</v>
      </c>
      <c r="E53" s="52">
        <f>-'Reorganised Statements'!G73</f>
        <v>-91</v>
      </c>
      <c r="F53" s="369">
        <f>-'Reorganised Statements'!H73</f>
        <v>-123</v>
      </c>
      <c r="G53" s="446">
        <f>G50</f>
        <v>-121.65937866813286</v>
      </c>
      <c r="H53" s="446">
        <f>H50</f>
        <v>-130.11255172623424</v>
      </c>
      <c r="I53" s="446">
        <f>I50</f>
        <v>-138.35594527414719</v>
      </c>
      <c r="J53" s="446">
        <f>J50</f>
        <v>-146.40366096771038</v>
      </c>
      <c r="K53" s="458">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574</v>
      </c>
      <c r="B55" s="1"/>
      <c r="C55" s="1">
        <f>B52-C52+C53</f>
        <v>-411</v>
      </c>
      <c r="D55" s="1">
        <f t="shared" ref="D55:F55" si="27">C52-D52+D53</f>
        <v>-231</v>
      </c>
      <c r="E55" s="52">
        <f t="shared" si="27"/>
        <v>-530</v>
      </c>
      <c r="F55" s="369">
        <f t="shared" si="27"/>
        <v>-200</v>
      </c>
      <c r="G55" s="446">
        <f>-G49</f>
        <v>-286.95776277446896</v>
      </c>
      <c r="H55" s="446">
        <f t="shared" ref="H55:K55" si="28">-H49</f>
        <v>-291.3087822608374</v>
      </c>
      <c r="I55" s="446">
        <f t="shared" si="28"/>
        <v>-295.72577441993559</v>
      </c>
      <c r="J55" s="446">
        <f t="shared" si="28"/>
        <v>-300.20973956756546</v>
      </c>
      <c r="K55" s="458">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570</v>
      </c>
      <c r="B56" s="101"/>
      <c r="C56" s="453">
        <f>-C53/B52</f>
        <v>4.0801186943620178E-2</v>
      </c>
      <c r="D56" s="453">
        <f t="shared" ref="D56:K56" si="29">-D53/C52</f>
        <v>4.2253521126760563E-2</v>
      </c>
      <c r="E56" s="453">
        <f t="shared" si="29"/>
        <v>4.8845947396672036E-2</v>
      </c>
      <c r="F56" s="454">
        <f t="shared" si="29"/>
        <v>5.3431798436142486E-2</v>
      </c>
      <c r="G56" s="453">
        <f t="shared" si="29"/>
        <v>5.1138872916407258E-2</v>
      </c>
      <c r="H56" s="453">
        <f t="shared" si="29"/>
        <v>5.1138872916407251E-2</v>
      </c>
      <c r="I56" s="453">
        <f t="shared" si="29"/>
        <v>5.1138872916407258E-2</v>
      </c>
      <c r="J56" s="453">
        <f t="shared" si="29"/>
        <v>5.1138872916407258E-2</v>
      </c>
      <c r="K56" s="454">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6"/>
      <c r="T57" s="1"/>
      <c r="U57" s="1"/>
      <c r="V57" s="1"/>
      <c r="W57" s="1"/>
      <c r="X57" s="1"/>
      <c r="Y57" s="1"/>
      <c r="Z57" s="1"/>
      <c r="AA57" s="1"/>
      <c r="AB57" s="1"/>
      <c r="AC57" s="1"/>
      <c r="AD57" s="1"/>
      <c r="AE57" s="1"/>
      <c r="AF57" s="1"/>
      <c r="AG57" s="1"/>
      <c r="AH57" s="1"/>
      <c r="AI57" s="1"/>
      <c r="AJ57" s="1"/>
      <c r="AK57" s="1"/>
      <c r="AL57" s="1"/>
      <c r="AM57" s="1"/>
      <c r="AN57" s="1"/>
      <c r="AO57" s="1"/>
    </row>
    <row r="58" spans="1:41">
      <c r="A58" s="369" t="s">
        <v>575</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6"/>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6"/>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63" t="s">
        <v>576</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578</v>
      </c>
      <c r="B63" s="1">
        <f>'Reorganised Statements'!D10</f>
        <v>184</v>
      </c>
      <c r="C63" s="1">
        <f>'Reorganised Statements'!E10</f>
        <v>159</v>
      </c>
      <c r="D63" s="1">
        <f>'Reorganised Statements'!F10</f>
        <v>147</v>
      </c>
      <c r="E63" s="1">
        <f>'Reorganised Statements'!G10</f>
        <v>187</v>
      </c>
      <c r="F63" s="482">
        <f>'Reorganised Statements'!H10</f>
        <v>184</v>
      </c>
      <c r="G63" s="481">
        <f>-G67*G15/365</f>
        <v>177.44313939283322</v>
      </c>
      <c r="H63" s="481">
        <f t="shared" ref="H63:K63" si="30">-H67*H15/365</f>
        <v>180.13363485026889</v>
      </c>
      <c r="I63" s="481">
        <f t="shared" si="30"/>
        <v>182.86492515517656</v>
      </c>
      <c r="J63" s="481">
        <f t="shared" si="30"/>
        <v>185.63762886261671</v>
      </c>
      <c r="K63" s="482">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1">
        <f xml:space="preserve"> G68*G10/365</f>
        <v>1880.0810946211886</v>
      </c>
      <c r="H64" s="481">
        <f t="shared" ref="H64:K64" si="31" xml:space="preserve"> H68*H10/365</f>
        <v>1908.5879710324009</v>
      </c>
      <c r="I64" s="481">
        <f t="shared" si="31"/>
        <v>1937.5270851832772</v>
      </c>
      <c r="J64" s="481">
        <f t="shared" si="31"/>
        <v>1966.9049909122989</v>
      </c>
      <c r="K64" s="482">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577</v>
      </c>
      <c r="B65" s="1">
        <f>'Reorganised Statements'!D12</f>
        <v>-1170</v>
      </c>
      <c r="C65" s="1">
        <f>'Reorganised Statements'!E12</f>
        <v>-1384</v>
      </c>
      <c r="D65" s="1">
        <f>'Reorganised Statements'!F12</f>
        <v>-1381</v>
      </c>
      <c r="E65" s="1">
        <f>'Reorganised Statements'!G12</f>
        <v>-1413</v>
      </c>
      <c r="F65" s="369">
        <f>'Reorganised Statements'!H12</f>
        <v>-1481</v>
      </c>
      <c r="G65" s="481">
        <f>G69*(G15+G16)/365</f>
        <v>-1435.1925646886652</v>
      </c>
      <c r="H65" s="481">
        <f t="shared" ref="H65:K65" si="32">H69*(H15+H16)/365</f>
        <v>-1456.9537840237883</v>
      </c>
      <c r="I65" s="481">
        <f t="shared" si="32"/>
        <v>-1479.044959546397</v>
      </c>
      <c r="J65" s="481">
        <f t="shared" si="32"/>
        <v>-1501.4710942429494</v>
      </c>
      <c r="K65" s="482">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690</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69">
        <f>-G70*G10/365</f>
        <v>-339.06430108179109</v>
      </c>
      <c r="H66" s="469">
        <f t="shared" ref="H66:K66" si="33">-H70*H10/365</f>
        <v>-344.2053900242019</v>
      </c>
      <c r="I66" s="469">
        <f t="shared" si="33"/>
        <v>-349.42443112916561</v>
      </c>
      <c r="J66" s="469">
        <f t="shared" si="33"/>
        <v>-354.72260635243407</v>
      </c>
      <c r="K66" s="470">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692</v>
      </c>
      <c r="B67" s="481">
        <f>-B63/(B15/365)</f>
        <v>29.378827646544181</v>
      </c>
      <c r="C67" s="481">
        <f t="shared" ref="C67:F67" si="34">-C63/(C15/365)</f>
        <v>27.62256068538791</v>
      </c>
      <c r="D67" s="481">
        <f t="shared" si="34"/>
        <v>18.952666902154714</v>
      </c>
      <c r="E67" s="481">
        <f t="shared" si="34"/>
        <v>20.398983861326958</v>
      </c>
      <c r="F67" s="482">
        <f t="shared" si="34"/>
        <v>16.773226773226774</v>
      </c>
      <c r="G67" s="481">
        <f>F67</f>
        <v>16.773226773226774</v>
      </c>
      <c r="H67" s="481">
        <f>G67</f>
        <v>16.773226773226774</v>
      </c>
      <c r="I67" s="481">
        <f t="shared" ref="I67:K67" si="35">H67</f>
        <v>16.773226773226774</v>
      </c>
      <c r="J67" s="481">
        <f t="shared" si="35"/>
        <v>16.773226773226774</v>
      </c>
      <c r="K67" s="482">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693</v>
      </c>
      <c r="B68" s="481">
        <f>B64/(B10/365)</f>
        <v>114.54459002535926</v>
      </c>
      <c r="C68" s="481">
        <f t="shared" ref="C68:F68" si="36">C64/(C10/365)</f>
        <v>145.09168303863785</v>
      </c>
      <c r="D68" s="481">
        <f t="shared" si="36"/>
        <v>109.10822898032201</v>
      </c>
      <c r="E68" s="481">
        <f t="shared" si="36"/>
        <v>103.66209535959176</v>
      </c>
      <c r="F68" s="482">
        <f t="shared" si="36"/>
        <v>94.91434990171301</v>
      </c>
      <c r="G68" s="481">
        <f t="shared" ref="G68:H70" si="37">F68</f>
        <v>94.91434990171301</v>
      </c>
      <c r="H68" s="481">
        <f t="shared" si="37"/>
        <v>94.91434990171301</v>
      </c>
      <c r="I68" s="481">
        <f t="shared" ref="I68:K68" si="38">H68</f>
        <v>94.91434990171301</v>
      </c>
      <c r="J68" s="481">
        <f t="shared" si="38"/>
        <v>94.91434990171301</v>
      </c>
      <c r="K68" s="482">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695</v>
      </c>
      <c r="B69" s="481">
        <f>B65/((B15+B16)/365)</f>
        <v>142.73061497326202</v>
      </c>
      <c r="C69" s="481">
        <f t="shared" ref="C69:F69" si="39">C65/((C15+C16)/365)</f>
        <v>176.6911507520112</v>
      </c>
      <c r="D69" s="481">
        <f t="shared" si="39"/>
        <v>136.93697364846508</v>
      </c>
      <c r="E69" s="481">
        <f t="shared" si="39"/>
        <v>119.05470914127423</v>
      </c>
      <c r="F69" s="482">
        <f t="shared" si="39"/>
        <v>104.84193173002328</v>
      </c>
      <c r="G69" s="481">
        <f t="shared" si="37"/>
        <v>104.84193173002328</v>
      </c>
      <c r="H69" s="481">
        <f t="shared" si="37"/>
        <v>104.84193173002328</v>
      </c>
      <c r="I69" s="481">
        <f t="shared" ref="I69:K69" si="40">H69</f>
        <v>104.84193173002328</v>
      </c>
      <c r="J69" s="481">
        <f t="shared" si="40"/>
        <v>104.84193173002328</v>
      </c>
      <c r="K69" s="482">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694</v>
      </c>
      <c r="B70" s="481">
        <f>-B66/(B10/365)</f>
        <v>3.6253169907016063</v>
      </c>
      <c r="C70" s="481">
        <f t="shared" ref="C70:F70" si="41">-C66/(C10/365)</f>
        <v>15.776031434184675</v>
      </c>
      <c r="D70" s="481">
        <f t="shared" si="41"/>
        <v>7.1824686940966007</v>
      </c>
      <c r="E70" s="481">
        <f t="shared" si="41"/>
        <v>14.725721575506297</v>
      </c>
      <c r="F70" s="482">
        <f t="shared" si="41"/>
        <v>17.117382757652347</v>
      </c>
      <c r="G70" s="481">
        <f t="shared" si="37"/>
        <v>17.117382757652347</v>
      </c>
      <c r="H70" s="481">
        <f t="shared" si="37"/>
        <v>17.117382757652347</v>
      </c>
      <c r="I70" s="481">
        <f t="shared" ref="I70:K70" si="42">H70</f>
        <v>17.117382757652347</v>
      </c>
      <c r="J70" s="481">
        <f t="shared" si="42"/>
        <v>17.117382757652347</v>
      </c>
      <c r="K70" s="482">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691</v>
      </c>
      <c r="B72" s="1"/>
      <c r="C72" s="1">
        <f>SUM(B63:B66) - SUM(C63:C66)</f>
        <v>54</v>
      </c>
      <c r="D72" s="1">
        <f t="shared" ref="D72:K72" si="43">SUM(C63:C66) - SUM(D63:D66)</f>
        <v>71</v>
      </c>
      <c r="E72" s="1">
        <f t="shared" si="43"/>
        <v>25</v>
      </c>
      <c r="F72" s="369">
        <f t="shared" si="43"/>
        <v>81</v>
      </c>
      <c r="G72" s="481">
        <f>SUM(F63:F66) - SUM(G63:G66)</f>
        <v>-62.267368243565329</v>
      </c>
      <c r="H72" s="481">
        <f t="shared" si="43"/>
        <v>-4.2950635911142285</v>
      </c>
      <c r="I72" s="481">
        <f t="shared" si="43"/>
        <v>-4.3601878282117923</v>
      </c>
      <c r="J72" s="481">
        <f t="shared" si="43"/>
        <v>-4.4262995166408245</v>
      </c>
      <c r="K72" s="482">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4" t="s">
        <v>579</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5" t="s">
        <v>808</v>
      </c>
      <c r="B76" s="1">
        <f>'Reorganised Statements'!D26</f>
        <v>452</v>
      </c>
      <c r="C76" s="1">
        <f>'Reorganised Statements'!E26</f>
        <v>398</v>
      </c>
      <c r="D76" s="1">
        <f>'Reorganised Statements'!F26</f>
        <v>327</v>
      </c>
      <c r="E76" s="1">
        <f>'Reorganised Statements'!G26</f>
        <v>302</v>
      </c>
      <c r="F76" s="369">
        <f>'Reorganised Statements'!H26</f>
        <v>221</v>
      </c>
      <c r="G76" s="481">
        <f>G78*G10</f>
        <v>245.89629364354272</v>
      </c>
      <c r="H76" s="481">
        <f t="shared" ref="H76:K76" si="44">H78*H10</f>
        <v>271.49676254596619</v>
      </c>
      <c r="I76" s="481">
        <f t="shared" si="44"/>
        <v>297.81703718009788</v>
      </c>
      <c r="J76" s="481">
        <f t="shared" si="44"/>
        <v>324.87306012274536</v>
      </c>
      <c r="K76" s="482">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5"/>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5" t="s">
        <v>580</v>
      </c>
      <c r="B78" s="371">
        <f>B76/B10</f>
        <v>9.5519864750633982E-2</v>
      </c>
      <c r="C78" s="371">
        <f t="shared" ref="C78:F78" si="45">C76/C10</f>
        <v>8.6880593756821653E-2</v>
      </c>
      <c r="D78" s="371">
        <f t="shared" si="45"/>
        <v>5.8497316636851523E-2</v>
      </c>
      <c r="E78" s="371">
        <f t="shared" si="45"/>
        <v>4.8158188486684739E-2</v>
      </c>
      <c r="F78" s="437">
        <f t="shared" si="45"/>
        <v>3.1030609379387813E-2</v>
      </c>
      <c r="G78" s="371">
        <f>F78+0.298%</f>
        <v>3.401060937938781E-2</v>
      </c>
      <c r="H78" s="415">
        <f>G78+0.298%</f>
        <v>3.6990609379387807E-2</v>
      </c>
      <c r="I78" s="415">
        <f>H78+0.298%</f>
        <v>3.9970609379387803E-2</v>
      </c>
      <c r="J78" s="415">
        <f>I78+0.298%</f>
        <v>4.29506093793878E-2</v>
      </c>
      <c r="K78" s="438">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5"/>
      <c r="B79" s="1"/>
      <c r="C79" s="371"/>
      <c r="D79" s="371"/>
      <c r="E79" s="371"/>
      <c r="F79" s="437"/>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5" t="s">
        <v>691</v>
      </c>
      <c r="B80" s="1"/>
      <c r="C80" s="1">
        <f>B76-C76</f>
        <v>54</v>
      </c>
      <c r="D80" s="1">
        <f t="shared" ref="D80:K80" si="46">C76-D76</f>
        <v>71</v>
      </c>
      <c r="E80" s="1">
        <f t="shared" si="46"/>
        <v>25</v>
      </c>
      <c r="F80" s="369">
        <f t="shared" si="46"/>
        <v>81</v>
      </c>
      <c r="G80" s="481">
        <f t="shared" si="46"/>
        <v>-24.89629364354272</v>
      </c>
      <c r="H80" s="481">
        <f t="shared" si="46"/>
        <v>-25.600468902423472</v>
      </c>
      <c r="I80" s="481">
        <f t="shared" si="46"/>
        <v>-26.320274634131692</v>
      </c>
      <c r="J80" s="481">
        <f t="shared" si="46"/>
        <v>-27.056022942647473</v>
      </c>
      <c r="K80" s="482">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41" t="s">
        <v>581</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6" t="s">
        <v>582</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7">G84</f>
        <v>277</v>
      </c>
      <c r="I84" s="1">
        <f t="shared" si="47"/>
        <v>277</v>
      </c>
      <c r="J84" s="1">
        <f t="shared" si="47"/>
        <v>277</v>
      </c>
      <c r="K84" s="369">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6" t="s">
        <v>583</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7"/>
        <v>-307</v>
      </c>
      <c r="I85" s="1">
        <f t="shared" si="47"/>
        <v>-307</v>
      </c>
      <c r="J85" s="1">
        <f t="shared" si="47"/>
        <v>-307</v>
      </c>
      <c r="K85" s="369">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6" t="s">
        <v>584</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7"/>
        <v>-676</v>
      </c>
      <c r="I86" s="1">
        <f t="shared" si="47"/>
        <v>-676</v>
      </c>
      <c r="J86" s="1">
        <f t="shared" si="47"/>
        <v>-676</v>
      </c>
      <c r="K86" s="369">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28"/>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41" t="s">
        <v>585</v>
      </c>
      <c r="B89" s="1"/>
      <c r="C89" s="1"/>
      <c r="D89" s="1"/>
      <c r="E89" s="1"/>
      <c r="F89" s="369"/>
      <c r="G89" s="1"/>
      <c r="H89" s="1"/>
      <c r="I89" s="1"/>
      <c r="J89" s="1"/>
      <c r="K89" s="369"/>
      <c r="L89" s="1"/>
      <c r="M89" s="1"/>
      <c r="N89" s="1"/>
      <c r="O89" s="1"/>
      <c r="P89" s="1"/>
      <c r="Q89" s="1"/>
      <c r="R89" s="1"/>
      <c r="S89" s="340" t="s">
        <v>419</v>
      </c>
      <c r="T89" s="341"/>
      <c r="U89" s="341"/>
      <c r="V89" s="341"/>
      <c r="W89" s="341"/>
      <c r="X89" s="459"/>
      <c r="Y89" s="1"/>
      <c r="Z89" s="1"/>
      <c r="AA89" s="1"/>
      <c r="AB89" s="1"/>
      <c r="AC89" s="1"/>
      <c r="AD89" s="1"/>
      <c r="AE89" s="1"/>
      <c r="AF89" s="1"/>
      <c r="AG89" s="1"/>
      <c r="AH89" s="1"/>
      <c r="AI89" s="1"/>
      <c r="AJ89" s="1"/>
      <c r="AK89" s="1"/>
      <c r="AL89" s="1"/>
      <c r="AM89" s="1"/>
      <c r="AN89" s="1"/>
      <c r="AO89" s="1"/>
    </row>
    <row r="90" spans="1:41">
      <c r="A90" s="443" t="s">
        <v>587</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799"/>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5" t="s">
        <v>754</v>
      </c>
      <c r="T91" s="798">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588</v>
      </c>
      <c r="B92" s="101">
        <f>'Reorganised Statements'!D37</f>
        <v>-3089</v>
      </c>
      <c r="C92" s="101">
        <f>'Reorganised Statements'!E37</f>
        <v>-3436</v>
      </c>
      <c r="D92" s="101">
        <f>'Reorganised Statements'!F37</f>
        <v>-3501</v>
      </c>
      <c r="E92" s="101">
        <f>'Reorganised Statements'!G37</f>
        <v>-2984</v>
      </c>
      <c r="F92" s="99">
        <f>'Reorganised Statements'!H37</f>
        <v>-3307</v>
      </c>
      <c r="G92" s="469">
        <f>G99-G90</f>
        <v>-3386.4393811435498</v>
      </c>
      <c r="H92" s="469">
        <f t="shared" ref="H92:K92" si="48">H99-H90</f>
        <v>-3380.5442191171983</v>
      </c>
      <c r="I92" s="469">
        <f t="shared" si="48"/>
        <v>-3715.8437589250243</v>
      </c>
      <c r="J92" s="469">
        <f t="shared" si="48"/>
        <v>-3873.4764337199913</v>
      </c>
      <c r="K92" s="470">
        <f t="shared" si="48"/>
        <v>-4016.8739353367855</v>
      </c>
      <c r="L92" s="1"/>
      <c r="M92" s="1"/>
      <c r="N92" s="1"/>
      <c r="O92" s="1"/>
      <c r="P92" s="1"/>
      <c r="Q92" s="1"/>
      <c r="R92" s="1"/>
      <c r="S92" s="465" t="s">
        <v>755</v>
      </c>
      <c r="T92" s="798">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589</v>
      </c>
      <c r="B93" s="1"/>
      <c r="C93" s="1"/>
      <c r="D93" s="1"/>
      <c r="E93" s="1"/>
      <c r="F93" s="369"/>
      <c r="G93" s="1"/>
      <c r="H93" s="1"/>
      <c r="I93" s="1"/>
      <c r="J93" s="1"/>
      <c r="K93" s="369"/>
      <c r="L93" s="1"/>
      <c r="M93" s="1"/>
      <c r="N93" s="1"/>
      <c r="O93" s="1"/>
      <c r="P93" s="1"/>
      <c r="Q93" s="1"/>
      <c r="R93" s="1"/>
      <c r="S93" s="465"/>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 thickBot="1">
      <c r="A94" s="369" t="s">
        <v>590</v>
      </c>
      <c r="B94" s="461">
        <v>0.79</v>
      </c>
      <c r="C94" s="461">
        <v>0.67</v>
      </c>
      <c r="D94" s="461">
        <v>0.76</v>
      </c>
      <c r="E94" s="461">
        <v>0.74</v>
      </c>
      <c r="F94" s="462">
        <f>-2596/F99</f>
        <v>0.71891442813625039</v>
      </c>
      <c r="G94" s="1"/>
      <c r="H94" s="1"/>
      <c r="I94" s="1"/>
      <c r="J94" s="1"/>
      <c r="K94" s="369"/>
      <c r="L94" s="1"/>
      <c r="M94" s="1"/>
      <c r="N94" s="1"/>
      <c r="O94" s="1"/>
      <c r="P94" s="1"/>
      <c r="Q94" s="1"/>
      <c r="R94" s="1"/>
      <c r="S94" s="800" t="s">
        <v>591</v>
      </c>
      <c r="T94" s="843">
        <f>-T91*G106</f>
        <v>400.58917890691527</v>
      </c>
      <c r="U94" s="843">
        <f>-T91*H106</f>
        <v>435.6606062781064</v>
      </c>
      <c r="V94" s="843">
        <f>-T91*I106</f>
        <v>536.60611988642768</v>
      </c>
      <c r="W94" s="843">
        <f>-T91*J106</f>
        <v>389.69465778311968</v>
      </c>
      <c r="X94" s="844">
        <f>-T91*K106</f>
        <v>379.22066098468014</v>
      </c>
      <c r="Y94" s="1"/>
      <c r="Z94" s="1"/>
      <c r="AA94" s="1"/>
      <c r="AB94" s="1"/>
      <c r="AC94" s="1"/>
      <c r="AD94" s="1"/>
      <c r="AE94" s="1"/>
      <c r="AF94" s="1"/>
      <c r="AG94" s="1"/>
      <c r="AH94" s="1"/>
      <c r="AI94" s="1"/>
      <c r="AJ94" s="1"/>
      <c r="AK94" s="1"/>
      <c r="AL94" s="1"/>
      <c r="AM94" s="1"/>
      <c r="AN94" s="1"/>
      <c r="AO94" s="1"/>
    </row>
    <row r="95" spans="1:41">
      <c r="A95" s="369" t="s">
        <v>592</v>
      </c>
      <c r="B95" s="461">
        <v>0.21</v>
      </c>
      <c r="C95" s="461">
        <v>0.33</v>
      </c>
      <c r="D95" s="461">
        <v>0.24</v>
      </c>
      <c r="E95" s="461">
        <v>0.26</v>
      </c>
      <c r="F95" s="462">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593</v>
      </c>
      <c r="B96" s="472">
        <f>B94*B99</f>
        <v>-2986.9900000000002</v>
      </c>
      <c r="C96" s="472">
        <f t="shared" ref="C96:F96" si="49">C94*C99</f>
        <v>-2542.65</v>
      </c>
      <c r="D96" s="472">
        <f t="shared" si="49"/>
        <v>-2992.88</v>
      </c>
      <c r="E96" s="472">
        <f t="shared" si="49"/>
        <v>-2721.72</v>
      </c>
      <c r="F96" s="473">
        <f t="shared" si="49"/>
        <v>-2596</v>
      </c>
      <c r="G96" s="446">
        <f>T91*G99</f>
        <v>-2833.8231816762309</v>
      </c>
      <c r="H96" s="446">
        <f>T91*H99</f>
        <v>-2927.3447461376663</v>
      </c>
      <c r="I96" s="446">
        <f>T91*I99</f>
        <v>-3023.9527004189986</v>
      </c>
      <c r="J96" s="446">
        <f>T91*J99</f>
        <v>-3123.7489012649817</v>
      </c>
      <c r="K96" s="458">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594</v>
      </c>
      <c r="B97" s="474">
        <f>B95*B99</f>
        <v>-794.01</v>
      </c>
      <c r="C97" s="474">
        <f t="shared" ref="C97:F97" si="50">C95*C99</f>
        <v>-1252.3500000000001</v>
      </c>
      <c r="D97" s="474">
        <f t="shared" si="50"/>
        <v>-945.12</v>
      </c>
      <c r="E97" s="474">
        <f t="shared" si="50"/>
        <v>-956.28000000000009</v>
      </c>
      <c r="F97" s="475">
        <f t="shared" si="50"/>
        <v>-1014.9999999999998</v>
      </c>
      <c r="G97" s="469">
        <f>G99-G96</f>
        <v>-1017.6161994673189</v>
      </c>
      <c r="H97" s="469">
        <f t="shared" ref="H97:K97" si="51">H99-H96</f>
        <v>-1051.1994729795319</v>
      </c>
      <c r="I97" s="469">
        <f t="shared" si="51"/>
        <v>-1085.8910585060257</v>
      </c>
      <c r="J97" s="469">
        <f t="shared" si="51"/>
        <v>-1121.7275324550096</v>
      </c>
      <c r="K97" s="470">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5" t="s">
        <v>427</v>
      </c>
      <c r="B99" s="476">
        <f>B90+B92</f>
        <v>-3781</v>
      </c>
      <c r="C99" s="476">
        <f>C90+C92</f>
        <v>-3795</v>
      </c>
      <c r="D99" s="476">
        <f>D90+D92</f>
        <v>-3938</v>
      </c>
      <c r="E99" s="476">
        <f>E90+E92</f>
        <v>-3678</v>
      </c>
      <c r="F99" s="477">
        <f>F90+F92</f>
        <v>-3611</v>
      </c>
      <c r="G99" s="476">
        <f>G101/G102</f>
        <v>-3851.4393811435498</v>
      </c>
      <c r="H99" s="476">
        <f t="shared" ref="H99:K99" si="52">H101/H102</f>
        <v>-3978.5442191171983</v>
      </c>
      <c r="I99" s="476">
        <f t="shared" si="52"/>
        <v>-4109.8437589250243</v>
      </c>
      <c r="J99" s="476">
        <f t="shared" si="52"/>
        <v>-4245.4764337199913</v>
      </c>
      <c r="K99" s="477">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78" t="s">
        <v>595</v>
      </c>
      <c r="B101" s="479">
        <f>'Reorganised Statements'!D42</f>
        <v>-3145</v>
      </c>
      <c r="C101" s="479">
        <f>'Reorganised Statements'!E42</f>
        <v>-3393</v>
      </c>
      <c r="D101" s="479">
        <f>'Reorganised Statements'!F42</f>
        <v>-3247</v>
      </c>
      <c r="E101" s="479">
        <f>'Reorganised Statements'!G42</f>
        <v>-3054</v>
      </c>
      <c r="F101" s="478">
        <f>'Reorganised Statements'!H42</f>
        <v>-3177</v>
      </c>
      <c r="G101" s="506">
        <f>-G25*G103</f>
        <v>-3281.8470533430491</v>
      </c>
      <c r="H101" s="506">
        <f t="shared" ref="H101:K101" si="53">-H25*H103</f>
        <v>-3390.1542592182741</v>
      </c>
      <c r="I101" s="506">
        <f t="shared" si="53"/>
        <v>-3502.0358092520873</v>
      </c>
      <c r="J101" s="506">
        <f t="shared" si="53"/>
        <v>-3617.6096636121511</v>
      </c>
      <c r="K101" s="507">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596</v>
      </c>
      <c r="B102" s="371">
        <f>B101/B99</f>
        <v>0.8317905316053954</v>
      </c>
      <c r="C102" s="371">
        <f t="shared" ref="C102:F102" si="54">C101/C99</f>
        <v>0.89407114624505923</v>
      </c>
      <c r="D102" s="371">
        <f t="shared" si="54"/>
        <v>0.82453021838496698</v>
      </c>
      <c r="E102" s="371">
        <f t="shared" si="54"/>
        <v>0.83034257748776508</v>
      </c>
      <c r="F102" s="437">
        <f t="shared" si="54"/>
        <v>0.87981168651343122</v>
      </c>
      <c r="G102" s="415">
        <f>AVERAGE(B102:F102)</f>
        <v>0.85210923204732347</v>
      </c>
      <c r="H102" s="415">
        <f>G102</f>
        <v>0.85210923204732347</v>
      </c>
      <c r="I102" s="415">
        <f t="shared" ref="I102:K102" si="55">H102</f>
        <v>0.85210923204732347</v>
      </c>
      <c r="J102" s="415">
        <f t="shared" si="55"/>
        <v>0.85210923204732347</v>
      </c>
      <c r="K102" s="438">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597</v>
      </c>
      <c r="B103" s="456">
        <f>-B101/B25</f>
        <v>3.0009541984732824</v>
      </c>
      <c r="C103" s="456">
        <f t="shared" ref="C103:F103" si="56">-C101/C25</f>
        <v>2.9199655765920824</v>
      </c>
      <c r="D103" s="456">
        <f t="shared" si="56"/>
        <v>2.7080900750625521</v>
      </c>
      <c r="E103" s="456">
        <f t="shared" si="56"/>
        <v>2.4809098294069862</v>
      </c>
      <c r="F103" s="457">
        <f t="shared" si="56"/>
        <v>2.5745542949756888</v>
      </c>
      <c r="G103" s="456">
        <f>F103*(1-0.0224476)</f>
        <v>2.5167617299837923</v>
      </c>
      <c r="H103" s="456">
        <f t="shared" ref="H103:J103" si="57">G103*(1-0.0224476)</f>
        <v>2.4602664693738081</v>
      </c>
      <c r="I103" s="456">
        <f t="shared" si="57"/>
        <v>2.4050393917758925</v>
      </c>
      <c r="J103" s="456">
        <f t="shared" si="57"/>
        <v>2.3510520295250639</v>
      </c>
      <c r="K103" s="480">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598</v>
      </c>
      <c r="B105" s="1"/>
      <c r="C105" s="1"/>
      <c r="D105" s="1"/>
      <c r="E105" s="1"/>
      <c r="F105" s="369"/>
      <c r="G105" s="1">
        <f>-F90</f>
        <v>304</v>
      </c>
      <c r="H105" s="1">
        <f t="shared" ref="H105:K105" si="58">-G90</f>
        <v>465</v>
      </c>
      <c r="I105" s="1">
        <f t="shared" si="58"/>
        <v>598</v>
      </c>
      <c r="J105" s="1">
        <f t="shared" si="58"/>
        <v>394</v>
      </c>
      <c r="K105" s="369">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599</v>
      </c>
      <c r="B106" s="1"/>
      <c r="C106" s="1"/>
      <c r="D106" s="1"/>
      <c r="E106" s="1"/>
      <c r="F106" s="369"/>
      <c r="G106" s="481">
        <f>G99-F99-G105</f>
        <v>-544.43938114354978</v>
      </c>
      <c r="H106" s="481">
        <f t="shared" ref="H106:K106" si="59">H99-G99-H105</f>
        <v>-592.1048379736485</v>
      </c>
      <c r="I106" s="481">
        <f t="shared" si="59"/>
        <v>-729.29953980782602</v>
      </c>
      <c r="J106" s="481">
        <f t="shared" si="59"/>
        <v>-529.63267479496699</v>
      </c>
      <c r="K106" s="482">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83" t="s">
        <v>600</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9"/>
      <c r="B109" s="1"/>
      <c r="C109" s="1"/>
      <c r="D109" s="1"/>
      <c r="E109" s="1"/>
      <c r="F109" s="369"/>
      <c r="G109" s="1"/>
      <c r="H109" s="1"/>
      <c r="I109" s="1"/>
      <c r="J109" s="1"/>
      <c r="K109" s="369"/>
      <c r="L109" s="1"/>
      <c r="M109" s="1"/>
      <c r="N109" s="1"/>
      <c r="O109" s="1"/>
      <c r="P109" s="1"/>
      <c r="Q109" s="1"/>
      <c r="R109" s="1"/>
      <c r="S109" s="340" t="s">
        <v>586</v>
      </c>
      <c r="T109" s="341"/>
      <c r="U109" s="341"/>
      <c r="V109" s="341"/>
      <c r="W109" s="341"/>
      <c r="X109" s="341"/>
      <c r="Y109" s="459"/>
      <c r="Z109" s="1"/>
      <c r="AA109" s="1"/>
      <c r="AB109" s="1"/>
      <c r="AC109" s="1"/>
      <c r="AD109" s="1"/>
      <c r="AE109" s="1"/>
      <c r="AF109" s="1"/>
      <c r="AG109" s="1"/>
      <c r="AH109" s="1"/>
      <c r="AI109" s="1"/>
      <c r="AJ109" s="1"/>
      <c r="AK109" s="1"/>
      <c r="AL109" s="1"/>
      <c r="AM109" s="1"/>
      <c r="AN109" s="1"/>
      <c r="AO109" s="1"/>
    </row>
    <row r="110" spans="1:41">
      <c r="A110" s="484" t="s">
        <v>228</v>
      </c>
      <c r="B110" s="1">
        <f>-'Reorganised Statements'!D89</f>
        <v>-125</v>
      </c>
      <c r="C110" s="1">
        <f>-'Reorganised Statements'!E89</f>
        <v>-125</v>
      </c>
      <c r="D110" s="1">
        <f>-'Reorganised Statements'!F89</f>
        <v>-104</v>
      </c>
      <c r="E110" s="1">
        <f>-'Reorganised Statements'!G89</f>
        <v>-102</v>
      </c>
      <c r="F110" s="369">
        <f>-'Reorganised Statements'!H89</f>
        <v>-94</v>
      </c>
      <c r="G110" s="446">
        <f>-(S111+S112+S113+S114+S115+S116+S117+U122)*U119</f>
        <v>-74.929244775865939</v>
      </c>
      <c r="H110" s="446">
        <f>-(S111+S112+S113+S114+S115+S116+S117+U122+V122)*V119</f>
        <v>-84.408457460312206</v>
      </c>
      <c r="I110" s="446">
        <f>-(S112+S113+S114+S115+S116+S117+U122+V122+W122)*W119</f>
        <v>-80.705942935251173</v>
      </c>
      <c r="J110" s="446">
        <f>-(S113+S114+S115+S116+S117+U122+V122+W122+X122)*X119</f>
        <v>-70.745016989425835</v>
      </c>
      <c r="K110" s="458">
        <f>-(S114+S115+S116+S117+U122+V122+W122+X122+Y122)*Y119</f>
        <v>-66.825195195598937</v>
      </c>
      <c r="L110" s="1"/>
      <c r="M110" s="1"/>
      <c r="N110" s="1"/>
      <c r="O110" s="1"/>
      <c r="P110" s="1"/>
      <c r="Q110" s="1"/>
      <c r="R110" s="1"/>
      <c r="S110" s="799" t="s">
        <v>601</v>
      </c>
      <c r="T110" s="804" t="s">
        <v>602</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5" t="s">
        <v>230</v>
      </c>
      <c r="B111" s="101">
        <f>-'Reorganised Statements'!D90</f>
        <v>-15</v>
      </c>
      <c r="C111" s="101">
        <f>-'Reorganised Statements'!E90</f>
        <v>-9</v>
      </c>
      <c r="D111" s="101">
        <f>-'Reorganised Statements'!F90</f>
        <v>-9</v>
      </c>
      <c r="E111" s="101">
        <f>-'Reorganised Statements'!G90</f>
        <v>-6</v>
      </c>
      <c r="F111" s="99">
        <f>-'Reorganised Statements'!H90</f>
        <v>-4</v>
      </c>
      <c r="G111" s="456">
        <f>-(-0.0051*G97)</f>
        <v>-5.1898426172833263</v>
      </c>
      <c r="H111" s="456">
        <f>-(-0.0051*H97)</f>
        <v>-5.3611173121956135</v>
      </c>
      <c r="I111" s="456">
        <f>-(-0.0051*I97)</f>
        <v>-5.5380443983807313</v>
      </c>
      <c r="J111" s="456">
        <f>-(-0.0051*J97)</f>
        <v>-5.7208104155205497</v>
      </c>
      <c r="K111" s="457">
        <f>-(-0.0051*K97)</f>
        <v>-5.9140395933563497</v>
      </c>
      <c r="L111" s="1"/>
      <c r="M111" s="1"/>
      <c r="N111" s="1"/>
      <c r="O111" s="1"/>
      <c r="P111" s="1"/>
      <c r="Q111" s="1"/>
      <c r="R111" s="1"/>
      <c r="S111" s="465">
        <v>351.5</v>
      </c>
      <c r="T111" s="595">
        <v>2021</v>
      </c>
      <c r="U111" s="370">
        <v>4.3749999999999997E-2</v>
      </c>
      <c r="V111" s="370">
        <v>4.3749999999999997E-2</v>
      </c>
      <c r="W111" s="801">
        <v>0</v>
      </c>
      <c r="X111" s="801">
        <v>0</v>
      </c>
      <c r="Y111" s="486">
        <v>0</v>
      </c>
      <c r="Z111" s="1"/>
      <c r="AA111" s="1"/>
      <c r="AB111" s="1"/>
      <c r="AC111" s="1"/>
      <c r="AD111" s="1"/>
      <c r="AE111" s="1"/>
      <c r="AF111" s="1"/>
      <c r="AG111" s="1"/>
      <c r="AH111" s="1"/>
      <c r="AI111" s="1"/>
      <c r="AJ111" s="1"/>
      <c r="AK111" s="1"/>
      <c r="AL111" s="1"/>
      <c r="AM111" s="1"/>
      <c r="AN111" s="1"/>
      <c r="AO111" s="1"/>
    </row>
    <row r="112" spans="1:41">
      <c r="A112" s="74" t="s">
        <v>603</v>
      </c>
      <c r="B112" s="102">
        <f>B110+B111</f>
        <v>-140</v>
      </c>
      <c r="C112" s="102">
        <f t="shared" ref="C112:F112" si="60">C110+C111</f>
        <v>-134</v>
      </c>
      <c r="D112" s="102">
        <f t="shared" si="60"/>
        <v>-113</v>
      </c>
      <c r="E112" s="102">
        <f t="shared" si="60"/>
        <v>-108</v>
      </c>
      <c r="F112" s="74">
        <f t="shared" si="60"/>
        <v>-98</v>
      </c>
      <c r="G112" s="487">
        <f>G110+G111</f>
        <v>-80.119087393149272</v>
      </c>
      <c r="H112" s="487">
        <f t="shared" ref="H112:K112" si="61">H110+H111</f>
        <v>-89.769574772507823</v>
      </c>
      <c r="I112" s="487">
        <f t="shared" si="61"/>
        <v>-86.243987333631907</v>
      </c>
      <c r="J112" s="487">
        <f t="shared" si="61"/>
        <v>-76.465827404946381</v>
      </c>
      <c r="K112" s="488">
        <f t="shared" si="61"/>
        <v>-72.739234788955287</v>
      </c>
      <c r="L112" s="1"/>
      <c r="M112" s="1"/>
      <c r="N112" s="1"/>
      <c r="O112" s="1"/>
      <c r="P112" s="1"/>
      <c r="Q112" s="1"/>
      <c r="R112" s="1"/>
      <c r="S112" s="465">
        <v>500</v>
      </c>
      <c r="T112" s="595">
        <v>2022</v>
      </c>
      <c r="U112" s="370">
        <v>3.6880000000000003E-2</v>
      </c>
      <c r="V112" s="370">
        <v>3.6880000000000003E-2</v>
      </c>
      <c r="W112" s="370">
        <v>3.6880000000000003E-2</v>
      </c>
      <c r="X112" s="801">
        <v>0</v>
      </c>
      <c r="Y112" s="486">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6">
        <f>G112/G114</f>
        <v>-101.93086741299238</v>
      </c>
      <c r="H113" s="446">
        <f t="shared" ref="H113:K113" si="62">H112/H114</f>
        <v>-114.20862270879553</v>
      </c>
      <c r="I113" s="446">
        <f t="shared" si="62"/>
        <v>-109.72322231947831</v>
      </c>
      <c r="J113" s="446">
        <f t="shared" si="62"/>
        <v>-97.283036645083016</v>
      </c>
      <c r="K113" s="458">
        <f t="shared" si="62"/>
        <v>-92.541909028653066</v>
      </c>
      <c r="L113" s="1"/>
      <c r="M113" s="1"/>
      <c r="N113" s="1"/>
      <c r="O113" s="1"/>
      <c r="P113" s="1"/>
      <c r="Q113" s="1"/>
      <c r="R113" s="1"/>
      <c r="S113" s="465">
        <v>300</v>
      </c>
      <c r="T113" s="595">
        <v>2023</v>
      </c>
      <c r="U113" s="370">
        <v>4.0570000000000002E-2</v>
      </c>
      <c r="V113" s="370">
        <v>4.0570000000000002E-2</v>
      </c>
      <c r="W113" s="370">
        <v>4.0570000000000002E-2</v>
      </c>
      <c r="X113" s="370">
        <v>4.0570000000000002E-2</v>
      </c>
      <c r="Y113" s="486">
        <v>0</v>
      </c>
      <c r="Z113" s="1"/>
      <c r="AA113" s="1"/>
      <c r="AB113" s="1"/>
      <c r="AC113" s="1"/>
      <c r="AD113" s="1"/>
      <c r="AE113" s="1"/>
      <c r="AF113" s="1"/>
      <c r="AG113" s="1"/>
      <c r="AH113" s="1"/>
      <c r="AI113" s="1"/>
      <c r="AJ113" s="1"/>
      <c r="AK113" s="1"/>
      <c r="AL113" s="1"/>
      <c r="AM113" s="1"/>
      <c r="AN113" s="1"/>
      <c r="AO113" s="1"/>
    </row>
    <row r="114" spans="1:41">
      <c r="A114" s="369" t="s">
        <v>604</v>
      </c>
      <c r="B114" s="371">
        <f>B112/B113</f>
        <v>0.86419753086419748</v>
      </c>
      <c r="C114" s="371">
        <f t="shared" ref="C114:F114" si="63">C112/C113</f>
        <v>0.69791666666666663</v>
      </c>
      <c r="D114" s="371">
        <f t="shared" si="63"/>
        <v>0.71518987341772156</v>
      </c>
      <c r="E114" s="371">
        <f t="shared" si="63"/>
        <v>0.81818181818181823</v>
      </c>
      <c r="F114" s="437">
        <f t="shared" si="63"/>
        <v>0.75384615384615383</v>
      </c>
      <c r="G114" s="415">
        <f>AVERAGE(E114,F114)</f>
        <v>0.78601398601398609</v>
      </c>
      <c r="H114" s="415">
        <f>G114</f>
        <v>0.78601398601398609</v>
      </c>
      <c r="I114" s="415">
        <f t="shared" ref="I114:K114" si="64">H114</f>
        <v>0.78601398601398609</v>
      </c>
      <c r="J114" s="415">
        <f t="shared" si="64"/>
        <v>0.78601398601398609</v>
      </c>
      <c r="K114" s="438">
        <f t="shared" si="64"/>
        <v>0.78601398601398609</v>
      </c>
      <c r="L114" s="1"/>
      <c r="M114" s="1"/>
      <c r="N114" s="1"/>
      <c r="O114" s="1"/>
      <c r="P114" s="1"/>
      <c r="Q114" s="1"/>
      <c r="R114" s="1"/>
      <c r="S114" s="465">
        <v>300</v>
      </c>
      <c r="T114" s="595">
        <v>2024</v>
      </c>
      <c r="U114" s="370">
        <v>1.2840000000000001E-2</v>
      </c>
      <c r="V114" s="370">
        <v>1.2840000000000001E-2</v>
      </c>
      <c r="W114" s="370">
        <v>1.2840000000000001E-2</v>
      </c>
      <c r="X114" s="370">
        <v>1.2840000000000001E-2</v>
      </c>
      <c r="Y114" s="435">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7"/>
      <c r="G115" s="415"/>
      <c r="H115" s="415"/>
      <c r="I115" s="415"/>
      <c r="J115" s="415"/>
      <c r="K115" s="438"/>
      <c r="L115" s="1"/>
      <c r="M115" s="1"/>
      <c r="N115" s="1"/>
      <c r="O115" s="1"/>
      <c r="P115" s="1"/>
      <c r="Q115" s="1"/>
      <c r="R115" s="1"/>
      <c r="S115" s="465">
        <v>300</v>
      </c>
      <c r="T115" s="595">
        <v>2025</v>
      </c>
      <c r="U115" s="370">
        <v>1.8360000000000001E-2</v>
      </c>
      <c r="V115" s="370">
        <v>1.8360000000000001E-2</v>
      </c>
      <c r="W115" s="370">
        <v>1.8360000000000001E-2</v>
      </c>
      <c r="X115" s="370">
        <v>1.8360000000000001E-2</v>
      </c>
      <c r="Y115" s="435">
        <v>1.8360000000000001E-2</v>
      </c>
      <c r="Z115" s="1"/>
      <c r="AA115" s="1"/>
      <c r="AB115" s="1"/>
      <c r="AC115" s="1"/>
      <c r="AD115" s="1"/>
      <c r="AE115" s="1"/>
      <c r="AF115" s="1"/>
      <c r="AG115" s="1"/>
      <c r="AH115" s="1"/>
      <c r="AI115" s="1"/>
      <c r="AJ115" s="1"/>
      <c r="AK115" s="1"/>
      <c r="AL115" s="1"/>
      <c r="AM115" s="1"/>
      <c r="AN115" s="1"/>
      <c r="AO115" s="1"/>
    </row>
    <row r="116" spans="1:41">
      <c r="A116" s="369"/>
      <c r="B116" s="1"/>
      <c r="C116" s="1"/>
      <c r="D116" s="1"/>
      <c r="E116" s="1"/>
      <c r="F116" s="369"/>
      <c r="G116" s="1"/>
      <c r="H116" s="1"/>
      <c r="I116" s="1"/>
      <c r="J116" s="1"/>
      <c r="K116" s="369"/>
      <c r="L116" s="1"/>
      <c r="M116" s="1"/>
      <c r="N116" s="1"/>
      <c r="O116" s="1"/>
      <c r="P116" s="1"/>
      <c r="Q116" s="1"/>
      <c r="R116" s="1"/>
      <c r="S116" s="465">
        <v>300</v>
      </c>
      <c r="T116" s="595">
        <v>2027</v>
      </c>
      <c r="U116" s="370">
        <v>1.7680000000000001E-2</v>
      </c>
      <c r="V116" s="370">
        <v>1.7680000000000001E-2</v>
      </c>
      <c r="W116" s="370">
        <v>1.7680000000000001E-2</v>
      </c>
      <c r="X116" s="370">
        <v>1.7680000000000001E-2</v>
      </c>
      <c r="Y116" s="435">
        <v>1.7680000000000001E-2</v>
      </c>
      <c r="Z116" s="1"/>
      <c r="AA116" s="1"/>
      <c r="AB116" s="1"/>
      <c r="AC116" s="1"/>
      <c r="AD116" s="1"/>
      <c r="AE116" s="1"/>
      <c r="AF116" s="1"/>
      <c r="AG116" s="1"/>
      <c r="AH116" s="1"/>
      <c r="AI116" s="1"/>
      <c r="AJ116" s="1"/>
      <c r="AK116" s="1"/>
      <c r="AL116" s="1"/>
      <c r="AM116" s="1"/>
      <c r="AN116" s="1"/>
      <c r="AO116" s="1"/>
    </row>
    <row r="117" spans="1:41">
      <c r="A117" s="369" t="s">
        <v>605</v>
      </c>
      <c r="B117" s="1">
        <f>'Reorganised Statements'!D99</f>
        <v>-137</v>
      </c>
      <c r="C117" s="1">
        <f>'Reorganised Statements'!E99</f>
        <v>-109</v>
      </c>
      <c r="D117" s="1">
        <f>'Reorganised Statements'!F99</f>
        <v>-134</v>
      </c>
      <c r="E117" s="1">
        <f>'Reorganised Statements'!G99</f>
        <v>-98</v>
      </c>
      <c r="F117" s="369">
        <f>'Reorganised Statements'!H99</f>
        <v>-106</v>
      </c>
      <c r="G117" s="446">
        <f>G99*AVERAGE(E118:F118)</f>
        <v>-107.83965773302464</v>
      </c>
      <c r="H117" s="446">
        <f>H99*G118</f>
        <v>-111.39857191207112</v>
      </c>
      <c r="I117" s="446">
        <f t="shared" ref="I117:K117" si="65">I99*H118</f>
        <v>-115.07493704005491</v>
      </c>
      <c r="J117" s="446">
        <f t="shared" si="65"/>
        <v>-118.87262922207778</v>
      </c>
      <c r="K117" s="458">
        <f t="shared" si="65"/>
        <v>-122.88773525486037</v>
      </c>
      <c r="L117" s="1"/>
      <c r="M117" s="1"/>
      <c r="N117" s="1"/>
      <c r="O117" s="1"/>
      <c r="P117" s="1"/>
      <c r="Q117" s="1"/>
      <c r="R117" s="1"/>
      <c r="S117" s="465">
        <v>400</v>
      </c>
      <c r="T117" s="595">
        <v>2029</v>
      </c>
      <c r="U117" s="370">
        <v>1.3899999999999999E-2</v>
      </c>
      <c r="V117" s="370">
        <v>1.3899999999999999E-2</v>
      </c>
      <c r="W117" s="370">
        <v>1.3899999999999999E-2</v>
      </c>
      <c r="X117" s="370">
        <v>1.3899999999999999E-2</v>
      </c>
      <c r="Y117" s="435">
        <v>1.3899999999999999E-2</v>
      </c>
      <c r="Z117" s="1"/>
      <c r="AA117" s="1"/>
      <c r="AB117" s="1"/>
      <c r="AC117" s="1"/>
      <c r="AD117" s="1"/>
      <c r="AE117" s="1"/>
      <c r="AF117" s="1"/>
      <c r="AG117" s="1"/>
      <c r="AH117" s="1"/>
      <c r="AI117" s="1"/>
      <c r="AJ117" s="1"/>
      <c r="AK117" s="1"/>
      <c r="AL117" s="1"/>
      <c r="AM117" s="1"/>
      <c r="AN117" s="1"/>
      <c r="AO117" s="1"/>
    </row>
    <row r="118" spans="1:41" ht="15" thickBot="1">
      <c r="A118" s="369" t="s">
        <v>767</v>
      </c>
      <c r="B118" s="1"/>
      <c r="C118" s="1"/>
      <c r="D118" s="1"/>
      <c r="E118" s="371">
        <f>E117/E99</f>
        <v>2.6644915715062535E-2</v>
      </c>
      <c r="F118" s="437">
        <f>F117/F99</f>
        <v>2.9354749376903903E-2</v>
      </c>
      <c r="G118" s="371">
        <f>G117/G99</f>
        <v>2.7999832545983219E-2</v>
      </c>
      <c r="H118" s="415">
        <f>G118</f>
        <v>2.7999832545983219E-2</v>
      </c>
      <c r="I118" s="415">
        <f t="shared" ref="I118:K118" si="66">H118</f>
        <v>2.7999832545983219E-2</v>
      </c>
      <c r="J118" s="415">
        <f t="shared" si="66"/>
        <v>2.7999832545983219E-2</v>
      </c>
      <c r="K118" s="438">
        <f t="shared" si="66"/>
        <v>2.7999832545983219E-2</v>
      </c>
      <c r="L118" s="1"/>
      <c r="M118" s="1"/>
      <c r="N118" s="1"/>
      <c r="O118" s="1"/>
      <c r="P118" s="1"/>
      <c r="Q118" s="1"/>
      <c r="R118" s="1"/>
      <c r="S118" s="465" t="s">
        <v>606</v>
      </c>
      <c r="T118" s="595"/>
      <c r="U118" s="370">
        <f>'[2]WACC '!C22</f>
        <v>2.1758250683779193E-2</v>
      </c>
      <c r="V118" s="370">
        <f>U118</f>
        <v>2.1758250683779193E-2</v>
      </c>
      <c r="W118" s="370">
        <f t="shared" ref="W118:Y118" si="67">V118</f>
        <v>2.1758250683779193E-2</v>
      </c>
      <c r="X118" s="370">
        <f t="shared" si="67"/>
        <v>2.1758250683779193E-2</v>
      </c>
      <c r="Y118" s="435">
        <f t="shared" si="67"/>
        <v>2.1758250683779193E-2</v>
      </c>
      <c r="Z118" s="1"/>
      <c r="AA118" s="1"/>
      <c r="AB118" s="1"/>
      <c r="AC118" s="1"/>
      <c r="AD118" s="1"/>
      <c r="AE118" s="1"/>
      <c r="AF118" s="1"/>
      <c r="AG118" s="1"/>
      <c r="AH118" s="1"/>
      <c r="AI118" s="1"/>
      <c r="AJ118" s="1"/>
      <c r="AK118" s="1"/>
      <c r="AL118" s="1"/>
      <c r="AM118" s="1"/>
      <c r="AN118" s="1"/>
      <c r="AO118" s="1"/>
    </row>
    <row r="119" spans="1:41" ht="15" thickBot="1">
      <c r="A119" s="489" t="s">
        <v>451</v>
      </c>
      <c r="B119" s="1"/>
      <c r="C119" s="1"/>
      <c r="D119" s="1"/>
      <c r="E119" s="1"/>
      <c r="F119" s="369"/>
      <c r="G119" s="1"/>
      <c r="H119" s="1"/>
      <c r="I119" s="1"/>
      <c r="J119" s="1"/>
      <c r="K119" s="369"/>
      <c r="L119" s="1"/>
      <c r="M119" s="1"/>
      <c r="N119" s="1"/>
      <c r="O119" s="1"/>
      <c r="P119" s="1"/>
      <c r="Q119" s="1"/>
      <c r="R119" s="1"/>
      <c r="S119" s="803" t="s">
        <v>607</v>
      </c>
      <c r="T119" s="805"/>
      <c r="U119" s="802">
        <f>(SUM((U111*S111),(U112*S112),(U113*S113),(U114*S114),(U115*S115),(U116*S116),(U117*S117),U118*U122))/(SUM(S111:S117) +U122)</f>
        <v>2.6271704731400839E-2</v>
      </c>
      <c r="V119" s="802">
        <f>(SUM((U111*S111),(U112*S112),(U113*S113),(U114*S114),(U115*S115),(U116*S116),(U117*S117),(U118*V122),(U122*U118)))/(SUM(S111:S117) +V122+U122)</f>
        <v>2.5673625724398619E-2</v>
      </c>
      <c r="W119" s="802">
        <f>(SUM((U112*S112),(U113*S113),(U114*S114),(U115*S115),(U116*S116),(U117*S117),(U118*W122),(V122*U118),(U122*U118)))/(SUM(S112:S117)+W122+U122+V122)</f>
        <v>2.3239070419649548E-2</v>
      </c>
      <c r="X119" s="802">
        <f>(SUM((U113*S113),(U114*S114),(U115*S115),(U116*S116),(U117*S117),(U118*X122),(W122*U118),(V122*U118),(U122*U118)))/(SUM(S113:S117)+X122+W122+V122+U122)</f>
        <v>2.103909388632904E-2</v>
      </c>
      <c r="Y119" s="490">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608</v>
      </c>
      <c r="B120" s="1"/>
      <c r="C120" s="1"/>
      <c r="D120" s="1"/>
      <c r="E120" s="1"/>
      <c r="F120" s="369"/>
      <c r="G120" s="481">
        <f>G176</f>
        <v>544.56139017900625</v>
      </c>
      <c r="H120" s="481">
        <f t="shared" ref="H120:K120" si="68">H176</f>
        <v>588.22893768113204</v>
      </c>
      <c r="I120" s="481">
        <f t="shared" si="68"/>
        <v>653.13977415749594</v>
      </c>
      <c r="J120" s="481">
        <f t="shared" si="68"/>
        <v>730.68861768672582</v>
      </c>
      <c r="K120" s="482">
        <f t="shared" si="68"/>
        <v>805.4407544425253</v>
      </c>
      <c r="L120" s="1"/>
      <c r="M120" s="1"/>
      <c r="N120" s="1"/>
      <c r="O120" s="1"/>
      <c r="P120" s="1"/>
      <c r="Q120" s="1"/>
      <c r="R120" s="1"/>
      <c r="S120" s="465"/>
      <c r="T120" s="595"/>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609</v>
      </c>
      <c r="B121" s="101"/>
      <c r="C121" s="101"/>
      <c r="D121" s="101"/>
      <c r="E121" s="101"/>
      <c r="F121" s="99"/>
      <c r="G121" s="471">
        <v>0.24</v>
      </c>
      <c r="H121" s="471">
        <f>G121</f>
        <v>0.24</v>
      </c>
      <c r="I121" s="471">
        <f t="shared" ref="I121:K121" si="69">H121</f>
        <v>0.24</v>
      </c>
      <c r="J121" s="471">
        <f t="shared" si="69"/>
        <v>0.24</v>
      </c>
      <c r="K121" s="491">
        <f t="shared" si="69"/>
        <v>0.24</v>
      </c>
      <c r="L121" s="1"/>
      <c r="M121" s="1"/>
      <c r="N121" s="1"/>
      <c r="O121" s="1"/>
      <c r="P121" s="1"/>
      <c r="Q121" s="1"/>
      <c r="R121" s="1"/>
      <c r="S121" s="465"/>
      <c r="T121" s="595" t="s">
        <v>756</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 thickBot="1">
      <c r="A122" s="369" t="s">
        <v>610</v>
      </c>
      <c r="B122" s="1"/>
      <c r="C122" s="1"/>
      <c r="D122" s="1"/>
      <c r="E122" s="1"/>
      <c r="F122" s="369"/>
      <c r="G122" s="446">
        <f>-G121*G120</f>
        <v>-130.69473364296149</v>
      </c>
      <c r="H122" s="446">
        <f t="shared" ref="H122:K122" si="70">-H121*H120</f>
        <v>-141.17494504347169</v>
      </c>
      <c r="I122" s="446">
        <f t="shared" si="70"/>
        <v>-156.75354579779901</v>
      </c>
      <c r="J122" s="446">
        <f t="shared" si="70"/>
        <v>-175.36526824481419</v>
      </c>
      <c r="K122" s="458">
        <f t="shared" si="70"/>
        <v>-193.30578106620607</v>
      </c>
      <c r="L122" s="1"/>
      <c r="M122" s="1"/>
      <c r="N122" s="1"/>
      <c r="O122" s="1"/>
      <c r="P122" s="1"/>
      <c r="Q122" s="1"/>
      <c r="R122" s="1"/>
      <c r="S122" s="800" t="s">
        <v>611</v>
      </c>
      <c r="T122" s="77"/>
      <c r="U122" s="806">
        <f>T94</f>
        <v>400.58917890691527</v>
      </c>
      <c r="V122" s="806">
        <f t="shared" ref="V122:Y122" si="71">U94</f>
        <v>435.6606062781064</v>
      </c>
      <c r="W122" s="806">
        <f t="shared" si="71"/>
        <v>536.60611988642768</v>
      </c>
      <c r="X122" s="806">
        <f t="shared" si="71"/>
        <v>389.69465778311968</v>
      </c>
      <c r="Y122" s="807">
        <f t="shared" si="71"/>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6"/>
      <c r="V123" s="446"/>
      <c r="W123" s="446"/>
      <c r="X123" s="446"/>
      <c r="Y123" s="446"/>
      <c r="Z123" s="1"/>
      <c r="AA123" s="1"/>
      <c r="AB123" s="1"/>
      <c r="AC123" s="1"/>
      <c r="AD123" s="1"/>
      <c r="AE123" s="1"/>
      <c r="AF123" s="1"/>
      <c r="AG123" s="1"/>
      <c r="AH123" s="1"/>
      <c r="AI123" s="1"/>
      <c r="AJ123" s="1"/>
      <c r="AK123" s="1"/>
      <c r="AL123" s="1"/>
      <c r="AM123" s="1"/>
      <c r="AN123" s="1"/>
      <c r="AO123" s="1"/>
    </row>
    <row r="124" spans="1:41" ht="15" thickBot="1">
      <c r="A124" s="369" t="s">
        <v>612</v>
      </c>
      <c r="B124" s="1"/>
      <c r="C124" s="1"/>
      <c r="D124" s="1"/>
      <c r="E124" s="1"/>
      <c r="F124" s="369"/>
      <c r="G124" s="481">
        <f>G172</f>
        <v>646.49225759199862</v>
      </c>
      <c r="H124" s="481">
        <f t="shared" ref="H124:K124" si="72">H172</f>
        <v>702.43756038992751</v>
      </c>
      <c r="I124" s="481">
        <f t="shared" si="72"/>
        <v>762.86299647697422</v>
      </c>
      <c r="J124" s="481">
        <f t="shared" si="72"/>
        <v>827.97165433180885</v>
      </c>
      <c r="K124" s="482">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613</v>
      </c>
      <c r="B125" s="101"/>
      <c r="C125" s="101"/>
      <c r="D125" s="101"/>
      <c r="E125" s="101"/>
      <c r="F125" s="99"/>
      <c r="G125" s="492">
        <v>3.9E-2</v>
      </c>
      <c r="H125" s="492">
        <f>G125</f>
        <v>3.9E-2</v>
      </c>
      <c r="I125" s="492">
        <f t="shared" ref="I125:K125" si="73">H125</f>
        <v>3.9E-2</v>
      </c>
      <c r="J125" s="492">
        <f t="shared" si="73"/>
        <v>3.9E-2</v>
      </c>
      <c r="K125" s="493">
        <f t="shared" si="73"/>
        <v>3.9E-2</v>
      </c>
      <c r="L125" s="1"/>
      <c r="M125" s="1"/>
      <c r="N125" s="1"/>
      <c r="O125" s="1"/>
      <c r="P125" s="1"/>
      <c r="Q125" s="1"/>
      <c r="R125" s="1"/>
      <c r="S125" s="442" t="s">
        <v>614</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615</v>
      </c>
      <c r="B126" s="1"/>
      <c r="C126" s="1"/>
      <c r="D126" s="1"/>
      <c r="E126" s="1"/>
      <c r="F126" s="369"/>
      <c r="G126" s="446">
        <f>-G125*G124</f>
        <v>-25.213198046087946</v>
      </c>
      <c r="H126" s="446">
        <f t="shared" ref="H126:K126" si="74">-H125*H124</f>
        <v>-27.395064855207174</v>
      </c>
      <c r="I126" s="446">
        <f t="shared" si="74"/>
        <v>-29.751656862601994</v>
      </c>
      <c r="J126" s="446">
        <f t="shared" si="74"/>
        <v>-32.290894518940547</v>
      </c>
      <c r="K126" s="458">
        <f t="shared" si="74"/>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 thickBot="1">
      <c r="A127" s="369"/>
      <c r="B127" s="1"/>
      <c r="C127" s="1"/>
      <c r="D127" s="1"/>
      <c r="E127" s="1"/>
      <c r="F127" s="369"/>
      <c r="G127" s="1"/>
      <c r="H127" s="1"/>
      <c r="I127" s="1"/>
      <c r="J127" s="1"/>
      <c r="K127" s="369"/>
      <c r="L127" s="1"/>
      <c r="M127" s="1"/>
      <c r="N127" s="1"/>
      <c r="O127" s="1"/>
      <c r="P127" s="1"/>
      <c r="Q127" s="1"/>
      <c r="R127" s="1"/>
      <c r="S127" s="269"/>
      <c r="T127" s="379"/>
      <c r="U127" s="379"/>
      <c r="V127" s="494">
        <f>C111/C97</f>
        <v>7.1864893999281339E-3</v>
      </c>
      <c r="W127" s="494">
        <f>D111/D97</f>
        <v>9.5226003047232093E-3</v>
      </c>
      <c r="X127" s="494">
        <f>E111/E97</f>
        <v>6.2743129627305808E-3</v>
      </c>
      <c r="Y127" s="495">
        <f>F111/F97</f>
        <v>3.9408866995073897E-3</v>
      </c>
      <c r="Z127" s="1"/>
      <c r="AA127" s="1"/>
      <c r="AB127" s="1"/>
      <c r="AC127" s="1"/>
      <c r="AD127" s="1"/>
      <c r="AE127" s="1"/>
      <c r="AF127" s="1"/>
      <c r="AG127" s="1"/>
      <c r="AH127" s="1"/>
      <c r="AI127" s="1"/>
      <c r="AJ127" s="1"/>
      <c r="AK127" s="1"/>
      <c r="AL127" s="1"/>
      <c r="AM127" s="1"/>
      <c r="AN127" s="1"/>
      <c r="AO127" s="1"/>
    </row>
    <row r="128" spans="1:41">
      <c r="A128" s="444" t="s">
        <v>616</v>
      </c>
      <c r="B128" s="377"/>
      <c r="C128" s="377"/>
      <c r="D128" s="377"/>
      <c r="E128" s="377"/>
      <c r="F128" s="444"/>
      <c r="G128" s="496">
        <f>G122+G126</f>
        <v>-155.90793168904943</v>
      </c>
      <c r="H128" s="496">
        <f t="shared" ref="H128:K128" si="75">H122+H126</f>
        <v>-168.57000989867888</v>
      </c>
      <c r="I128" s="496">
        <f t="shared" si="75"/>
        <v>-186.50520266040101</v>
      </c>
      <c r="J128" s="496">
        <f t="shared" si="75"/>
        <v>-207.65616276375474</v>
      </c>
      <c r="K128" s="497">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617</v>
      </c>
      <c r="B130" s="1"/>
      <c r="C130" s="1"/>
      <c r="D130" s="1"/>
      <c r="E130" s="1"/>
      <c r="F130" s="369"/>
      <c r="G130" s="481">
        <f>G120</f>
        <v>544.56139017900625</v>
      </c>
      <c r="H130" s="481">
        <f t="shared" ref="H130:K130" si="76">H120</f>
        <v>588.22893768113204</v>
      </c>
      <c r="I130" s="481">
        <f t="shared" si="76"/>
        <v>653.13977415749594</v>
      </c>
      <c r="J130" s="481">
        <f t="shared" si="76"/>
        <v>730.68861768672582</v>
      </c>
      <c r="K130" s="482">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618</v>
      </c>
      <c r="B131" s="1"/>
      <c r="C131" s="1"/>
      <c r="D131" s="1"/>
      <c r="E131" s="1"/>
      <c r="F131" s="369"/>
      <c r="G131" s="371">
        <f>-G128/G130</f>
        <v>0.28630001043188158</v>
      </c>
      <c r="H131" s="371">
        <f t="shared" ref="H131:K131" si="77">-H128/H130</f>
        <v>0.28657211350941314</v>
      </c>
      <c r="I131" s="371">
        <f t="shared" si="77"/>
        <v>0.28555174564430641</v>
      </c>
      <c r="J131" s="371">
        <f t="shared" si="77"/>
        <v>0.2841924148499394</v>
      </c>
      <c r="K131" s="437">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41" t="s">
        <v>619</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3"/>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620</v>
      </c>
      <c r="B136" s="1">
        <f>'[2]Reorganised Statements'!D114</f>
        <v>75</v>
      </c>
      <c r="C136" s="1">
        <f>'[2]Reorganised Statements'!E114</f>
        <v>232</v>
      </c>
      <c r="D136" s="1">
        <f>'[2]Reorganised Statements'!F114</f>
        <v>293</v>
      </c>
      <c r="E136" s="1">
        <f>'[2]Reorganised Statements'!G114</f>
        <v>344</v>
      </c>
      <c r="F136" s="369">
        <f>'[2]Reorganised Statements'!H114</f>
        <v>389</v>
      </c>
      <c r="G136" s="481">
        <f>'[2]Output forecasts simo '!G27</f>
        <v>384.67815390052436</v>
      </c>
      <c r="H136" s="481">
        <f>'[2]Output forecasts simo '!H27</f>
        <v>415.36648672688739</v>
      </c>
      <c r="I136" s="481">
        <f>'[2]Output forecasts simo '!I27</f>
        <v>461.8616445794558</v>
      </c>
      <c r="J136" s="481">
        <f>'[2]Output forecasts simo '!J27</f>
        <v>517.68266766890713</v>
      </c>
      <c r="K136" s="482">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621</v>
      </c>
      <c r="B137" s="1">
        <f>B139*B138</f>
        <v>126</v>
      </c>
      <c r="C137" s="1">
        <f t="shared" ref="C137:F137" si="78">C139*C138</f>
        <v>153</v>
      </c>
      <c r="D137" s="1">
        <f t="shared" si="78"/>
        <v>180</v>
      </c>
      <c r="E137" s="1">
        <f t="shared" si="78"/>
        <v>218.00000000000003</v>
      </c>
      <c r="F137" s="369">
        <f t="shared" si="78"/>
        <v>240.99999999999997</v>
      </c>
      <c r="G137" s="446">
        <f>G138*G139</f>
        <v>248.73470848000002</v>
      </c>
      <c r="H137" s="446">
        <f t="shared" ref="H137:K137" si="79">H138*H139</f>
        <v>261.171443904</v>
      </c>
      <c r="I137" s="446">
        <f t="shared" si="79"/>
        <v>274.23001609920004</v>
      </c>
      <c r="J137" s="446">
        <f t="shared" si="79"/>
        <v>287.9415169041601</v>
      </c>
      <c r="K137" s="458">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622</v>
      </c>
      <c r="B138" s="498">
        <f>'DCF Valuation Simone '!C11</f>
        <v>4.0566645202833228E-2</v>
      </c>
      <c r="C138" s="498">
        <f>'DCF Valuation Simone '!D11</f>
        <v>4.9209055201012208E-2</v>
      </c>
      <c r="D138" s="498">
        <f>'DCF Valuation Simone '!E11</f>
        <v>5.7893006118837895E-2</v>
      </c>
      <c r="E138" s="498">
        <f>'DCF Valuation Simone '!F11</f>
        <v>7.011486296614812E-2</v>
      </c>
      <c r="F138" s="499">
        <f>'DCF Valuation Simone '!G11</f>
        <v>7.7512302636888505E-2</v>
      </c>
      <c r="G138" s="816">
        <f>'DCF Valuation Simone '!H11</f>
        <v>0.08</v>
      </c>
      <c r="H138" s="816">
        <f>'DCF Valuation Simone '!I11</f>
        <v>8.4000000000000005E-2</v>
      </c>
      <c r="I138" s="816">
        <f>'DCF Valuation Simone '!J11</f>
        <v>8.8200000000000014E-2</v>
      </c>
      <c r="J138" s="816">
        <f>'DCF Valuation Simone '!K11</f>
        <v>9.2610000000000026E-2</v>
      </c>
      <c r="K138" s="436">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623</v>
      </c>
      <c r="B139" s="500">
        <f>'DCF Valuation Simone '!C8</f>
        <v>3106</v>
      </c>
      <c r="C139" s="456">
        <f>'DCF Valuation Simone '!D8</f>
        <v>3109.1838560000001</v>
      </c>
      <c r="D139" s="456">
        <f>'DCF Valuation Simone '!E8</f>
        <v>3109.1838560000001</v>
      </c>
      <c r="E139" s="456">
        <f>'DCF Valuation Simone '!F8</f>
        <v>3109.1838560000001</v>
      </c>
      <c r="F139" s="457">
        <f>'DCF Valuation Simone '!G8</f>
        <v>3109.1838560000001</v>
      </c>
      <c r="G139" s="456">
        <f>F139</f>
        <v>3109.1838560000001</v>
      </c>
      <c r="H139" s="456">
        <f t="shared" ref="H139:K139" si="80">G139</f>
        <v>3109.1838560000001</v>
      </c>
      <c r="I139" s="456">
        <f t="shared" si="80"/>
        <v>3109.1838560000001</v>
      </c>
      <c r="J139" s="456">
        <f t="shared" si="80"/>
        <v>3109.1838560000001</v>
      </c>
      <c r="K139" s="457">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624</v>
      </c>
      <c r="B140" s="371">
        <f>B137/B136</f>
        <v>1.68</v>
      </c>
      <c r="C140" s="371">
        <f t="shared" ref="C140:K140" si="81">C137/C136</f>
        <v>0.65948275862068961</v>
      </c>
      <c r="D140" s="371">
        <f t="shared" si="81"/>
        <v>0.61433447098976113</v>
      </c>
      <c r="E140" s="371">
        <f t="shared" si="81"/>
        <v>0.63372093023255827</v>
      </c>
      <c r="F140" s="437">
        <f t="shared" si="81"/>
        <v>0.61953727506426726</v>
      </c>
      <c r="G140" s="371">
        <f>G137/G136</f>
        <v>0.64660471606693171</v>
      </c>
      <c r="H140" s="371">
        <f t="shared" si="81"/>
        <v>0.62877351026089401</v>
      </c>
      <c r="I140" s="371">
        <f t="shared" si="81"/>
        <v>0.5937492738737763</v>
      </c>
      <c r="J140" s="371">
        <f t="shared" si="81"/>
        <v>0.55621239590798521</v>
      </c>
      <c r="K140" s="437">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4" t="s">
        <v>625</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626</v>
      </c>
      <c r="B143" s="1"/>
      <c r="C143" s="1"/>
      <c r="D143" s="1"/>
      <c r="E143" s="1"/>
      <c r="F143" s="369"/>
      <c r="G143" s="1">
        <f>-'[2]Reorganised Statements'!H35</f>
        <v>3651</v>
      </c>
      <c r="H143" s="446">
        <f>G147</f>
        <v>3786.9434454205243</v>
      </c>
      <c r="I143" s="446">
        <f>H147</f>
        <v>3941.1384882434118</v>
      </c>
      <c r="J143" s="446">
        <f>I147</f>
        <v>4128.7701167236673</v>
      </c>
      <c r="K143" s="458">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627</v>
      </c>
      <c r="B144" s="1"/>
      <c r="C144" s="1"/>
      <c r="D144" s="1"/>
      <c r="E144" s="1"/>
      <c r="F144" s="369"/>
      <c r="G144" s="481">
        <f>G136</f>
        <v>384.67815390052436</v>
      </c>
      <c r="H144" s="481">
        <f>H136</f>
        <v>415.36648672688739</v>
      </c>
      <c r="I144" s="481">
        <f t="shared" ref="I144:K144" si="82">I136</f>
        <v>461.8616445794558</v>
      </c>
      <c r="J144" s="481">
        <f t="shared" si="82"/>
        <v>517.68266766890713</v>
      </c>
      <c r="K144" s="482">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628</v>
      </c>
      <c r="B145" s="1"/>
      <c r="C145" s="1"/>
      <c r="D145" s="1"/>
      <c r="E145" s="1"/>
      <c r="F145" s="369"/>
      <c r="G145" s="446">
        <f>-G137</f>
        <v>-248.73470848000002</v>
      </c>
      <c r="H145" s="446">
        <f t="shared" ref="H145:K145" si="83">-H137</f>
        <v>-261.171443904</v>
      </c>
      <c r="I145" s="446">
        <f t="shared" si="83"/>
        <v>-274.23001609920004</v>
      </c>
      <c r="J145" s="446">
        <f t="shared" si="83"/>
        <v>-287.9415169041601</v>
      </c>
      <c r="K145" s="458">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5" t="s">
        <v>629</v>
      </c>
      <c r="B147" s="434"/>
      <c r="C147" s="434"/>
      <c r="D147" s="434"/>
      <c r="E147" s="434"/>
      <c r="F147" s="445"/>
      <c r="G147" s="447">
        <f>G143+G144+G145</f>
        <v>3786.9434454205243</v>
      </c>
      <c r="H147" s="447">
        <f>H143+H144+H145</f>
        <v>3941.1384882434118</v>
      </c>
      <c r="I147" s="447">
        <f>I143+I144+I145</f>
        <v>4128.7701167236673</v>
      </c>
      <c r="J147" s="447">
        <f>J143+J144+J145</f>
        <v>4358.511267488414</v>
      </c>
      <c r="K147" s="448">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1">
      <c r="A150" s="782" t="s">
        <v>757</v>
      </c>
      <c r="B150" s="793"/>
      <c r="C150" s="793"/>
      <c r="D150" s="793"/>
      <c r="E150" s="793"/>
      <c r="F150" s="793"/>
      <c r="G150" s="793"/>
      <c r="H150" s="793"/>
      <c r="I150" s="793"/>
      <c r="J150" s="793"/>
      <c r="K150" s="794"/>
      <c r="L150" s="835"/>
      <c r="M150" s="103"/>
      <c r="N150" s="103"/>
      <c r="O150" s="782" t="s">
        <v>761</v>
      </c>
      <c r="P150" s="793"/>
      <c r="Q150" s="793"/>
      <c r="R150" s="794"/>
      <c r="S150" s="103"/>
      <c r="T150" s="782" t="s">
        <v>764</v>
      </c>
      <c r="U150" s="793"/>
      <c r="V150" s="793"/>
      <c r="W150" s="793"/>
      <c r="X150" s="793"/>
      <c r="Y150" s="793"/>
      <c r="Z150" s="793"/>
      <c r="AA150" s="793"/>
      <c r="AB150" s="793"/>
      <c r="AC150" s="793"/>
      <c r="AD150" s="793"/>
      <c r="AE150" s="793"/>
      <c r="AF150" s="793"/>
      <c r="AG150" s="794"/>
      <c r="AH150" s="1"/>
      <c r="AI150" s="1"/>
      <c r="AJ150" s="1"/>
      <c r="AK150" s="1"/>
      <c r="AL150" s="1"/>
      <c r="AM150" s="1"/>
      <c r="AN150" s="1"/>
      <c r="AO150" s="1"/>
    </row>
    <row r="151" spans="1:41" ht="15" thickBot="1">
      <c r="A151" s="785"/>
      <c r="B151" s="786"/>
      <c r="C151" s="786"/>
      <c r="D151" s="786"/>
      <c r="E151" s="786"/>
      <c r="F151" s="786"/>
      <c r="G151" s="786"/>
      <c r="H151" s="786"/>
      <c r="I151" s="786"/>
      <c r="J151" s="786"/>
      <c r="K151" s="787"/>
      <c r="L151" s="52"/>
      <c r="M151" s="52"/>
      <c r="N151" s="52"/>
      <c r="O151" s="785"/>
      <c r="P151" s="786"/>
      <c r="Q151" s="786"/>
      <c r="R151" s="787"/>
      <c r="S151" s="52"/>
      <c r="T151" s="785"/>
      <c r="U151" s="786"/>
      <c r="V151" s="786"/>
      <c r="W151" s="786"/>
      <c r="X151" s="786"/>
      <c r="Y151" s="786"/>
      <c r="Z151" s="786"/>
      <c r="AA151" s="786"/>
      <c r="AB151" s="786"/>
      <c r="AC151" s="786"/>
      <c r="AD151" s="786"/>
      <c r="AE151" s="786"/>
      <c r="AF151" s="786"/>
      <c r="AG151" s="787"/>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68" t="s">
        <v>713</v>
      </c>
      <c r="B155" s="662"/>
      <c r="C155" s="662"/>
      <c r="D155" s="662"/>
      <c r="E155" s="662"/>
      <c r="F155" s="663"/>
      <c r="G155" s="662" t="s">
        <v>714</v>
      </c>
      <c r="H155" s="662"/>
      <c r="I155" s="662"/>
      <c r="J155" s="662"/>
      <c r="K155" s="664"/>
      <c r="L155" s="52"/>
      <c r="M155" s="1"/>
      <c r="N155" s="1"/>
      <c r="O155" s="1"/>
      <c r="P155" s="1"/>
      <c r="Q155" s="1"/>
      <c r="R155" s="1"/>
      <c r="S155" s="52"/>
      <c r="T155" s="668" t="s">
        <v>713</v>
      </c>
      <c r="U155" s="662"/>
      <c r="V155" s="662"/>
      <c r="W155" s="662"/>
      <c r="X155" s="662"/>
      <c r="Y155" s="663"/>
      <c r="Z155" s="662" t="s">
        <v>714</v>
      </c>
      <c r="AA155" s="662"/>
      <c r="AB155" s="662"/>
      <c r="AC155" s="662"/>
      <c r="AD155" s="664"/>
      <c r="AE155" s="52"/>
      <c r="AF155" s="52"/>
      <c r="AG155" s="52"/>
      <c r="AH155" s="52"/>
      <c r="AI155" s="52"/>
      <c r="AJ155" s="52"/>
      <c r="AK155" s="52"/>
      <c r="AL155" s="52"/>
      <c r="AM155" s="52"/>
      <c r="AN155" s="52"/>
      <c r="AO155" s="52"/>
    </row>
    <row r="156" spans="1:41" ht="15" thickBot="1">
      <c r="A156" s="669"/>
      <c r="B156" s="665">
        <v>2015</v>
      </c>
      <c r="C156" s="665">
        <v>2016</v>
      </c>
      <c r="D156" s="665">
        <v>2017</v>
      </c>
      <c r="E156" s="665">
        <v>2018</v>
      </c>
      <c r="F156" s="667">
        <v>2019</v>
      </c>
      <c r="G156" s="665">
        <v>2020</v>
      </c>
      <c r="H156" s="665">
        <v>2021</v>
      </c>
      <c r="I156" s="665">
        <v>2022</v>
      </c>
      <c r="J156" s="665">
        <v>2023</v>
      </c>
      <c r="K156" s="666">
        <v>2024</v>
      </c>
      <c r="L156" s="52"/>
      <c r="M156" s="1"/>
      <c r="N156" s="1"/>
      <c r="O156" s="1"/>
      <c r="P156" s="1"/>
      <c r="Q156" s="1"/>
      <c r="R156" s="1"/>
      <c r="S156" s="610"/>
      <c r="T156" s="669"/>
      <c r="U156" s="665">
        <v>2015</v>
      </c>
      <c r="V156" s="665">
        <v>2016</v>
      </c>
      <c r="W156" s="665">
        <v>2017</v>
      </c>
      <c r="X156" s="665">
        <v>2018</v>
      </c>
      <c r="Y156" s="667">
        <v>2019</v>
      </c>
      <c r="Z156" s="665">
        <v>2020</v>
      </c>
      <c r="AA156" s="665">
        <v>2021</v>
      </c>
      <c r="AB156" s="665">
        <v>2022</v>
      </c>
      <c r="AC156" s="665">
        <v>2023</v>
      </c>
      <c r="AD156" s="666">
        <v>2024</v>
      </c>
      <c r="AE156" s="52"/>
      <c r="AF156" s="52"/>
      <c r="AG156" s="52"/>
      <c r="AH156" s="52"/>
      <c r="AI156" s="52"/>
      <c r="AJ156" s="52"/>
      <c r="AK156" s="52"/>
      <c r="AL156" s="52"/>
      <c r="AM156" s="52"/>
      <c r="AN156" s="52"/>
      <c r="AO156" s="52"/>
    </row>
    <row r="157" spans="1:41">
      <c r="A157" s="465"/>
      <c r="B157" s="52"/>
      <c r="C157" s="52"/>
      <c r="D157" s="52"/>
      <c r="E157" s="52"/>
      <c r="F157" s="443"/>
      <c r="G157" s="52"/>
      <c r="H157" s="52"/>
      <c r="I157" s="52"/>
      <c r="J157" s="52"/>
      <c r="K157" s="278"/>
      <c r="L157" s="52"/>
      <c r="M157" s="52"/>
      <c r="N157" s="52"/>
      <c r="O157" s="52"/>
      <c r="P157" s="52"/>
      <c r="Q157" s="52"/>
      <c r="R157" s="52"/>
      <c r="S157" s="52"/>
      <c r="T157" s="465"/>
      <c r="U157" s="52"/>
      <c r="V157" s="52"/>
      <c r="W157" s="52"/>
      <c r="X157" s="52"/>
      <c r="Y157" s="443"/>
      <c r="Z157" s="52"/>
      <c r="AA157" s="52"/>
      <c r="AB157" s="52"/>
      <c r="AC157" s="52"/>
      <c r="AD157" s="278"/>
      <c r="AE157" s="52"/>
      <c r="AF157" s="52"/>
      <c r="AG157" s="52"/>
      <c r="AH157" s="52"/>
      <c r="AI157" s="52"/>
      <c r="AJ157" s="52"/>
      <c r="AK157" s="52"/>
      <c r="AL157" s="52"/>
      <c r="AM157" s="52"/>
      <c r="AN157" s="52"/>
      <c r="AO157" s="52"/>
    </row>
    <row r="158" spans="1:41">
      <c r="A158" s="655" t="s">
        <v>630</v>
      </c>
      <c r="B158" s="656">
        <f>B10</f>
        <v>4732</v>
      </c>
      <c r="C158" s="656">
        <f t="shared" ref="C158:K158" si="84">C10</f>
        <v>4581</v>
      </c>
      <c r="D158" s="656">
        <f t="shared" si="84"/>
        <v>5590</v>
      </c>
      <c r="E158" s="656">
        <f t="shared" si="84"/>
        <v>6271</v>
      </c>
      <c r="F158" s="477">
        <f t="shared" si="84"/>
        <v>7122</v>
      </c>
      <c r="G158" s="656">
        <f t="shared" si="84"/>
        <v>7229.9878811512444</v>
      </c>
      <c r="H158" s="656">
        <f t="shared" si="84"/>
        <v>7339.613136983131</v>
      </c>
      <c r="I158" s="656">
        <f t="shared" si="84"/>
        <v>7450.9005943171169</v>
      </c>
      <c r="J158" s="656">
        <f t="shared" si="84"/>
        <v>7563.8754564132787</v>
      </c>
      <c r="K158" s="826">
        <f t="shared" si="84"/>
        <v>7675.7218275645055</v>
      </c>
      <c r="L158" s="52"/>
      <c r="M158" s="52"/>
      <c r="N158" s="52"/>
      <c r="O158" s="52"/>
      <c r="P158" s="52"/>
      <c r="Q158" s="52"/>
      <c r="R158" s="52"/>
      <c r="S158" s="52"/>
      <c r="T158" s="655" t="s">
        <v>630</v>
      </c>
      <c r="U158" s="656">
        <f>B158</f>
        <v>4732</v>
      </c>
      <c r="V158" s="656">
        <f t="shared" ref="V158:Y159" si="85">C158</f>
        <v>4581</v>
      </c>
      <c r="W158" s="656">
        <f t="shared" si="85"/>
        <v>5590</v>
      </c>
      <c r="X158" s="656">
        <f t="shared" si="85"/>
        <v>6271</v>
      </c>
      <c r="Y158" s="477">
        <f t="shared" si="85"/>
        <v>7122</v>
      </c>
      <c r="Z158" s="656">
        <v>7229.9878811512444</v>
      </c>
      <c r="AA158" s="656">
        <v>7339.613136983131</v>
      </c>
      <c r="AB158" s="656">
        <v>7450.9005943171169</v>
      </c>
      <c r="AC158" s="656">
        <v>7563.8754564132787</v>
      </c>
      <c r="AD158" s="826">
        <v>7675.7218275645055</v>
      </c>
      <c r="AE158" s="52"/>
      <c r="AF158" s="52"/>
      <c r="AG158" s="52"/>
      <c r="AH158" s="52"/>
      <c r="AI158" s="52"/>
      <c r="AJ158" s="52"/>
      <c r="AK158" s="52"/>
      <c r="AL158" s="52"/>
      <c r="AM158" s="52"/>
      <c r="AN158" s="52"/>
      <c r="AO158" s="52"/>
    </row>
    <row r="159" spans="1:41">
      <c r="A159" s="465" t="s">
        <v>631</v>
      </c>
      <c r="B159" s="657">
        <f>B11</f>
        <v>189</v>
      </c>
      <c r="C159" s="657">
        <f t="shared" ref="C159:K159" si="86">C11</f>
        <v>279</v>
      </c>
      <c r="D159" s="657">
        <f t="shared" si="86"/>
        <v>206</v>
      </c>
      <c r="E159" s="657">
        <f t="shared" si="86"/>
        <v>223</v>
      </c>
      <c r="F159" s="482">
        <f t="shared" si="86"/>
        <v>202</v>
      </c>
      <c r="G159" s="657">
        <f t="shared" si="86"/>
        <v>231.0824726511394</v>
      </c>
      <c r="H159" s="657">
        <f t="shared" si="86"/>
        <v>234.58627868775648</v>
      </c>
      <c r="I159" s="657">
        <f t="shared" si="86"/>
        <v>238.14321145701319</v>
      </c>
      <c r="J159" s="657">
        <f t="shared" si="86"/>
        <v>241.7540764971418</v>
      </c>
      <c r="K159" s="827">
        <f t="shared" si="86"/>
        <v>245.32887308429278</v>
      </c>
      <c r="L159" s="52"/>
      <c r="M159" s="52"/>
      <c r="N159" s="52"/>
      <c r="O159" s="52"/>
      <c r="P159" s="52"/>
      <c r="Q159" s="52"/>
      <c r="R159" s="52"/>
      <c r="S159" s="52"/>
      <c r="T159" s="465" t="s">
        <v>631</v>
      </c>
      <c r="U159" s="840">
        <f>B159</f>
        <v>189</v>
      </c>
      <c r="V159" s="840">
        <f t="shared" si="85"/>
        <v>279</v>
      </c>
      <c r="W159" s="840">
        <f t="shared" si="85"/>
        <v>206</v>
      </c>
      <c r="X159" s="840">
        <f t="shared" si="85"/>
        <v>223</v>
      </c>
      <c r="Y159" s="841">
        <f t="shared" si="85"/>
        <v>202</v>
      </c>
      <c r="Z159" s="840">
        <v>231.0824726511394</v>
      </c>
      <c r="AA159" s="840">
        <v>234.58627868775648</v>
      </c>
      <c r="AB159" s="840">
        <v>238.14321145701319</v>
      </c>
      <c r="AC159" s="840">
        <v>241.7540764971418</v>
      </c>
      <c r="AD159" s="846">
        <v>245.32887308429278</v>
      </c>
      <c r="AE159" s="52"/>
      <c r="AF159" s="52"/>
      <c r="AG159" s="52"/>
      <c r="AH159" s="52"/>
      <c r="AI159" s="52"/>
      <c r="AJ159" s="52"/>
      <c r="AK159" s="52"/>
      <c r="AL159" s="52"/>
      <c r="AM159" s="52"/>
      <c r="AN159" s="52"/>
      <c r="AO159" s="52"/>
    </row>
    <row r="160" spans="1:41">
      <c r="A160" s="658" t="s">
        <v>457</v>
      </c>
      <c r="B160" s="502">
        <f>SUM(B158:B159)</f>
        <v>4921</v>
      </c>
      <c r="C160" s="502">
        <f t="shared" ref="C160:K160" si="87">SUM(C158:C159)</f>
        <v>4860</v>
      </c>
      <c r="D160" s="502">
        <f t="shared" si="87"/>
        <v>5796</v>
      </c>
      <c r="E160" s="502">
        <f t="shared" si="87"/>
        <v>6494</v>
      </c>
      <c r="F160" s="503">
        <f t="shared" si="87"/>
        <v>7324</v>
      </c>
      <c r="G160" s="502">
        <f t="shared" si="87"/>
        <v>7461.0703538023836</v>
      </c>
      <c r="H160" s="502">
        <f t="shared" si="87"/>
        <v>7574.1994156708879</v>
      </c>
      <c r="I160" s="502">
        <f t="shared" si="87"/>
        <v>7689.0438057741303</v>
      </c>
      <c r="J160" s="502">
        <f t="shared" si="87"/>
        <v>7805.6295329104205</v>
      </c>
      <c r="K160" s="828">
        <f t="shared" si="87"/>
        <v>7921.0507006487978</v>
      </c>
      <c r="L160" s="52"/>
      <c r="M160" s="52"/>
      <c r="N160" s="52"/>
      <c r="O160" s="52"/>
      <c r="P160" s="52"/>
      <c r="Q160" s="52"/>
      <c r="R160" s="52"/>
      <c r="S160" s="52"/>
      <c r="T160" s="658" t="s">
        <v>457</v>
      </c>
      <c r="U160" s="502">
        <f>SUM(U158:U159)</f>
        <v>4921</v>
      </c>
      <c r="V160" s="502">
        <f t="shared" ref="V160:Y160" si="88">SUM(V158:V159)</f>
        <v>4860</v>
      </c>
      <c r="W160" s="502">
        <f t="shared" si="88"/>
        <v>5796</v>
      </c>
      <c r="X160" s="502">
        <f t="shared" si="88"/>
        <v>6494</v>
      </c>
      <c r="Y160" s="503">
        <f t="shared" si="88"/>
        <v>7324</v>
      </c>
      <c r="Z160" s="502">
        <v>7461.0703538023836</v>
      </c>
      <c r="AA160" s="502">
        <v>7574.1994156708879</v>
      </c>
      <c r="AB160" s="502">
        <v>7689.0438057741303</v>
      </c>
      <c r="AC160" s="502">
        <v>7805.6295329104205</v>
      </c>
      <c r="AD160" s="828">
        <v>7921.0507006487978</v>
      </c>
      <c r="AE160" s="52"/>
      <c r="AF160" s="52"/>
      <c r="AG160" s="52"/>
      <c r="AH160" s="52"/>
      <c r="AI160" s="52"/>
      <c r="AJ160" s="52"/>
      <c r="AK160" s="52"/>
      <c r="AL160" s="52"/>
      <c r="AM160" s="52"/>
      <c r="AN160" s="52"/>
      <c r="AO160" s="52"/>
    </row>
    <row r="161" spans="1:41">
      <c r="A161" s="465"/>
      <c r="B161" s="657"/>
      <c r="C161" s="657"/>
      <c r="D161" s="657"/>
      <c r="E161" s="657"/>
      <c r="F161" s="482"/>
      <c r="G161" s="657"/>
      <c r="H161" s="657"/>
      <c r="I161" s="657"/>
      <c r="J161" s="657"/>
      <c r="K161" s="827"/>
      <c r="L161" s="52"/>
      <c r="M161" s="52"/>
      <c r="N161" s="52"/>
      <c r="O161" s="52"/>
      <c r="P161" s="52"/>
      <c r="Q161" s="52"/>
      <c r="R161" s="52"/>
      <c r="S161" s="52"/>
      <c r="T161" s="465"/>
      <c r="U161" s="657"/>
      <c r="V161" s="657"/>
      <c r="W161" s="657"/>
      <c r="X161" s="657"/>
      <c r="Y161" s="482"/>
      <c r="Z161" s="657"/>
      <c r="AA161" s="657"/>
      <c r="AB161" s="657"/>
      <c r="AC161" s="657"/>
      <c r="AD161" s="827"/>
      <c r="AE161" s="52"/>
      <c r="AF161" s="52"/>
      <c r="AG161" s="52"/>
      <c r="AH161" s="52"/>
      <c r="AI161" s="52"/>
      <c r="AJ161" s="52"/>
      <c r="AK161" s="52"/>
      <c r="AL161" s="52"/>
      <c r="AM161" s="52"/>
      <c r="AN161" s="52"/>
      <c r="AO161" s="52"/>
    </row>
    <row r="162" spans="1:41">
      <c r="A162" s="465" t="s">
        <v>41</v>
      </c>
      <c r="B162" s="657">
        <f>B15</f>
        <v>-2286</v>
      </c>
      <c r="C162" s="657">
        <f t="shared" ref="C162:K162" si="89">C15</f>
        <v>-2101</v>
      </c>
      <c r="D162" s="657">
        <f t="shared" si="89"/>
        <v>-2831</v>
      </c>
      <c r="E162" s="657">
        <f t="shared" si="89"/>
        <v>-3346</v>
      </c>
      <c r="F162" s="482">
        <f t="shared" si="89"/>
        <v>-4004</v>
      </c>
      <c r="G162" s="657">
        <f t="shared" si="89"/>
        <v>-3861.3170115701314</v>
      </c>
      <c r="H162" s="657">
        <f t="shared" si="89"/>
        <v>-3919.8645322851989</v>
      </c>
      <c r="I162" s="657">
        <f t="shared" si="89"/>
        <v>-3979.2997843550379</v>
      </c>
      <c r="J162" s="657">
        <f t="shared" si="89"/>
        <v>-4039.6362280756375</v>
      </c>
      <c r="K162" s="827">
        <f t="shared" si="89"/>
        <v>-4099.3699790456121</v>
      </c>
      <c r="L162" s="52"/>
      <c r="M162" s="52"/>
      <c r="N162" s="52"/>
      <c r="O162" s="52"/>
      <c r="P162" s="52"/>
      <c r="Q162" s="52"/>
      <c r="R162" s="52"/>
      <c r="S162" s="52"/>
      <c r="T162" s="465" t="s">
        <v>41</v>
      </c>
      <c r="U162" s="657">
        <f>B162</f>
        <v>-2286</v>
      </c>
      <c r="V162" s="657">
        <f t="shared" ref="V162:Y162" si="90">C162</f>
        <v>-2101</v>
      </c>
      <c r="W162" s="657">
        <f t="shared" si="90"/>
        <v>-2831</v>
      </c>
      <c r="X162" s="657">
        <f t="shared" si="90"/>
        <v>-3346</v>
      </c>
      <c r="Y162" s="482">
        <f t="shared" si="90"/>
        <v>-4004</v>
      </c>
      <c r="Z162" s="657">
        <v>-3861.3170115701314</v>
      </c>
      <c r="AA162" s="657">
        <v>-3919.8645322851989</v>
      </c>
      <c r="AB162" s="657">
        <v>-3979.2997843550379</v>
      </c>
      <c r="AC162" s="657">
        <v>-4039.6362280756375</v>
      </c>
      <c r="AD162" s="827">
        <v>-4099.3699790456121</v>
      </c>
      <c r="AE162" s="52"/>
      <c r="AF162" s="52"/>
      <c r="AG162" s="52"/>
      <c r="AH162" s="52"/>
      <c r="AI162" s="52"/>
      <c r="AJ162" s="52"/>
      <c r="AK162" s="52"/>
      <c r="AL162" s="52"/>
      <c r="AM162" s="52"/>
      <c r="AN162" s="52"/>
      <c r="AO162" s="52"/>
    </row>
    <row r="163" spans="1:41">
      <c r="A163" s="465" t="s">
        <v>632</v>
      </c>
      <c r="B163" s="657">
        <f t="shared" ref="B163:K165" si="91">B16</f>
        <v>-706</v>
      </c>
      <c r="C163" s="657">
        <f t="shared" si="91"/>
        <v>-758</v>
      </c>
      <c r="D163" s="657">
        <f t="shared" si="91"/>
        <v>-850</v>
      </c>
      <c r="E163" s="657">
        <f t="shared" si="91"/>
        <v>-986</v>
      </c>
      <c r="F163" s="482">
        <f t="shared" si="91"/>
        <v>-1152</v>
      </c>
      <c r="G163" s="657">
        <f t="shared" si="91"/>
        <v>-1135.2075417956739</v>
      </c>
      <c r="H163" s="657">
        <f t="shared" si="91"/>
        <v>-1152.4202147955934</v>
      </c>
      <c r="I163" s="657">
        <f t="shared" si="91"/>
        <v>-1169.8938762939981</v>
      </c>
      <c r="J163" s="657">
        <f t="shared" si="91"/>
        <v>-1187.6324835493767</v>
      </c>
      <c r="K163" s="827">
        <f t="shared" si="91"/>
        <v>-1205.1939022046365</v>
      </c>
      <c r="L163" s="52"/>
      <c r="M163" s="100"/>
      <c r="N163" s="52"/>
      <c r="O163" s="100"/>
      <c r="P163" s="100"/>
      <c r="Q163" s="52"/>
      <c r="R163" s="100"/>
      <c r="S163" s="100"/>
      <c r="T163" s="465" t="s">
        <v>632</v>
      </c>
      <c r="U163" s="657">
        <f t="shared" ref="U163:U165" si="92">B163</f>
        <v>-706</v>
      </c>
      <c r="V163" s="657">
        <f t="shared" ref="V163:V165" si="93">C163</f>
        <v>-758</v>
      </c>
      <c r="W163" s="657">
        <f t="shared" ref="W163:W165" si="94">D163</f>
        <v>-850</v>
      </c>
      <c r="X163" s="657">
        <f t="shared" ref="X163:X165" si="95">E163</f>
        <v>-986</v>
      </c>
      <c r="Y163" s="482">
        <f t="shared" ref="Y163:Y165" si="96">F163</f>
        <v>-1152</v>
      </c>
      <c r="Z163" s="657">
        <v>-1135.2075417956739</v>
      </c>
      <c r="AA163" s="657">
        <v>-1152.4202147955934</v>
      </c>
      <c r="AB163" s="657">
        <v>-1169.8938762939981</v>
      </c>
      <c r="AC163" s="657">
        <v>-1187.6324835493767</v>
      </c>
      <c r="AD163" s="827">
        <v>-1205.1939022046365</v>
      </c>
      <c r="AE163" s="52"/>
      <c r="AF163" s="52"/>
      <c r="AG163" s="52"/>
      <c r="AH163" s="52"/>
      <c r="AI163" s="52"/>
      <c r="AJ163" s="52"/>
      <c r="AK163" s="52"/>
      <c r="AL163" s="52"/>
      <c r="AM163" s="52"/>
      <c r="AN163" s="52"/>
      <c r="AO163" s="52"/>
    </row>
    <row r="164" spans="1:41">
      <c r="A164" s="465" t="s">
        <v>633</v>
      </c>
      <c r="B164" s="657">
        <f t="shared" si="91"/>
        <v>-252</v>
      </c>
      <c r="C164" s="657">
        <f t="shared" si="91"/>
        <v>-243</v>
      </c>
      <c r="D164" s="657">
        <f t="shared" si="91"/>
        <v>-281</v>
      </c>
      <c r="E164" s="657">
        <f t="shared" si="91"/>
        <v>-266</v>
      </c>
      <c r="F164" s="482">
        <f t="shared" si="91"/>
        <v>-234</v>
      </c>
      <c r="G164" s="657">
        <f t="shared" si="91"/>
        <v>-394.3485356689381</v>
      </c>
      <c r="H164" s="657">
        <f t="shared" si="91"/>
        <v>-346.13352111880317</v>
      </c>
      <c r="I164" s="657">
        <f t="shared" si="91"/>
        <v>-294.11338730152363</v>
      </c>
      <c r="J164" s="657">
        <f t="shared" si="91"/>
        <v>-238.05606978490357</v>
      </c>
      <c r="K164" s="827">
        <f t="shared" si="91"/>
        <v>-177.04862284693229</v>
      </c>
      <c r="L164" s="52"/>
      <c r="M164" s="52"/>
      <c r="N164" s="52"/>
      <c r="O164" s="52"/>
      <c r="P164" s="52"/>
      <c r="Q164" s="52"/>
      <c r="R164" s="52"/>
      <c r="S164" s="52"/>
      <c r="T164" s="465" t="s">
        <v>633</v>
      </c>
      <c r="U164" s="657">
        <f t="shared" si="92"/>
        <v>-252</v>
      </c>
      <c r="V164" s="657">
        <f t="shared" si="93"/>
        <v>-243</v>
      </c>
      <c r="W164" s="657">
        <f t="shared" si="94"/>
        <v>-281</v>
      </c>
      <c r="X164" s="657">
        <f t="shared" si="95"/>
        <v>-266</v>
      </c>
      <c r="Y164" s="482">
        <f t="shared" si="96"/>
        <v>-234</v>
      </c>
      <c r="Z164" s="657">
        <v>-394.3485356689381</v>
      </c>
      <c r="AA164" s="657">
        <v>-346.13352111880317</v>
      </c>
      <c r="AB164" s="657">
        <v>-294.11338730152363</v>
      </c>
      <c r="AC164" s="657">
        <v>-238.05606978490357</v>
      </c>
      <c r="AD164" s="827">
        <v>-177.04862284693229</v>
      </c>
      <c r="AE164" s="52"/>
      <c r="AF164" s="52"/>
      <c r="AG164" s="52"/>
      <c r="AH164" s="52"/>
      <c r="AI164" s="52"/>
      <c r="AJ164" s="52"/>
      <c r="AK164" s="52"/>
      <c r="AL164" s="52"/>
      <c r="AM164" s="52"/>
      <c r="AN164" s="52"/>
      <c r="AO164" s="52"/>
    </row>
    <row r="165" spans="1:41">
      <c r="A165" s="465" t="s">
        <v>310</v>
      </c>
      <c r="B165" s="657">
        <f t="shared" si="91"/>
        <v>-629</v>
      </c>
      <c r="C165" s="657">
        <f t="shared" si="91"/>
        <v>-596</v>
      </c>
      <c r="D165" s="657">
        <f t="shared" si="91"/>
        <v>-635</v>
      </c>
      <c r="E165" s="657">
        <f t="shared" si="91"/>
        <v>-665</v>
      </c>
      <c r="F165" s="482">
        <f t="shared" si="91"/>
        <v>-700</v>
      </c>
      <c r="G165" s="657">
        <f t="shared" si="91"/>
        <v>-766.20133450364017</v>
      </c>
      <c r="H165" s="657">
        <f t="shared" si="91"/>
        <v>-777.81892207009673</v>
      </c>
      <c r="I165" s="657">
        <f t="shared" si="91"/>
        <v>-789.61266221523772</v>
      </c>
      <c r="J165" s="657">
        <f t="shared" si="91"/>
        <v>-801.5852258662934</v>
      </c>
      <c r="K165" s="827">
        <f t="shared" si="91"/>
        <v>-813.43819716364135</v>
      </c>
      <c r="L165" s="52"/>
      <c r="M165" s="52"/>
      <c r="N165" s="52"/>
      <c r="O165" s="52"/>
      <c r="P165" s="52"/>
      <c r="Q165" s="52"/>
      <c r="R165" s="52"/>
      <c r="S165" s="52"/>
      <c r="T165" s="465" t="s">
        <v>310</v>
      </c>
      <c r="U165" s="657">
        <f t="shared" si="92"/>
        <v>-629</v>
      </c>
      <c r="V165" s="657">
        <f t="shared" si="93"/>
        <v>-596</v>
      </c>
      <c r="W165" s="657">
        <f t="shared" si="94"/>
        <v>-635</v>
      </c>
      <c r="X165" s="657">
        <f t="shared" si="95"/>
        <v>-665</v>
      </c>
      <c r="Y165" s="482">
        <f t="shared" si="96"/>
        <v>-700</v>
      </c>
      <c r="Z165" s="657">
        <v>-766.20133450364017</v>
      </c>
      <c r="AA165" s="657">
        <v>-777.81892207009673</v>
      </c>
      <c r="AB165" s="657">
        <v>-789.61266221523772</v>
      </c>
      <c r="AC165" s="657">
        <v>-801.5852258662934</v>
      </c>
      <c r="AD165" s="827">
        <v>-813.43819716364135</v>
      </c>
      <c r="AE165" s="52"/>
      <c r="AF165" s="52"/>
      <c r="AG165" s="52"/>
      <c r="AH165" s="52"/>
      <c r="AI165" s="52"/>
      <c r="AJ165" s="52"/>
      <c r="AK165" s="52"/>
      <c r="AL165" s="52"/>
      <c r="AM165" s="52"/>
      <c r="AN165" s="52"/>
      <c r="AO165" s="52"/>
    </row>
    <row r="166" spans="1:41">
      <c r="A166" s="659"/>
      <c r="B166" s="101"/>
      <c r="C166" s="101"/>
      <c r="D166" s="101"/>
      <c r="E166" s="101"/>
      <c r="F166" s="99"/>
      <c r="G166" s="469"/>
      <c r="H166" s="469"/>
      <c r="I166" s="469"/>
      <c r="J166" s="469"/>
      <c r="K166" s="829"/>
      <c r="L166" s="52"/>
      <c r="M166" s="52"/>
      <c r="N166" s="52"/>
      <c r="O166" s="52"/>
      <c r="P166" s="52"/>
      <c r="Q166" s="52"/>
      <c r="R166" s="52"/>
      <c r="S166" s="52"/>
      <c r="T166" s="659"/>
      <c r="U166" s="101"/>
      <c r="V166" s="101"/>
      <c r="W166" s="101"/>
      <c r="X166" s="101"/>
      <c r="Y166" s="99"/>
      <c r="Z166" s="469"/>
      <c r="AA166" s="469"/>
      <c r="AB166" s="469"/>
      <c r="AC166" s="469"/>
      <c r="AD166" s="829"/>
      <c r="AE166" s="52"/>
      <c r="AF166" s="52"/>
      <c r="AG166" s="52"/>
      <c r="AH166" s="52"/>
      <c r="AI166" s="52"/>
      <c r="AJ166" s="52"/>
      <c r="AK166" s="52"/>
      <c r="AL166" s="52"/>
      <c r="AM166" s="52"/>
      <c r="AN166" s="52"/>
      <c r="AO166" s="52"/>
    </row>
    <row r="167" spans="1:41">
      <c r="A167" s="655" t="s">
        <v>550</v>
      </c>
      <c r="B167" s="100">
        <f>B160+SUM(B162:B165)</f>
        <v>1048</v>
      </c>
      <c r="C167" s="100">
        <f>C160+SUM(C162:C165)</f>
        <v>1162</v>
      </c>
      <c r="D167" s="100">
        <f>D160+SUM(D162:D165)</f>
        <v>1199</v>
      </c>
      <c r="E167" s="100">
        <f>E160+SUM(E162:E165)</f>
        <v>1231</v>
      </c>
      <c r="F167" s="445">
        <f>F160+SUM(F162:F165)</f>
        <v>1234</v>
      </c>
      <c r="G167" s="656">
        <f t="shared" ref="G167:K167" si="97">G160+SUM(G162:G165)</f>
        <v>1303.995930264</v>
      </c>
      <c r="H167" s="656">
        <f t="shared" si="97"/>
        <v>1377.9622254011956</v>
      </c>
      <c r="I167" s="656">
        <f t="shared" si="97"/>
        <v>1456.1240956083329</v>
      </c>
      <c r="J167" s="656">
        <f t="shared" si="97"/>
        <v>1538.7195256342093</v>
      </c>
      <c r="K167" s="826">
        <f t="shared" si="97"/>
        <v>1625.9999993879755</v>
      </c>
      <c r="L167" s="52"/>
      <c r="M167" s="52"/>
      <c r="N167" s="52"/>
      <c r="O167" s="52"/>
      <c r="P167" s="52"/>
      <c r="Q167" s="52"/>
      <c r="R167" s="52"/>
      <c r="S167" s="52"/>
      <c r="T167" s="655" t="s">
        <v>550</v>
      </c>
      <c r="U167" s="100">
        <f>U160+SUM(U162:U165)</f>
        <v>1048</v>
      </c>
      <c r="V167" s="100">
        <f>V160+SUM(V162:V165)</f>
        <v>1162</v>
      </c>
      <c r="W167" s="100">
        <f>W160+SUM(W162:W165)</f>
        <v>1199</v>
      </c>
      <c r="X167" s="100">
        <f>X160+SUM(X162:X165)</f>
        <v>1231</v>
      </c>
      <c r="Y167" s="445">
        <f>Y160+SUM(Y162:Y165)</f>
        <v>1234</v>
      </c>
      <c r="Z167" s="656">
        <v>1303.995930264</v>
      </c>
      <c r="AA167" s="656">
        <v>1377.9622254011956</v>
      </c>
      <c r="AB167" s="656">
        <v>1456.1240956083329</v>
      </c>
      <c r="AC167" s="656">
        <v>1538.7195256342093</v>
      </c>
      <c r="AD167" s="826">
        <v>1625.9999993879755</v>
      </c>
      <c r="AE167" s="52"/>
      <c r="AF167" s="52"/>
      <c r="AG167" s="52"/>
      <c r="AH167" s="52"/>
      <c r="AI167" s="52"/>
      <c r="AJ167" s="52"/>
      <c r="AK167" s="52"/>
      <c r="AL167" s="52"/>
      <c r="AM167" s="52"/>
      <c r="AN167" s="52"/>
      <c r="AO167" s="52"/>
    </row>
    <row r="168" spans="1:41">
      <c r="A168" s="465" t="s">
        <v>634</v>
      </c>
      <c r="B168" s="370">
        <f>B167/B160</f>
        <v>0.21296484454379191</v>
      </c>
      <c r="C168" s="370">
        <f>C167/C160</f>
        <v>0.23909465020576132</v>
      </c>
      <c r="D168" s="370">
        <f>D167/D160</f>
        <v>0.20686680469289165</v>
      </c>
      <c r="E168" s="370">
        <f>E167/E160</f>
        <v>0.18955959347089621</v>
      </c>
      <c r="F168" s="437">
        <f>F167/F160</f>
        <v>0.16848716548334244</v>
      </c>
      <c r="G168" s="845">
        <f>G167/G158</f>
        <v>0.18035935214546478</v>
      </c>
      <c r="H168" s="845">
        <f t="shared" ref="H168:K168" si="98">H167/H158</f>
        <v>0.18774316843184355</v>
      </c>
      <c r="I168" s="845">
        <f t="shared" si="98"/>
        <v>0.19542927424356388</v>
      </c>
      <c r="J168" s="845">
        <f t="shared" si="98"/>
        <v>0.20343004515358007</v>
      </c>
      <c r="K168" s="765">
        <f t="shared" si="98"/>
        <v>0.21183675436866409</v>
      </c>
      <c r="L168" s="52"/>
      <c r="M168" s="52"/>
      <c r="N168" s="52"/>
      <c r="O168" s="52"/>
      <c r="P168" s="52"/>
      <c r="Q168" s="52"/>
      <c r="R168" s="52"/>
      <c r="S168" s="52"/>
      <c r="T168" s="465" t="s">
        <v>634</v>
      </c>
      <c r="U168" s="370">
        <f>U167/U160</f>
        <v>0.21296484454379191</v>
      </c>
      <c r="V168" s="370">
        <f>V167/V160</f>
        <v>0.23909465020576132</v>
      </c>
      <c r="W168" s="370">
        <f>W167/W160</f>
        <v>0.20686680469289165</v>
      </c>
      <c r="X168" s="370">
        <f>X167/X160</f>
        <v>0.18955959347089621</v>
      </c>
      <c r="Y168" s="437">
        <f>Y167/Y160</f>
        <v>0.16848716548334244</v>
      </c>
      <c r="Z168" s="801">
        <v>0.18035935214546478</v>
      </c>
      <c r="AA168" s="801">
        <v>0.18774316843184355</v>
      </c>
      <c r="AB168" s="801">
        <v>0.19542927424356388</v>
      </c>
      <c r="AC168" s="801">
        <v>0.20343004515358007</v>
      </c>
      <c r="AD168" s="486">
        <v>0.21183675436866409</v>
      </c>
      <c r="AE168" s="52"/>
      <c r="AF168" s="52"/>
      <c r="AG168" s="52"/>
      <c r="AH168" s="52"/>
      <c r="AI168" s="52"/>
      <c r="AJ168" s="52"/>
      <c r="AK168" s="52"/>
      <c r="AL168" s="52"/>
      <c r="AM168" s="52"/>
      <c r="AN168" s="52"/>
      <c r="AO168" s="52"/>
    </row>
    <row r="169" spans="1:41">
      <c r="A169" s="465"/>
      <c r="B169" s="52"/>
      <c r="C169" s="52"/>
      <c r="D169" s="52"/>
      <c r="E169" s="52"/>
      <c r="F169" s="369"/>
      <c r="G169" s="657"/>
      <c r="H169" s="657"/>
      <c r="I169" s="657"/>
      <c r="J169" s="657"/>
      <c r="K169" s="827"/>
      <c r="L169" s="52"/>
      <c r="M169" s="52"/>
      <c r="N169" s="52"/>
      <c r="O169" s="52"/>
      <c r="P169" s="52"/>
      <c r="Q169" s="52"/>
      <c r="R169" s="52"/>
      <c r="S169" s="52"/>
      <c r="T169" s="465"/>
      <c r="U169" s="52"/>
      <c r="V169" s="52"/>
      <c r="W169" s="52"/>
      <c r="X169" s="52"/>
      <c r="Y169" s="369"/>
      <c r="Z169" s="657"/>
      <c r="AA169" s="657"/>
      <c r="AB169" s="657"/>
      <c r="AC169" s="657"/>
      <c r="AD169" s="827"/>
      <c r="AE169" s="52"/>
      <c r="AF169" s="52"/>
      <c r="AG169" s="52"/>
      <c r="AH169" s="52"/>
      <c r="AI169" s="52"/>
      <c r="AJ169" s="52"/>
      <c r="AK169" s="52"/>
      <c r="AL169" s="52"/>
      <c r="AM169" s="52"/>
      <c r="AN169" s="52"/>
      <c r="AO169" s="52"/>
    </row>
    <row r="170" spans="1:41">
      <c r="A170" s="465" t="s">
        <v>635</v>
      </c>
      <c r="B170" s="657">
        <f>B42+B53</f>
        <v>-754</v>
      </c>
      <c r="C170" s="657">
        <f t="shared" ref="C170:K170" si="99">C42+C53</f>
        <v>-648</v>
      </c>
      <c r="D170" s="657">
        <f t="shared" si="99"/>
        <v>-444</v>
      </c>
      <c r="E170" s="657">
        <f t="shared" si="99"/>
        <v>-623</v>
      </c>
      <c r="F170" s="482">
        <f t="shared" si="99"/>
        <v>-511</v>
      </c>
      <c r="G170" s="657">
        <f t="shared" si="99"/>
        <v>-607.30367267200131</v>
      </c>
      <c r="H170" s="657">
        <f t="shared" si="99"/>
        <v>-625.32466501126805</v>
      </c>
      <c r="I170" s="657">
        <f t="shared" si="99"/>
        <v>-643.06109913135867</v>
      </c>
      <c r="J170" s="657">
        <f t="shared" si="99"/>
        <v>-660.54787130240038</v>
      </c>
      <c r="K170" s="827">
        <f t="shared" si="99"/>
        <v>-677.81733591679711</v>
      </c>
      <c r="L170" s="52"/>
      <c r="M170" s="100"/>
      <c r="N170" s="52"/>
      <c r="O170" s="100"/>
      <c r="P170" s="100"/>
      <c r="Q170" s="52"/>
      <c r="R170" s="100"/>
      <c r="S170" s="100"/>
      <c r="T170" s="465" t="s">
        <v>635</v>
      </c>
      <c r="U170" s="657">
        <f>B170</f>
        <v>-754</v>
      </c>
      <c r="V170" s="657">
        <f t="shared" ref="V170:Y171" si="100">C170</f>
        <v>-648</v>
      </c>
      <c r="W170" s="657">
        <f t="shared" si="100"/>
        <v>-444</v>
      </c>
      <c r="X170" s="657">
        <f t="shared" si="100"/>
        <v>-623</v>
      </c>
      <c r="Y170" s="482">
        <f t="shared" si="100"/>
        <v>-511</v>
      </c>
      <c r="Z170" s="657">
        <v>-545.85972697982118</v>
      </c>
      <c r="AA170" s="657">
        <v>-583.80615608351354</v>
      </c>
      <c r="AB170" s="657">
        <v>-620.59997112771589</v>
      </c>
      <c r="AC170" s="657">
        <v>-656.16444581394455</v>
      </c>
      <c r="AD170" s="827">
        <v>-690.76455974331634</v>
      </c>
      <c r="AE170" s="52"/>
      <c r="AF170" s="52"/>
      <c r="AG170" s="52"/>
      <c r="AH170" s="52"/>
      <c r="AI170" s="52"/>
      <c r="AJ170" s="52"/>
      <c r="AK170" s="52"/>
      <c r="AL170" s="52"/>
      <c r="AM170" s="52"/>
      <c r="AN170" s="52"/>
      <c r="AO170" s="52"/>
    </row>
    <row r="171" spans="1:41">
      <c r="A171" s="465" t="s">
        <v>575</v>
      </c>
      <c r="B171" s="657">
        <f>B58</f>
        <v>-79</v>
      </c>
      <c r="C171" s="657">
        <f t="shared" ref="C171:K171" si="101">C58</f>
        <v>-71</v>
      </c>
      <c r="D171" s="657">
        <f t="shared" si="101"/>
        <v>-45</v>
      </c>
      <c r="E171" s="657">
        <f t="shared" si="101"/>
        <v>-20</v>
      </c>
      <c r="F171" s="482">
        <f t="shared" si="101"/>
        <v>-36</v>
      </c>
      <c r="G171" s="657">
        <f t="shared" si="101"/>
        <v>-50.2</v>
      </c>
      <c r="H171" s="657">
        <f t="shared" si="101"/>
        <v>-50.2</v>
      </c>
      <c r="I171" s="657">
        <f t="shared" si="101"/>
        <v>-50.2</v>
      </c>
      <c r="J171" s="657">
        <f t="shared" si="101"/>
        <v>-50.2</v>
      </c>
      <c r="K171" s="827">
        <f t="shared" si="101"/>
        <v>-50.2</v>
      </c>
      <c r="L171" s="52"/>
      <c r="M171" s="52"/>
      <c r="N171" s="52"/>
      <c r="O171" s="52"/>
      <c r="P171" s="52"/>
      <c r="Q171" s="52"/>
      <c r="R171" s="52"/>
      <c r="S171" s="52"/>
      <c r="T171" s="465" t="s">
        <v>575</v>
      </c>
      <c r="U171" s="657">
        <f>B171</f>
        <v>-79</v>
      </c>
      <c r="V171" s="657">
        <f t="shared" si="100"/>
        <v>-71</v>
      </c>
      <c r="W171" s="657">
        <f t="shared" si="100"/>
        <v>-45</v>
      </c>
      <c r="X171" s="657">
        <f t="shared" si="100"/>
        <v>-20</v>
      </c>
      <c r="Y171" s="482">
        <f t="shared" si="100"/>
        <v>-36</v>
      </c>
      <c r="Z171" s="657">
        <v>-50.2</v>
      </c>
      <c r="AA171" s="657">
        <v>-50.2</v>
      </c>
      <c r="AB171" s="657">
        <v>-50.2</v>
      </c>
      <c r="AC171" s="657">
        <v>-50.2</v>
      </c>
      <c r="AD171" s="827">
        <v>-50.2</v>
      </c>
      <c r="AE171" s="52"/>
      <c r="AF171" s="52"/>
      <c r="AG171" s="52"/>
      <c r="AH171" s="52"/>
      <c r="AI171" s="52"/>
      <c r="AJ171" s="52"/>
      <c r="AK171" s="52"/>
      <c r="AL171" s="52"/>
      <c r="AM171" s="52"/>
      <c r="AN171" s="52"/>
      <c r="AO171" s="52"/>
    </row>
    <row r="172" spans="1:41">
      <c r="A172" s="660" t="s">
        <v>636</v>
      </c>
      <c r="B172" s="504">
        <f>B167+B170+B171</f>
        <v>215</v>
      </c>
      <c r="C172" s="504">
        <f t="shared" ref="C172:F172" si="102">C167+C170+C171</f>
        <v>443</v>
      </c>
      <c r="D172" s="504">
        <f t="shared" si="102"/>
        <v>710</v>
      </c>
      <c r="E172" s="504">
        <f t="shared" si="102"/>
        <v>588</v>
      </c>
      <c r="F172" s="505">
        <f t="shared" si="102"/>
        <v>687</v>
      </c>
      <c r="G172" s="504">
        <f>G167+G170+G171</f>
        <v>646.49225759199862</v>
      </c>
      <c r="H172" s="504">
        <f t="shared" ref="H172:K172" si="103">H167+H170+H171</f>
        <v>702.43756038992751</v>
      </c>
      <c r="I172" s="504">
        <f t="shared" si="103"/>
        <v>762.86299647697422</v>
      </c>
      <c r="J172" s="504">
        <f t="shared" si="103"/>
        <v>827.97165433180885</v>
      </c>
      <c r="K172" s="830">
        <f t="shared" si="103"/>
        <v>897.9826634711784</v>
      </c>
      <c r="L172" s="52"/>
      <c r="M172" s="370"/>
      <c r="N172" s="52"/>
      <c r="O172" s="370"/>
      <c r="P172" s="370"/>
      <c r="Q172" s="52"/>
      <c r="R172" s="370"/>
      <c r="S172" s="370"/>
      <c r="T172" s="660" t="s">
        <v>636</v>
      </c>
      <c r="U172" s="504">
        <f>U167+U170+U171</f>
        <v>215</v>
      </c>
      <c r="V172" s="504">
        <f t="shared" ref="V172:Y172" si="104">V167+V170+V171</f>
        <v>443</v>
      </c>
      <c r="W172" s="504">
        <f t="shared" si="104"/>
        <v>710</v>
      </c>
      <c r="X172" s="504">
        <f t="shared" si="104"/>
        <v>588</v>
      </c>
      <c r="Y172" s="505">
        <f t="shared" si="104"/>
        <v>687</v>
      </c>
      <c r="Z172" s="504">
        <v>707.93620328417876</v>
      </c>
      <c r="AA172" s="504">
        <v>743.95606931768202</v>
      </c>
      <c r="AB172" s="504">
        <v>785.324124480617</v>
      </c>
      <c r="AC172" s="504">
        <v>832.35507982026468</v>
      </c>
      <c r="AD172" s="830">
        <v>885.03543964465916</v>
      </c>
      <c r="AE172" s="52"/>
      <c r="AF172" s="52"/>
      <c r="AG172" s="52"/>
      <c r="AH172" s="52"/>
      <c r="AI172" s="52"/>
      <c r="AJ172" s="52"/>
      <c r="AK172" s="52"/>
      <c r="AL172" s="52"/>
      <c r="AM172" s="52"/>
      <c r="AN172" s="52"/>
      <c r="AO172" s="52"/>
    </row>
    <row r="173" spans="1:41">
      <c r="A173" s="465" t="s">
        <v>634</v>
      </c>
      <c r="B173" s="845">
        <f>B172/B160</f>
        <v>4.3690306848201584E-2</v>
      </c>
      <c r="C173" s="845">
        <f t="shared" ref="C173:E173" si="105">C172/C160</f>
        <v>9.1152263374485593E-2</v>
      </c>
      <c r="D173" s="845">
        <f t="shared" si="105"/>
        <v>0.12249827467218771</v>
      </c>
      <c r="E173" s="845">
        <f t="shared" si="105"/>
        <v>9.0545118570988611E-2</v>
      </c>
      <c r="F173" s="462">
        <f t="shared" ref="F173:K173" si="106">F172/F160</f>
        <v>9.3801201529219003E-2</v>
      </c>
      <c r="G173" s="845">
        <f t="shared" si="106"/>
        <v>8.6648728256868257E-2</v>
      </c>
      <c r="H173" s="845">
        <f t="shared" si="106"/>
        <v>9.2740832639895424E-2</v>
      </c>
      <c r="I173" s="845">
        <f t="shared" si="106"/>
        <v>9.9214286684658759E-2</v>
      </c>
      <c r="J173" s="845">
        <f t="shared" si="106"/>
        <v>0.10607365502562993</v>
      </c>
      <c r="K173" s="765">
        <f t="shared" si="106"/>
        <v>0.11336660973494671</v>
      </c>
      <c r="L173" s="52"/>
      <c r="M173" s="52"/>
      <c r="N173" s="52"/>
      <c r="O173" s="52"/>
      <c r="P173" s="52"/>
      <c r="Q173" s="52"/>
      <c r="R173" s="52"/>
      <c r="S173" s="52"/>
      <c r="T173" s="465" t="s">
        <v>634</v>
      </c>
      <c r="U173" s="801">
        <f t="shared" ref="U173:Y173" si="107">U172/U160</f>
        <v>4.3690306848201584E-2</v>
      </c>
      <c r="V173" s="801">
        <f t="shared" si="107"/>
        <v>9.1152263374485593E-2</v>
      </c>
      <c r="W173" s="801">
        <f t="shared" si="107"/>
        <v>0.12249827467218771</v>
      </c>
      <c r="X173" s="801">
        <f t="shared" si="107"/>
        <v>9.0545118570988611E-2</v>
      </c>
      <c r="Y173" s="473">
        <f t="shared" si="107"/>
        <v>9.3801201529219003E-2</v>
      </c>
      <c r="Z173" s="801">
        <v>9.4884000513866404E-2</v>
      </c>
      <c r="AA173" s="801">
        <v>9.822240325207833E-2</v>
      </c>
      <c r="AB173" s="801">
        <v>0.10213547279973531</v>
      </c>
      <c r="AC173" s="801">
        <v>0.10663522734596287</v>
      </c>
      <c r="AD173" s="486">
        <v>0.11173207609593606</v>
      </c>
      <c r="AE173" s="52"/>
      <c r="AF173" s="52"/>
      <c r="AG173" s="52"/>
      <c r="AH173" s="52"/>
      <c r="AI173" s="52"/>
      <c r="AJ173" s="52"/>
      <c r="AK173" s="52"/>
      <c r="AL173" s="52"/>
      <c r="AM173" s="52"/>
      <c r="AN173" s="52"/>
      <c r="AO173" s="52"/>
    </row>
    <row r="174" spans="1:41">
      <c r="A174" s="465"/>
      <c r="B174" s="657"/>
      <c r="C174" s="657"/>
      <c r="D174" s="657"/>
      <c r="E174" s="657"/>
      <c r="F174" s="482"/>
      <c r="G174" s="657"/>
      <c r="H174" s="657"/>
      <c r="I174" s="657"/>
      <c r="J174" s="657"/>
      <c r="K174" s="827"/>
      <c r="L174" s="52"/>
      <c r="M174" s="52"/>
      <c r="N174" s="52"/>
      <c r="O174" s="52"/>
      <c r="P174" s="52"/>
      <c r="Q174" s="52"/>
      <c r="R174" s="52"/>
      <c r="S174" s="52"/>
      <c r="T174" s="465"/>
      <c r="U174" s="657"/>
      <c r="V174" s="657"/>
      <c r="W174" s="657"/>
      <c r="X174" s="657"/>
      <c r="Y174" s="482"/>
      <c r="Z174" s="657"/>
      <c r="AA174" s="657"/>
      <c r="AB174" s="657"/>
      <c r="AC174" s="657"/>
      <c r="AD174" s="827"/>
      <c r="AE174" s="52"/>
      <c r="AF174" s="52"/>
      <c r="AG174" s="52"/>
      <c r="AH174" s="52"/>
      <c r="AI174" s="52"/>
      <c r="AJ174" s="52"/>
      <c r="AK174" s="52"/>
      <c r="AL174" s="52"/>
      <c r="AM174" s="52"/>
      <c r="AN174" s="52"/>
      <c r="AO174" s="52"/>
    </row>
    <row r="175" spans="1:41">
      <c r="A175" s="659" t="s">
        <v>605</v>
      </c>
      <c r="B175" s="469">
        <f>B117</f>
        <v>-137</v>
      </c>
      <c r="C175" s="469">
        <f t="shared" ref="C175:F175" si="108">C117</f>
        <v>-109</v>
      </c>
      <c r="D175" s="469">
        <f t="shared" si="108"/>
        <v>-134</v>
      </c>
      <c r="E175" s="469">
        <f t="shared" si="108"/>
        <v>-98</v>
      </c>
      <c r="F175" s="470">
        <f t="shared" si="108"/>
        <v>-106</v>
      </c>
      <c r="G175" s="469">
        <f>G113</f>
        <v>-101.93086741299238</v>
      </c>
      <c r="H175" s="469">
        <f t="shared" ref="H175:K175" si="109">H113</f>
        <v>-114.20862270879553</v>
      </c>
      <c r="I175" s="469">
        <f t="shared" si="109"/>
        <v>-109.72322231947831</v>
      </c>
      <c r="J175" s="469">
        <f t="shared" si="109"/>
        <v>-97.283036645083016</v>
      </c>
      <c r="K175" s="829">
        <f t="shared" si="109"/>
        <v>-92.541909028653066</v>
      </c>
      <c r="L175" s="52"/>
      <c r="M175" s="52"/>
      <c r="N175" s="52"/>
      <c r="O175" s="52"/>
      <c r="P175" s="52"/>
      <c r="Q175" s="52"/>
      <c r="R175" s="52"/>
      <c r="S175" s="52"/>
      <c r="T175" s="659" t="s">
        <v>605</v>
      </c>
      <c r="U175" s="469">
        <f>B175</f>
        <v>-137</v>
      </c>
      <c r="V175" s="469">
        <f t="shared" ref="V175:Y175" si="110">C175</f>
        <v>-109</v>
      </c>
      <c r="W175" s="469">
        <f t="shared" si="110"/>
        <v>-134</v>
      </c>
      <c r="X175" s="469">
        <f t="shared" si="110"/>
        <v>-98</v>
      </c>
      <c r="Y175" s="470">
        <f t="shared" si="110"/>
        <v>-106</v>
      </c>
      <c r="Z175" s="469">
        <v>-107.83965773302464</v>
      </c>
      <c r="AA175" s="469">
        <v>-111.39857191207112</v>
      </c>
      <c r="AB175" s="469">
        <v>-115.07493704005491</v>
      </c>
      <c r="AC175" s="469">
        <v>-118.87262922207778</v>
      </c>
      <c r="AD175" s="829">
        <v>-122.88773525486037</v>
      </c>
      <c r="AE175" s="52"/>
      <c r="AF175" s="52"/>
      <c r="AG175" s="52"/>
      <c r="AH175" s="52"/>
      <c r="AI175" s="52"/>
      <c r="AJ175" s="52"/>
      <c r="AK175" s="52"/>
      <c r="AL175" s="52"/>
      <c r="AM175" s="52"/>
      <c r="AN175" s="52"/>
      <c r="AO175" s="52"/>
    </row>
    <row r="176" spans="1:41">
      <c r="A176" s="655" t="s">
        <v>637</v>
      </c>
      <c r="B176" s="656">
        <f>B172+B175</f>
        <v>78</v>
      </c>
      <c r="C176" s="656">
        <f>C172+C175</f>
        <v>334</v>
      </c>
      <c r="D176" s="656">
        <f t="shared" ref="D176:K176" si="111">D172+D175</f>
        <v>576</v>
      </c>
      <c r="E176" s="656">
        <f t="shared" si="111"/>
        <v>490</v>
      </c>
      <c r="F176" s="477">
        <f t="shared" si="111"/>
        <v>581</v>
      </c>
      <c r="G176" s="656">
        <f t="shared" si="111"/>
        <v>544.56139017900625</v>
      </c>
      <c r="H176" s="656">
        <f t="shared" si="111"/>
        <v>588.22893768113204</v>
      </c>
      <c r="I176" s="656">
        <f t="shared" si="111"/>
        <v>653.13977415749594</v>
      </c>
      <c r="J176" s="656">
        <f t="shared" si="111"/>
        <v>730.68861768672582</v>
      </c>
      <c r="K176" s="826">
        <f t="shared" si="111"/>
        <v>805.4407544425253</v>
      </c>
      <c r="L176" s="52"/>
      <c r="M176" s="100"/>
      <c r="N176" s="370"/>
      <c r="O176" s="100"/>
      <c r="P176" s="100"/>
      <c r="Q176" s="52"/>
      <c r="R176" s="100"/>
      <c r="S176" s="100"/>
      <c r="T176" s="655" t="s">
        <v>637</v>
      </c>
      <c r="U176" s="656">
        <f>U172+U175</f>
        <v>78</v>
      </c>
      <c r="V176" s="656">
        <f>V172+V175</f>
        <v>334</v>
      </c>
      <c r="W176" s="656">
        <f t="shared" ref="W176:Y176" si="112">W172+W175</f>
        <v>576</v>
      </c>
      <c r="X176" s="656">
        <f t="shared" si="112"/>
        <v>490</v>
      </c>
      <c r="Y176" s="477">
        <f t="shared" si="112"/>
        <v>581</v>
      </c>
      <c r="Z176" s="656">
        <v>600.09654555115412</v>
      </c>
      <c r="AA176" s="656">
        <v>632.55749740561089</v>
      </c>
      <c r="AB176" s="656">
        <v>670.24918744056208</v>
      </c>
      <c r="AC176" s="656">
        <v>713.48245059818692</v>
      </c>
      <c r="AD176" s="826">
        <v>762.14770438979883</v>
      </c>
      <c r="AE176" s="52"/>
      <c r="AF176" s="52"/>
      <c r="AG176" s="52"/>
      <c r="AH176" s="52"/>
      <c r="AI176" s="52"/>
      <c r="AJ176" s="52"/>
      <c r="AK176" s="52"/>
      <c r="AL176" s="52"/>
      <c r="AM176" s="52"/>
      <c r="AN176" s="52"/>
      <c r="AO176" s="52"/>
    </row>
    <row r="177" spans="1:41">
      <c r="A177" s="465"/>
      <c r="B177" s="657"/>
      <c r="C177" s="657"/>
      <c r="D177" s="657"/>
      <c r="E177" s="657"/>
      <c r="F177" s="482"/>
      <c r="G177" s="657"/>
      <c r="H177" s="657"/>
      <c r="I177" s="657"/>
      <c r="J177" s="657"/>
      <c r="K177" s="827"/>
      <c r="L177" s="52"/>
      <c r="M177" s="100"/>
      <c r="N177" s="370"/>
      <c r="O177" s="100"/>
      <c r="P177" s="100"/>
      <c r="Q177" s="370"/>
      <c r="R177" s="100"/>
      <c r="S177" s="100"/>
      <c r="T177" s="465"/>
      <c r="U177" s="657"/>
      <c r="V177" s="657"/>
      <c r="W177" s="657"/>
      <c r="X177" s="657"/>
      <c r="Y177" s="482"/>
      <c r="Z177" s="657"/>
      <c r="AA177" s="657"/>
      <c r="AB177" s="657"/>
      <c r="AC177" s="657"/>
      <c r="AD177" s="827"/>
      <c r="AE177" s="52"/>
      <c r="AF177" s="52"/>
      <c r="AG177" s="52"/>
      <c r="AH177" s="52"/>
      <c r="AI177" s="52"/>
      <c r="AJ177" s="52"/>
      <c r="AK177" s="52"/>
      <c r="AL177" s="52"/>
      <c r="AM177" s="52"/>
      <c r="AN177" s="52"/>
      <c r="AO177" s="52"/>
    </row>
    <row r="178" spans="1:41">
      <c r="A178" s="659" t="s">
        <v>638</v>
      </c>
      <c r="B178" s="469">
        <f>'Reorganised Statements'!D109</f>
        <v>-133</v>
      </c>
      <c r="C178" s="469">
        <f>'Reorganised Statements'!E109</f>
        <v>-122</v>
      </c>
      <c r="D178" s="469">
        <f>'Reorganised Statements'!F109</f>
        <v>-192</v>
      </c>
      <c r="E178" s="469">
        <f>'Reorganised Statements'!G109</f>
        <v>-157</v>
      </c>
      <c r="F178" s="470">
        <f>'Reorganised Statements'!H109</f>
        <v>-189</v>
      </c>
      <c r="G178" s="469">
        <f>G128</f>
        <v>-155.90793168904943</v>
      </c>
      <c r="H178" s="469">
        <f t="shared" ref="H178:K178" si="113">H128</f>
        <v>-168.57000989867888</v>
      </c>
      <c r="I178" s="469">
        <f t="shared" si="113"/>
        <v>-186.50520266040101</v>
      </c>
      <c r="J178" s="469">
        <f t="shared" si="113"/>
        <v>-207.65616276375474</v>
      </c>
      <c r="K178" s="829">
        <f t="shared" si="113"/>
        <v>-228.32710494158204</v>
      </c>
      <c r="L178" s="612"/>
      <c r="M178" s="100"/>
      <c r="N178" s="370"/>
      <c r="O178" s="100"/>
      <c r="P178" s="100"/>
      <c r="Q178" s="52"/>
      <c r="R178" s="100"/>
      <c r="S178" s="100"/>
      <c r="T178" s="659" t="s">
        <v>638</v>
      </c>
      <c r="U178" s="469">
        <f>B178</f>
        <v>-133</v>
      </c>
      <c r="V178" s="469">
        <f t="shared" ref="V178:Y180" si="114">C178</f>
        <v>-122</v>
      </c>
      <c r="W178" s="469">
        <f t="shared" si="114"/>
        <v>-192</v>
      </c>
      <c r="X178" s="469">
        <f t="shared" si="114"/>
        <v>-157</v>
      </c>
      <c r="Y178" s="470">
        <f t="shared" si="114"/>
        <v>-189</v>
      </c>
      <c r="Z178" s="469">
        <v>-171.63268286035998</v>
      </c>
      <c r="AA178" s="469">
        <v>-180.8280860807362</v>
      </c>
      <c r="AB178" s="469">
        <v>-191.48744584047896</v>
      </c>
      <c r="AC178" s="469">
        <v>-203.6976362565552</v>
      </c>
      <c r="AD178" s="829">
        <v>-217.43183119969342</v>
      </c>
      <c r="AE178" s="52"/>
      <c r="AF178" s="52"/>
      <c r="AG178" s="52"/>
      <c r="AH178" s="52"/>
      <c r="AI178" s="52"/>
      <c r="AJ178" s="52"/>
      <c r="AK178" s="52"/>
      <c r="AL178" s="52"/>
      <c r="AM178" s="52"/>
      <c r="AN178" s="52"/>
      <c r="AO178" s="52"/>
    </row>
    <row r="179" spans="1:41">
      <c r="A179" s="465" t="s">
        <v>639</v>
      </c>
      <c r="B179" s="657">
        <f>B176+B178</f>
        <v>-55</v>
      </c>
      <c r="C179" s="657">
        <f>C176+C178</f>
        <v>212</v>
      </c>
      <c r="D179" s="657">
        <f>D176+D178</f>
        <v>384</v>
      </c>
      <c r="E179" s="657">
        <f>E176+E178</f>
        <v>333</v>
      </c>
      <c r="F179" s="482">
        <f t="shared" ref="F179:K179" si="115">F176+F178</f>
        <v>392</v>
      </c>
      <c r="G179" s="657">
        <f t="shared" si="115"/>
        <v>388.65345848995685</v>
      </c>
      <c r="H179" s="657">
        <f t="shared" si="115"/>
        <v>419.65892778245313</v>
      </c>
      <c r="I179" s="657">
        <f t="shared" si="115"/>
        <v>466.63457149709495</v>
      </c>
      <c r="J179" s="657">
        <f t="shared" si="115"/>
        <v>523.03245492297106</v>
      </c>
      <c r="K179" s="827">
        <f t="shared" si="115"/>
        <v>577.11364950094321</v>
      </c>
      <c r="L179" s="612"/>
      <c r="M179" s="342"/>
      <c r="N179" s="342"/>
      <c r="O179" s="342"/>
      <c r="P179" s="342"/>
      <c r="Q179" s="342"/>
      <c r="R179" s="342"/>
      <c r="S179" s="342"/>
      <c r="T179" s="465" t="s">
        <v>639</v>
      </c>
      <c r="U179" s="657">
        <f>B179</f>
        <v>-55</v>
      </c>
      <c r="V179" s="657">
        <f t="shared" si="114"/>
        <v>212</v>
      </c>
      <c r="W179" s="657">
        <f t="shared" si="114"/>
        <v>384</v>
      </c>
      <c r="X179" s="657">
        <f t="shared" si="114"/>
        <v>333</v>
      </c>
      <c r="Y179" s="482">
        <f t="shared" si="114"/>
        <v>392</v>
      </c>
      <c r="Z179" s="657">
        <v>428.46386269079414</v>
      </c>
      <c r="AA179" s="657">
        <v>451.72941132487472</v>
      </c>
      <c r="AB179" s="657">
        <v>478.76174160008316</v>
      </c>
      <c r="AC179" s="657">
        <v>509.78481434163172</v>
      </c>
      <c r="AD179" s="827">
        <v>544.71587319010541</v>
      </c>
      <c r="AE179" s="52"/>
      <c r="AF179" s="52"/>
      <c r="AG179" s="52"/>
      <c r="AH179" s="52"/>
      <c r="AI179" s="52"/>
      <c r="AJ179" s="52"/>
      <c r="AK179" s="52"/>
      <c r="AL179" s="52"/>
      <c r="AM179" s="52"/>
      <c r="AN179" s="52"/>
      <c r="AO179" s="52"/>
    </row>
    <row r="180" spans="1:41">
      <c r="A180" s="659" t="s">
        <v>453</v>
      </c>
      <c r="B180" s="469">
        <f>'Reorganised Statements'!D110</f>
        <v>130</v>
      </c>
      <c r="C180" s="469">
        <f>'Reorganised Statements'!E110</f>
        <v>20</v>
      </c>
      <c r="D180" s="469">
        <f>'Reorganised Statements'!F110</f>
        <v>-91</v>
      </c>
      <c r="E180" s="469">
        <f>'Reorganised Statements'!G110</f>
        <v>11</v>
      </c>
      <c r="F180" s="470">
        <f>'Reorganised Statements'!H110</f>
        <v>-3</v>
      </c>
      <c r="G180" s="469">
        <f>G179*(-0.010228404)</f>
        <v>-3.9753045894325085</v>
      </c>
      <c r="H180" s="469">
        <f t="shared" ref="H180:K180" si="116">H179*(-0.010228404)</f>
        <v>-4.2924410555657548</v>
      </c>
      <c r="I180" s="469">
        <f t="shared" si="116"/>
        <v>-4.7729269176391718</v>
      </c>
      <c r="J180" s="469">
        <f t="shared" si="116"/>
        <v>-5.3497872540639371</v>
      </c>
      <c r="K180" s="829">
        <f t="shared" si="116"/>
        <v>-5.9029515610100454</v>
      </c>
      <c r="L180" s="52"/>
      <c r="M180" s="52"/>
      <c r="N180" s="52"/>
      <c r="O180" s="52"/>
      <c r="P180" s="52"/>
      <c r="Q180" s="52"/>
      <c r="R180" s="52"/>
      <c r="S180" s="52"/>
      <c r="T180" s="659" t="s">
        <v>453</v>
      </c>
      <c r="U180" s="469">
        <f>B180</f>
        <v>130</v>
      </c>
      <c r="V180" s="469">
        <f t="shared" si="114"/>
        <v>20</v>
      </c>
      <c r="W180" s="469">
        <f t="shared" si="114"/>
        <v>-91</v>
      </c>
      <c r="X180" s="469">
        <f t="shared" si="114"/>
        <v>11</v>
      </c>
      <c r="Y180" s="470">
        <f t="shared" si="114"/>
        <v>-3</v>
      </c>
      <c r="Z180" s="469">
        <v>-4.3825014870019698</v>
      </c>
      <c r="AA180" s="469">
        <v>-4.6204709177129937</v>
      </c>
      <c r="AB180" s="469">
        <v>-4.8969685128292566</v>
      </c>
      <c r="AC180" s="469">
        <v>-5.214285034151203</v>
      </c>
      <c r="AD180" s="829">
        <v>-5.5715740162011667</v>
      </c>
      <c r="AE180" s="52"/>
      <c r="AF180" s="52"/>
      <c r="AG180" s="52"/>
      <c r="AH180" s="52"/>
      <c r="AI180" s="52"/>
      <c r="AJ180" s="52"/>
      <c r="AK180" s="52"/>
      <c r="AL180" s="52"/>
      <c r="AM180" s="52"/>
      <c r="AN180" s="52"/>
      <c r="AO180" s="52"/>
    </row>
    <row r="181" spans="1:41">
      <c r="A181" s="655" t="s">
        <v>640</v>
      </c>
      <c r="B181" s="656">
        <f>B179+B180</f>
        <v>75</v>
      </c>
      <c r="C181" s="656">
        <f t="shared" ref="C181:F181" si="117">C179+C180</f>
        <v>232</v>
      </c>
      <c r="D181" s="656">
        <f t="shared" si="117"/>
        <v>293</v>
      </c>
      <c r="E181" s="656">
        <f t="shared" si="117"/>
        <v>344</v>
      </c>
      <c r="F181" s="477">
        <f t="shared" si="117"/>
        <v>389</v>
      </c>
      <c r="G181" s="656">
        <f>G176+G178+G180</f>
        <v>384.67815390052436</v>
      </c>
      <c r="H181" s="656">
        <f t="shared" ref="H181:K181" si="118">H176+H178+H180</f>
        <v>415.36648672688739</v>
      </c>
      <c r="I181" s="656">
        <f t="shared" si="118"/>
        <v>461.8616445794558</v>
      </c>
      <c r="J181" s="656">
        <f t="shared" si="118"/>
        <v>517.68266766890713</v>
      </c>
      <c r="K181" s="826">
        <f t="shared" si="118"/>
        <v>571.2106979399332</v>
      </c>
      <c r="L181" s="52"/>
      <c r="M181" s="52"/>
      <c r="N181" s="52"/>
      <c r="O181" s="52"/>
      <c r="P181" s="52"/>
      <c r="Q181" s="52"/>
      <c r="R181" s="52"/>
      <c r="S181" s="52"/>
      <c r="T181" s="655" t="s">
        <v>640</v>
      </c>
      <c r="U181" s="656">
        <v>75</v>
      </c>
      <c r="V181" s="656">
        <v>232</v>
      </c>
      <c r="W181" s="656">
        <v>293</v>
      </c>
      <c r="X181" s="656">
        <v>344</v>
      </c>
      <c r="Y181" s="477">
        <v>389</v>
      </c>
      <c r="Z181" s="656">
        <v>424.0813612037922</v>
      </c>
      <c r="AA181" s="656">
        <v>447.1089404071617</v>
      </c>
      <c r="AB181" s="656">
        <v>473.86477308725392</v>
      </c>
      <c r="AC181" s="656">
        <v>504.57052930748051</v>
      </c>
      <c r="AD181" s="826">
        <v>539.1442991739043</v>
      </c>
      <c r="AE181" s="52"/>
      <c r="AF181" s="52"/>
      <c r="AG181" s="52"/>
      <c r="AH181" s="52"/>
      <c r="AI181" s="52"/>
      <c r="AJ181" s="52"/>
      <c r="AK181" s="52"/>
      <c r="AL181" s="52"/>
      <c r="AM181" s="52"/>
      <c r="AN181" s="52"/>
      <c r="AO181" s="52"/>
    </row>
    <row r="182" spans="1:41" ht="15" thickBot="1">
      <c r="A182" s="661"/>
      <c r="B182" s="814"/>
      <c r="C182" s="814"/>
      <c r="D182" s="814"/>
      <c r="E182" s="814"/>
      <c r="F182" s="815"/>
      <c r="G182" s="814"/>
      <c r="H182" s="814"/>
      <c r="I182" s="814"/>
      <c r="J182" s="814"/>
      <c r="K182" s="824"/>
      <c r="L182" s="52"/>
      <c r="M182" s="342"/>
      <c r="N182" s="342"/>
      <c r="O182" s="342"/>
      <c r="P182" s="342"/>
      <c r="Q182" s="342"/>
      <c r="R182" s="342"/>
      <c r="S182" s="342"/>
      <c r="T182" s="661"/>
      <c r="U182" s="814"/>
      <c r="V182" s="814"/>
      <c r="W182" s="814"/>
      <c r="X182" s="814"/>
      <c r="Y182" s="815"/>
      <c r="Z182" s="814"/>
      <c r="AA182" s="814"/>
      <c r="AB182" s="814"/>
      <c r="AC182" s="814"/>
      <c r="AD182" s="824"/>
      <c r="AE182" s="52"/>
      <c r="AF182" s="52"/>
      <c r="AG182" s="52"/>
      <c r="AH182" s="52"/>
      <c r="AI182" s="52"/>
      <c r="AJ182" s="52"/>
      <c r="AK182" s="52"/>
      <c r="AL182" s="52"/>
      <c r="AM182" s="52"/>
      <c r="AN182" s="52"/>
      <c r="AO182" s="52"/>
    </row>
    <row r="183" spans="1:41">
      <c r="A183" s="609"/>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611"/>
      <c r="D185" s="611"/>
      <c r="E185" s="611"/>
      <c r="F185" s="611"/>
      <c r="G185" s="611"/>
      <c r="H185" s="611"/>
      <c r="I185" s="611"/>
      <c r="J185" s="611"/>
      <c r="K185" s="611"/>
      <c r="L185" s="611"/>
      <c r="M185" s="611"/>
      <c r="N185" s="611"/>
      <c r="O185" s="611"/>
      <c r="P185" s="611"/>
      <c r="Q185" s="611"/>
      <c r="R185" s="611"/>
      <c r="S185" s="611"/>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73" t="s">
        <v>641</v>
      </c>
      <c r="B186" s="662"/>
      <c r="C186" s="662"/>
      <c r="D186" s="662"/>
      <c r="E186" s="662"/>
      <c r="F186" s="663"/>
      <c r="G186" s="662" t="s">
        <v>714</v>
      </c>
      <c r="H186" s="662"/>
      <c r="I186" s="662"/>
      <c r="J186" s="662"/>
      <c r="K186" s="664"/>
      <c r="L186" s="52"/>
      <c r="M186" s="611"/>
      <c r="N186" s="611"/>
      <c r="O186" s="611"/>
      <c r="P186" s="611"/>
      <c r="Q186" s="611"/>
      <c r="R186" s="611"/>
      <c r="S186" s="611"/>
      <c r="T186" s="673" t="s">
        <v>641</v>
      </c>
      <c r="U186" s="662"/>
      <c r="V186" s="662"/>
      <c r="W186" s="662"/>
      <c r="X186" s="662"/>
      <c r="Y186" s="663"/>
      <c r="Z186" s="662" t="s">
        <v>714</v>
      </c>
      <c r="AA186" s="662"/>
      <c r="AB186" s="662"/>
      <c r="AC186" s="662"/>
      <c r="AD186" s="664"/>
      <c r="AE186" s="52"/>
      <c r="AF186" s="52"/>
      <c r="AG186" s="52"/>
      <c r="AH186" s="52"/>
      <c r="AI186" s="52"/>
      <c r="AJ186" s="52"/>
      <c r="AK186" s="52"/>
      <c r="AL186" s="52"/>
      <c r="AM186" s="52"/>
      <c r="AN186" s="52"/>
      <c r="AO186" s="52"/>
    </row>
    <row r="187" spans="1:41" ht="15" thickBot="1">
      <c r="A187" s="669"/>
      <c r="B187" s="665">
        <v>2015</v>
      </c>
      <c r="C187" s="665">
        <v>2016</v>
      </c>
      <c r="D187" s="665">
        <v>2017</v>
      </c>
      <c r="E187" s="665">
        <v>2018</v>
      </c>
      <c r="F187" s="667">
        <v>2019</v>
      </c>
      <c r="G187" s="665">
        <v>2020</v>
      </c>
      <c r="H187" s="665">
        <v>2021</v>
      </c>
      <c r="I187" s="665">
        <v>2022</v>
      </c>
      <c r="J187" s="665">
        <v>2023</v>
      </c>
      <c r="K187" s="666">
        <v>2024</v>
      </c>
      <c r="L187" s="52"/>
      <c r="M187" s="614"/>
      <c r="N187" s="611"/>
      <c r="O187" s="613"/>
      <c r="P187" s="613"/>
      <c r="Q187" s="611"/>
      <c r="R187" s="613"/>
      <c r="S187" s="613"/>
      <c r="T187" s="669"/>
      <c r="U187" s="665">
        <v>2015</v>
      </c>
      <c r="V187" s="665">
        <v>2016</v>
      </c>
      <c r="W187" s="665">
        <v>2017</v>
      </c>
      <c r="X187" s="665">
        <v>2018</v>
      </c>
      <c r="Y187" s="667">
        <v>2019</v>
      </c>
      <c r="Z187" s="665">
        <v>2020</v>
      </c>
      <c r="AA187" s="665">
        <v>2021</v>
      </c>
      <c r="AB187" s="665">
        <v>2022</v>
      </c>
      <c r="AC187" s="665">
        <v>2023</v>
      </c>
      <c r="AD187" s="666">
        <v>2024</v>
      </c>
      <c r="AE187" s="52"/>
      <c r="AF187" s="52"/>
      <c r="AG187" s="52"/>
      <c r="AH187" s="52"/>
      <c r="AI187" s="52"/>
      <c r="AJ187" s="52"/>
      <c r="AK187" s="52"/>
      <c r="AL187" s="52"/>
      <c r="AM187" s="52"/>
      <c r="AN187" s="52"/>
      <c r="AO187" s="52"/>
    </row>
    <row r="188" spans="1:41">
      <c r="A188" s="465" t="s">
        <v>642</v>
      </c>
      <c r="B188" s="52">
        <f t="shared" ref="B188:K188" si="119">B41</f>
        <v>5067</v>
      </c>
      <c r="C188" s="52">
        <f t="shared" si="119"/>
        <v>5129</v>
      </c>
      <c r="D188" s="52">
        <f t="shared" si="119"/>
        <v>4606</v>
      </c>
      <c r="E188" s="52">
        <f t="shared" si="119"/>
        <v>4620</v>
      </c>
      <c r="F188" s="443">
        <f t="shared" si="119"/>
        <v>4869</v>
      </c>
      <c r="G188" s="657">
        <f t="shared" si="119"/>
        <v>4964.9255830968814</v>
      </c>
      <c r="H188" s="657">
        <f t="shared" si="119"/>
        <v>5060.1014455884615</v>
      </c>
      <c r="I188" s="657">
        <f t="shared" si="119"/>
        <v>5154.7360712934978</v>
      </c>
      <c r="J188" s="657">
        <f t="shared" si="119"/>
        <v>5249.0191767306296</v>
      </c>
      <c r="K188" s="823">
        <f t="shared" si="119"/>
        <v>5342.8950490737898</v>
      </c>
      <c r="L188" s="52"/>
      <c r="M188" s="611"/>
      <c r="N188" s="342"/>
      <c r="O188" s="611"/>
      <c r="P188" s="611"/>
      <c r="Q188" s="342"/>
      <c r="R188" s="611"/>
      <c r="S188" s="611"/>
      <c r="T188" s="799" t="s">
        <v>642</v>
      </c>
      <c r="U188" s="282">
        <f>B188</f>
        <v>5067</v>
      </c>
      <c r="V188" s="282">
        <f t="shared" ref="V188:Y188" si="120">C188</f>
        <v>5129</v>
      </c>
      <c r="W188" s="282">
        <f t="shared" si="120"/>
        <v>4606</v>
      </c>
      <c r="X188" s="282">
        <f t="shared" si="120"/>
        <v>4620</v>
      </c>
      <c r="Y188" s="443">
        <f t="shared" si="120"/>
        <v>4869</v>
      </c>
      <c r="Z188" s="839">
        <v>5026.3695287890614</v>
      </c>
      <c r="AA188" s="839">
        <v>5163.0639002083954</v>
      </c>
      <c r="AB188" s="839">
        <v>5280.1596539170741</v>
      </c>
      <c r="AC188" s="839">
        <v>5378.8261848426619</v>
      </c>
      <c r="AD188" s="823">
        <v>5459.7548333593031</v>
      </c>
      <c r="AE188" s="52"/>
      <c r="AF188" s="52"/>
      <c r="AG188" s="52"/>
      <c r="AH188" s="52"/>
      <c r="AI188" s="52"/>
      <c r="AJ188" s="52"/>
      <c r="AK188" s="52"/>
      <c r="AL188" s="52"/>
      <c r="AM188" s="52"/>
      <c r="AN188" s="52"/>
      <c r="AO188" s="52"/>
    </row>
    <row r="189" spans="1:41">
      <c r="A189" s="465" t="s">
        <v>643</v>
      </c>
      <c r="B189" s="52">
        <f t="shared" ref="B189:K189" si="121">B52</f>
        <v>1348</v>
      </c>
      <c r="C189" s="52">
        <f t="shared" si="121"/>
        <v>1704</v>
      </c>
      <c r="D189" s="52">
        <f t="shared" si="121"/>
        <v>1863</v>
      </c>
      <c r="E189" s="52">
        <f t="shared" si="121"/>
        <v>2302</v>
      </c>
      <c r="F189" s="369">
        <f t="shared" si="121"/>
        <v>2379</v>
      </c>
      <c r="G189" s="657">
        <f t="shared" si="121"/>
        <v>2544.298384106336</v>
      </c>
      <c r="H189" s="657">
        <f t="shared" si="121"/>
        <v>2705.4946146409388</v>
      </c>
      <c r="I189" s="657">
        <f t="shared" si="121"/>
        <v>2862.864443786727</v>
      </c>
      <c r="J189" s="657">
        <f t="shared" si="121"/>
        <v>3016.670522386582</v>
      </c>
      <c r="K189" s="827">
        <f t="shared" si="121"/>
        <v>3167.050306892384</v>
      </c>
      <c r="L189" s="52"/>
      <c r="M189" s="342"/>
      <c r="N189" s="342"/>
      <c r="O189" s="342"/>
      <c r="P189" s="342"/>
      <c r="Q189" s="342"/>
      <c r="R189" s="342"/>
      <c r="S189" s="342"/>
      <c r="T189" s="465" t="s">
        <v>643</v>
      </c>
      <c r="U189" s="52">
        <f t="shared" ref="U189:U190" si="122">B189</f>
        <v>1348</v>
      </c>
      <c r="V189" s="52">
        <f t="shared" ref="V189:V190" si="123">C189</f>
        <v>1704</v>
      </c>
      <c r="W189" s="52">
        <f t="shared" ref="W189:W190" si="124">D189</f>
        <v>1863</v>
      </c>
      <c r="X189" s="52">
        <f t="shared" ref="X189:X190" si="125">E189</f>
        <v>2302</v>
      </c>
      <c r="Y189" s="369">
        <f t="shared" ref="Y189:Y190" si="126">F189</f>
        <v>2379</v>
      </c>
      <c r="Z189" s="657">
        <v>2544.298384106336</v>
      </c>
      <c r="AA189" s="657">
        <v>2705.4946146409388</v>
      </c>
      <c r="AB189" s="657">
        <v>2862.864443786727</v>
      </c>
      <c r="AC189" s="657">
        <v>3016.670522386582</v>
      </c>
      <c r="AD189" s="827">
        <v>3167.050306892384</v>
      </c>
      <c r="AE189" s="52"/>
      <c r="AF189" s="52"/>
      <c r="AG189" s="52"/>
      <c r="AH189" s="52"/>
      <c r="AI189" s="52"/>
      <c r="AJ189" s="52"/>
      <c r="AK189" s="52"/>
      <c r="AL189" s="52"/>
      <c r="AM189" s="52"/>
      <c r="AN189" s="52"/>
      <c r="AO189" s="52"/>
    </row>
    <row r="190" spans="1:41">
      <c r="A190" s="659" t="s">
        <v>644</v>
      </c>
      <c r="B190" s="101">
        <f>'Reorganised Statements'!D7</f>
        <v>137</v>
      </c>
      <c r="C190" s="101">
        <f>'Reorganised Statements'!E7</f>
        <v>136</v>
      </c>
      <c r="D190" s="101">
        <f>'Reorganised Statements'!F7</f>
        <v>107</v>
      </c>
      <c r="E190" s="101">
        <f>'Reorganised Statements'!G7</f>
        <v>45</v>
      </c>
      <c r="F190" s="99">
        <f>'Reorganised Statements'!H7</f>
        <v>65</v>
      </c>
      <c r="G190" s="469">
        <f>F190</f>
        <v>65</v>
      </c>
      <c r="H190" s="469">
        <f t="shared" ref="H190:K190" si="127">G190</f>
        <v>65</v>
      </c>
      <c r="I190" s="469">
        <f t="shared" si="127"/>
        <v>65</v>
      </c>
      <c r="J190" s="469">
        <f t="shared" si="127"/>
        <v>65</v>
      </c>
      <c r="K190" s="829">
        <f t="shared" si="127"/>
        <v>65</v>
      </c>
      <c r="L190" s="52"/>
      <c r="M190" s="342"/>
      <c r="N190" s="342"/>
      <c r="O190" s="342"/>
      <c r="P190" s="342"/>
      <c r="Q190" s="342"/>
      <c r="R190" s="342"/>
      <c r="S190" s="342"/>
      <c r="T190" s="659" t="s">
        <v>644</v>
      </c>
      <c r="U190" s="101">
        <f t="shared" si="122"/>
        <v>137</v>
      </c>
      <c r="V190" s="101">
        <f t="shared" si="123"/>
        <v>136</v>
      </c>
      <c r="W190" s="101">
        <f t="shared" si="124"/>
        <v>107</v>
      </c>
      <c r="X190" s="101">
        <f t="shared" si="125"/>
        <v>45</v>
      </c>
      <c r="Y190" s="99">
        <f t="shared" si="126"/>
        <v>65</v>
      </c>
      <c r="Z190" s="469">
        <v>65</v>
      </c>
      <c r="AA190" s="469">
        <v>65</v>
      </c>
      <c r="AB190" s="469">
        <v>65</v>
      </c>
      <c r="AC190" s="469">
        <v>65</v>
      </c>
      <c r="AD190" s="829">
        <v>65</v>
      </c>
      <c r="AE190" s="52"/>
      <c r="AF190" s="52"/>
      <c r="AG190" s="52"/>
      <c r="AH190" s="52"/>
      <c r="AI190" s="52"/>
      <c r="AJ190" s="52"/>
      <c r="AK190" s="52"/>
      <c r="AL190" s="52"/>
      <c r="AM190" s="52"/>
      <c r="AN190" s="52"/>
      <c r="AO190" s="52"/>
    </row>
    <row r="191" spans="1:41">
      <c r="A191" s="655" t="s">
        <v>553</v>
      </c>
      <c r="B191" s="100">
        <f>SUM(B188:B190)</f>
        <v>6552</v>
      </c>
      <c r="C191" s="100">
        <f t="shared" ref="C191:F191" si="128">SUM(C188:C190)</f>
        <v>6969</v>
      </c>
      <c r="D191" s="100">
        <f t="shared" si="128"/>
        <v>6576</v>
      </c>
      <c r="E191" s="100">
        <f t="shared" si="128"/>
        <v>6967</v>
      </c>
      <c r="F191" s="100">
        <f t="shared" si="128"/>
        <v>7313</v>
      </c>
      <c r="G191" s="656">
        <f>G188+G189+G190</f>
        <v>7574.2239672032174</v>
      </c>
      <c r="H191" s="656">
        <f t="shared" ref="H191:K191" si="129">H188+H189+H190</f>
        <v>7830.5960602293999</v>
      </c>
      <c r="I191" s="656">
        <f t="shared" si="129"/>
        <v>8082.6005150802248</v>
      </c>
      <c r="J191" s="656">
        <f t="shared" si="129"/>
        <v>8330.6896991172107</v>
      </c>
      <c r="K191" s="826">
        <f t="shared" si="129"/>
        <v>8574.9453559661742</v>
      </c>
      <c r="L191" s="52"/>
      <c r="M191" s="611"/>
      <c r="N191" s="611"/>
      <c r="O191" s="611"/>
      <c r="P191" s="611"/>
      <c r="Q191" s="611"/>
      <c r="R191" s="611"/>
      <c r="S191" s="611"/>
      <c r="T191" s="655" t="s">
        <v>553</v>
      </c>
      <c r="U191" s="100">
        <v>6552</v>
      </c>
      <c r="V191" s="100">
        <v>6969</v>
      </c>
      <c r="W191" s="100">
        <v>6576</v>
      </c>
      <c r="X191" s="100">
        <v>6967</v>
      </c>
      <c r="Y191" s="445">
        <v>7313</v>
      </c>
      <c r="Z191" s="656">
        <v>7635.6679128953974</v>
      </c>
      <c r="AA191" s="656">
        <v>7933.5585148493337</v>
      </c>
      <c r="AB191" s="656">
        <v>8208.0240977038011</v>
      </c>
      <c r="AC191" s="656">
        <v>8460.4967072292438</v>
      </c>
      <c r="AD191" s="826">
        <v>8691.8051402516867</v>
      </c>
      <c r="AE191" s="52"/>
      <c r="AF191" s="52"/>
      <c r="AG191" s="52"/>
      <c r="AH191" s="52"/>
      <c r="AI191" s="52"/>
      <c r="AJ191" s="52"/>
      <c r="AK191" s="52"/>
      <c r="AL191" s="52"/>
      <c r="AM191" s="52"/>
      <c r="AN191" s="52"/>
      <c r="AO191" s="52"/>
    </row>
    <row r="192" spans="1:41">
      <c r="A192" s="465"/>
      <c r="B192" s="52"/>
      <c r="C192" s="52"/>
      <c r="D192" s="52"/>
      <c r="E192" s="52"/>
      <c r="F192" s="369"/>
      <c r="G192" s="657"/>
      <c r="H192" s="657"/>
      <c r="I192" s="657"/>
      <c r="J192" s="657"/>
      <c r="K192" s="827"/>
      <c r="L192" s="52"/>
      <c r="M192" s="611"/>
      <c r="N192" s="611"/>
      <c r="O192" s="611"/>
      <c r="P192" s="611"/>
      <c r="Q192" s="611"/>
      <c r="R192" s="611"/>
      <c r="S192" s="611"/>
      <c r="T192" s="465"/>
      <c r="U192" s="52"/>
      <c r="V192" s="52"/>
      <c r="W192" s="52"/>
      <c r="X192" s="52"/>
      <c r="Y192" s="369"/>
      <c r="Z192" s="657"/>
      <c r="AA192" s="657"/>
      <c r="AB192" s="657"/>
      <c r="AC192" s="657"/>
      <c r="AD192" s="827"/>
      <c r="AE192" s="52"/>
      <c r="AF192" s="52"/>
      <c r="AG192" s="52"/>
      <c r="AH192" s="52"/>
      <c r="AI192" s="52"/>
      <c r="AJ192" s="52"/>
      <c r="AK192" s="52"/>
      <c r="AL192" s="52"/>
      <c r="AM192" s="52"/>
      <c r="AN192" s="52"/>
      <c r="AO192" s="52"/>
    </row>
    <row r="193" spans="1:41">
      <c r="A193" s="465" t="s">
        <v>578</v>
      </c>
      <c r="B193" s="467">
        <f t="shared" ref="B193:F195" si="130">B63</f>
        <v>184</v>
      </c>
      <c r="C193" s="52">
        <f t="shared" si="130"/>
        <v>159</v>
      </c>
      <c r="D193" s="52">
        <f t="shared" si="130"/>
        <v>147</v>
      </c>
      <c r="E193" s="52">
        <f t="shared" si="130"/>
        <v>187</v>
      </c>
      <c r="F193" s="369">
        <f t="shared" si="130"/>
        <v>184</v>
      </c>
      <c r="G193" s="657"/>
      <c r="H193" s="657"/>
      <c r="I193" s="657"/>
      <c r="J193" s="657"/>
      <c r="K193" s="827"/>
      <c r="L193" s="52"/>
      <c r="M193" s="611"/>
      <c r="N193" s="611"/>
      <c r="O193" s="611"/>
      <c r="P193" s="611"/>
      <c r="Q193" s="611"/>
      <c r="R193" s="611"/>
      <c r="S193" s="611"/>
      <c r="T193" s="465" t="s">
        <v>578</v>
      </c>
      <c r="U193" s="52">
        <f>B193</f>
        <v>184</v>
      </c>
      <c r="V193" s="52">
        <f t="shared" ref="V193:Y193" si="131">C193</f>
        <v>159</v>
      </c>
      <c r="W193" s="52">
        <f t="shared" si="131"/>
        <v>147</v>
      </c>
      <c r="X193" s="52">
        <f t="shared" si="131"/>
        <v>187</v>
      </c>
      <c r="Y193" s="369">
        <f t="shared" si="131"/>
        <v>184</v>
      </c>
      <c r="Z193" s="657"/>
      <c r="AA193" s="657"/>
      <c r="AB193" s="657"/>
      <c r="AC193" s="657"/>
      <c r="AD193" s="827"/>
      <c r="AE193" s="52"/>
      <c r="AF193" s="52"/>
      <c r="AG193" s="52"/>
      <c r="AH193" s="52"/>
      <c r="AI193" s="52"/>
      <c r="AJ193" s="52"/>
      <c r="AK193" s="52"/>
      <c r="AL193" s="52"/>
      <c r="AM193" s="52"/>
      <c r="AN193" s="52"/>
      <c r="AO193" s="52"/>
    </row>
    <row r="194" spans="1:41">
      <c r="A194" s="465" t="s">
        <v>645</v>
      </c>
      <c r="B194" s="467">
        <f t="shared" si="130"/>
        <v>1485</v>
      </c>
      <c r="C194" s="52">
        <f t="shared" si="130"/>
        <v>1821</v>
      </c>
      <c r="D194" s="52">
        <f t="shared" si="130"/>
        <v>1671</v>
      </c>
      <c r="E194" s="52">
        <f t="shared" si="130"/>
        <v>1781</v>
      </c>
      <c r="F194" s="369">
        <f t="shared" si="130"/>
        <v>1852</v>
      </c>
      <c r="G194" s="657"/>
      <c r="H194" s="657"/>
      <c r="I194" s="657"/>
      <c r="J194" s="657"/>
      <c r="K194" s="827"/>
      <c r="L194" s="52"/>
      <c r="M194" s="611"/>
      <c r="N194" s="611"/>
      <c r="O194" s="611"/>
      <c r="P194" s="611"/>
      <c r="Q194" s="611"/>
      <c r="R194" s="611"/>
      <c r="S194" s="611"/>
      <c r="T194" s="465" t="s">
        <v>645</v>
      </c>
      <c r="U194" s="52">
        <f t="shared" ref="U194:U195" si="132">B194</f>
        <v>1485</v>
      </c>
      <c r="V194" s="52">
        <f t="shared" ref="V194:V195" si="133">C194</f>
        <v>1821</v>
      </c>
      <c r="W194" s="52">
        <f t="shared" ref="W194:W195" si="134">D194</f>
        <v>1671</v>
      </c>
      <c r="X194" s="52">
        <f t="shared" ref="X194:X195" si="135">E194</f>
        <v>1781</v>
      </c>
      <c r="Y194" s="369">
        <f t="shared" ref="Y194:Y195" si="136">F194</f>
        <v>1852</v>
      </c>
      <c r="Z194" s="657"/>
      <c r="AA194" s="657"/>
      <c r="AB194" s="657"/>
      <c r="AC194" s="657"/>
      <c r="AD194" s="827"/>
      <c r="AE194" s="52"/>
      <c r="AF194" s="52"/>
      <c r="AG194" s="52"/>
      <c r="AH194" s="52"/>
      <c r="AI194" s="52"/>
      <c r="AJ194" s="52"/>
      <c r="AK194" s="52"/>
      <c r="AL194" s="52"/>
      <c r="AM194" s="52"/>
      <c r="AN194" s="52"/>
      <c r="AO194" s="52"/>
    </row>
    <row r="195" spans="1:41">
      <c r="A195" s="659" t="s">
        <v>577</v>
      </c>
      <c r="B195" s="376">
        <f t="shared" si="130"/>
        <v>-1170</v>
      </c>
      <c r="C195" s="101">
        <f t="shared" si="130"/>
        <v>-1384</v>
      </c>
      <c r="D195" s="101">
        <f t="shared" si="130"/>
        <v>-1381</v>
      </c>
      <c r="E195" s="101">
        <f t="shared" si="130"/>
        <v>-1413</v>
      </c>
      <c r="F195" s="99">
        <f t="shared" si="130"/>
        <v>-1481</v>
      </c>
      <c r="G195" s="469"/>
      <c r="H195" s="469"/>
      <c r="I195" s="469"/>
      <c r="J195" s="469"/>
      <c r="K195" s="829"/>
      <c r="L195" s="52"/>
      <c r="M195" s="611"/>
      <c r="N195" s="611"/>
      <c r="O195" s="611"/>
      <c r="P195" s="611"/>
      <c r="Q195" s="611"/>
      <c r="R195" s="611"/>
      <c r="S195" s="611"/>
      <c r="T195" s="659" t="s">
        <v>577</v>
      </c>
      <c r="U195" s="101">
        <f t="shared" si="132"/>
        <v>-1170</v>
      </c>
      <c r="V195" s="101">
        <f t="shared" si="133"/>
        <v>-1384</v>
      </c>
      <c r="W195" s="101">
        <f t="shared" si="134"/>
        <v>-1381</v>
      </c>
      <c r="X195" s="101">
        <f t="shared" si="135"/>
        <v>-1413</v>
      </c>
      <c r="Y195" s="99">
        <f t="shared" si="136"/>
        <v>-1481</v>
      </c>
      <c r="Z195" s="469"/>
      <c r="AA195" s="469"/>
      <c r="AB195" s="469"/>
      <c r="AC195" s="469"/>
      <c r="AD195" s="829"/>
      <c r="AE195" s="52"/>
      <c r="AF195" s="52"/>
      <c r="AG195" s="52"/>
      <c r="AH195" s="52"/>
      <c r="AI195" s="52"/>
      <c r="AJ195" s="52"/>
      <c r="AK195" s="52"/>
      <c r="AL195" s="52"/>
      <c r="AM195" s="52"/>
      <c r="AN195" s="52"/>
      <c r="AO195" s="52"/>
    </row>
    <row r="196" spans="1:41">
      <c r="A196" s="465" t="s">
        <v>646</v>
      </c>
      <c r="B196" s="52">
        <f>SUM(B193:B195)</f>
        <v>499</v>
      </c>
      <c r="C196" s="52">
        <f t="shared" ref="C196:F196" si="137">SUM(C193:C195)</f>
        <v>596</v>
      </c>
      <c r="D196" s="52">
        <f t="shared" si="137"/>
        <v>437</v>
      </c>
      <c r="E196" s="52">
        <f t="shared" si="137"/>
        <v>555</v>
      </c>
      <c r="F196" s="369">
        <f t="shared" si="137"/>
        <v>555</v>
      </c>
      <c r="G196" s="657"/>
      <c r="H196" s="657"/>
      <c r="I196" s="657"/>
      <c r="J196" s="657"/>
      <c r="K196" s="827"/>
      <c r="L196" s="52"/>
      <c r="M196" s="611"/>
      <c r="N196" s="611"/>
      <c r="O196" s="611"/>
      <c r="P196" s="611"/>
      <c r="Q196" s="611"/>
      <c r="R196" s="611"/>
      <c r="S196" s="611"/>
      <c r="T196" s="465" t="s">
        <v>646</v>
      </c>
      <c r="U196" s="52">
        <f>SUM(U193:U195)</f>
        <v>499</v>
      </c>
      <c r="V196" s="52">
        <f t="shared" ref="V196:Y196" si="138">SUM(V193:V195)</f>
        <v>596</v>
      </c>
      <c r="W196" s="52">
        <f t="shared" si="138"/>
        <v>437</v>
      </c>
      <c r="X196" s="52">
        <f t="shared" si="138"/>
        <v>555</v>
      </c>
      <c r="Y196" s="369">
        <f t="shared" si="138"/>
        <v>555</v>
      </c>
      <c r="Z196" s="657"/>
      <c r="AA196" s="657"/>
      <c r="AB196" s="657"/>
      <c r="AC196" s="657"/>
      <c r="AD196" s="827"/>
      <c r="AE196" s="52"/>
      <c r="AF196" s="52"/>
      <c r="AG196" s="52"/>
      <c r="AH196" s="52"/>
      <c r="AI196" s="52"/>
      <c r="AJ196" s="52"/>
      <c r="AK196" s="52"/>
      <c r="AL196" s="52"/>
      <c r="AM196" s="52"/>
      <c r="AN196" s="52"/>
      <c r="AO196" s="52"/>
    </row>
    <row r="197" spans="1:41">
      <c r="A197" s="465"/>
      <c r="B197" s="52"/>
      <c r="C197" s="52"/>
      <c r="D197" s="52"/>
      <c r="E197" s="52"/>
      <c r="F197" s="369"/>
      <c r="G197" s="657"/>
      <c r="H197" s="657"/>
      <c r="I197" s="657"/>
      <c r="J197" s="657"/>
      <c r="K197" s="827"/>
      <c r="L197" s="52"/>
      <c r="M197" s="611"/>
      <c r="N197" s="611"/>
      <c r="O197" s="611"/>
      <c r="P197" s="611"/>
      <c r="Q197" s="611"/>
      <c r="R197" s="611"/>
      <c r="S197" s="611"/>
      <c r="T197" s="465"/>
      <c r="U197" s="52"/>
      <c r="V197" s="52"/>
      <c r="W197" s="52"/>
      <c r="X197" s="52"/>
      <c r="Y197" s="369"/>
      <c r="Z197" s="657"/>
      <c r="AA197" s="657"/>
      <c r="AB197" s="657"/>
      <c r="AC197" s="657"/>
      <c r="AD197" s="827"/>
      <c r="AE197" s="52"/>
      <c r="AF197" s="52"/>
      <c r="AG197" s="52"/>
      <c r="AH197" s="52"/>
      <c r="AI197" s="52"/>
      <c r="AJ197" s="52"/>
      <c r="AK197" s="52"/>
      <c r="AL197" s="52"/>
      <c r="AM197" s="52"/>
      <c r="AN197" s="52"/>
      <c r="AO197" s="52"/>
    </row>
    <row r="198" spans="1:41">
      <c r="A198" s="465" t="s">
        <v>11</v>
      </c>
      <c r="B198" s="52">
        <f>'Reorganised Statements'!D15</f>
        <v>636</v>
      </c>
      <c r="C198" s="52">
        <f>'Reorganised Statements'!E15</f>
        <v>695</v>
      </c>
      <c r="D198" s="52">
        <f>'Reorganised Statements'!F15</f>
        <v>563</v>
      </c>
      <c r="E198" s="52">
        <f>'Reorganised Statements'!G15</f>
        <v>510</v>
      </c>
      <c r="F198" s="369">
        <f>'Reorganised Statements'!H15</f>
        <v>665</v>
      </c>
      <c r="G198" s="657"/>
      <c r="H198" s="657"/>
      <c r="I198" s="657"/>
      <c r="J198" s="657"/>
      <c r="K198" s="827"/>
      <c r="L198" s="52"/>
      <c r="M198" s="612"/>
      <c r="N198" s="612"/>
      <c r="O198" s="612"/>
      <c r="P198" s="612"/>
      <c r="Q198" s="612"/>
      <c r="R198" s="612"/>
      <c r="S198" s="612"/>
      <c r="T198" s="465" t="s">
        <v>11</v>
      </c>
      <c r="U198" s="52">
        <f>B198</f>
        <v>636</v>
      </c>
      <c r="V198" s="52">
        <f t="shared" ref="V198:Y199" si="139">C198</f>
        <v>695</v>
      </c>
      <c r="W198" s="52">
        <f t="shared" si="139"/>
        <v>563</v>
      </c>
      <c r="X198" s="52">
        <f t="shared" si="139"/>
        <v>510</v>
      </c>
      <c r="Y198" s="369">
        <f t="shared" si="139"/>
        <v>665</v>
      </c>
      <c r="Z198" s="657"/>
      <c r="AA198" s="657"/>
      <c r="AB198" s="657"/>
      <c r="AC198" s="657"/>
      <c r="AD198" s="827"/>
      <c r="AE198" s="52"/>
      <c r="AF198" s="52"/>
      <c r="AG198" s="52"/>
      <c r="AH198" s="52"/>
      <c r="AI198" s="52"/>
      <c r="AJ198" s="52"/>
      <c r="AK198" s="52"/>
      <c r="AL198" s="52"/>
      <c r="AM198" s="52"/>
      <c r="AN198" s="52"/>
      <c r="AO198" s="52"/>
    </row>
    <row r="199" spans="1:41">
      <c r="A199" s="465" t="s">
        <v>647</v>
      </c>
      <c r="B199" s="52">
        <f>'Reorganised Statements'!D21</f>
        <v>-683</v>
      </c>
      <c r="C199" s="52">
        <f>'Reorganised Statements'!E21</f>
        <v>-893</v>
      </c>
      <c r="D199" s="52">
        <f>'Reorganised Statements'!F21</f>
        <v>-673</v>
      </c>
      <c r="E199" s="52">
        <f>'Reorganised Statements'!G21</f>
        <v>-763</v>
      </c>
      <c r="F199" s="369">
        <f>'Reorganised Statements'!H21</f>
        <v>-999</v>
      </c>
      <c r="G199" s="657"/>
      <c r="H199" s="657"/>
      <c r="I199" s="657"/>
      <c r="J199" s="657"/>
      <c r="K199" s="827"/>
      <c r="L199" s="52"/>
      <c r="M199" s="52"/>
      <c r="N199" s="52"/>
      <c r="O199" s="52"/>
      <c r="P199" s="52"/>
      <c r="Q199" s="52"/>
      <c r="R199" s="52"/>
      <c r="S199" s="52"/>
      <c r="T199" s="465" t="s">
        <v>647</v>
      </c>
      <c r="U199" s="52">
        <f>B199</f>
        <v>-683</v>
      </c>
      <c r="V199" s="52">
        <f t="shared" si="139"/>
        <v>-893</v>
      </c>
      <c r="W199" s="52">
        <f t="shared" si="139"/>
        <v>-673</v>
      </c>
      <c r="X199" s="52">
        <f t="shared" si="139"/>
        <v>-763</v>
      </c>
      <c r="Y199" s="369">
        <f t="shared" si="139"/>
        <v>-999</v>
      </c>
      <c r="Z199" s="657"/>
      <c r="AA199" s="657"/>
      <c r="AB199" s="657"/>
      <c r="AC199" s="657"/>
      <c r="AD199" s="827"/>
      <c r="AE199" s="52"/>
      <c r="AF199" s="52"/>
      <c r="AG199" s="52"/>
      <c r="AH199" s="52"/>
      <c r="AI199" s="52"/>
      <c r="AJ199" s="52"/>
      <c r="AK199" s="52"/>
      <c r="AL199" s="52"/>
      <c r="AM199" s="52"/>
      <c r="AN199" s="52"/>
      <c r="AO199" s="52"/>
    </row>
    <row r="200" spans="1:41">
      <c r="A200" s="660" t="s">
        <v>648</v>
      </c>
      <c r="B200" s="479">
        <f>B196+B198+B199</f>
        <v>452</v>
      </c>
      <c r="C200" s="479">
        <f t="shared" ref="C200:F200" si="140">C196+C198+C199</f>
        <v>398</v>
      </c>
      <c r="D200" s="479">
        <f t="shared" si="140"/>
        <v>327</v>
      </c>
      <c r="E200" s="479">
        <f t="shared" si="140"/>
        <v>302</v>
      </c>
      <c r="F200" s="478">
        <f t="shared" si="140"/>
        <v>221</v>
      </c>
      <c r="G200" s="504">
        <f>G76</f>
        <v>245.89629364354272</v>
      </c>
      <c r="H200" s="504">
        <f>H76</f>
        <v>271.49676254596619</v>
      </c>
      <c r="I200" s="504">
        <f>I76</f>
        <v>297.81703718009788</v>
      </c>
      <c r="J200" s="504">
        <f>J76</f>
        <v>324.87306012274536</v>
      </c>
      <c r="K200" s="830">
        <f>K76</f>
        <v>352.28010481421336</v>
      </c>
      <c r="L200" s="52"/>
      <c r="M200" s="52"/>
      <c r="N200" s="52"/>
      <c r="O200" s="52"/>
      <c r="P200" s="52"/>
      <c r="Q200" s="52"/>
      <c r="R200" s="52"/>
      <c r="S200" s="52"/>
      <c r="T200" s="660" t="s">
        <v>648</v>
      </c>
      <c r="U200" s="479">
        <f>U196+U198+U199</f>
        <v>452</v>
      </c>
      <c r="V200" s="479">
        <f t="shared" ref="V200:Y200" si="141">V196+V198+V199</f>
        <v>398</v>
      </c>
      <c r="W200" s="479">
        <f t="shared" si="141"/>
        <v>327</v>
      </c>
      <c r="X200" s="479">
        <f t="shared" si="141"/>
        <v>302</v>
      </c>
      <c r="Y200" s="478">
        <f t="shared" si="141"/>
        <v>221</v>
      </c>
      <c r="Z200" s="504">
        <v>245.89629364354272</v>
      </c>
      <c r="AA200" s="504">
        <v>271.49676254596619</v>
      </c>
      <c r="AB200" s="504">
        <v>297.81703718009788</v>
      </c>
      <c r="AC200" s="504">
        <v>324.87306012274536</v>
      </c>
      <c r="AD200" s="830">
        <v>352.28010481421336</v>
      </c>
      <c r="AE200" s="52"/>
      <c r="AF200" s="52"/>
      <c r="AG200" s="52"/>
      <c r="AH200" s="52"/>
      <c r="AI200" s="52"/>
      <c r="AJ200" s="52"/>
      <c r="AK200" s="52"/>
      <c r="AL200" s="52"/>
      <c r="AM200" s="52"/>
      <c r="AN200" s="52"/>
      <c r="AO200" s="52"/>
    </row>
    <row r="201" spans="1:41">
      <c r="A201" s="465"/>
      <c r="B201" s="52"/>
      <c r="C201" s="52"/>
      <c r="D201" s="52"/>
      <c r="E201" s="52"/>
      <c r="F201" s="369"/>
      <c r="G201" s="657"/>
      <c r="H201" s="657"/>
      <c r="I201" s="657"/>
      <c r="J201" s="657"/>
      <c r="K201" s="827"/>
      <c r="L201" s="52"/>
      <c r="M201" s="52"/>
      <c r="N201" s="52"/>
      <c r="O201" s="52"/>
      <c r="P201" s="52"/>
      <c r="Q201" s="52"/>
      <c r="R201" s="52"/>
      <c r="S201" s="52"/>
      <c r="T201" s="465"/>
      <c r="U201" s="52"/>
      <c r="V201" s="52"/>
      <c r="W201" s="52"/>
      <c r="X201" s="52"/>
      <c r="Y201" s="369"/>
      <c r="Z201" s="657"/>
      <c r="AA201" s="657"/>
      <c r="AB201" s="657"/>
      <c r="AC201" s="657"/>
      <c r="AD201" s="827"/>
      <c r="AE201" s="52"/>
      <c r="AF201" s="52"/>
      <c r="AG201" s="52"/>
      <c r="AH201" s="52"/>
      <c r="AI201" s="52"/>
      <c r="AJ201" s="52"/>
      <c r="AK201" s="52"/>
      <c r="AL201" s="52"/>
      <c r="AM201" s="52"/>
      <c r="AN201" s="52"/>
      <c r="AO201" s="52"/>
    </row>
    <row r="202" spans="1:41">
      <c r="A202" s="465" t="s">
        <v>649</v>
      </c>
      <c r="B202" s="52">
        <f t="shared" ref="B202:K202" si="142">B84</f>
        <v>308</v>
      </c>
      <c r="C202" s="52">
        <f t="shared" si="142"/>
        <v>341</v>
      </c>
      <c r="D202" s="52">
        <f t="shared" si="142"/>
        <v>301</v>
      </c>
      <c r="E202" s="52">
        <f t="shared" si="142"/>
        <v>264</v>
      </c>
      <c r="F202" s="369">
        <f t="shared" si="142"/>
        <v>277</v>
      </c>
      <c r="G202" s="657">
        <f t="shared" si="142"/>
        <v>277</v>
      </c>
      <c r="H202" s="657">
        <f t="shared" si="142"/>
        <v>277</v>
      </c>
      <c r="I202" s="657">
        <f t="shared" si="142"/>
        <v>277</v>
      </c>
      <c r="J202" s="657">
        <f t="shared" si="142"/>
        <v>277</v>
      </c>
      <c r="K202" s="827">
        <f t="shared" si="142"/>
        <v>277</v>
      </c>
      <c r="L202" s="52"/>
      <c r="M202" s="52"/>
      <c r="N202" s="52"/>
      <c r="O202" s="52"/>
      <c r="P202" s="52"/>
      <c r="Q202" s="52"/>
      <c r="R202" s="52"/>
      <c r="S202" s="52"/>
      <c r="T202" s="465" t="s">
        <v>649</v>
      </c>
      <c r="U202" s="52">
        <f>B202</f>
        <v>308</v>
      </c>
      <c r="V202" s="52">
        <f t="shared" ref="V202:Y204" si="143">C202</f>
        <v>341</v>
      </c>
      <c r="W202" s="52">
        <f t="shared" si="143"/>
        <v>301</v>
      </c>
      <c r="X202" s="52">
        <f t="shared" si="143"/>
        <v>264</v>
      </c>
      <c r="Y202" s="369">
        <f t="shared" si="143"/>
        <v>277</v>
      </c>
      <c r="Z202" s="657">
        <v>277</v>
      </c>
      <c r="AA202" s="657">
        <v>277</v>
      </c>
      <c r="AB202" s="657">
        <v>277</v>
      </c>
      <c r="AC202" s="657">
        <v>277</v>
      </c>
      <c r="AD202" s="827">
        <v>277</v>
      </c>
      <c r="AE202" s="52"/>
      <c r="AF202" s="52"/>
      <c r="AG202" s="52"/>
      <c r="AH202" s="52"/>
      <c r="AI202" s="52"/>
      <c r="AJ202" s="52"/>
      <c r="AK202" s="52"/>
      <c r="AL202" s="52"/>
      <c r="AM202" s="52"/>
      <c r="AN202" s="52"/>
      <c r="AO202" s="52"/>
    </row>
    <row r="203" spans="1:41">
      <c r="A203" s="465" t="s">
        <v>650</v>
      </c>
      <c r="B203" s="52">
        <f t="shared" ref="B203:K203" si="144">B85</f>
        <v>-332</v>
      </c>
      <c r="C203" s="52">
        <f t="shared" si="144"/>
        <v>-365</v>
      </c>
      <c r="D203" s="52">
        <f t="shared" si="144"/>
        <v>-319</v>
      </c>
      <c r="E203" s="52">
        <f t="shared" si="144"/>
        <v>-314</v>
      </c>
      <c r="F203" s="369">
        <f t="shared" si="144"/>
        <v>-307</v>
      </c>
      <c r="G203" s="657">
        <f t="shared" si="144"/>
        <v>-307</v>
      </c>
      <c r="H203" s="657">
        <f t="shared" si="144"/>
        <v>-307</v>
      </c>
      <c r="I203" s="657">
        <f t="shared" si="144"/>
        <v>-307</v>
      </c>
      <c r="J203" s="657">
        <f t="shared" si="144"/>
        <v>-307</v>
      </c>
      <c r="K203" s="827">
        <f t="shared" si="144"/>
        <v>-307</v>
      </c>
      <c r="L203" s="52"/>
      <c r="M203" s="52"/>
      <c r="N203" s="52"/>
      <c r="O203" s="52"/>
      <c r="P203" s="52"/>
      <c r="Q203" s="52"/>
      <c r="R203" s="52"/>
      <c r="S203" s="52"/>
      <c r="T203" s="465" t="s">
        <v>650</v>
      </c>
      <c r="U203" s="52">
        <f t="shared" ref="U203:U204" si="145">B203</f>
        <v>-332</v>
      </c>
      <c r="V203" s="52">
        <f t="shared" si="143"/>
        <v>-365</v>
      </c>
      <c r="W203" s="52">
        <f t="shared" si="143"/>
        <v>-319</v>
      </c>
      <c r="X203" s="52">
        <f t="shared" si="143"/>
        <v>-314</v>
      </c>
      <c r="Y203" s="369">
        <f t="shared" si="143"/>
        <v>-307</v>
      </c>
      <c r="Z203" s="657">
        <v>-307</v>
      </c>
      <c r="AA203" s="657">
        <v>-307</v>
      </c>
      <c r="AB203" s="657">
        <v>-307</v>
      </c>
      <c r="AC203" s="657">
        <v>-307</v>
      </c>
      <c r="AD203" s="827">
        <v>-307</v>
      </c>
      <c r="AE203" s="52"/>
      <c r="AF203" s="52"/>
      <c r="AG203" s="52"/>
      <c r="AH203" s="52"/>
      <c r="AI203" s="52"/>
      <c r="AJ203" s="52"/>
      <c r="AK203" s="52"/>
      <c r="AL203" s="52"/>
      <c r="AM203" s="52"/>
      <c r="AN203" s="52"/>
      <c r="AO203" s="52"/>
    </row>
    <row r="204" spans="1:41">
      <c r="A204" s="659" t="s">
        <v>651</v>
      </c>
      <c r="B204" s="376">
        <f t="shared" ref="B204:K204" si="146">B86</f>
        <v>-576</v>
      </c>
      <c r="C204" s="101">
        <f t="shared" si="146"/>
        <v>-671</v>
      </c>
      <c r="D204" s="101">
        <f t="shared" si="146"/>
        <v>-625</v>
      </c>
      <c r="E204" s="101">
        <f t="shared" si="146"/>
        <v>-642</v>
      </c>
      <c r="F204" s="99">
        <f t="shared" si="146"/>
        <v>-676</v>
      </c>
      <c r="G204" s="469">
        <f t="shared" si="146"/>
        <v>-676</v>
      </c>
      <c r="H204" s="469">
        <f t="shared" si="146"/>
        <v>-676</v>
      </c>
      <c r="I204" s="469">
        <f t="shared" si="146"/>
        <v>-676</v>
      </c>
      <c r="J204" s="469">
        <f t="shared" si="146"/>
        <v>-676</v>
      </c>
      <c r="K204" s="829">
        <f t="shared" si="146"/>
        <v>-676</v>
      </c>
      <c r="L204" s="52"/>
      <c r="M204" s="52"/>
      <c r="N204" s="52"/>
      <c r="O204" s="52"/>
      <c r="P204" s="52"/>
      <c r="Q204" s="52"/>
      <c r="R204" s="52"/>
      <c r="S204" s="52"/>
      <c r="T204" s="659" t="s">
        <v>651</v>
      </c>
      <c r="U204" s="101">
        <f t="shared" si="145"/>
        <v>-576</v>
      </c>
      <c r="V204" s="101">
        <f t="shared" si="143"/>
        <v>-671</v>
      </c>
      <c r="W204" s="101">
        <f t="shared" si="143"/>
        <v>-625</v>
      </c>
      <c r="X204" s="101">
        <f t="shared" si="143"/>
        <v>-642</v>
      </c>
      <c r="Y204" s="99">
        <f t="shared" si="143"/>
        <v>-676</v>
      </c>
      <c r="Z204" s="469">
        <v>-676</v>
      </c>
      <c r="AA204" s="469">
        <v>-676</v>
      </c>
      <c r="AB204" s="469">
        <v>-676</v>
      </c>
      <c r="AC204" s="469">
        <v>-676</v>
      </c>
      <c r="AD204" s="829">
        <v>-676</v>
      </c>
      <c r="AE204" s="52"/>
      <c r="AF204" s="52"/>
      <c r="AG204" s="52"/>
      <c r="AH204" s="52"/>
      <c r="AI204" s="52"/>
      <c r="AJ204" s="52"/>
      <c r="AK204" s="52"/>
      <c r="AL204" s="52"/>
      <c r="AM204" s="52"/>
      <c r="AN204" s="52"/>
      <c r="AO204" s="52"/>
    </row>
    <row r="205" spans="1:41">
      <c r="A205" s="655" t="s">
        <v>652</v>
      </c>
      <c r="B205" s="100">
        <f>B191+B200+B202+B203+B204</f>
        <v>6404</v>
      </c>
      <c r="C205" s="100">
        <f t="shared" ref="C205:F205" si="147">C191+C200+C202+C203+C204</f>
        <v>6672</v>
      </c>
      <c r="D205" s="100">
        <f t="shared" si="147"/>
        <v>6260</v>
      </c>
      <c r="E205" s="100">
        <f t="shared" si="147"/>
        <v>6577</v>
      </c>
      <c r="F205" s="445">
        <f t="shared" si="147"/>
        <v>6828</v>
      </c>
      <c r="G205" s="656">
        <f>G191+G200+G202+G203+G204</f>
        <v>7114.1202608467602</v>
      </c>
      <c r="H205" s="656">
        <f t="shared" ref="H205:K205" si="148">H191+H200+H202+H203+H204</f>
        <v>7396.0928227753648</v>
      </c>
      <c r="I205" s="656">
        <f t="shared" si="148"/>
        <v>7674.4175522603218</v>
      </c>
      <c r="J205" s="656">
        <f t="shared" si="148"/>
        <v>7949.562759239956</v>
      </c>
      <c r="K205" s="826">
        <f t="shared" si="148"/>
        <v>8221.2254607803879</v>
      </c>
      <c r="L205" s="100"/>
      <c r="M205" s="52"/>
      <c r="N205" s="52"/>
      <c r="O205" s="52"/>
      <c r="P205" s="52"/>
      <c r="Q205" s="52"/>
      <c r="R205" s="52"/>
      <c r="S205" s="52"/>
      <c r="T205" s="655" t="s">
        <v>652</v>
      </c>
      <c r="U205" s="100">
        <f>U191+U200+U202+U203+U204</f>
        <v>6404</v>
      </c>
      <c r="V205" s="100">
        <f t="shared" ref="V205:Y205" si="149">V191+V200+V202+V203+V204</f>
        <v>6672</v>
      </c>
      <c r="W205" s="100">
        <f t="shared" si="149"/>
        <v>6260</v>
      </c>
      <c r="X205" s="100">
        <f t="shared" si="149"/>
        <v>6577</v>
      </c>
      <c r="Y205" s="445">
        <f t="shared" si="149"/>
        <v>6828</v>
      </c>
      <c r="Z205" s="656">
        <v>7175.5642065389402</v>
      </c>
      <c r="AA205" s="656">
        <v>7499.0552773953004</v>
      </c>
      <c r="AB205" s="656">
        <v>7799.8411348838981</v>
      </c>
      <c r="AC205" s="656">
        <v>8079.3697673519891</v>
      </c>
      <c r="AD205" s="826">
        <v>8338.0852450659004</v>
      </c>
      <c r="AE205" s="52"/>
      <c r="AF205" s="52"/>
      <c r="AG205" s="52"/>
      <c r="AH205" s="52"/>
      <c r="AI205" s="52"/>
      <c r="AJ205" s="52"/>
      <c r="AK205" s="52"/>
      <c r="AL205" s="52"/>
      <c r="AM205" s="52"/>
      <c r="AN205" s="52"/>
      <c r="AO205" s="52"/>
    </row>
    <row r="206" spans="1:41">
      <c r="A206" s="465"/>
      <c r="B206" s="52"/>
      <c r="C206" s="52"/>
      <c r="D206" s="52"/>
      <c r="E206" s="52"/>
      <c r="F206" s="369"/>
      <c r="G206" s="657"/>
      <c r="H206" s="657"/>
      <c r="I206" s="657"/>
      <c r="J206" s="657"/>
      <c r="K206" s="827"/>
      <c r="L206" s="52"/>
      <c r="M206" s="370"/>
      <c r="N206" s="370"/>
      <c r="O206" s="370"/>
      <c r="P206" s="370"/>
      <c r="Q206" s="370"/>
      <c r="R206" s="370"/>
      <c r="S206" s="370"/>
      <c r="T206" s="465"/>
      <c r="U206" s="52"/>
      <c r="V206" s="52"/>
      <c r="W206" s="52"/>
      <c r="X206" s="52"/>
      <c r="Y206" s="369"/>
      <c r="Z206" s="657"/>
      <c r="AA206" s="657"/>
      <c r="AB206" s="657"/>
      <c r="AC206" s="657"/>
      <c r="AD206" s="827"/>
      <c r="AE206" s="52"/>
      <c r="AF206" s="52"/>
      <c r="AG206" s="52"/>
      <c r="AH206" s="52"/>
      <c r="AI206" s="52"/>
      <c r="AJ206" s="52"/>
      <c r="AK206" s="52"/>
      <c r="AL206" s="52"/>
      <c r="AM206" s="52"/>
      <c r="AN206" s="52"/>
      <c r="AO206" s="52"/>
    </row>
    <row r="207" spans="1:41">
      <c r="A207" s="658" t="s">
        <v>338</v>
      </c>
      <c r="B207" s="377">
        <f>'Reorganised Statements'!D35</f>
        <v>-3259</v>
      </c>
      <c r="C207" s="377">
        <f>'Reorganised Statements'!E35</f>
        <v>-3279</v>
      </c>
      <c r="D207" s="377">
        <f>'Reorganised Statements'!F35</f>
        <v>-3013</v>
      </c>
      <c r="E207" s="377">
        <f>'Reorganised Statements'!G35</f>
        <v>-3523</v>
      </c>
      <c r="F207" s="444">
        <f>'Reorganised Statements'!H35</f>
        <v>-3651</v>
      </c>
      <c r="G207" s="502">
        <f>-G147</f>
        <v>-3786.9434454205243</v>
      </c>
      <c r="H207" s="502">
        <f>-H147</f>
        <v>-3941.1384882434118</v>
      </c>
      <c r="I207" s="502">
        <f>-I147</f>
        <v>-4128.7701167236673</v>
      </c>
      <c r="J207" s="502">
        <f>-J147</f>
        <v>-4358.511267488414</v>
      </c>
      <c r="K207" s="828">
        <f>-K147</f>
        <v>-4627.383372678979</v>
      </c>
      <c r="L207" s="100"/>
      <c r="M207" s="370"/>
      <c r="N207" s="370"/>
      <c r="O207" s="370"/>
      <c r="P207" s="370"/>
      <c r="Q207" s="370"/>
      <c r="R207" s="370"/>
      <c r="S207" s="370"/>
      <c r="T207" s="658" t="s">
        <v>338</v>
      </c>
      <c r="U207" s="377">
        <f>B207</f>
        <v>-3259</v>
      </c>
      <c r="V207" s="377">
        <f t="shared" ref="V207:Y207" si="150">C207</f>
        <v>-3279</v>
      </c>
      <c r="W207" s="377">
        <f t="shared" si="150"/>
        <v>-3013</v>
      </c>
      <c r="X207" s="377">
        <f t="shared" si="150"/>
        <v>-3523</v>
      </c>
      <c r="Y207" s="444">
        <f t="shared" si="150"/>
        <v>-3651</v>
      </c>
      <c r="Z207" s="502">
        <v>-3786.9434454205243</v>
      </c>
      <c r="AA207" s="502">
        <v>-3941.1384882434118</v>
      </c>
      <c r="AB207" s="502">
        <v>-4128.7701167236673</v>
      </c>
      <c r="AC207" s="502">
        <v>-4358.511267488414</v>
      </c>
      <c r="AD207" s="828">
        <v>-4627.383372678979</v>
      </c>
      <c r="AE207" s="52"/>
      <c r="AF207" s="52"/>
      <c r="AG207" s="52"/>
      <c r="AH207" s="52"/>
      <c r="AI207" s="52"/>
      <c r="AJ207" s="52"/>
      <c r="AK207" s="52"/>
      <c r="AL207" s="52"/>
      <c r="AM207" s="52"/>
      <c r="AN207" s="52"/>
      <c r="AO207" s="52"/>
    </row>
    <row r="208" spans="1:41">
      <c r="A208" s="465"/>
      <c r="B208" s="52"/>
      <c r="C208" s="52"/>
      <c r="D208" s="52"/>
      <c r="E208" s="52"/>
      <c r="F208" s="369"/>
      <c r="G208" s="657"/>
      <c r="H208" s="657"/>
      <c r="I208" s="657"/>
      <c r="J208" s="657"/>
      <c r="K208" s="827"/>
      <c r="L208" s="52"/>
      <c r="M208" s="612"/>
      <c r="N208" s="612"/>
      <c r="O208" s="612"/>
      <c r="P208" s="612"/>
      <c r="Q208" s="612"/>
      <c r="R208" s="612"/>
      <c r="S208" s="612"/>
      <c r="T208" s="465"/>
      <c r="U208" s="52"/>
      <c r="V208" s="52"/>
      <c r="W208" s="52"/>
      <c r="X208" s="52"/>
      <c r="Y208" s="369"/>
      <c r="Z208" s="657"/>
      <c r="AA208" s="657"/>
      <c r="AB208" s="657"/>
      <c r="AC208" s="657"/>
      <c r="AD208" s="827"/>
      <c r="AE208" s="52"/>
      <c r="AF208" s="52"/>
      <c r="AG208" s="52"/>
      <c r="AH208" s="52"/>
      <c r="AI208" s="52"/>
      <c r="AJ208" s="52"/>
      <c r="AK208" s="52"/>
      <c r="AL208" s="52"/>
      <c r="AM208" s="52"/>
      <c r="AN208" s="52"/>
      <c r="AO208" s="52"/>
    </row>
    <row r="209" spans="1:41">
      <c r="A209" s="465" t="s">
        <v>653</v>
      </c>
      <c r="B209" s="657">
        <f t="shared" ref="B209:K209" si="151">B99</f>
        <v>-3781</v>
      </c>
      <c r="C209" s="657">
        <f t="shared" si="151"/>
        <v>-3795</v>
      </c>
      <c r="D209" s="657">
        <f t="shared" si="151"/>
        <v>-3938</v>
      </c>
      <c r="E209" s="657">
        <f t="shared" si="151"/>
        <v>-3678</v>
      </c>
      <c r="F209" s="482">
        <f t="shared" si="151"/>
        <v>-3611</v>
      </c>
      <c r="G209" s="657">
        <f t="shared" si="151"/>
        <v>-3851.4393811435498</v>
      </c>
      <c r="H209" s="657">
        <f t="shared" si="151"/>
        <v>-3978.5442191171983</v>
      </c>
      <c r="I209" s="657">
        <f t="shared" si="151"/>
        <v>-4109.8437589250243</v>
      </c>
      <c r="J209" s="657">
        <f t="shared" si="151"/>
        <v>-4245.4764337199913</v>
      </c>
      <c r="K209" s="827">
        <f t="shared" si="151"/>
        <v>-4388.8739353367855</v>
      </c>
      <c r="L209" s="52"/>
      <c r="M209" s="612"/>
      <c r="N209" s="612"/>
      <c r="O209" s="612"/>
      <c r="P209" s="612"/>
      <c r="Q209" s="612"/>
      <c r="R209" s="612"/>
      <c r="S209" s="612"/>
      <c r="T209" s="465" t="s">
        <v>653</v>
      </c>
      <c r="U209" s="657">
        <f>B209</f>
        <v>-3781</v>
      </c>
      <c r="V209" s="657">
        <f t="shared" ref="V209:Y210" si="152">C209</f>
        <v>-3795</v>
      </c>
      <c r="W209" s="657">
        <f t="shared" si="152"/>
        <v>-3938</v>
      </c>
      <c r="X209" s="657">
        <f t="shared" si="152"/>
        <v>-3678</v>
      </c>
      <c r="Y209" s="482">
        <f t="shared" si="152"/>
        <v>-3611</v>
      </c>
      <c r="Z209" s="657">
        <v>-3851.4393811435498</v>
      </c>
      <c r="AA209" s="657">
        <v>-3978.5442191171983</v>
      </c>
      <c r="AB209" s="657">
        <v>-4109.8437589250243</v>
      </c>
      <c r="AC209" s="657">
        <v>-4245.4764337199913</v>
      </c>
      <c r="AD209" s="827">
        <v>-4388.8739353367855</v>
      </c>
      <c r="AE209" s="52"/>
      <c r="AF209" s="52"/>
      <c r="AG209" s="52"/>
      <c r="AH209" s="52"/>
      <c r="AI209" s="52"/>
      <c r="AJ209" s="52"/>
      <c r="AK209" s="52"/>
      <c r="AL209" s="52"/>
      <c r="AM209" s="52"/>
      <c r="AN209" s="52"/>
      <c r="AO209" s="52"/>
    </row>
    <row r="210" spans="1:41">
      <c r="A210" s="659" t="s">
        <v>654</v>
      </c>
      <c r="B210" s="101">
        <f>'Reorganised Statements'!D41</f>
        <v>636</v>
      </c>
      <c r="C210" s="101">
        <f>'Reorganised Statements'!E41</f>
        <v>402</v>
      </c>
      <c r="D210" s="101">
        <f>'Reorganised Statements'!F41</f>
        <v>691</v>
      </c>
      <c r="E210" s="101">
        <f>'Reorganised Statements'!G41</f>
        <v>624</v>
      </c>
      <c r="F210" s="99">
        <f>'Reorganised Statements'!H41</f>
        <v>434</v>
      </c>
      <c r="G210" s="469">
        <f>G252</f>
        <v>524.26256571731392</v>
      </c>
      <c r="H210" s="469">
        <f t="shared" ref="H210:K210" si="153">H252</f>
        <v>523.58988458524345</v>
      </c>
      <c r="I210" s="469">
        <f t="shared" si="153"/>
        <v>564.19632338836846</v>
      </c>
      <c r="J210" s="469">
        <f t="shared" si="153"/>
        <v>654.4249419684478</v>
      </c>
      <c r="K210" s="829">
        <f t="shared" si="153"/>
        <v>795.03184723537606</v>
      </c>
      <c r="L210" s="52"/>
      <c r="M210" s="52"/>
      <c r="N210" s="52"/>
      <c r="O210" s="52"/>
      <c r="P210" s="52"/>
      <c r="Q210" s="52"/>
      <c r="R210" s="52"/>
      <c r="S210" s="52"/>
      <c r="T210" s="659" t="s">
        <v>654</v>
      </c>
      <c r="U210" s="101">
        <f>B210</f>
        <v>636</v>
      </c>
      <c r="V210" s="101">
        <f t="shared" si="152"/>
        <v>402</v>
      </c>
      <c r="W210" s="101">
        <f t="shared" si="152"/>
        <v>691</v>
      </c>
      <c r="X210" s="101">
        <f t="shared" si="152"/>
        <v>624</v>
      </c>
      <c r="Y210" s="99">
        <f t="shared" si="152"/>
        <v>434</v>
      </c>
      <c r="Z210" s="469">
        <v>463.22581692270336</v>
      </c>
      <c r="AA210" s="469">
        <v>421.36265672502634</v>
      </c>
      <c r="AB210" s="469">
        <v>439.63200911969892</v>
      </c>
      <c r="AC210" s="469">
        <v>525.34169999140954</v>
      </c>
      <c r="AD210" s="829">
        <v>678.56445154004837</v>
      </c>
      <c r="AE210" s="52"/>
      <c r="AF210" s="52"/>
      <c r="AG210" s="52"/>
      <c r="AH210" s="52"/>
      <c r="AI210" s="52"/>
      <c r="AJ210" s="52"/>
      <c r="AK210" s="52"/>
      <c r="AL210" s="52"/>
      <c r="AM210" s="52"/>
      <c r="AN210" s="52"/>
      <c r="AO210" s="52"/>
    </row>
    <row r="211" spans="1:41">
      <c r="A211" s="655" t="s">
        <v>655</v>
      </c>
      <c r="B211" s="100">
        <f t="shared" ref="B211:G211" si="154">B209+B210</f>
        <v>-3145</v>
      </c>
      <c r="C211" s="100">
        <f t="shared" si="154"/>
        <v>-3393</v>
      </c>
      <c r="D211" s="100">
        <f t="shared" si="154"/>
        <v>-3247</v>
      </c>
      <c r="E211" s="100">
        <f t="shared" si="154"/>
        <v>-3054</v>
      </c>
      <c r="F211" s="445">
        <f t="shared" si="154"/>
        <v>-3177</v>
      </c>
      <c r="G211" s="656">
        <f t="shared" si="154"/>
        <v>-3327.1768154262359</v>
      </c>
      <c r="H211" s="656">
        <f t="shared" ref="H211:K211" si="155">H209+H210</f>
        <v>-3454.9543345319548</v>
      </c>
      <c r="I211" s="656">
        <f t="shared" si="155"/>
        <v>-3545.6474355366558</v>
      </c>
      <c r="J211" s="656">
        <f t="shared" si="155"/>
        <v>-3591.0514917515434</v>
      </c>
      <c r="K211" s="826">
        <f t="shared" si="155"/>
        <v>-3593.8420881014094</v>
      </c>
      <c r="L211" s="100"/>
      <c r="M211" s="52"/>
      <c r="N211" s="52"/>
      <c r="O211" s="612"/>
      <c r="P211" s="52"/>
      <c r="Q211" s="52"/>
      <c r="R211" s="52"/>
      <c r="S211" s="52"/>
      <c r="T211" s="655" t="s">
        <v>655</v>
      </c>
      <c r="U211" s="100">
        <f t="shared" ref="U211:Y211" si="156">U209+U210</f>
        <v>-3145</v>
      </c>
      <c r="V211" s="100">
        <f t="shared" si="156"/>
        <v>-3393</v>
      </c>
      <c r="W211" s="100">
        <f t="shared" si="156"/>
        <v>-3247</v>
      </c>
      <c r="X211" s="100">
        <f t="shared" si="156"/>
        <v>-3054</v>
      </c>
      <c r="Y211" s="445">
        <f t="shared" si="156"/>
        <v>-3177</v>
      </c>
      <c r="Z211" s="656">
        <v>-3388.2135642208464</v>
      </c>
      <c r="AA211" s="656">
        <v>-3557.1815623921721</v>
      </c>
      <c r="AB211" s="656">
        <v>-3670.2117498053253</v>
      </c>
      <c r="AC211" s="656">
        <v>-3720.1347337285815</v>
      </c>
      <c r="AD211" s="826">
        <v>-3710.3094837967374</v>
      </c>
      <c r="AE211" s="52"/>
      <c r="AF211" s="52"/>
      <c r="AG211" s="52"/>
      <c r="AH211" s="52"/>
      <c r="AI211" s="52"/>
      <c r="AJ211" s="52"/>
      <c r="AK211" s="52"/>
      <c r="AL211" s="52"/>
      <c r="AM211" s="52"/>
      <c r="AN211" s="52"/>
      <c r="AO211" s="52"/>
    </row>
    <row r="212" spans="1:41">
      <c r="A212" s="465"/>
      <c r="B212" s="52"/>
      <c r="C212" s="52"/>
      <c r="D212" s="52"/>
      <c r="E212" s="52"/>
      <c r="F212" s="369"/>
      <c r="G212" s="657"/>
      <c r="H212" s="657"/>
      <c r="I212" s="657"/>
      <c r="J212" s="657"/>
      <c r="K212" s="827"/>
      <c r="L212" s="52"/>
      <c r="M212" s="52"/>
      <c r="N212" s="52"/>
      <c r="O212" s="52"/>
      <c r="P212" s="52"/>
      <c r="Q212" s="52"/>
      <c r="R212" s="52"/>
      <c r="S212" s="52"/>
      <c r="T212" s="465"/>
      <c r="U212" s="52"/>
      <c r="V212" s="52"/>
      <c r="W212" s="52"/>
      <c r="X212" s="52"/>
      <c r="Y212" s="369"/>
      <c r="Z212" s="657"/>
      <c r="AA212" s="657"/>
      <c r="AB212" s="657"/>
      <c r="AC212" s="657"/>
      <c r="AD212" s="827"/>
      <c r="AE212" s="52"/>
      <c r="AF212" s="52"/>
      <c r="AG212" s="52"/>
      <c r="AH212" s="52"/>
      <c r="AI212" s="52"/>
      <c r="AJ212" s="52"/>
      <c r="AK212" s="52"/>
      <c r="AL212" s="52"/>
      <c r="AM212" s="52"/>
      <c r="AN212" s="52"/>
      <c r="AO212" s="52"/>
    </row>
    <row r="213" spans="1:41" ht="15" thickBot="1">
      <c r="A213" s="670" t="s">
        <v>656</v>
      </c>
      <c r="B213" s="671">
        <f>B207+B211</f>
        <v>-6404</v>
      </c>
      <c r="C213" s="671">
        <f t="shared" ref="C213:F213" si="157">C207+C211</f>
        <v>-6672</v>
      </c>
      <c r="D213" s="671">
        <f t="shared" si="157"/>
        <v>-6260</v>
      </c>
      <c r="E213" s="671">
        <f t="shared" si="157"/>
        <v>-6577</v>
      </c>
      <c r="F213" s="672">
        <f t="shared" si="157"/>
        <v>-6828</v>
      </c>
      <c r="G213" s="813">
        <f>G207+G211</f>
        <v>-7114.1202608467602</v>
      </c>
      <c r="H213" s="813">
        <f t="shared" ref="H213:K213" si="158">H207+H211</f>
        <v>-7396.0928227753666</v>
      </c>
      <c r="I213" s="813">
        <f t="shared" si="158"/>
        <v>-7674.4175522603236</v>
      </c>
      <c r="J213" s="813">
        <f t="shared" si="158"/>
        <v>-7949.5627592399578</v>
      </c>
      <c r="K213" s="831">
        <f t="shared" si="158"/>
        <v>-8221.2254607803879</v>
      </c>
      <c r="L213" s="52"/>
      <c r="M213" s="52"/>
      <c r="N213" s="52"/>
      <c r="O213" s="52"/>
      <c r="P213" s="52"/>
      <c r="Q213" s="52"/>
      <c r="R213" s="52"/>
      <c r="S213" s="52"/>
      <c r="T213" s="670" t="s">
        <v>656</v>
      </c>
      <c r="U213" s="671">
        <f>U207+U211</f>
        <v>-6404</v>
      </c>
      <c r="V213" s="671">
        <f t="shared" ref="V213:Y213" si="159">V207+V211</f>
        <v>-6672</v>
      </c>
      <c r="W213" s="671">
        <f t="shared" si="159"/>
        <v>-6260</v>
      </c>
      <c r="X213" s="671">
        <f t="shared" si="159"/>
        <v>-6577</v>
      </c>
      <c r="Y213" s="672">
        <f t="shared" si="159"/>
        <v>-6828</v>
      </c>
      <c r="Z213" s="813">
        <v>-7175.1570096413707</v>
      </c>
      <c r="AA213" s="813">
        <v>-7498.3200506355843</v>
      </c>
      <c r="AB213" s="813">
        <v>-7798.9818665289931</v>
      </c>
      <c r="AC213" s="813">
        <v>-8078.6460012169955</v>
      </c>
      <c r="AD213" s="831">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08"/>
      <c r="AB214" s="808"/>
      <c r="AC214" s="809"/>
      <c r="AD214" s="809"/>
      <c r="AE214" s="52"/>
      <c r="AF214" s="52"/>
      <c r="AG214" s="52"/>
      <c r="AH214" s="52"/>
      <c r="AI214" s="52"/>
      <c r="AJ214" s="52"/>
      <c r="AK214" s="52"/>
      <c r="AL214" s="52"/>
      <c r="AM214" s="52"/>
      <c r="AN214" s="52"/>
      <c r="AO214" s="52"/>
    </row>
    <row r="215" spans="1:41" ht="15" thickBot="1">
      <c r="A215" s="52"/>
      <c r="B215" s="52"/>
      <c r="C215" s="611"/>
      <c r="D215" s="611"/>
      <c r="E215" s="611"/>
      <c r="F215" s="611"/>
      <c r="G215" s="611"/>
      <c r="H215" s="611"/>
      <c r="I215" s="611"/>
      <c r="J215" s="611"/>
      <c r="K215" s="611"/>
      <c r="L215" s="52"/>
      <c r="M215" s="52"/>
      <c r="N215" s="52"/>
      <c r="O215" s="52"/>
      <c r="P215" s="52"/>
      <c r="Q215" s="52"/>
      <c r="R215" s="52"/>
      <c r="S215" s="52"/>
      <c r="T215" s="52"/>
      <c r="U215" s="52"/>
      <c r="V215" s="52"/>
      <c r="W215" s="52"/>
      <c r="X215" s="52"/>
      <c r="Y215" s="52"/>
      <c r="Z215" s="52"/>
      <c r="AA215" s="810"/>
      <c r="AB215" s="810"/>
      <c r="AC215" s="809"/>
      <c r="AD215" s="809"/>
      <c r="AE215" s="52"/>
      <c r="AF215" s="52"/>
      <c r="AG215" s="52"/>
      <c r="AH215" s="52"/>
      <c r="AI215" s="52"/>
      <c r="AJ215" s="52"/>
      <c r="AK215" s="52"/>
      <c r="AL215" s="52"/>
      <c r="AM215" s="52"/>
      <c r="AN215" s="52"/>
      <c r="AO215" s="52"/>
    </row>
    <row r="216" spans="1:41">
      <c r="A216" s="673" t="s">
        <v>657</v>
      </c>
      <c r="B216" s="662"/>
      <c r="C216" s="817"/>
      <c r="D216" s="817"/>
      <c r="E216" s="817"/>
      <c r="F216" s="819"/>
      <c r="G216" s="817" t="s">
        <v>714</v>
      </c>
      <c r="H216" s="817"/>
      <c r="I216" s="817"/>
      <c r="J216" s="817"/>
      <c r="K216" s="818"/>
      <c r="L216" s="370"/>
      <c r="M216" s="370"/>
      <c r="N216" s="370"/>
      <c r="O216" s="370"/>
      <c r="P216" s="370"/>
      <c r="Q216" s="370"/>
      <c r="R216" s="370"/>
      <c r="S216" s="370"/>
      <c r="T216" s="673" t="s">
        <v>657</v>
      </c>
      <c r="U216" s="662"/>
      <c r="V216" s="817"/>
      <c r="W216" s="817"/>
      <c r="X216" s="817"/>
      <c r="Y216" s="819"/>
      <c r="Z216" s="817" t="s">
        <v>714</v>
      </c>
      <c r="AA216" s="817"/>
      <c r="AB216" s="817"/>
      <c r="AC216" s="817"/>
      <c r="AD216" s="818"/>
      <c r="AE216" s="52"/>
      <c r="AF216" s="52"/>
      <c r="AG216" s="52"/>
      <c r="AH216" s="52"/>
      <c r="AI216" s="52"/>
      <c r="AJ216" s="52"/>
      <c r="AK216" s="52"/>
      <c r="AL216" s="52"/>
      <c r="AM216" s="52"/>
      <c r="AN216" s="52"/>
      <c r="AO216" s="52"/>
    </row>
    <row r="217" spans="1:41" ht="15" thickBot="1">
      <c r="A217" s="669"/>
      <c r="B217" s="665">
        <v>2015</v>
      </c>
      <c r="C217" s="820">
        <v>2016</v>
      </c>
      <c r="D217" s="820">
        <v>2017</v>
      </c>
      <c r="E217" s="820">
        <v>2018</v>
      </c>
      <c r="F217" s="821">
        <v>2019</v>
      </c>
      <c r="G217" s="820">
        <v>2020</v>
      </c>
      <c r="H217" s="820">
        <v>2021</v>
      </c>
      <c r="I217" s="820">
        <v>2022</v>
      </c>
      <c r="J217" s="820">
        <v>2023</v>
      </c>
      <c r="K217" s="832">
        <v>2024</v>
      </c>
      <c r="L217" s="52"/>
      <c r="M217" s="52"/>
      <c r="N217" s="52"/>
      <c r="O217" s="52"/>
      <c r="P217" s="52"/>
      <c r="Q217" s="52"/>
      <c r="R217" s="52"/>
      <c r="S217" s="52"/>
      <c r="T217" s="669"/>
      <c r="U217" s="665">
        <v>2015</v>
      </c>
      <c r="V217" s="820">
        <v>2016</v>
      </c>
      <c r="W217" s="820">
        <v>2017</v>
      </c>
      <c r="X217" s="820">
        <v>2018</v>
      </c>
      <c r="Y217" s="821">
        <v>2019</v>
      </c>
      <c r="Z217" s="820">
        <v>2020</v>
      </c>
      <c r="AA217" s="820">
        <v>2021</v>
      </c>
      <c r="AB217" s="820">
        <v>2022</v>
      </c>
      <c r="AC217" s="820">
        <v>2023</v>
      </c>
      <c r="AD217" s="832">
        <v>2024</v>
      </c>
      <c r="AE217" s="52"/>
      <c r="AF217" s="52"/>
      <c r="AG217" s="52"/>
      <c r="AH217" s="52"/>
      <c r="AI217" s="52"/>
      <c r="AJ217" s="52"/>
      <c r="AK217" s="52"/>
      <c r="AL217" s="52"/>
      <c r="AM217" s="52"/>
      <c r="AN217" s="52"/>
      <c r="AO217" s="52"/>
    </row>
    <row r="218" spans="1:41">
      <c r="A218" s="465"/>
      <c r="B218" s="52"/>
      <c r="C218" s="52"/>
      <c r="D218" s="52"/>
      <c r="E218" s="52"/>
      <c r="F218" s="443"/>
      <c r="G218" s="52"/>
      <c r="H218" s="52"/>
      <c r="I218" s="52"/>
      <c r="J218" s="52"/>
      <c r="K218" s="280"/>
      <c r="L218" s="52"/>
      <c r="M218" s="52"/>
      <c r="N218" s="52"/>
      <c r="O218" s="52"/>
      <c r="P218" s="52"/>
      <c r="Q218" s="52"/>
      <c r="R218" s="52"/>
      <c r="S218" s="52"/>
      <c r="T218" s="465"/>
      <c r="U218" s="842"/>
      <c r="V218" s="282"/>
      <c r="W218" s="282"/>
      <c r="X218" s="282"/>
      <c r="Y218" s="443"/>
      <c r="Z218" s="52"/>
      <c r="AA218" s="52"/>
      <c r="AB218" s="52"/>
      <c r="AC218" s="52"/>
      <c r="AD218" s="280"/>
      <c r="AE218" s="52"/>
      <c r="AF218" s="52"/>
      <c r="AG218" s="52"/>
      <c r="AH218" s="52"/>
      <c r="AI218" s="52"/>
      <c r="AJ218" s="52"/>
      <c r="AK218" s="52"/>
      <c r="AL218" s="52"/>
      <c r="AM218" s="52"/>
      <c r="AN218" s="52"/>
      <c r="AO218" s="52"/>
    </row>
    <row r="219" spans="1:41">
      <c r="A219" s="465" t="s">
        <v>303</v>
      </c>
      <c r="B219" s="52"/>
      <c r="C219" s="657">
        <f t="shared" ref="C219:K219" si="160">C172</f>
        <v>443</v>
      </c>
      <c r="D219" s="657">
        <f t="shared" si="160"/>
        <v>710</v>
      </c>
      <c r="E219" s="657">
        <f t="shared" si="160"/>
        <v>588</v>
      </c>
      <c r="F219" s="482">
        <f t="shared" si="160"/>
        <v>687</v>
      </c>
      <c r="G219" s="657">
        <f t="shared" si="160"/>
        <v>646.49225759199862</v>
      </c>
      <c r="H219" s="657">
        <f t="shared" si="160"/>
        <v>702.43756038992751</v>
      </c>
      <c r="I219" s="657">
        <f t="shared" si="160"/>
        <v>762.86299647697422</v>
      </c>
      <c r="J219" s="657">
        <f t="shared" si="160"/>
        <v>827.97165433180885</v>
      </c>
      <c r="K219" s="827">
        <f t="shared" si="160"/>
        <v>897.9826634711784</v>
      </c>
      <c r="L219" s="52"/>
      <c r="M219" s="52"/>
      <c r="N219" s="52"/>
      <c r="O219" s="52"/>
      <c r="P219" s="52"/>
      <c r="Q219" s="52"/>
      <c r="R219" s="52"/>
      <c r="S219" s="52"/>
      <c r="T219" s="465" t="s">
        <v>303</v>
      </c>
      <c r="U219" s="467"/>
      <c r="V219" s="657">
        <f>C219</f>
        <v>443</v>
      </c>
      <c r="W219" s="657">
        <f t="shared" ref="W219:Y219" si="161">D219</f>
        <v>710</v>
      </c>
      <c r="X219" s="657">
        <f t="shared" si="161"/>
        <v>588</v>
      </c>
      <c r="Y219" s="482">
        <f t="shared" si="161"/>
        <v>687</v>
      </c>
      <c r="Z219" s="657">
        <v>707.93620328417876</v>
      </c>
      <c r="AA219" s="657">
        <v>743.95606931768202</v>
      </c>
      <c r="AB219" s="657">
        <v>785.324124480617</v>
      </c>
      <c r="AC219" s="657">
        <v>832.35507982026468</v>
      </c>
      <c r="AD219" s="827">
        <v>885.03543964465916</v>
      </c>
      <c r="AE219" s="52"/>
      <c r="AF219" s="52"/>
      <c r="AG219" s="52"/>
      <c r="AH219" s="52"/>
      <c r="AI219" s="52"/>
      <c r="AJ219" s="52"/>
      <c r="AK219" s="52"/>
      <c r="AL219" s="52"/>
      <c r="AM219" s="52"/>
      <c r="AN219" s="52"/>
      <c r="AO219" s="52"/>
    </row>
    <row r="220" spans="1:41">
      <c r="A220" s="833" t="s">
        <v>252</v>
      </c>
      <c r="B220" s="52"/>
      <c r="C220" s="657">
        <f t="shared" ref="C220:K220" si="162">C178</f>
        <v>-122</v>
      </c>
      <c r="D220" s="657">
        <f t="shared" si="162"/>
        <v>-192</v>
      </c>
      <c r="E220" s="657">
        <f t="shared" si="162"/>
        <v>-157</v>
      </c>
      <c r="F220" s="482">
        <f t="shared" si="162"/>
        <v>-189</v>
      </c>
      <c r="G220" s="657">
        <f t="shared" si="162"/>
        <v>-155.90793168904943</v>
      </c>
      <c r="H220" s="657">
        <f t="shared" si="162"/>
        <v>-168.57000989867888</v>
      </c>
      <c r="I220" s="657">
        <f t="shared" si="162"/>
        <v>-186.50520266040101</v>
      </c>
      <c r="J220" s="657">
        <f t="shared" si="162"/>
        <v>-207.65616276375474</v>
      </c>
      <c r="K220" s="827">
        <f t="shared" si="162"/>
        <v>-228.32710494158204</v>
      </c>
      <c r="L220" s="52"/>
      <c r="M220" s="52"/>
      <c r="N220" s="52"/>
      <c r="O220" s="52"/>
      <c r="P220" s="52"/>
      <c r="Q220" s="52"/>
      <c r="R220" s="52"/>
      <c r="S220" s="52"/>
      <c r="T220" s="833" t="s">
        <v>252</v>
      </c>
      <c r="U220" s="467"/>
      <c r="V220" s="657">
        <f t="shared" ref="V220:V221" si="163">C220</f>
        <v>-122</v>
      </c>
      <c r="W220" s="657">
        <f t="shared" ref="W220:W221" si="164">D220</f>
        <v>-192</v>
      </c>
      <c r="X220" s="657">
        <f t="shared" ref="X220:X221" si="165">E220</f>
        <v>-157</v>
      </c>
      <c r="Y220" s="482">
        <f t="shared" ref="Y220:Y221" si="166">F220</f>
        <v>-189</v>
      </c>
      <c r="Z220" s="657">
        <v>-171.63268286035998</v>
      </c>
      <c r="AA220" s="657">
        <v>-180.8280860807362</v>
      </c>
      <c r="AB220" s="657">
        <v>-191.48744584047896</v>
      </c>
      <c r="AC220" s="657">
        <v>-203.6976362565552</v>
      </c>
      <c r="AD220" s="827">
        <v>-217.43183119969342</v>
      </c>
      <c r="AE220" s="52"/>
      <c r="AF220" s="52"/>
      <c r="AG220" s="52"/>
      <c r="AH220" s="52"/>
      <c r="AI220" s="52"/>
      <c r="AJ220" s="52"/>
      <c r="AK220" s="52"/>
      <c r="AL220" s="52"/>
      <c r="AM220" s="52"/>
      <c r="AN220" s="52"/>
      <c r="AO220" s="52"/>
    </row>
    <row r="221" spans="1:41">
      <c r="A221" s="659" t="s">
        <v>376</v>
      </c>
      <c r="B221" s="101"/>
      <c r="C221" s="469">
        <f t="shared" ref="C221:K221" si="167">-(C220/C176)*C175</f>
        <v>-39.814371257485028</v>
      </c>
      <c r="D221" s="469">
        <f t="shared" si="167"/>
        <v>-44.666666666666664</v>
      </c>
      <c r="E221" s="469">
        <f t="shared" si="167"/>
        <v>-31.400000000000002</v>
      </c>
      <c r="F221" s="470">
        <f t="shared" si="167"/>
        <v>-34.481927710843372</v>
      </c>
      <c r="G221" s="469">
        <f t="shared" si="167"/>
        <v>-29.182808403670457</v>
      </c>
      <c r="H221" s="469">
        <f t="shared" si="167"/>
        <v>-32.729006390658689</v>
      </c>
      <c r="I221" s="469">
        <f t="shared" si="167"/>
        <v>-31.331657671045356</v>
      </c>
      <c r="J221" s="469">
        <f t="shared" si="167"/>
        <v>-27.647101108101289</v>
      </c>
      <c r="K221" s="829">
        <f t="shared" si="167"/>
        <v>-26.233867677709359</v>
      </c>
      <c r="L221" s="52"/>
      <c r="M221" s="52"/>
      <c r="N221" s="52"/>
      <c r="O221" s="52"/>
      <c r="P221" s="52"/>
      <c r="Q221" s="52"/>
      <c r="R221" s="52"/>
      <c r="S221" s="52"/>
      <c r="T221" s="659" t="s">
        <v>376</v>
      </c>
      <c r="U221" s="376"/>
      <c r="V221" s="469">
        <f t="shared" si="163"/>
        <v>-39.814371257485028</v>
      </c>
      <c r="W221" s="469">
        <f t="shared" si="164"/>
        <v>-44.666666666666664</v>
      </c>
      <c r="X221" s="469">
        <f t="shared" si="165"/>
        <v>-31.400000000000002</v>
      </c>
      <c r="Y221" s="470">
        <f t="shared" si="166"/>
        <v>-34.481927710843372</v>
      </c>
      <c r="Z221" s="469">
        <v>-30.84305335979348</v>
      </c>
      <c r="AA221" s="469">
        <v>-31.84531150702696</v>
      </c>
      <c r="AB221" s="469">
        <v>-32.876437878573547</v>
      </c>
      <c r="AC221" s="469">
        <v>-33.93786850375642</v>
      </c>
      <c r="AD221" s="829">
        <v>-35.05843441441592</v>
      </c>
      <c r="AE221" s="52"/>
      <c r="AF221" s="52"/>
      <c r="AG221" s="52"/>
      <c r="AH221" s="52"/>
      <c r="AI221" s="52"/>
      <c r="AJ221" s="52"/>
      <c r="AK221" s="52"/>
      <c r="AL221" s="52"/>
      <c r="AM221" s="52"/>
      <c r="AN221" s="52"/>
      <c r="AO221" s="52"/>
    </row>
    <row r="222" spans="1:41">
      <c r="A222" s="484" t="s">
        <v>348</v>
      </c>
      <c r="B222" s="52"/>
      <c r="C222" s="657">
        <f>C219+C220+C221</f>
        <v>281.18562874251495</v>
      </c>
      <c r="D222" s="657">
        <f t="shared" ref="D222:K222" si="168">D219+D220+D221</f>
        <v>473.33333333333331</v>
      </c>
      <c r="E222" s="657">
        <f t="shared" si="168"/>
        <v>399.6</v>
      </c>
      <c r="F222" s="822">
        <f t="shared" si="168"/>
        <v>463.51807228915663</v>
      </c>
      <c r="G222" s="657">
        <f t="shared" si="168"/>
        <v>461.40151749927878</v>
      </c>
      <c r="H222" s="657">
        <f t="shared" si="168"/>
        <v>501.13854410058991</v>
      </c>
      <c r="I222" s="657">
        <f t="shared" si="168"/>
        <v>545.02613614552786</v>
      </c>
      <c r="J222" s="657">
        <f t="shared" si="168"/>
        <v>592.66839045995278</v>
      </c>
      <c r="K222" s="827">
        <f t="shared" si="168"/>
        <v>643.42169085188709</v>
      </c>
      <c r="L222" s="52"/>
      <c r="M222" s="52"/>
      <c r="N222" s="52"/>
      <c r="O222" s="52"/>
      <c r="P222" s="52"/>
      <c r="Q222" s="52"/>
      <c r="R222" s="52"/>
      <c r="S222" s="52"/>
      <c r="T222" s="484" t="s">
        <v>348</v>
      </c>
      <c r="U222" s="52"/>
      <c r="V222" s="657">
        <f>V219+V220+V221</f>
        <v>281.18562874251495</v>
      </c>
      <c r="W222" s="657">
        <f t="shared" ref="W222:Y222" si="169">W219+W220+W221</f>
        <v>473.33333333333331</v>
      </c>
      <c r="X222" s="657">
        <f t="shared" si="169"/>
        <v>399.6</v>
      </c>
      <c r="Y222" s="482">
        <f t="shared" si="169"/>
        <v>463.51807228915663</v>
      </c>
      <c r="Z222" s="657">
        <v>505.46046706402529</v>
      </c>
      <c r="AA222" s="657">
        <v>531.28267172991889</v>
      </c>
      <c r="AB222" s="657">
        <v>560.96024076156448</v>
      </c>
      <c r="AC222" s="657">
        <v>594.71957505995306</v>
      </c>
      <c r="AD222" s="827">
        <v>632.54517403054979</v>
      </c>
      <c r="AE222" s="52"/>
      <c r="AF222" s="52"/>
      <c r="AG222" s="52"/>
      <c r="AH222" s="52"/>
      <c r="AI222" s="52"/>
      <c r="AJ222" s="52"/>
      <c r="AK222" s="52"/>
      <c r="AL222" s="52"/>
      <c r="AM222" s="52"/>
      <c r="AN222" s="52"/>
      <c r="AO222" s="52"/>
    </row>
    <row r="223" spans="1:41">
      <c r="A223" s="484"/>
      <c r="B223" s="52"/>
      <c r="C223" s="52"/>
      <c r="D223" s="52"/>
      <c r="E223" s="52"/>
      <c r="F223" s="369"/>
      <c r="G223" s="52"/>
      <c r="H223" s="52"/>
      <c r="I223" s="52"/>
      <c r="J223" s="52"/>
      <c r="K223" s="278"/>
      <c r="L223" s="612"/>
      <c r="M223" s="612"/>
      <c r="N223" s="612"/>
      <c r="O223" s="612"/>
      <c r="P223" s="612"/>
      <c r="Q223" s="612"/>
      <c r="R223" s="612"/>
      <c r="S223" s="612"/>
      <c r="T223" s="484"/>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5" t="s">
        <v>370</v>
      </c>
      <c r="B224" s="52"/>
      <c r="C224" s="52">
        <f>B193-C193</f>
        <v>25</v>
      </c>
      <c r="D224" s="52">
        <f t="shared" ref="D224:F224" si="170">C193-D193</f>
        <v>12</v>
      </c>
      <c r="E224" s="52">
        <f t="shared" si="170"/>
        <v>-40</v>
      </c>
      <c r="F224" s="369">
        <f t="shared" si="170"/>
        <v>3</v>
      </c>
      <c r="G224" s="52"/>
      <c r="H224" s="52"/>
      <c r="I224" s="52"/>
      <c r="J224" s="52"/>
      <c r="K224" s="278"/>
      <c r="L224" s="52"/>
      <c r="M224" s="612"/>
      <c r="N224" s="52"/>
      <c r="O224" s="612"/>
      <c r="P224" s="612"/>
      <c r="Q224" s="52"/>
      <c r="R224" s="612"/>
      <c r="S224" s="612"/>
      <c r="T224" s="465" t="s">
        <v>370</v>
      </c>
      <c r="U224" s="52"/>
      <c r="V224" s="52">
        <f>C224</f>
        <v>25</v>
      </c>
      <c r="W224" s="52">
        <f t="shared" ref="W224:Y227" si="171">D224</f>
        <v>12</v>
      </c>
      <c r="X224" s="52">
        <f t="shared" si="171"/>
        <v>-40</v>
      </c>
      <c r="Y224" s="369">
        <f t="shared" si="171"/>
        <v>3</v>
      </c>
      <c r="Z224" s="52"/>
      <c r="AA224" s="52"/>
      <c r="AB224" s="52"/>
      <c r="AC224" s="52"/>
      <c r="AD224" s="278"/>
      <c r="AE224" s="52"/>
      <c r="AF224" s="52"/>
      <c r="AG224" s="52"/>
      <c r="AH224" s="52"/>
      <c r="AI224" s="52"/>
      <c r="AJ224" s="52"/>
      <c r="AK224" s="52"/>
      <c r="AL224" s="52"/>
      <c r="AM224" s="52"/>
      <c r="AN224" s="52"/>
      <c r="AO224" s="52"/>
    </row>
    <row r="225" spans="1:41">
      <c r="A225" s="465" t="s">
        <v>349</v>
      </c>
      <c r="B225" s="52"/>
      <c r="C225" s="52">
        <f>B194-C194</f>
        <v>-336</v>
      </c>
      <c r="D225" s="52">
        <f t="shared" ref="D225:F225" si="172">C194-D194</f>
        <v>150</v>
      </c>
      <c r="E225" s="52">
        <f t="shared" si="172"/>
        <v>-110</v>
      </c>
      <c r="F225" s="369">
        <f t="shared" si="172"/>
        <v>-71</v>
      </c>
      <c r="G225" s="52"/>
      <c r="H225" s="52"/>
      <c r="I225" s="52"/>
      <c r="J225" s="52"/>
      <c r="K225" s="278"/>
      <c r="L225" s="52"/>
      <c r="M225" s="52"/>
      <c r="N225" s="52"/>
      <c r="O225" s="52"/>
      <c r="P225" s="52"/>
      <c r="Q225" s="52"/>
      <c r="R225" s="52"/>
      <c r="S225" s="52"/>
      <c r="T225" s="465" t="s">
        <v>349</v>
      </c>
      <c r="U225" s="52"/>
      <c r="V225" s="52">
        <f t="shared" ref="V225:V230" si="173">C225</f>
        <v>-336</v>
      </c>
      <c r="W225" s="52">
        <f t="shared" si="171"/>
        <v>150</v>
      </c>
      <c r="X225" s="52">
        <f t="shared" si="171"/>
        <v>-110</v>
      </c>
      <c r="Y225" s="369">
        <f t="shared" si="171"/>
        <v>-71</v>
      </c>
      <c r="Z225" s="52"/>
      <c r="AA225" s="52"/>
      <c r="AB225" s="52"/>
      <c r="AC225" s="52"/>
      <c r="AD225" s="278"/>
      <c r="AE225" s="52"/>
      <c r="AF225" s="52"/>
      <c r="AG225" s="52"/>
      <c r="AH225" s="52"/>
      <c r="AI225" s="52"/>
      <c r="AJ225" s="52"/>
      <c r="AK225" s="52"/>
      <c r="AL225" s="52"/>
      <c r="AM225" s="52"/>
      <c r="AN225" s="52"/>
      <c r="AO225" s="52"/>
    </row>
    <row r="226" spans="1:41">
      <c r="A226" s="465" t="s">
        <v>369</v>
      </c>
      <c r="B226" s="52"/>
      <c r="C226" s="52">
        <f>B195-C195</f>
        <v>214</v>
      </c>
      <c r="D226" s="52">
        <f t="shared" ref="D226:F226" si="174">C195-D195</f>
        <v>-3</v>
      </c>
      <c r="E226" s="52">
        <f t="shared" si="174"/>
        <v>32</v>
      </c>
      <c r="F226" s="369">
        <f t="shared" si="174"/>
        <v>68</v>
      </c>
      <c r="G226" s="52"/>
      <c r="H226" s="52"/>
      <c r="I226" s="52"/>
      <c r="J226" s="52"/>
      <c r="K226" s="278"/>
      <c r="L226" s="52"/>
      <c r="M226" s="612"/>
      <c r="N226" s="52"/>
      <c r="O226" s="612"/>
      <c r="P226" s="612"/>
      <c r="Q226" s="52"/>
      <c r="R226" s="612"/>
      <c r="S226" s="612"/>
      <c r="T226" s="465" t="s">
        <v>369</v>
      </c>
      <c r="U226" s="52"/>
      <c r="V226" s="52">
        <f t="shared" si="173"/>
        <v>214</v>
      </c>
      <c r="W226" s="52">
        <f t="shared" si="171"/>
        <v>-3</v>
      </c>
      <c r="X226" s="52">
        <f t="shared" si="171"/>
        <v>32</v>
      </c>
      <c r="Y226" s="369">
        <f t="shared" si="171"/>
        <v>68</v>
      </c>
      <c r="Z226" s="52"/>
      <c r="AA226" s="52"/>
      <c r="AB226" s="52"/>
      <c r="AC226" s="52"/>
      <c r="AD226" s="278"/>
      <c r="AE226" s="52"/>
      <c r="AF226" s="52"/>
      <c r="AG226" s="52"/>
      <c r="AH226" s="52"/>
      <c r="AI226" s="52"/>
      <c r="AJ226" s="52"/>
      <c r="AK226" s="52"/>
      <c r="AL226" s="52"/>
      <c r="AM226" s="52"/>
      <c r="AN226" s="52"/>
      <c r="AO226" s="52"/>
    </row>
    <row r="227" spans="1:41">
      <c r="A227" s="465" t="s">
        <v>371</v>
      </c>
      <c r="B227" s="52"/>
      <c r="C227" s="52">
        <f>SUM(C224:C226)</f>
        <v>-97</v>
      </c>
      <c r="D227" s="52">
        <f t="shared" ref="D227:F227" si="175">SUM(D224:D226)</f>
        <v>159</v>
      </c>
      <c r="E227" s="52">
        <f t="shared" si="175"/>
        <v>-118</v>
      </c>
      <c r="F227" s="369">
        <f t="shared" si="175"/>
        <v>0</v>
      </c>
      <c r="G227" s="52"/>
      <c r="H227" s="52"/>
      <c r="I227" s="52"/>
      <c r="J227" s="52"/>
      <c r="K227" s="278"/>
      <c r="L227" s="52"/>
      <c r="M227" s="52"/>
      <c r="N227" s="52"/>
      <c r="O227" s="52"/>
      <c r="P227" s="52"/>
      <c r="Q227" s="52"/>
      <c r="R227" s="52"/>
      <c r="S227" s="52"/>
      <c r="T227" s="465" t="s">
        <v>371</v>
      </c>
      <c r="U227" s="52"/>
      <c r="V227" s="52">
        <f t="shared" si="173"/>
        <v>-97</v>
      </c>
      <c r="W227" s="52">
        <f t="shared" si="171"/>
        <v>159</v>
      </c>
      <c r="X227" s="52">
        <f t="shared" si="171"/>
        <v>-118</v>
      </c>
      <c r="Y227" s="369">
        <f t="shared" si="171"/>
        <v>0</v>
      </c>
      <c r="Z227" s="52"/>
      <c r="AA227" s="52"/>
      <c r="AB227" s="52"/>
      <c r="AC227" s="52"/>
      <c r="AD227" s="278"/>
      <c r="AE227" s="52"/>
      <c r="AF227" s="52"/>
      <c r="AG227" s="52"/>
      <c r="AH227" s="52"/>
      <c r="AI227" s="52"/>
      <c r="AJ227" s="52"/>
      <c r="AK227" s="52"/>
      <c r="AL227" s="52"/>
      <c r="AM227" s="52"/>
      <c r="AN227" s="52"/>
      <c r="AO227" s="52"/>
    </row>
    <row r="228" spans="1:41">
      <c r="A228" s="465"/>
      <c r="B228" s="52"/>
      <c r="C228" s="52"/>
      <c r="D228" s="52"/>
      <c r="E228" s="52"/>
      <c r="F228" s="369"/>
      <c r="G228" s="52"/>
      <c r="H228" s="52"/>
      <c r="I228" s="52"/>
      <c r="J228" s="52"/>
      <c r="K228" s="278"/>
      <c r="L228" s="52"/>
      <c r="M228" s="52"/>
      <c r="N228" s="52"/>
      <c r="O228" s="52"/>
      <c r="P228" s="52"/>
      <c r="Q228" s="52"/>
      <c r="R228" s="52"/>
      <c r="S228" s="52"/>
      <c r="T228" s="465"/>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5" t="s">
        <v>760</v>
      </c>
      <c r="B229" s="609"/>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5" t="s">
        <v>760</v>
      </c>
      <c r="U229" s="609"/>
      <c r="V229" s="52">
        <f t="shared" si="173"/>
        <v>-59</v>
      </c>
      <c r="W229" s="52">
        <f t="shared" ref="W229:W230" si="176">D229</f>
        <v>132</v>
      </c>
      <c r="X229" s="52">
        <f t="shared" ref="X229:X230" si="177">E229</f>
        <v>53</v>
      </c>
      <c r="Y229" s="369">
        <f t="shared" ref="Y229:Y230" si="178">F229</f>
        <v>-155</v>
      </c>
      <c r="Z229" s="52"/>
      <c r="AA229" s="52"/>
      <c r="AB229" s="52"/>
      <c r="AC229" s="52"/>
      <c r="AD229" s="278"/>
      <c r="AE229" s="52"/>
      <c r="AF229" s="52"/>
      <c r="AG229" s="52"/>
      <c r="AH229" s="52"/>
      <c r="AI229" s="52"/>
      <c r="AJ229" s="52"/>
      <c r="AK229" s="52"/>
      <c r="AL229" s="52"/>
      <c r="AM229" s="52"/>
      <c r="AN229" s="52"/>
      <c r="AO229" s="52"/>
    </row>
    <row r="230" spans="1:41">
      <c r="A230" s="659"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1"/>
      <c r="N230" s="1"/>
      <c r="O230" s="481"/>
      <c r="P230" s="481"/>
      <c r="Q230" s="1"/>
      <c r="R230" s="481"/>
      <c r="S230" s="657"/>
      <c r="T230" s="659" t="s">
        <v>351</v>
      </c>
      <c r="U230" s="376"/>
      <c r="V230" s="101">
        <f t="shared" si="173"/>
        <v>210</v>
      </c>
      <c r="W230" s="101">
        <f t="shared" si="176"/>
        <v>-220</v>
      </c>
      <c r="X230" s="101">
        <f t="shared" si="177"/>
        <v>90</v>
      </c>
      <c r="Y230" s="99">
        <f t="shared" si="178"/>
        <v>236</v>
      </c>
      <c r="Z230" s="101"/>
      <c r="AA230" s="101"/>
      <c r="AB230" s="101"/>
      <c r="AC230" s="101"/>
      <c r="AD230" s="279"/>
      <c r="AE230" s="52"/>
      <c r="AF230" s="52"/>
      <c r="AG230" s="52"/>
      <c r="AH230" s="52"/>
      <c r="AI230" s="52"/>
      <c r="AJ230" s="52"/>
      <c r="AK230" s="52"/>
      <c r="AL230" s="52"/>
      <c r="AM230" s="52"/>
      <c r="AN230" s="52"/>
      <c r="AO230" s="52"/>
    </row>
    <row r="231" spans="1:41">
      <c r="A231" s="465" t="s">
        <v>372</v>
      </c>
      <c r="B231" s="52"/>
      <c r="C231" s="657">
        <f>C227+C229+C230</f>
        <v>54</v>
      </c>
      <c r="D231" s="657">
        <f t="shared" ref="D231:F231" si="179">D227+D229+D230</f>
        <v>71</v>
      </c>
      <c r="E231" s="657">
        <f t="shared" si="179"/>
        <v>25</v>
      </c>
      <c r="F231" s="822">
        <f t="shared" si="179"/>
        <v>81</v>
      </c>
      <c r="G231" s="657">
        <f>F200-G200</f>
        <v>-24.89629364354272</v>
      </c>
      <c r="H231" s="657">
        <f t="shared" ref="H231:K231" si="180">G200-H200</f>
        <v>-25.600468902423472</v>
      </c>
      <c r="I231" s="657">
        <f t="shared" si="180"/>
        <v>-26.320274634131692</v>
      </c>
      <c r="J231" s="657">
        <f t="shared" si="180"/>
        <v>-27.056022942647473</v>
      </c>
      <c r="K231" s="834">
        <f t="shared" si="180"/>
        <v>-27.407044691468002</v>
      </c>
      <c r="L231" s="52"/>
      <c r="M231" s="468"/>
      <c r="N231" s="1"/>
      <c r="O231" s="468"/>
      <c r="P231" s="468"/>
      <c r="Q231" s="1"/>
      <c r="R231" s="468"/>
      <c r="S231" s="798"/>
      <c r="T231" s="465" t="s">
        <v>372</v>
      </c>
      <c r="U231" s="52"/>
      <c r="V231" s="657">
        <f>V227+V229+V230</f>
        <v>54</v>
      </c>
      <c r="W231" s="657">
        <f t="shared" ref="W231:Y231" si="181">W227+W229+W230</f>
        <v>71</v>
      </c>
      <c r="X231" s="657">
        <f t="shared" si="181"/>
        <v>25</v>
      </c>
      <c r="Y231" s="482">
        <f t="shared" si="181"/>
        <v>81</v>
      </c>
      <c r="Z231" s="657">
        <v>-24.89629364354272</v>
      </c>
      <c r="AA231" s="657">
        <v>-25.600468902423472</v>
      </c>
      <c r="AB231" s="657">
        <v>-26.320274634131692</v>
      </c>
      <c r="AC231" s="657">
        <v>-27.056022942647473</v>
      </c>
      <c r="AD231" s="834">
        <v>-27.407044691468002</v>
      </c>
      <c r="AE231" s="52"/>
      <c r="AF231" s="52"/>
      <c r="AG231" s="52"/>
      <c r="AH231" s="52"/>
      <c r="AI231" s="52"/>
      <c r="AJ231" s="52"/>
      <c r="AK231" s="52"/>
      <c r="AL231" s="52"/>
      <c r="AM231" s="52"/>
      <c r="AN231" s="52"/>
      <c r="AO231" s="52"/>
    </row>
    <row r="232" spans="1:41">
      <c r="A232" s="465"/>
      <c r="B232" s="52"/>
      <c r="C232" s="657"/>
      <c r="D232" s="657"/>
      <c r="E232" s="657"/>
      <c r="F232" s="482"/>
      <c r="G232" s="657"/>
      <c r="H232" s="657"/>
      <c r="I232" s="657"/>
      <c r="J232" s="657"/>
      <c r="K232" s="827"/>
      <c r="L232" s="52"/>
      <c r="M232" s="1"/>
      <c r="N232" s="1"/>
      <c r="O232" s="1"/>
      <c r="P232" s="1"/>
      <c r="Q232" s="1"/>
      <c r="R232" s="1"/>
      <c r="S232" s="52"/>
      <c r="T232" s="465"/>
      <c r="U232" s="52"/>
      <c r="V232" s="657"/>
      <c r="W232" s="657"/>
      <c r="X232" s="657"/>
      <c r="Y232" s="482"/>
      <c r="Z232" s="657"/>
      <c r="AA232" s="657"/>
      <c r="AB232" s="657"/>
      <c r="AC232" s="657"/>
      <c r="AD232" s="827"/>
      <c r="AE232" s="612"/>
      <c r="AF232" s="52"/>
      <c r="AG232" s="52"/>
      <c r="AH232" s="52"/>
      <c r="AI232" s="52"/>
      <c r="AJ232" s="52"/>
      <c r="AK232" s="52"/>
      <c r="AL232" s="52"/>
      <c r="AM232" s="52"/>
      <c r="AN232" s="52"/>
      <c r="AO232" s="52"/>
    </row>
    <row r="233" spans="1:41">
      <c r="A233" s="465" t="s">
        <v>352</v>
      </c>
      <c r="B233" s="52"/>
      <c r="C233" s="657">
        <f t="shared" ref="C233:K233" si="182">B188+B189-C188-C189 +C170</f>
        <v>-1066</v>
      </c>
      <c r="D233" s="657">
        <f t="shared" si="182"/>
        <v>-80</v>
      </c>
      <c r="E233" s="657">
        <f t="shared" si="182"/>
        <v>-1076</v>
      </c>
      <c r="F233" s="482">
        <f t="shared" si="182"/>
        <v>-837</v>
      </c>
      <c r="G233" s="657">
        <f t="shared" si="182"/>
        <v>-868.52763987521871</v>
      </c>
      <c r="H233" s="657">
        <f t="shared" si="182"/>
        <v>-881.69675803745099</v>
      </c>
      <c r="I233" s="657">
        <f t="shared" si="182"/>
        <v>-895.06555398218359</v>
      </c>
      <c r="J233" s="657">
        <f t="shared" si="182"/>
        <v>-908.63705533938719</v>
      </c>
      <c r="K233" s="827">
        <f t="shared" si="182"/>
        <v>-922.0729927657602</v>
      </c>
      <c r="L233" s="52"/>
      <c r="M233" s="1"/>
      <c r="N233" s="1"/>
      <c r="O233" s="1"/>
      <c r="P233" s="1"/>
      <c r="Q233" s="1"/>
      <c r="R233" s="1"/>
      <c r="S233" s="52"/>
      <c r="T233" s="465" t="s">
        <v>352</v>
      </c>
      <c r="U233" s="52"/>
      <c r="V233" s="657">
        <f>C233</f>
        <v>-1066</v>
      </c>
      <c r="W233" s="657">
        <f t="shared" ref="W233:Y238" si="183">D233</f>
        <v>-80</v>
      </c>
      <c r="X233" s="657">
        <f t="shared" si="183"/>
        <v>-1076</v>
      </c>
      <c r="Y233" s="482">
        <f t="shared" si="183"/>
        <v>-837</v>
      </c>
      <c r="Z233" s="657">
        <v>-868.5276398752186</v>
      </c>
      <c r="AA233" s="657">
        <v>-881.69675803745031</v>
      </c>
      <c r="AB233" s="657">
        <v>-895.06555398218325</v>
      </c>
      <c r="AC233" s="657">
        <v>-908.6370553393873</v>
      </c>
      <c r="AD233" s="827">
        <v>-922.07299276575964</v>
      </c>
      <c r="AE233" s="52"/>
      <c r="AF233" s="52"/>
      <c r="AG233" s="52"/>
      <c r="AH233" s="52"/>
      <c r="AI233" s="52"/>
      <c r="AJ233" s="52"/>
      <c r="AK233" s="52"/>
      <c r="AL233" s="52"/>
      <c r="AM233" s="52"/>
      <c r="AN233" s="52"/>
      <c r="AO233" s="52"/>
    </row>
    <row r="234" spans="1:41">
      <c r="A234" s="465" t="s">
        <v>353</v>
      </c>
      <c r="B234" s="52"/>
      <c r="C234" s="657">
        <f t="shared" ref="C234:K234" si="184">-C170</f>
        <v>648</v>
      </c>
      <c r="D234" s="657">
        <f t="shared" si="184"/>
        <v>444</v>
      </c>
      <c r="E234" s="657">
        <f t="shared" si="184"/>
        <v>623</v>
      </c>
      <c r="F234" s="482">
        <f t="shared" si="184"/>
        <v>511</v>
      </c>
      <c r="G234" s="657">
        <f t="shared" si="184"/>
        <v>607.30367267200131</v>
      </c>
      <c r="H234" s="657">
        <f t="shared" si="184"/>
        <v>625.32466501126805</v>
      </c>
      <c r="I234" s="657">
        <f t="shared" si="184"/>
        <v>643.06109913135867</v>
      </c>
      <c r="J234" s="657">
        <f t="shared" si="184"/>
        <v>660.54787130240038</v>
      </c>
      <c r="K234" s="827">
        <f t="shared" si="184"/>
        <v>677.81733591679711</v>
      </c>
      <c r="L234" s="52"/>
      <c r="M234" s="481"/>
      <c r="N234" s="1"/>
      <c r="O234" s="481"/>
      <c r="P234" s="481"/>
      <c r="Q234" s="1"/>
      <c r="R234" s="481"/>
      <c r="S234" s="657"/>
      <c r="T234" s="465" t="s">
        <v>353</v>
      </c>
      <c r="U234" s="52"/>
      <c r="V234" s="657">
        <f t="shared" ref="V234:V238" si="185">C234</f>
        <v>648</v>
      </c>
      <c r="W234" s="657">
        <f t="shared" si="183"/>
        <v>444</v>
      </c>
      <c r="X234" s="657">
        <f t="shared" si="183"/>
        <v>623</v>
      </c>
      <c r="Y234" s="482">
        <f t="shared" si="183"/>
        <v>511</v>
      </c>
      <c r="Z234" s="657">
        <v>545.85972697982118</v>
      </c>
      <c r="AA234" s="657">
        <v>583.80615608351354</v>
      </c>
      <c r="AB234" s="657">
        <v>620.59997112771589</v>
      </c>
      <c r="AC234" s="657">
        <v>656.16444581394455</v>
      </c>
      <c r="AD234" s="827">
        <v>690.76455974331634</v>
      </c>
      <c r="AE234" s="52"/>
      <c r="AF234" s="52"/>
      <c r="AG234" s="52"/>
      <c r="AH234" s="52"/>
      <c r="AI234" s="52"/>
      <c r="AJ234" s="52"/>
      <c r="AK234" s="52"/>
      <c r="AL234" s="52"/>
      <c r="AM234" s="52"/>
      <c r="AN234" s="52"/>
      <c r="AO234" s="52"/>
    </row>
    <row r="235" spans="1:41">
      <c r="A235" s="465" t="s">
        <v>354</v>
      </c>
      <c r="B235" s="52"/>
      <c r="C235" s="657">
        <f t="shared" ref="C235:K235" si="186">B86-C86</f>
        <v>95</v>
      </c>
      <c r="D235" s="657">
        <f t="shared" si="186"/>
        <v>-46</v>
      </c>
      <c r="E235" s="657">
        <f t="shared" si="186"/>
        <v>17</v>
      </c>
      <c r="F235" s="482">
        <f t="shared" si="186"/>
        <v>34</v>
      </c>
      <c r="G235" s="657">
        <f t="shared" si="186"/>
        <v>0</v>
      </c>
      <c r="H235" s="657">
        <f t="shared" si="186"/>
        <v>0</v>
      </c>
      <c r="I235" s="657">
        <f t="shared" si="186"/>
        <v>0</v>
      </c>
      <c r="J235" s="657">
        <f t="shared" si="186"/>
        <v>0</v>
      </c>
      <c r="K235" s="827">
        <f t="shared" si="186"/>
        <v>0</v>
      </c>
      <c r="L235" s="52"/>
      <c r="M235" s="415"/>
      <c r="N235" s="1"/>
      <c r="O235" s="415"/>
      <c r="P235" s="415"/>
      <c r="Q235" s="1"/>
      <c r="R235" s="415"/>
      <c r="S235" s="610"/>
      <c r="T235" s="465" t="s">
        <v>354</v>
      </c>
      <c r="U235" s="52"/>
      <c r="V235" s="657">
        <f t="shared" si="185"/>
        <v>95</v>
      </c>
      <c r="W235" s="657">
        <f t="shared" si="183"/>
        <v>-46</v>
      </c>
      <c r="X235" s="657">
        <f t="shared" si="183"/>
        <v>17</v>
      </c>
      <c r="Y235" s="482">
        <f t="shared" si="183"/>
        <v>34</v>
      </c>
      <c r="Z235" s="657">
        <v>0</v>
      </c>
      <c r="AA235" s="657">
        <v>0</v>
      </c>
      <c r="AB235" s="657">
        <v>0</v>
      </c>
      <c r="AC235" s="657">
        <v>0</v>
      </c>
      <c r="AD235" s="827">
        <v>0</v>
      </c>
      <c r="AE235" s="52"/>
      <c r="AF235" s="52"/>
      <c r="AG235" s="52"/>
      <c r="AH235" s="52"/>
      <c r="AI235" s="52"/>
      <c r="AJ235" s="52"/>
      <c r="AK235" s="52"/>
      <c r="AL235" s="52"/>
      <c r="AM235" s="52"/>
      <c r="AN235" s="52"/>
      <c r="AO235" s="52"/>
    </row>
    <row r="236" spans="1:41">
      <c r="A236" s="465" t="s">
        <v>355</v>
      </c>
      <c r="B236" s="52"/>
      <c r="C236" s="657">
        <f>B203-C203</f>
        <v>33</v>
      </c>
      <c r="D236" s="657">
        <f t="shared" ref="D236:F236" si="187">C203-D203</f>
        <v>-46</v>
      </c>
      <c r="E236" s="657">
        <f t="shared" si="187"/>
        <v>-5</v>
      </c>
      <c r="F236" s="482">
        <f t="shared" si="187"/>
        <v>-7</v>
      </c>
      <c r="G236" s="657">
        <f t="shared" ref="G236:K236" si="188">F203-G203</f>
        <v>0</v>
      </c>
      <c r="H236" s="657">
        <f t="shared" si="188"/>
        <v>0</v>
      </c>
      <c r="I236" s="657">
        <f t="shared" si="188"/>
        <v>0</v>
      </c>
      <c r="J236" s="657">
        <f t="shared" si="188"/>
        <v>0</v>
      </c>
      <c r="K236" s="827">
        <f t="shared" si="188"/>
        <v>0</v>
      </c>
      <c r="L236" s="52"/>
      <c r="M236" s="1"/>
      <c r="N236" s="1"/>
      <c r="O236" s="1"/>
      <c r="P236" s="1"/>
      <c r="Q236" s="1"/>
      <c r="R236" s="1"/>
      <c r="S236" s="52"/>
      <c r="T236" s="465" t="s">
        <v>355</v>
      </c>
      <c r="U236" s="52"/>
      <c r="V236" s="657">
        <f t="shared" si="185"/>
        <v>33</v>
      </c>
      <c r="W236" s="657">
        <f t="shared" si="183"/>
        <v>-46</v>
      </c>
      <c r="X236" s="657">
        <f t="shared" si="183"/>
        <v>-5</v>
      </c>
      <c r="Y236" s="482">
        <f t="shared" si="183"/>
        <v>-7</v>
      </c>
      <c r="Z236" s="657">
        <v>0</v>
      </c>
      <c r="AA236" s="657">
        <v>0</v>
      </c>
      <c r="AB236" s="657">
        <v>0</v>
      </c>
      <c r="AC236" s="657">
        <v>0</v>
      </c>
      <c r="AD236" s="827">
        <v>0</v>
      </c>
      <c r="AE236" s="52"/>
      <c r="AF236" s="52"/>
      <c r="AG236" s="52"/>
      <c r="AH236" s="52"/>
      <c r="AI236" s="52"/>
      <c r="AJ236" s="52"/>
      <c r="AK236" s="52"/>
      <c r="AL236" s="52"/>
      <c r="AM236" s="52"/>
      <c r="AN236" s="52"/>
      <c r="AO236" s="52"/>
    </row>
    <row r="237" spans="1:41">
      <c r="A237" s="465" t="s">
        <v>368</v>
      </c>
      <c r="B237" s="52"/>
      <c r="C237" s="657">
        <f>B202-C202</f>
        <v>-33</v>
      </c>
      <c r="D237" s="657">
        <f t="shared" ref="D237:F237" si="189">C202-D202</f>
        <v>40</v>
      </c>
      <c r="E237" s="657">
        <f t="shared" si="189"/>
        <v>37</v>
      </c>
      <c r="F237" s="482">
        <f t="shared" si="189"/>
        <v>-13</v>
      </c>
      <c r="G237" s="657">
        <f t="shared" ref="G237:K237" si="190">F202-G202</f>
        <v>0</v>
      </c>
      <c r="H237" s="657">
        <f t="shared" si="190"/>
        <v>0</v>
      </c>
      <c r="I237" s="657">
        <f t="shared" si="190"/>
        <v>0</v>
      </c>
      <c r="J237" s="657">
        <f t="shared" si="190"/>
        <v>0</v>
      </c>
      <c r="K237" s="827">
        <f t="shared" si="190"/>
        <v>0</v>
      </c>
      <c r="L237" s="52"/>
      <c r="M237" s="1"/>
      <c r="N237" s="1"/>
      <c r="O237" s="1"/>
      <c r="P237" s="1"/>
      <c r="Q237" s="1"/>
      <c r="R237" s="1"/>
      <c r="S237" s="52"/>
      <c r="T237" s="465" t="s">
        <v>368</v>
      </c>
      <c r="U237" s="52"/>
      <c r="V237" s="657">
        <f t="shared" si="185"/>
        <v>-33</v>
      </c>
      <c r="W237" s="657">
        <f t="shared" si="183"/>
        <v>40</v>
      </c>
      <c r="X237" s="657">
        <f t="shared" si="183"/>
        <v>37</v>
      </c>
      <c r="Y237" s="482">
        <f t="shared" si="183"/>
        <v>-13</v>
      </c>
      <c r="Z237" s="657">
        <v>0</v>
      </c>
      <c r="AA237" s="657">
        <v>0</v>
      </c>
      <c r="AB237" s="657">
        <v>0</v>
      </c>
      <c r="AC237" s="657">
        <v>0</v>
      </c>
      <c r="AD237" s="827">
        <v>0</v>
      </c>
      <c r="AE237" s="52"/>
      <c r="AF237" s="52"/>
      <c r="AG237" s="52"/>
      <c r="AH237" s="52"/>
      <c r="AI237" s="52"/>
      <c r="AJ237" s="52"/>
      <c r="AK237" s="52"/>
      <c r="AL237" s="52"/>
      <c r="AM237" s="52"/>
      <c r="AN237" s="52"/>
      <c r="AO237" s="52"/>
    </row>
    <row r="238" spans="1:41">
      <c r="A238" s="659" t="s">
        <v>356</v>
      </c>
      <c r="B238" s="101"/>
      <c r="C238" s="469">
        <f>'Reorganised Statements'!D140</f>
        <v>20</v>
      </c>
      <c r="D238" s="469">
        <f>'Reorganised Statements'!E140</f>
        <v>-91</v>
      </c>
      <c r="E238" s="469">
        <f>'Reorganised Statements'!F140</f>
        <v>11</v>
      </c>
      <c r="F238" s="470">
        <f>'Reorganised Statements'!G140</f>
        <v>-3</v>
      </c>
      <c r="G238" s="469">
        <v>-3.9753045894325085</v>
      </c>
      <c r="H238" s="469">
        <v>-4.2924410555657548</v>
      </c>
      <c r="I238" s="469">
        <v>-4.7729269176391718</v>
      </c>
      <c r="J238" s="469">
        <v>-5.3497872540639371</v>
      </c>
      <c r="K238" s="829">
        <v>-5.9029515610100454</v>
      </c>
      <c r="L238" s="612"/>
      <c r="M238" s="446"/>
      <c r="N238" s="446"/>
      <c r="O238" s="446"/>
      <c r="P238" s="446"/>
      <c r="Q238" s="446"/>
      <c r="R238" s="446"/>
      <c r="S238" s="612"/>
      <c r="T238" s="659" t="s">
        <v>356</v>
      </c>
      <c r="U238" s="376"/>
      <c r="V238" s="469">
        <f t="shared" si="185"/>
        <v>20</v>
      </c>
      <c r="W238" s="469">
        <f t="shared" si="183"/>
        <v>-91</v>
      </c>
      <c r="X238" s="469">
        <f t="shared" si="183"/>
        <v>11</v>
      </c>
      <c r="Y238" s="470">
        <f t="shared" si="183"/>
        <v>-3</v>
      </c>
      <c r="Z238" s="469">
        <v>-3.9753045894325085</v>
      </c>
      <c r="AA238" s="469">
        <v>-4.2924410555657548</v>
      </c>
      <c r="AB238" s="469">
        <v>-4.7729269176391718</v>
      </c>
      <c r="AC238" s="469">
        <v>-5.3497872540639371</v>
      </c>
      <c r="AD238" s="829">
        <v>-5.9029515610100454</v>
      </c>
      <c r="AE238" s="52"/>
      <c r="AF238" s="52"/>
      <c r="AG238" s="52"/>
      <c r="AH238" s="52"/>
      <c r="AI238" s="52"/>
      <c r="AJ238" s="52"/>
      <c r="AK238" s="52"/>
      <c r="AL238" s="52"/>
      <c r="AM238" s="52"/>
      <c r="AN238" s="52"/>
      <c r="AO238" s="52"/>
    </row>
    <row r="239" spans="1:41">
      <c r="A239" s="465" t="s">
        <v>357</v>
      </c>
      <c r="B239" s="52"/>
      <c r="C239" s="657">
        <f>C222+C231+C233+C234+C235+C236+C237+C238</f>
        <v>32.18562874251495</v>
      </c>
      <c r="D239" s="657">
        <f t="shared" ref="D239:K239" si="191">D222+D231+D233+D234+D235+D236+D237+D238</f>
        <v>765.33333333333326</v>
      </c>
      <c r="E239" s="657">
        <f t="shared" si="191"/>
        <v>31.600000000000023</v>
      </c>
      <c r="F239" s="482">
        <f t="shared" si="191"/>
        <v>229.51807228915663</v>
      </c>
      <c r="G239" s="657">
        <f t="shared" si="191"/>
        <v>171.30595206308615</v>
      </c>
      <c r="H239" s="657">
        <f t="shared" si="191"/>
        <v>214.87354111641775</v>
      </c>
      <c r="I239" s="657">
        <f t="shared" si="191"/>
        <v>261.9284797429321</v>
      </c>
      <c r="J239" s="657">
        <f t="shared" si="191"/>
        <v>312.17339622625457</v>
      </c>
      <c r="K239" s="834">
        <f t="shared" si="191"/>
        <v>365.85603775044586</v>
      </c>
      <c r="L239" s="52"/>
      <c r="M239" s="1"/>
      <c r="N239" s="1"/>
      <c r="O239" s="1"/>
      <c r="P239" s="1"/>
      <c r="Q239" s="1"/>
      <c r="R239" s="1"/>
      <c r="S239" s="52"/>
      <c r="T239" s="655" t="s">
        <v>357</v>
      </c>
      <c r="U239" s="100"/>
      <c r="V239" s="656">
        <f>V222+V231+V233+V234+V235+V236+V237+V238</f>
        <v>32.18562874251495</v>
      </c>
      <c r="W239" s="656">
        <f t="shared" ref="W239:Y239" si="192">W222+W231+W233+W234+W235+W236+W237+W238</f>
        <v>765.33333333333326</v>
      </c>
      <c r="X239" s="656">
        <f t="shared" si="192"/>
        <v>31.600000000000023</v>
      </c>
      <c r="Y239" s="477">
        <f t="shared" si="192"/>
        <v>229.51807228915663</v>
      </c>
      <c r="Z239" s="656">
        <v>153.92095593565264</v>
      </c>
      <c r="AA239" s="656">
        <v>203.4991598179929</v>
      </c>
      <c r="AB239" s="656">
        <v>255.40145635532625</v>
      </c>
      <c r="AC239" s="656">
        <v>309.84115533779891</v>
      </c>
      <c r="AD239" s="830">
        <v>367.92674475562848</v>
      </c>
      <c r="AE239" s="52"/>
      <c r="AF239" s="52"/>
      <c r="AG239" s="52"/>
      <c r="AH239" s="52"/>
      <c r="AI239" s="52"/>
      <c r="AJ239" s="52"/>
      <c r="AK239" s="52"/>
      <c r="AL239" s="52"/>
      <c r="AM239" s="52"/>
      <c r="AN239" s="52"/>
      <c r="AO239" s="52"/>
    </row>
    <row r="240" spans="1:41">
      <c r="A240" s="465"/>
      <c r="B240" s="52"/>
      <c r="C240" s="657"/>
      <c r="D240" s="657"/>
      <c r="E240" s="657"/>
      <c r="F240" s="482"/>
      <c r="G240" s="657"/>
      <c r="H240" s="657"/>
      <c r="I240" s="657"/>
      <c r="J240" s="657"/>
      <c r="K240" s="827"/>
      <c r="L240" s="370"/>
      <c r="M240" s="371"/>
      <c r="N240" s="371"/>
      <c r="O240" s="371"/>
      <c r="P240" s="371"/>
      <c r="Q240" s="371"/>
      <c r="R240" s="371"/>
      <c r="S240" s="370"/>
      <c r="T240" s="465"/>
      <c r="U240" s="52"/>
      <c r="V240" s="657"/>
      <c r="W240" s="657"/>
      <c r="X240" s="657"/>
      <c r="Y240" s="482"/>
      <c r="Z240" s="657"/>
      <c r="AA240" s="657"/>
      <c r="AB240" s="657"/>
      <c r="AC240" s="657"/>
      <c r="AD240" s="827"/>
      <c r="AE240" s="52"/>
      <c r="AF240" s="52"/>
      <c r="AG240" s="52"/>
      <c r="AH240" s="52"/>
      <c r="AI240" s="52"/>
      <c r="AJ240" s="52"/>
      <c r="AK240" s="52"/>
      <c r="AL240" s="52"/>
      <c r="AM240" s="52"/>
      <c r="AN240" s="52"/>
      <c r="AO240" s="52"/>
    </row>
    <row r="241" spans="1:41">
      <c r="A241" s="465" t="s">
        <v>359</v>
      </c>
      <c r="B241" s="52"/>
      <c r="C241" s="657">
        <f>C175 + B190-C190</f>
        <v>-108</v>
      </c>
      <c r="D241" s="657">
        <f>D175 + C190-D190</f>
        <v>-105</v>
      </c>
      <c r="E241" s="657">
        <f>E175 + D190-E190</f>
        <v>-36</v>
      </c>
      <c r="F241" s="482">
        <f>F175 + E190-F190</f>
        <v>-126</v>
      </c>
      <c r="G241" s="657">
        <f>G175+F190-G190</f>
        <v>-101.93086741299238</v>
      </c>
      <c r="H241" s="657">
        <f>H175+G190-H190</f>
        <v>-114.20862270879553</v>
      </c>
      <c r="I241" s="657">
        <f>I175+H190-I190</f>
        <v>-109.72322231947831</v>
      </c>
      <c r="J241" s="657">
        <f>J175+I190-J190</f>
        <v>-97.283036645083016</v>
      </c>
      <c r="K241" s="827">
        <f>K175+J190-K190</f>
        <v>-92.541909028653066</v>
      </c>
      <c r="L241" s="52"/>
      <c r="M241" s="1"/>
      <c r="N241" s="1"/>
      <c r="O241" s="1"/>
      <c r="P241" s="1"/>
      <c r="Q241" s="1"/>
      <c r="R241" s="1"/>
      <c r="S241" s="52"/>
      <c r="T241" s="465" t="s">
        <v>359</v>
      </c>
      <c r="U241" s="52"/>
      <c r="V241" s="657">
        <f>C241</f>
        <v>-108</v>
      </c>
      <c r="W241" s="657">
        <f t="shared" ref="W241:Y243" si="193">D241</f>
        <v>-105</v>
      </c>
      <c r="X241" s="657">
        <f t="shared" si="193"/>
        <v>-36</v>
      </c>
      <c r="Y241" s="482">
        <f t="shared" si="193"/>
        <v>-126</v>
      </c>
      <c r="Z241" s="657">
        <v>-107.83965773302464</v>
      </c>
      <c r="AA241" s="657">
        <v>-111.39857191207112</v>
      </c>
      <c r="AB241" s="657">
        <v>-115.07493704005491</v>
      </c>
      <c r="AC241" s="657">
        <v>-118.87262922207778</v>
      </c>
      <c r="AD241" s="827">
        <v>-122.88773525486037</v>
      </c>
      <c r="AE241" s="52"/>
      <c r="AF241" s="52"/>
      <c r="AG241" s="52"/>
      <c r="AH241" s="52"/>
      <c r="AI241" s="52"/>
      <c r="AJ241" s="52"/>
      <c r="AK241" s="52"/>
      <c r="AL241" s="52"/>
      <c r="AM241" s="52"/>
      <c r="AN241" s="52"/>
      <c r="AO241" s="52"/>
    </row>
    <row r="242" spans="1:41">
      <c r="A242" s="465" t="s">
        <v>360</v>
      </c>
      <c r="B242" s="52"/>
      <c r="C242" s="657">
        <f>B209-C209</f>
        <v>14</v>
      </c>
      <c r="D242" s="657">
        <f t="shared" ref="D242:F242" si="194">C209-D209</f>
        <v>143</v>
      </c>
      <c r="E242" s="657">
        <f t="shared" si="194"/>
        <v>-260</v>
      </c>
      <c r="F242" s="482">
        <f t="shared" si="194"/>
        <v>-67</v>
      </c>
      <c r="G242" s="657">
        <f>F209-G209</f>
        <v>240.43938114354978</v>
      </c>
      <c r="H242" s="657">
        <f t="shared" ref="H242:K242" si="195">G209-H209</f>
        <v>127.1048379736485</v>
      </c>
      <c r="I242" s="657">
        <f t="shared" si="195"/>
        <v>131.29953980782602</v>
      </c>
      <c r="J242" s="657">
        <f t="shared" si="195"/>
        <v>135.63267479496699</v>
      </c>
      <c r="K242" s="827">
        <f t="shared" si="195"/>
        <v>143.39750161679422</v>
      </c>
      <c r="L242" s="52"/>
      <c r="M242" s="1"/>
      <c r="N242" s="1"/>
      <c r="O242" s="1"/>
      <c r="P242" s="1"/>
      <c r="Q242" s="1"/>
      <c r="R242" s="1"/>
      <c r="S242" s="52"/>
      <c r="T242" s="465" t="s">
        <v>360</v>
      </c>
      <c r="U242" s="52"/>
      <c r="V242" s="657">
        <f t="shared" ref="V242:V243" si="196">C242</f>
        <v>14</v>
      </c>
      <c r="W242" s="657">
        <f t="shared" si="193"/>
        <v>143</v>
      </c>
      <c r="X242" s="657">
        <f t="shared" si="193"/>
        <v>-260</v>
      </c>
      <c r="Y242" s="482">
        <f t="shared" si="193"/>
        <v>-67</v>
      </c>
      <c r="Z242" s="657">
        <v>240.43938114354978</v>
      </c>
      <c r="AA242" s="657">
        <v>127.1048379736485</v>
      </c>
      <c r="AB242" s="657">
        <v>131.29953980782602</v>
      </c>
      <c r="AC242" s="657">
        <v>135.63267479496699</v>
      </c>
      <c r="AD242" s="827">
        <v>143.39750161679422</v>
      </c>
      <c r="AE242" s="52"/>
      <c r="AF242" s="52"/>
      <c r="AG242" s="52"/>
      <c r="AH242" s="52"/>
      <c r="AI242" s="52"/>
      <c r="AJ242" s="52"/>
      <c r="AK242" s="52"/>
      <c r="AL242" s="52"/>
      <c r="AM242" s="52"/>
      <c r="AN242" s="52"/>
      <c r="AO242" s="52"/>
    </row>
    <row r="243" spans="1:41">
      <c r="A243" s="659" t="s">
        <v>377</v>
      </c>
      <c r="B243" s="101"/>
      <c r="C243" s="469">
        <f>-C221</f>
        <v>39.814371257485028</v>
      </c>
      <c r="D243" s="469">
        <f t="shared" ref="D243:F243" si="197">-D221</f>
        <v>44.666666666666664</v>
      </c>
      <c r="E243" s="469">
        <f t="shared" si="197"/>
        <v>31.400000000000002</v>
      </c>
      <c r="F243" s="470">
        <f t="shared" si="197"/>
        <v>34.481927710843372</v>
      </c>
      <c r="G243" s="469">
        <f>-G221</f>
        <v>29.182808403670457</v>
      </c>
      <c r="H243" s="469">
        <f t="shared" ref="H243:K243" si="198">-H221</f>
        <v>32.729006390658689</v>
      </c>
      <c r="I243" s="469">
        <f t="shared" si="198"/>
        <v>31.331657671045356</v>
      </c>
      <c r="J243" s="469">
        <f t="shared" si="198"/>
        <v>27.647101108101289</v>
      </c>
      <c r="K243" s="829">
        <f t="shared" si="198"/>
        <v>26.233867677709359</v>
      </c>
      <c r="L243" s="52"/>
      <c r="M243" s="1"/>
      <c r="N243" s="1"/>
      <c r="O243" s="1"/>
      <c r="P243" s="1"/>
      <c r="Q243" s="1"/>
      <c r="R243" s="1"/>
      <c r="S243" s="52"/>
      <c r="T243" s="659" t="s">
        <v>377</v>
      </c>
      <c r="U243" s="376"/>
      <c r="V243" s="469">
        <f t="shared" si="196"/>
        <v>39.814371257485028</v>
      </c>
      <c r="W243" s="469">
        <f t="shared" si="193"/>
        <v>44.666666666666664</v>
      </c>
      <c r="X243" s="469">
        <f t="shared" si="193"/>
        <v>31.400000000000002</v>
      </c>
      <c r="Y243" s="470">
        <f t="shared" si="193"/>
        <v>34.481927710843372</v>
      </c>
      <c r="Z243" s="469">
        <v>30.84305335979348</v>
      </c>
      <c r="AA243" s="469">
        <v>31.84531150702696</v>
      </c>
      <c r="AB243" s="469">
        <v>32.876437878573547</v>
      </c>
      <c r="AC243" s="469">
        <v>33.93786850375642</v>
      </c>
      <c r="AD243" s="829">
        <v>35.05843441441592</v>
      </c>
      <c r="AE243" s="52"/>
      <c r="AF243" s="52"/>
      <c r="AG243" s="52"/>
      <c r="AH243" s="52"/>
      <c r="AI243" s="52"/>
      <c r="AJ243" s="52"/>
      <c r="AK243" s="52"/>
      <c r="AL243" s="52"/>
      <c r="AM243" s="52"/>
      <c r="AN243" s="52"/>
      <c r="AO243" s="52"/>
    </row>
    <row r="244" spans="1:41">
      <c r="A244" s="465" t="s">
        <v>361</v>
      </c>
      <c r="B244" s="52"/>
      <c r="C244" s="657">
        <f>C239+C241+C242+C243</f>
        <v>-22.000000000000021</v>
      </c>
      <c r="D244" s="657">
        <f t="shared" ref="D244:F244" si="199">D239+D241+D242+D243</f>
        <v>847.99999999999989</v>
      </c>
      <c r="E244" s="657">
        <f t="shared" si="199"/>
        <v>-232.99999999999997</v>
      </c>
      <c r="F244" s="482">
        <f t="shared" si="199"/>
        <v>71</v>
      </c>
      <c r="G244" s="657">
        <f>G239+G241+G242+G243</f>
        <v>338.99727419731397</v>
      </c>
      <c r="H244" s="657">
        <f t="shared" ref="H244:K244" si="200">H239+H241+H242+H243</f>
        <v>260.49876277192942</v>
      </c>
      <c r="I244" s="657">
        <f t="shared" si="200"/>
        <v>314.83645490232516</v>
      </c>
      <c r="J244" s="657">
        <f t="shared" si="200"/>
        <v>378.17013548423984</v>
      </c>
      <c r="K244" s="827">
        <f t="shared" si="200"/>
        <v>442.94549801629643</v>
      </c>
      <c r="L244" s="52"/>
      <c r="M244" s="1"/>
      <c r="N244" s="1"/>
      <c r="O244" s="1"/>
      <c r="P244" s="1"/>
      <c r="Q244" s="1"/>
      <c r="R244" s="1"/>
      <c r="S244" s="52"/>
      <c r="T244" s="655" t="s">
        <v>361</v>
      </c>
      <c r="U244" s="100"/>
      <c r="V244" s="656">
        <f>V239+V241+V242+V243</f>
        <v>-22.000000000000021</v>
      </c>
      <c r="W244" s="656">
        <f t="shared" ref="W244:Y244" si="201">W239+W241+W242+W243</f>
        <v>847.99999999999989</v>
      </c>
      <c r="X244" s="656">
        <f t="shared" si="201"/>
        <v>-232.99999999999997</v>
      </c>
      <c r="Y244" s="477">
        <f t="shared" si="201"/>
        <v>71</v>
      </c>
      <c r="Z244" s="656">
        <v>317.36373270597124</v>
      </c>
      <c r="AA244" s="656">
        <v>251.05073738659723</v>
      </c>
      <c r="AB244" s="656">
        <v>304.50249700167092</v>
      </c>
      <c r="AC244" s="656">
        <v>360.53906941444455</v>
      </c>
      <c r="AD244" s="826">
        <v>423.4949455319782</v>
      </c>
      <c r="AE244" s="52"/>
      <c r="AF244" s="52"/>
      <c r="AG244" s="52"/>
      <c r="AH244" s="52"/>
      <c r="AI244" s="52"/>
      <c r="AJ244" s="52"/>
      <c r="AK244" s="52"/>
      <c r="AL244" s="52"/>
      <c r="AM244" s="52"/>
      <c r="AN244" s="52"/>
      <c r="AO244" s="52"/>
    </row>
    <row r="245" spans="1:41">
      <c r="A245" s="465"/>
      <c r="B245" s="52"/>
      <c r="C245" s="657"/>
      <c r="D245" s="657"/>
      <c r="E245" s="657"/>
      <c r="F245" s="482"/>
      <c r="G245" s="657"/>
      <c r="H245" s="657"/>
      <c r="I245" s="657"/>
      <c r="J245" s="657"/>
      <c r="K245" s="827"/>
      <c r="L245" s="52"/>
      <c r="M245" s="1"/>
      <c r="N245" s="1"/>
      <c r="O245" s="1"/>
      <c r="P245" s="1"/>
      <c r="Q245" s="1"/>
      <c r="R245" s="1"/>
      <c r="S245" s="52"/>
      <c r="T245" s="465"/>
      <c r="U245" s="52"/>
      <c r="V245" s="657"/>
      <c r="W245" s="657"/>
      <c r="X245" s="657"/>
      <c r="Y245" s="482"/>
      <c r="Z245" s="657"/>
      <c r="AA245" s="657"/>
      <c r="AB245" s="657"/>
      <c r="AC245" s="657"/>
      <c r="AD245" s="827"/>
      <c r="AE245" s="52"/>
      <c r="AF245" s="52"/>
      <c r="AG245" s="52"/>
      <c r="AH245" s="52"/>
      <c r="AI245" s="52"/>
      <c r="AJ245" s="52"/>
      <c r="AK245" s="52"/>
      <c r="AL245" s="52"/>
      <c r="AM245" s="52"/>
      <c r="AN245" s="52"/>
      <c r="AO245" s="52"/>
    </row>
    <row r="246" spans="1:41">
      <c r="A246" s="465" t="s">
        <v>363</v>
      </c>
      <c r="B246" s="52"/>
      <c r="C246" s="657">
        <f t="shared" ref="C246:K246" si="202">B207-C207-C181</f>
        <v>-212</v>
      </c>
      <c r="D246" s="657">
        <f t="shared" si="202"/>
        <v>-559</v>
      </c>
      <c r="E246" s="657">
        <f t="shared" si="202"/>
        <v>166</v>
      </c>
      <c r="F246" s="482">
        <f t="shared" si="202"/>
        <v>-261</v>
      </c>
      <c r="G246" s="657">
        <f t="shared" si="202"/>
        <v>-248.73470848000005</v>
      </c>
      <c r="H246" s="657">
        <f t="shared" si="202"/>
        <v>-261.17144390399994</v>
      </c>
      <c r="I246" s="657">
        <f t="shared" si="202"/>
        <v>-274.23001609920021</v>
      </c>
      <c r="J246" s="657">
        <f t="shared" si="202"/>
        <v>-287.94151690416049</v>
      </c>
      <c r="K246" s="827">
        <f t="shared" si="202"/>
        <v>-302.33859274936822</v>
      </c>
      <c r="L246" s="52"/>
      <c r="M246" s="1"/>
      <c r="N246" s="1"/>
      <c r="O246" s="1"/>
      <c r="P246" s="1"/>
      <c r="Q246" s="1"/>
      <c r="R246" s="1"/>
      <c r="S246" s="52"/>
      <c r="T246" s="465" t="s">
        <v>363</v>
      </c>
      <c r="U246" s="52"/>
      <c r="V246" s="657">
        <f>C246</f>
        <v>-212</v>
      </c>
      <c r="W246" s="657">
        <f t="shared" ref="W246:Y247" si="203">D246</f>
        <v>-559</v>
      </c>
      <c r="X246" s="657">
        <f t="shared" si="203"/>
        <v>166</v>
      </c>
      <c r="Y246" s="482">
        <f t="shared" si="203"/>
        <v>-261</v>
      </c>
      <c r="Z246" s="657">
        <v>-288.13791578326789</v>
      </c>
      <c r="AA246" s="657">
        <v>-292.91389758427425</v>
      </c>
      <c r="AB246" s="657">
        <v>-286.23314460699834</v>
      </c>
      <c r="AC246" s="657">
        <v>-274.82937854273388</v>
      </c>
      <c r="AD246" s="827">
        <v>-270.27219398333932</v>
      </c>
      <c r="AE246" s="52"/>
      <c r="AF246" s="52"/>
      <c r="AG246" s="52"/>
      <c r="AH246" s="52"/>
      <c r="AI246" s="52"/>
      <c r="AJ246" s="52"/>
      <c r="AK246" s="52"/>
      <c r="AL246" s="52"/>
      <c r="AM246" s="52"/>
      <c r="AN246" s="52"/>
      <c r="AO246" s="52"/>
    </row>
    <row r="247" spans="1:41" ht="15" thickBot="1">
      <c r="A247" s="661" t="s">
        <v>364</v>
      </c>
      <c r="B247" s="379"/>
      <c r="C247" s="814">
        <f>C244+C246</f>
        <v>-234.00000000000003</v>
      </c>
      <c r="D247" s="814">
        <f>D244+D246</f>
        <v>288.99999999999989</v>
      </c>
      <c r="E247" s="814">
        <f>E244+E246</f>
        <v>-66.999999999999972</v>
      </c>
      <c r="F247" s="815">
        <f>F244+F246</f>
        <v>-190</v>
      </c>
      <c r="G247" s="814">
        <f>G244+G246</f>
        <v>90.262565717313919</v>
      </c>
      <c r="H247" s="814">
        <f t="shared" ref="H247:K247" si="204">H244+H246</f>
        <v>-0.67268113207052238</v>
      </c>
      <c r="I247" s="814">
        <f t="shared" si="204"/>
        <v>40.606438803124945</v>
      </c>
      <c r="J247" s="814">
        <f t="shared" si="204"/>
        <v>90.228618580079342</v>
      </c>
      <c r="K247" s="824">
        <f t="shared" si="204"/>
        <v>140.60690526692821</v>
      </c>
      <c r="L247" s="52"/>
      <c r="M247" s="1"/>
      <c r="N247" s="1"/>
      <c r="O247" s="1"/>
      <c r="P247" s="1"/>
      <c r="Q247" s="1"/>
      <c r="R247" s="1"/>
      <c r="S247" s="52"/>
      <c r="T247" s="661" t="s">
        <v>364</v>
      </c>
      <c r="U247" s="379"/>
      <c r="V247" s="814">
        <f>C247</f>
        <v>-234.00000000000003</v>
      </c>
      <c r="W247" s="814">
        <f t="shared" si="203"/>
        <v>288.99999999999989</v>
      </c>
      <c r="X247" s="814">
        <f t="shared" si="203"/>
        <v>-66.999999999999972</v>
      </c>
      <c r="Y247" s="815">
        <f t="shared" si="203"/>
        <v>-190</v>
      </c>
      <c r="Z247" s="814">
        <v>29.225816922703359</v>
      </c>
      <c r="AA247" s="814">
        <v>-41.863160197677018</v>
      </c>
      <c r="AB247" s="814">
        <v>18.26935239467258</v>
      </c>
      <c r="AC247" s="814">
        <v>85.709690871710677</v>
      </c>
      <c r="AD247" s="824">
        <v>153.22275154863888</v>
      </c>
      <c r="AE247" s="52"/>
      <c r="AF247" s="52"/>
      <c r="AG247" s="52"/>
      <c r="AH247" s="52"/>
      <c r="AI247" s="52"/>
      <c r="AJ247" s="52"/>
      <c r="AK247" s="52"/>
      <c r="AL247" s="52"/>
      <c r="AM247" s="52"/>
      <c r="AN247" s="52"/>
      <c r="AO247" s="52"/>
    </row>
    <row r="248" spans="1:41">
      <c r="A248" s="1"/>
      <c r="B248" s="1"/>
      <c r="C248" s="481"/>
      <c r="D248" s="481"/>
      <c r="E248" s="481"/>
      <c r="F248" s="481"/>
      <c r="G248" s="481"/>
      <c r="H248" s="481"/>
      <c r="I248" s="481"/>
      <c r="J248" s="481"/>
      <c r="K248" s="481"/>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1"/>
      <c r="D249" s="481"/>
      <c r="E249" s="481"/>
      <c r="F249" s="481"/>
      <c r="G249" s="481"/>
      <c r="H249" s="481"/>
      <c r="I249" s="481"/>
      <c r="J249" s="481"/>
      <c r="K249" s="481"/>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1"/>
      <c r="D250" s="481"/>
      <c r="E250" s="481"/>
      <c r="F250" s="481"/>
      <c r="G250" s="481"/>
      <c r="H250" s="481"/>
      <c r="I250" s="481"/>
      <c r="J250" s="481"/>
      <c r="K250" s="481"/>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75" t="s">
        <v>758</v>
      </c>
      <c r="B251" s="103"/>
      <c r="C251" s="825">
        <v>636</v>
      </c>
      <c r="D251" s="825">
        <v>402</v>
      </c>
      <c r="E251" s="825">
        <v>691</v>
      </c>
      <c r="F251" s="822">
        <v>624</v>
      </c>
      <c r="G251" s="825">
        <v>434</v>
      </c>
      <c r="H251" s="825">
        <f>G252</f>
        <v>524.26256571731392</v>
      </c>
      <c r="I251" s="825">
        <f>H252</f>
        <v>523.58988458524345</v>
      </c>
      <c r="J251" s="825">
        <f>I252</f>
        <v>564.19632338836846</v>
      </c>
      <c r="K251" s="82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759</v>
      </c>
      <c r="B252" s="101"/>
      <c r="C252" s="469">
        <v>402</v>
      </c>
      <c r="D252" s="469">
        <v>690.99999999999989</v>
      </c>
      <c r="E252" s="469">
        <v>624</v>
      </c>
      <c r="F252" s="470">
        <v>434</v>
      </c>
      <c r="G252" s="469">
        <f>G247+G251</f>
        <v>524.26256571731392</v>
      </c>
      <c r="H252" s="469">
        <f>H247+H251</f>
        <v>523.58988458524345</v>
      </c>
      <c r="I252" s="469">
        <f>I247+I251</f>
        <v>564.19632338836846</v>
      </c>
      <c r="J252" s="469">
        <f>J247+J251</f>
        <v>654.4249419684478</v>
      </c>
      <c r="K252" s="470">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206"/>
  <sheetViews>
    <sheetView tabSelected="1" workbookViewId="0">
      <selection activeCell="H144" sqref="H144:P165"/>
    </sheetView>
  </sheetViews>
  <sheetFormatPr defaultRowHeight="14.4"/>
  <cols>
    <col min="2" max="2" width="18.77734375" customWidth="1"/>
    <col min="3" max="3" width="8.88671875" customWidth="1"/>
    <col min="4" max="4" width="9.88671875" customWidth="1"/>
    <col min="5" max="6" width="8.88671875" customWidth="1"/>
    <col min="8" max="8" width="9.44140625" bestFit="1" customWidth="1"/>
    <col min="9" max="9" width="10.44140625" bestFit="1" customWidth="1"/>
    <col min="10" max="15" width="9.44140625" bestFit="1" customWidth="1"/>
    <col min="16" max="16" width="11.77734375" customWidth="1"/>
    <col min="17" max="17" width="6.88671875" customWidth="1"/>
  </cols>
  <sheetData>
    <row r="1" spans="1:26" ht="15" thickBot="1">
      <c r="A1" s="1"/>
      <c r="B1" s="1"/>
      <c r="C1" s="1"/>
      <c r="D1" s="1"/>
      <c r="E1" s="1"/>
      <c r="F1" s="1"/>
      <c r="G1" s="1"/>
      <c r="H1" s="1"/>
      <c r="I1" s="1"/>
      <c r="J1" s="1"/>
      <c r="K1" s="1"/>
      <c r="L1" s="1"/>
      <c r="M1" s="1"/>
      <c r="N1" s="1"/>
      <c r="O1" s="1"/>
      <c r="P1" s="1"/>
      <c r="Q1" s="1"/>
      <c r="R1" s="1"/>
      <c r="S1" s="1"/>
      <c r="T1" s="1"/>
      <c r="U1" s="1"/>
      <c r="V1" s="1"/>
      <c r="W1" s="1"/>
      <c r="X1" s="1"/>
      <c r="Y1" s="1"/>
      <c r="Z1" s="1"/>
    </row>
    <row r="2" spans="1:26" ht="21">
      <c r="A2" s="857"/>
      <c r="B2" s="858" t="s">
        <v>783</v>
      </c>
      <c r="C2" s="847"/>
      <c r="D2" s="847"/>
      <c r="E2" s="847"/>
      <c r="F2" s="847"/>
      <c r="G2" s="847"/>
      <c r="H2" s="847"/>
      <c r="I2" s="847"/>
      <c r="J2" s="847"/>
      <c r="K2" s="847"/>
      <c r="L2" s="847"/>
      <c r="M2" s="847"/>
      <c r="N2" s="847"/>
      <c r="O2" s="847"/>
      <c r="P2" s="847"/>
      <c r="Q2" s="848"/>
      <c r="R2" s="1"/>
      <c r="S2" s="1"/>
      <c r="T2" s="1"/>
      <c r="U2" s="1"/>
      <c r="V2" s="1"/>
      <c r="W2" s="1"/>
      <c r="X2" s="1"/>
      <c r="Y2" s="1"/>
      <c r="Z2" s="1"/>
    </row>
    <row r="3" spans="1:26" ht="15" thickBot="1">
      <c r="A3" s="849"/>
      <c r="B3" s="850"/>
      <c r="C3" s="850"/>
      <c r="D3" s="850"/>
      <c r="E3" s="850"/>
      <c r="F3" s="850"/>
      <c r="G3" s="850"/>
      <c r="H3" s="850"/>
      <c r="I3" s="850"/>
      <c r="J3" s="850"/>
      <c r="K3" s="850"/>
      <c r="L3" s="850"/>
      <c r="M3" s="850"/>
      <c r="N3" s="850"/>
      <c r="O3" s="850"/>
      <c r="P3" s="850"/>
      <c r="Q3" s="851"/>
      <c r="R3" s="1"/>
      <c r="S3" s="1"/>
      <c r="T3" s="1"/>
      <c r="U3" s="1"/>
      <c r="V3" s="1"/>
      <c r="W3" s="1"/>
      <c r="X3" s="1"/>
      <c r="Y3" s="1"/>
      <c r="Z3" s="1"/>
    </row>
    <row r="4" spans="1:26" ht="1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61"/>
      <c r="C5" s="776" t="s">
        <v>471</v>
      </c>
      <c r="D5" s="755"/>
      <c r="E5" s="755"/>
      <c r="F5" s="755"/>
      <c r="G5" s="756"/>
      <c r="H5" s="755" t="s">
        <v>543</v>
      </c>
      <c r="I5" s="755"/>
      <c r="J5" s="755"/>
      <c r="K5" s="755"/>
      <c r="L5" s="756"/>
      <c r="M5" s="755" t="s">
        <v>544</v>
      </c>
      <c r="N5" s="755"/>
      <c r="O5" s="756"/>
      <c r="P5" s="755" t="s">
        <v>503</v>
      </c>
      <c r="Q5" s="757"/>
      <c r="R5" s="1"/>
      <c r="S5" s="1"/>
      <c r="T5" s="1"/>
      <c r="U5" s="1"/>
      <c r="V5" s="1"/>
      <c r="W5" s="1"/>
      <c r="X5" s="1"/>
      <c r="Y5" s="1"/>
      <c r="Z5" s="1"/>
    </row>
    <row r="6" spans="1:26" ht="15" thickBot="1">
      <c r="A6" s="1"/>
      <c r="B6" s="762" t="s">
        <v>480</v>
      </c>
      <c r="C6" s="758">
        <v>2015</v>
      </c>
      <c r="D6" s="758">
        <v>2016</v>
      </c>
      <c r="E6" s="758">
        <v>2017</v>
      </c>
      <c r="F6" s="758">
        <v>2018</v>
      </c>
      <c r="G6" s="759">
        <v>2019</v>
      </c>
      <c r="H6" s="758">
        <v>2020</v>
      </c>
      <c r="I6" s="758">
        <v>2021</v>
      </c>
      <c r="J6" s="758">
        <v>2022</v>
      </c>
      <c r="K6" s="758">
        <v>2023</v>
      </c>
      <c r="L6" s="759">
        <v>2024</v>
      </c>
      <c r="M6" s="758">
        <v>2025</v>
      </c>
      <c r="N6" s="758">
        <v>2026</v>
      </c>
      <c r="O6" s="759">
        <v>2027</v>
      </c>
      <c r="P6" s="758"/>
      <c r="Q6" s="760"/>
      <c r="R6" s="1"/>
      <c r="S6" s="1"/>
      <c r="T6" s="1"/>
      <c r="U6" s="1"/>
      <c r="V6" s="1"/>
      <c r="W6" s="1"/>
      <c r="X6" s="1"/>
      <c r="Y6" s="1"/>
      <c r="Z6" s="1"/>
    </row>
    <row r="7" spans="1:26">
      <c r="A7" s="1"/>
      <c r="B7" s="595"/>
      <c r="C7" s="52"/>
      <c r="D7" s="52"/>
      <c r="E7" s="52"/>
      <c r="F7" s="52"/>
      <c r="G7" s="369"/>
      <c r="H7" s="52"/>
      <c r="I7" s="52"/>
      <c r="J7" s="52"/>
      <c r="K7" s="52"/>
      <c r="L7" s="369"/>
      <c r="M7" s="52"/>
      <c r="N7" s="52"/>
      <c r="O7" s="369"/>
      <c r="P7" s="52"/>
      <c r="Q7" s="369"/>
      <c r="R7" s="1"/>
      <c r="S7" s="1"/>
      <c r="T7" s="1"/>
      <c r="U7" s="1"/>
      <c r="V7" s="1"/>
      <c r="W7" s="1"/>
      <c r="X7" s="1"/>
      <c r="Y7" s="1"/>
      <c r="Z7" s="1"/>
    </row>
    <row r="8" spans="1:26">
      <c r="A8" s="1"/>
      <c r="B8" s="595" t="s">
        <v>485</v>
      </c>
      <c r="C8" s="612">
        <v>3106</v>
      </c>
      <c r="D8" s="612">
        <v>3109.1838560000001</v>
      </c>
      <c r="E8" s="612">
        <v>3109.1838560000001</v>
      </c>
      <c r="F8" s="612">
        <v>3109.1838560000001</v>
      </c>
      <c r="G8" s="458">
        <v>3109.1838560000001</v>
      </c>
      <c r="H8" s="52"/>
      <c r="I8" s="52"/>
      <c r="J8" s="52"/>
      <c r="K8" s="52"/>
      <c r="L8" s="369"/>
      <c r="M8" s="52"/>
      <c r="N8" s="52"/>
      <c r="O8" s="369"/>
      <c r="P8" s="52"/>
      <c r="Q8" s="369"/>
      <c r="R8" s="1"/>
      <c r="S8" s="1"/>
      <c r="T8" s="1"/>
      <c r="U8" s="1"/>
      <c r="V8" s="1"/>
      <c r="W8" s="1"/>
      <c r="X8" s="1"/>
      <c r="Y8" s="1"/>
      <c r="Z8" s="1"/>
    </row>
    <row r="9" spans="1:26">
      <c r="A9" s="1"/>
      <c r="B9" s="595" t="s">
        <v>484</v>
      </c>
      <c r="C9" s="509">
        <f>'Reorganised Statements'!D114/C8</f>
        <v>2.4146812620734062E-2</v>
      </c>
      <c r="D9" s="509">
        <f>'Reorganised Statements'!E114/D8</f>
        <v>7.4617652330946624E-2</v>
      </c>
      <c r="E9" s="509">
        <f>'Reorganised Statements'!F114/E8</f>
        <v>9.4236948848997235E-2</v>
      </c>
      <c r="F9" s="509">
        <f>'Reorganised Statements'!G114/F8</f>
        <v>0.11063996724933464</v>
      </c>
      <c r="G9" s="837">
        <f>'Reorganised Statements'!H114/G8</f>
        <v>0.12511321877904411</v>
      </c>
      <c r="H9" s="52"/>
      <c r="I9" s="52"/>
      <c r="J9" s="52"/>
      <c r="K9" s="52"/>
      <c r="L9" s="369"/>
      <c r="M9" s="52"/>
      <c r="N9" s="52"/>
      <c r="O9" s="369"/>
      <c r="P9" s="52"/>
      <c r="Q9" s="369"/>
      <c r="R9" s="1"/>
      <c r="S9" s="1"/>
      <c r="T9" s="1"/>
      <c r="U9" s="1"/>
      <c r="V9" s="1"/>
      <c r="W9" s="1"/>
      <c r="X9" s="1"/>
      <c r="Y9" s="1"/>
      <c r="Z9" s="1"/>
    </row>
    <row r="10" spans="1:26">
      <c r="A10" s="1"/>
      <c r="B10" s="595"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595" t="s">
        <v>482</v>
      </c>
      <c r="C11" s="774">
        <f>C10/C8</f>
        <v>4.0566645202833228E-2</v>
      </c>
      <c r="D11" s="774">
        <f t="shared" ref="D11:G11" si="0">D10/D8</f>
        <v>4.9209055201012208E-2</v>
      </c>
      <c r="E11" s="774">
        <f t="shared" si="0"/>
        <v>5.7893006118837895E-2</v>
      </c>
      <c r="F11" s="774">
        <f t="shared" si="0"/>
        <v>7.011486296614812E-2</v>
      </c>
      <c r="G11" s="436">
        <f t="shared" si="0"/>
        <v>7.7512302636888505E-2</v>
      </c>
      <c r="H11" s="774">
        <v>0.08</v>
      </c>
      <c r="I11" s="774">
        <f>H11*(1.05)</f>
        <v>8.4000000000000005E-2</v>
      </c>
      <c r="J11" s="774">
        <f>I11*(1.05)</f>
        <v>8.8200000000000014E-2</v>
      </c>
      <c r="K11" s="774">
        <f>J11*(1.05)</f>
        <v>9.2610000000000026E-2</v>
      </c>
      <c r="L11" s="436">
        <f>K11*(1.05)</f>
        <v>9.7240500000000035E-2</v>
      </c>
      <c r="M11" s="774">
        <f>L11*(1+L29+L31)</f>
        <v>0.10080598500000003</v>
      </c>
      <c r="N11" s="774">
        <f>M11*(1+L30-L31)</f>
        <v>0.10315812465000004</v>
      </c>
      <c r="O11" s="436">
        <f>N11*(1+L30)</f>
        <v>0.10418970589650005</v>
      </c>
      <c r="P11" s="52"/>
      <c r="Q11" s="369"/>
      <c r="R11" s="1"/>
      <c r="S11" s="1"/>
      <c r="T11" s="1"/>
      <c r="U11" s="1"/>
      <c r="V11" s="1"/>
      <c r="W11" s="1"/>
      <c r="X11" s="1"/>
      <c r="Y11" s="1"/>
      <c r="Z11" s="1"/>
    </row>
    <row r="12" spans="1:26">
      <c r="A12" s="1"/>
      <c r="B12" s="595"/>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595" t="s">
        <v>745</v>
      </c>
      <c r="C13" s="370"/>
      <c r="D13" s="370">
        <f>(D11-C11)/C11</f>
        <v>0.21304226551066596</v>
      </c>
      <c r="E13" s="370">
        <f t="shared" ref="E13:O13" si="1">(E11-D11)/D11</f>
        <v>0.17647058823529416</v>
      </c>
      <c r="F13" s="370">
        <f t="shared" si="1"/>
        <v>0.21111111111111117</v>
      </c>
      <c r="G13" s="437">
        <f t="shared" si="1"/>
        <v>0.10550458715596313</v>
      </c>
      <c r="H13" s="370">
        <f t="shared" si="1"/>
        <v>3.2094226058091431E-2</v>
      </c>
      <c r="I13" s="370">
        <f t="shared" si="1"/>
        <v>5.0000000000000044E-2</v>
      </c>
      <c r="J13" s="370">
        <f t="shared" si="1"/>
        <v>5.0000000000000107E-2</v>
      </c>
      <c r="K13" s="370">
        <f t="shared" si="1"/>
        <v>5.0000000000000121E-2</v>
      </c>
      <c r="L13" s="437">
        <f t="shared" si="1"/>
        <v>5.0000000000000093E-2</v>
      </c>
      <c r="M13" s="370">
        <f t="shared" si="1"/>
        <v>3.6666666666666584E-2</v>
      </c>
      <c r="N13" s="370">
        <f t="shared" si="1"/>
        <v>2.3333333333333477E-2</v>
      </c>
      <c r="O13" s="437">
        <f t="shared" si="1"/>
        <v>1.000000000000004E-2</v>
      </c>
      <c r="P13" s="52"/>
      <c r="Q13" s="369"/>
      <c r="R13" s="1"/>
      <c r="S13" s="1"/>
      <c r="T13" s="1"/>
      <c r="U13" s="1"/>
      <c r="V13" s="1"/>
      <c r="W13" s="1"/>
      <c r="X13" s="1"/>
      <c r="Y13" s="1"/>
      <c r="Z13" s="1"/>
    </row>
    <row r="14" spans="1:26">
      <c r="A14" s="1"/>
      <c r="B14" s="595" t="s">
        <v>483</v>
      </c>
      <c r="C14" s="370">
        <f>C10/'Reorganised Statements'!D114</f>
        <v>1.68</v>
      </c>
      <c r="D14" s="370">
        <f>D10/'Reorganised Statements'!E114</f>
        <v>0.65948275862068961</v>
      </c>
      <c r="E14" s="370">
        <f>E10/'Reorganised Statements'!F114</f>
        <v>0.61433447098976113</v>
      </c>
      <c r="F14" s="370">
        <f>F10/'Reorganised Statements'!G114</f>
        <v>0.63372093023255816</v>
      </c>
      <c r="G14" s="437">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595"/>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595"/>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775" t="s">
        <v>396</v>
      </c>
      <c r="C17" s="103"/>
      <c r="D17" s="103"/>
      <c r="E17" s="103"/>
      <c r="F17" s="103"/>
      <c r="G17" s="378"/>
      <c r="H17" s="763">
        <f>WACC!G60</f>
        <v>7.0797503832503647E-2</v>
      </c>
      <c r="I17" s="763">
        <f>H17</f>
        <v>7.0797503832503647E-2</v>
      </c>
      <c r="J17" s="763">
        <f>I17</f>
        <v>7.0797503832503647E-2</v>
      </c>
      <c r="K17" s="763">
        <f t="shared" ref="K17:L17" si="2">J17</f>
        <v>7.0797503832503647E-2</v>
      </c>
      <c r="L17" s="764">
        <f t="shared" si="2"/>
        <v>7.0797503832503647E-2</v>
      </c>
      <c r="M17" s="763">
        <f>I29+I31</f>
        <v>7.4216748797836976E-2</v>
      </c>
      <c r="N17" s="763">
        <f>M17+I31</f>
        <v>7.7635993763170305E-2</v>
      </c>
      <c r="O17" s="764">
        <f>I26</f>
        <v>8.1055238728503648E-2</v>
      </c>
      <c r="P17" s="763">
        <f>O17</f>
        <v>8.1055238728503648E-2</v>
      </c>
      <c r="Q17" s="378"/>
      <c r="R17" s="1"/>
      <c r="S17" s="1"/>
      <c r="T17" s="1"/>
      <c r="U17" s="1"/>
      <c r="V17" s="1"/>
      <c r="W17" s="1"/>
      <c r="X17" s="1"/>
      <c r="Y17" s="1"/>
      <c r="Z17" s="1"/>
    </row>
    <row r="18" spans="1:26">
      <c r="A18" s="1"/>
      <c r="B18" s="96" t="s">
        <v>524</v>
      </c>
      <c r="C18" s="101"/>
      <c r="D18" s="101"/>
      <c r="E18" s="101"/>
      <c r="F18" s="101"/>
      <c r="G18" s="99"/>
      <c r="H18" s="508">
        <f>H11/(1+H17)</f>
        <v>7.4710670984636296E-2</v>
      </c>
      <c r="I18" s="508">
        <f>I11/POWER(1+H18,2)</f>
        <v>7.2727082167945364E-2</v>
      </c>
      <c r="J18" s="508">
        <f>J11/((1+H18)*POWER(1+I17,2))</f>
        <v>7.1575159388380202E-2</v>
      </c>
      <c r="K18" s="508">
        <f>K11/(POWER(1+K17,2)*POWER(1+I17,2))</f>
        <v>7.0441481890359758E-2</v>
      </c>
      <c r="L18" s="674">
        <f>L11/(POWER(1+K17,3)*POWER(1+I17,2))</f>
        <v>6.9073336200499102E-2</v>
      </c>
      <c r="M18" s="508">
        <f>M11/((1+M17)*POWER(1+L17,3)*POWER(1+I17,2))</f>
        <v>6.6658823998650335E-2</v>
      </c>
      <c r="N18" s="508">
        <f>N11/((1+N17)*(1+M17)*POWER(1+L17,3)*POWER(1+I17,2))</f>
        <v>6.329984981330361E-2</v>
      </c>
      <c r="O18" s="674">
        <f>O11/((1+O17)*(1+N17)*(1+M17)*POWER(1+L17,3)*POWER(1+I17,2))</f>
        <v>5.913929836428343E-2</v>
      </c>
      <c r="P18" s="508">
        <f>(O11*(1+L30)/(I30-I25))/((1+O17)*(1+N17)*(1+M17)*POWER(1+L17,3)*POWER(1+I17,2))</f>
        <v>0.84062332935299</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c r="A23" s="1"/>
      <c r="B23" s="1"/>
      <c r="C23" s="1"/>
      <c r="D23" s="1"/>
      <c r="E23" s="1"/>
      <c r="F23" s="1"/>
      <c r="G23" s="768" t="s">
        <v>744</v>
      </c>
      <c r="H23" s="769"/>
      <c r="I23" s="770"/>
      <c r="J23" s="1"/>
      <c r="K23" s="1"/>
      <c r="L23" s="1"/>
      <c r="M23" s="1"/>
      <c r="N23" s="446"/>
      <c r="O23" s="1"/>
      <c r="P23" s="1"/>
      <c r="Q23" s="1"/>
      <c r="R23" s="1"/>
      <c r="S23" s="1"/>
      <c r="T23" s="1"/>
      <c r="U23" s="1"/>
      <c r="V23" s="1"/>
      <c r="W23" s="1"/>
      <c r="X23" s="1"/>
      <c r="Y23" s="1"/>
      <c r="Z23" s="1"/>
    </row>
    <row r="24" spans="1:26">
      <c r="A24" s="1"/>
      <c r="B24" s="1"/>
      <c r="C24" s="1"/>
      <c r="D24" s="1"/>
      <c r="E24" s="1"/>
      <c r="F24" s="1"/>
      <c r="G24" s="257" t="s">
        <v>486</v>
      </c>
      <c r="H24" s="52"/>
      <c r="I24" s="439">
        <f>1-(I25/I26)</f>
        <v>0.87662734504434403</v>
      </c>
      <c r="J24" s="1"/>
      <c r="K24" s="1"/>
      <c r="L24" s="1"/>
      <c r="M24" s="1"/>
      <c r="N24" s="446"/>
      <c r="O24" s="1"/>
      <c r="P24" s="1"/>
      <c r="Q24" s="1"/>
      <c r="R24" s="1"/>
      <c r="S24" s="1"/>
      <c r="T24" s="1"/>
      <c r="U24" s="1"/>
      <c r="V24" s="1"/>
      <c r="W24" s="1"/>
      <c r="X24" s="1"/>
      <c r="Y24" s="1"/>
      <c r="Z24" s="1"/>
    </row>
    <row r="25" spans="1:26">
      <c r="A25" s="1"/>
      <c r="B25" s="1"/>
      <c r="C25" s="1"/>
      <c r="D25" s="1"/>
      <c r="E25" s="1"/>
      <c r="F25" s="1"/>
      <c r="G25" s="257" t="s">
        <v>487</v>
      </c>
      <c r="H25" s="52"/>
      <c r="I25" s="838">
        <v>0.01</v>
      </c>
      <c r="J25" s="1"/>
      <c r="K25" s="1"/>
      <c r="L25" s="1"/>
      <c r="M25" s="1"/>
      <c r="N25" s="446"/>
      <c r="O25" s="1"/>
      <c r="P25" s="1"/>
      <c r="Q25" s="1"/>
      <c r="R25" s="1"/>
      <c r="S25" s="1"/>
      <c r="T25" s="1"/>
      <c r="U25" s="1"/>
      <c r="V25" s="1"/>
      <c r="W25" s="1"/>
      <c r="X25" s="1"/>
      <c r="Y25" s="1"/>
      <c r="Z25" s="1"/>
    </row>
    <row r="26" spans="1:26" ht="15" thickBot="1">
      <c r="A26" s="1"/>
      <c r="B26" s="1"/>
      <c r="C26" s="1"/>
      <c r="D26" s="1"/>
      <c r="E26" s="1"/>
      <c r="F26" s="1"/>
      <c r="G26" s="269" t="s">
        <v>743</v>
      </c>
      <c r="H26" s="379"/>
      <c r="I26" s="460">
        <f>WACC!G67</f>
        <v>8.1055238728503648E-2</v>
      </c>
      <c r="J26" s="1"/>
      <c r="K26" s="1"/>
      <c r="L26" s="1"/>
      <c r="M26" s="1"/>
      <c r="N26" s="446"/>
      <c r="O26" s="1"/>
      <c r="P26" s="1"/>
      <c r="Q26" s="1"/>
      <c r="R26" s="1"/>
      <c r="S26" s="1"/>
      <c r="T26" s="1"/>
      <c r="U26" s="1"/>
      <c r="V26" s="1"/>
      <c r="W26" s="1"/>
      <c r="X26" s="1"/>
      <c r="Y26" s="1"/>
      <c r="Z26" s="1"/>
    </row>
    <row r="27" spans="1:26" ht="1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c r="A28" s="1"/>
      <c r="B28" s="1"/>
      <c r="C28" s="1"/>
      <c r="D28" s="1"/>
      <c r="E28" s="1"/>
      <c r="F28" s="1"/>
      <c r="G28" s="768" t="s">
        <v>496</v>
      </c>
      <c r="H28" s="769"/>
      <c r="I28" s="769"/>
      <c r="J28" s="769"/>
      <c r="K28" s="769"/>
      <c r="L28" s="770"/>
      <c r="M28" s="1"/>
      <c r="N28" s="1"/>
      <c r="O28" s="1"/>
      <c r="P28" s="1"/>
      <c r="Q28" s="1"/>
      <c r="R28" s="1"/>
      <c r="S28" s="1"/>
      <c r="T28" s="1"/>
      <c r="U28" s="1"/>
      <c r="V28" s="1"/>
      <c r="W28" s="1"/>
      <c r="X28" s="1"/>
      <c r="Y28" s="1"/>
      <c r="Z28" s="1"/>
    </row>
    <row r="29" spans="1:26">
      <c r="A29" s="1"/>
      <c r="B29" s="1"/>
      <c r="C29" s="1"/>
      <c r="D29" s="1"/>
      <c r="E29" s="1"/>
      <c r="F29" s="1"/>
      <c r="G29" s="257" t="s">
        <v>497</v>
      </c>
      <c r="H29" s="282"/>
      <c r="I29" s="766">
        <f>WACC!G60</f>
        <v>7.0797503832503647E-2</v>
      </c>
      <c r="J29" s="52" t="s">
        <v>498</v>
      </c>
      <c r="K29" s="52"/>
      <c r="L29" s="765">
        <f>L13</f>
        <v>5.0000000000000093E-2</v>
      </c>
      <c r="M29" s="1"/>
      <c r="N29" s="1"/>
      <c r="O29" s="1"/>
      <c r="P29" s="1"/>
      <c r="Q29" s="1"/>
      <c r="R29" s="1"/>
      <c r="S29" s="1"/>
      <c r="T29" s="1"/>
      <c r="U29" s="1"/>
      <c r="V29" s="1"/>
      <c r="W29" s="1"/>
      <c r="X29" s="1"/>
      <c r="Y29" s="1"/>
      <c r="Z29" s="1"/>
    </row>
    <row r="30" spans="1:26">
      <c r="A30" s="1"/>
      <c r="B30" s="1"/>
      <c r="C30" s="1"/>
      <c r="D30" s="1"/>
      <c r="E30" s="1"/>
      <c r="F30" s="1"/>
      <c r="G30" s="257" t="s">
        <v>499</v>
      </c>
      <c r="H30" s="52"/>
      <c r="I30" s="437">
        <f>O17</f>
        <v>8.1055238728503648E-2</v>
      </c>
      <c r="J30" s="52" t="s">
        <v>501</v>
      </c>
      <c r="K30" s="52"/>
      <c r="L30" s="765">
        <f>I25</f>
        <v>0.01</v>
      </c>
      <c r="M30" s="1"/>
      <c r="N30" s="1"/>
      <c r="O30" s="1"/>
      <c r="P30" s="1"/>
      <c r="Q30" s="1"/>
      <c r="R30" s="1"/>
      <c r="S30" s="1"/>
      <c r="T30" s="1"/>
      <c r="U30" s="1"/>
      <c r="V30" s="1"/>
      <c r="W30" s="1"/>
      <c r="X30" s="1"/>
      <c r="Y30" s="1"/>
      <c r="Z30" s="1"/>
    </row>
    <row r="31" spans="1:26" ht="15" thickBot="1">
      <c r="A31" s="1"/>
      <c r="B31" s="1"/>
      <c r="C31" s="1"/>
      <c r="D31" s="1"/>
      <c r="E31" s="1"/>
      <c r="F31" s="1"/>
      <c r="G31" s="269" t="s">
        <v>500</v>
      </c>
      <c r="H31" s="379"/>
      <c r="I31" s="767">
        <f>(O17-L17)/3</f>
        <v>3.4192449653333338E-3</v>
      </c>
      <c r="J31" s="379" t="s">
        <v>502</v>
      </c>
      <c r="K31" s="379"/>
      <c r="L31" s="495">
        <f>(L30-L29)/3</f>
        <v>-1.3333333333333364E-2</v>
      </c>
      <c r="M31" s="1"/>
      <c r="N31" s="1"/>
      <c r="O31" s="1"/>
      <c r="P31" s="1"/>
      <c r="Q31" s="1"/>
      <c r="R31" s="1"/>
      <c r="S31" s="1"/>
      <c r="T31" s="1"/>
      <c r="U31" s="1"/>
      <c r="V31" s="1"/>
      <c r="W31" s="1"/>
      <c r="X31" s="1"/>
      <c r="Y31" s="1"/>
      <c r="Z31" s="1"/>
    </row>
    <row r="32" spans="1:26" ht="1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c r="A33" s="1"/>
      <c r="B33" s="1"/>
      <c r="C33" s="1"/>
      <c r="D33" s="1"/>
      <c r="E33" s="1"/>
      <c r="F33" s="1"/>
      <c r="G33" s="771" t="s">
        <v>762</v>
      </c>
      <c r="H33" s="772"/>
      <c r="I33" s="772"/>
      <c r="J33" s="773"/>
      <c r="K33" s="1"/>
      <c r="L33" s="771" t="s">
        <v>763</v>
      </c>
      <c r="M33" s="772"/>
      <c r="N33" s="772"/>
      <c r="O33" s="773"/>
      <c r="P33" s="1"/>
      <c r="Q33" s="1"/>
      <c r="R33" s="1"/>
      <c r="S33" s="1"/>
      <c r="T33" s="1"/>
      <c r="U33" s="1"/>
      <c r="V33" s="1"/>
      <c r="W33" s="1"/>
      <c r="X33" s="1"/>
      <c r="Y33" s="1"/>
      <c r="Z33" s="1"/>
    </row>
    <row r="34" spans="1:26">
      <c r="A34" s="1"/>
      <c r="B34" s="1"/>
      <c r="C34" s="1"/>
      <c r="D34" s="1"/>
      <c r="E34" s="1"/>
      <c r="F34" s="1"/>
      <c r="G34" s="257" t="s">
        <v>488</v>
      </c>
      <c r="H34" s="52"/>
      <c r="I34" s="443"/>
      <c r="J34" s="439">
        <f>SUM(H18:L18)</f>
        <v>0.35852773063182075</v>
      </c>
      <c r="K34" s="1"/>
      <c r="L34" s="257" t="s">
        <v>488</v>
      </c>
      <c r="M34" s="52"/>
      <c r="N34" s="443"/>
      <c r="O34" s="439">
        <v>0.35799562304056731</v>
      </c>
      <c r="P34" s="1"/>
      <c r="Q34" s="1"/>
      <c r="R34" s="1"/>
      <c r="S34" s="1"/>
      <c r="T34" s="1"/>
      <c r="U34" s="1"/>
      <c r="V34" s="1"/>
      <c r="W34" s="1"/>
      <c r="X34" s="1"/>
      <c r="Y34" s="1"/>
      <c r="Z34" s="1"/>
    </row>
    <row r="35" spans="1:26">
      <c r="A35" s="1"/>
      <c r="B35" s="1"/>
      <c r="C35" s="1"/>
      <c r="D35" s="1"/>
      <c r="E35" s="1"/>
      <c r="F35" s="1"/>
      <c r="G35" s="257" t="s">
        <v>495</v>
      </c>
      <c r="H35" s="52"/>
      <c r="I35" s="369"/>
      <c r="J35" s="439">
        <f>SUM(M18:O18)</f>
        <v>0.18909797217623736</v>
      </c>
      <c r="K35" s="1"/>
      <c r="L35" s="257" t="s">
        <v>495</v>
      </c>
      <c r="M35" s="52"/>
      <c r="N35" s="369"/>
      <c r="O35" s="439">
        <v>0.19103494584165842</v>
      </c>
      <c r="P35" s="1"/>
      <c r="Q35" s="1"/>
      <c r="R35" s="1"/>
      <c r="S35" s="1"/>
      <c r="T35" s="1"/>
      <c r="U35" s="1"/>
      <c r="V35" s="1"/>
      <c r="W35" s="1"/>
      <c r="X35" s="1"/>
      <c r="Y35" s="1"/>
      <c r="Z35" s="1"/>
    </row>
    <row r="36" spans="1:26">
      <c r="A36" s="1"/>
      <c r="B36" s="1"/>
      <c r="C36" s="1"/>
      <c r="D36" s="1"/>
      <c r="E36" s="1"/>
      <c r="F36" s="1"/>
      <c r="G36" s="257" t="s">
        <v>489</v>
      </c>
      <c r="H36" s="52"/>
      <c r="I36" s="369"/>
      <c r="J36" s="439">
        <f>P18</f>
        <v>0.84062332935299</v>
      </c>
      <c r="K36" s="1"/>
      <c r="L36" s="257" t="s">
        <v>489</v>
      </c>
      <c r="M36" s="52"/>
      <c r="N36" s="369"/>
      <c r="O36" s="439">
        <v>1.0009382920110081</v>
      </c>
      <c r="P36" s="1"/>
      <c r="Q36" s="1"/>
      <c r="R36" s="1"/>
      <c r="S36" s="1"/>
      <c r="T36" s="1"/>
      <c r="U36" s="1"/>
      <c r="V36" s="1"/>
      <c r="W36" s="1"/>
      <c r="X36" s="1"/>
      <c r="Y36" s="1"/>
      <c r="Z36" s="1"/>
    </row>
    <row r="37" spans="1:26" ht="15" thickBot="1">
      <c r="A37" s="1"/>
      <c r="B37" s="1"/>
      <c r="C37" s="1"/>
      <c r="D37" s="1"/>
      <c r="E37" s="1"/>
      <c r="F37" s="1"/>
      <c r="G37" s="269" t="s">
        <v>490</v>
      </c>
      <c r="H37" s="379"/>
      <c r="I37" s="380"/>
      <c r="J37" s="440">
        <f>J34+J36+J35</f>
        <v>1.3882490321610481</v>
      </c>
      <c r="K37" s="1"/>
      <c r="L37" s="269" t="s">
        <v>490</v>
      </c>
      <c r="M37" s="379"/>
      <c r="N37" s="380"/>
      <c r="O37" s="440">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 r="A48" s="857"/>
      <c r="B48" s="858" t="s">
        <v>782</v>
      </c>
      <c r="C48" s="847"/>
      <c r="D48" s="847"/>
      <c r="E48" s="847"/>
      <c r="F48" s="847"/>
      <c r="G48" s="847"/>
      <c r="H48" s="847"/>
      <c r="I48" s="847"/>
      <c r="J48" s="847"/>
      <c r="K48" s="847"/>
      <c r="L48" s="847"/>
      <c r="M48" s="847"/>
      <c r="N48" s="847"/>
      <c r="O48" s="847"/>
      <c r="P48" s="847"/>
      <c r="Q48" s="848"/>
      <c r="R48" s="1"/>
      <c r="S48" s="1"/>
      <c r="T48" s="1"/>
      <c r="U48" s="1"/>
      <c r="V48" s="1"/>
      <c r="W48" s="1"/>
      <c r="X48" s="1"/>
      <c r="Y48" s="1"/>
      <c r="Z48" s="1"/>
    </row>
    <row r="49" spans="1:26" ht="15" thickBot="1">
      <c r="A49" s="849"/>
      <c r="B49" s="850"/>
      <c r="C49" s="850"/>
      <c r="D49" s="850"/>
      <c r="E49" s="850"/>
      <c r="F49" s="850"/>
      <c r="G49" s="850"/>
      <c r="H49" s="850"/>
      <c r="I49" s="850"/>
      <c r="J49" s="850"/>
      <c r="K49" s="850"/>
      <c r="L49" s="850"/>
      <c r="M49" s="850"/>
      <c r="N49" s="850"/>
      <c r="O49" s="850"/>
      <c r="P49" s="850"/>
      <c r="Q49" s="85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854" t="s">
        <v>784</v>
      </c>
      <c r="C51" s="855"/>
      <c r="D51" s="855"/>
      <c r="E51" s="856"/>
      <c r="F51" s="1"/>
      <c r="G51" s="1"/>
      <c r="H51" s="1"/>
      <c r="I51" s="1"/>
      <c r="J51" s="1"/>
      <c r="K51" s="1"/>
      <c r="L51" s="1"/>
      <c r="M51" s="1"/>
      <c r="N51" s="1"/>
      <c r="O51" s="1"/>
      <c r="P51" s="1"/>
      <c r="Q51" s="1"/>
      <c r="R51" s="1"/>
      <c r="S51" s="1"/>
      <c r="T51" s="1"/>
      <c r="U51" s="1"/>
      <c r="V51" s="1"/>
      <c r="W51" s="1"/>
      <c r="X51" s="1"/>
      <c r="Y51" s="1"/>
      <c r="Z51" s="1"/>
    </row>
    <row r="52" spans="1:26">
      <c r="A52" s="1"/>
      <c r="B52" s="467"/>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7" t="s">
        <v>785</v>
      </c>
      <c r="C53" s="370">
        <f>WACC!G62</f>
        <v>4.3394377121104534E-2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7" t="s">
        <v>786</v>
      </c>
      <c r="C54" s="610">
        <f>WACC!G60</f>
        <v>7.0797503832503647E-2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7"/>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7" t="s">
        <v>787</v>
      </c>
      <c r="C56" s="845">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7" t="s">
        <v>788</v>
      </c>
      <c r="C57" s="610">
        <f>WACC!G67</f>
        <v>8.1055238728503648E-2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789</v>
      </c>
      <c r="C58" s="492">
        <f>WACC!G65</f>
        <v>5.2784530767033287E-2</v>
      </c>
      <c r="D58" s="101"/>
      <c r="E58" s="99"/>
      <c r="F58" s="1"/>
      <c r="G58" s="1"/>
      <c r="H58" s="1"/>
      <c r="I58" s="1"/>
      <c r="J58" s="1"/>
      <c r="K58" s="1"/>
      <c r="L58" s="1"/>
      <c r="M58" s="1"/>
      <c r="N58" s="1"/>
      <c r="O58" s="1"/>
      <c r="P58" s="1"/>
      <c r="Q58" s="1"/>
      <c r="R58" s="1"/>
      <c r="S58" s="1"/>
      <c r="T58" s="1"/>
      <c r="U58" s="1"/>
      <c r="V58" s="1"/>
      <c r="W58" s="1"/>
      <c r="X58" s="1"/>
      <c r="Y58" s="1"/>
      <c r="Z58" s="1"/>
    </row>
    <row r="59" spans="1:26" ht="1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 r="A60" s="852"/>
      <c r="B60" s="859" t="s">
        <v>781</v>
      </c>
      <c r="C60" s="662"/>
      <c r="D60" s="662"/>
      <c r="E60" s="662"/>
      <c r="F60" s="662"/>
      <c r="G60" s="662"/>
      <c r="H60" s="662"/>
      <c r="I60" s="662"/>
      <c r="J60" s="662"/>
      <c r="K60" s="662"/>
      <c r="L60" s="662"/>
      <c r="M60" s="662"/>
      <c r="N60" s="662"/>
      <c r="O60" s="662"/>
      <c r="P60" s="662"/>
      <c r="Q60" s="664"/>
      <c r="R60" s="1"/>
      <c r="S60" s="1"/>
      <c r="T60" s="1"/>
      <c r="U60" s="1"/>
      <c r="V60" s="1"/>
      <c r="W60" s="1"/>
      <c r="X60" s="1"/>
      <c r="Y60" s="1"/>
      <c r="Z60" s="1"/>
    </row>
    <row r="61" spans="1:26" ht="15" thickBot="1">
      <c r="A61" s="853"/>
      <c r="B61" s="665"/>
      <c r="C61" s="665"/>
      <c r="D61" s="665"/>
      <c r="E61" s="665"/>
      <c r="F61" s="665"/>
      <c r="G61" s="665"/>
      <c r="H61" s="665"/>
      <c r="I61" s="665"/>
      <c r="J61" s="665"/>
      <c r="K61" s="665"/>
      <c r="L61" s="665"/>
      <c r="M61" s="665"/>
      <c r="N61" s="665"/>
      <c r="O61" s="665"/>
      <c r="P61" s="665"/>
      <c r="Q61" s="666"/>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866"/>
      <c r="C66" s="868" t="s">
        <v>471</v>
      </c>
      <c r="D66" s="861"/>
      <c r="E66" s="861"/>
      <c r="F66" s="861"/>
      <c r="G66" s="862"/>
      <c r="H66" s="860" t="s">
        <v>543</v>
      </c>
      <c r="I66" s="861"/>
      <c r="J66" s="861"/>
      <c r="K66" s="861"/>
      <c r="L66" s="862"/>
      <c r="M66" s="52"/>
      <c r="N66" s="52"/>
      <c r="O66" s="52"/>
      <c r="P66" s="52"/>
      <c r="Q66" s="52"/>
      <c r="R66" s="1"/>
      <c r="S66" s="1"/>
      <c r="T66" s="1"/>
      <c r="U66" s="1"/>
      <c r="V66" s="1"/>
      <c r="W66" s="1"/>
      <c r="X66" s="1"/>
      <c r="Y66" s="1"/>
      <c r="Z66" s="1"/>
    </row>
    <row r="67" spans="1:26">
      <c r="A67" s="1"/>
      <c r="B67" s="867" t="s">
        <v>790</v>
      </c>
      <c r="C67" s="863"/>
      <c r="D67" s="864">
        <v>2016</v>
      </c>
      <c r="E67" s="864">
        <v>2017</v>
      </c>
      <c r="F67" s="864">
        <v>2018</v>
      </c>
      <c r="G67" s="865">
        <v>2019</v>
      </c>
      <c r="H67" s="863">
        <v>2020</v>
      </c>
      <c r="I67" s="864">
        <v>2021</v>
      </c>
      <c r="J67" s="864">
        <v>2022</v>
      </c>
      <c r="K67" s="864">
        <v>2023</v>
      </c>
      <c r="L67" s="865">
        <v>2024</v>
      </c>
      <c r="M67" s="52"/>
      <c r="N67" s="52"/>
      <c r="O67" s="52"/>
      <c r="P67" s="52"/>
      <c r="Q67" s="52"/>
      <c r="R67" s="1"/>
      <c r="S67" s="1"/>
      <c r="T67" s="1"/>
      <c r="U67" s="1"/>
      <c r="V67" s="1"/>
      <c r="W67" s="1"/>
      <c r="X67" s="1"/>
      <c r="Y67" s="1"/>
      <c r="Z67" s="1"/>
    </row>
    <row r="68" spans="1:26">
      <c r="A68" s="1"/>
      <c r="B68" s="595" t="s">
        <v>768</v>
      </c>
      <c r="C68" s="467"/>
      <c r="D68" s="657">
        <f>'Forecasts Simone'!V244</f>
        <v>-22.000000000000021</v>
      </c>
      <c r="E68" s="657">
        <f>'Forecasts Simone'!W244</f>
        <v>847.99999999999989</v>
      </c>
      <c r="F68" s="657">
        <f>'Forecasts Simone'!X244</f>
        <v>-232.99999999999997</v>
      </c>
      <c r="G68" s="822">
        <f>'Forecasts Simone'!Y244</f>
        <v>71</v>
      </c>
      <c r="H68" s="657">
        <f>'Forecasts Simone'!Z244</f>
        <v>317.36373270597124</v>
      </c>
      <c r="I68" s="657">
        <f>'Forecasts Simone'!AA244</f>
        <v>251.05073738659723</v>
      </c>
      <c r="J68" s="657">
        <f>'Forecasts Simone'!AB244</f>
        <v>304.50249700167092</v>
      </c>
      <c r="K68" s="657">
        <f>'Forecasts Simone'!AC244</f>
        <v>360.53906941444455</v>
      </c>
      <c r="L68" s="482">
        <f>'Forecasts Simone'!AD244</f>
        <v>423.4949455319782</v>
      </c>
      <c r="M68" s="1"/>
      <c r="N68" s="1"/>
      <c r="O68" s="1"/>
      <c r="P68" s="1"/>
      <c r="Q68" s="1"/>
      <c r="R68" s="1"/>
      <c r="S68" s="1"/>
      <c r="T68" s="1"/>
      <c r="U68" s="1"/>
      <c r="V68" s="1"/>
      <c r="W68" s="1"/>
      <c r="X68" s="1"/>
      <c r="Y68" s="1"/>
      <c r="Z68" s="1"/>
    </row>
    <row r="69" spans="1:26">
      <c r="A69" s="1"/>
      <c r="B69" s="96" t="s">
        <v>791</v>
      </c>
      <c r="C69" s="376"/>
      <c r="D69" s="870"/>
      <c r="E69" s="872" t="s">
        <v>792</v>
      </c>
      <c r="F69" s="869">
        <f>(F68-E68)/E68</f>
        <v>-1.2747641509433962</v>
      </c>
      <c r="G69" s="871" t="s">
        <v>792</v>
      </c>
      <c r="H69" s="869">
        <f>(H68-G68)/G68</f>
        <v>3.4699117282531162</v>
      </c>
      <c r="I69" s="869">
        <f t="shared" ref="I69:L69" si="3">(I68-H68)/H68</f>
        <v>-0.20894950646679963</v>
      </c>
      <c r="J69" s="869">
        <f t="shared" si="3"/>
        <v>0.21291217931283118</v>
      </c>
      <c r="K69" s="869">
        <f t="shared" si="3"/>
        <v>0.18402664334298099</v>
      </c>
      <c r="L69" s="873">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874" t="s">
        <v>793</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7"/>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7" t="s">
        <v>794</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7" t="s">
        <v>795</v>
      </c>
      <c r="C74" s="52"/>
      <c r="D74" s="52"/>
      <c r="E74" s="370">
        <f>(C57-C54)/3</f>
        <v>3.4192449653333338E-3</v>
      </c>
      <c r="F74" s="369"/>
      <c r="G74" s="1"/>
      <c r="H74" s="1"/>
      <c r="I74" s="1"/>
      <c r="J74" s="1"/>
      <c r="K74" s="1"/>
      <c r="L74" s="1"/>
      <c r="M74" s="1"/>
      <c r="N74" s="1"/>
      <c r="O74" s="1"/>
      <c r="P74" s="1"/>
      <c r="Q74" s="1"/>
      <c r="R74" s="1"/>
      <c r="S74" s="1"/>
      <c r="T74" s="1"/>
      <c r="U74" s="1"/>
      <c r="V74" s="1"/>
      <c r="W74" s="1"/>
      <c r="X74" s="1"/>
      <c r="Y74" s="1"/>
      <c r="Z74" s="1"/>
    </row>
    <row r="75" spans="1:26">
      <c r="A75" s="1"/>
      <c r="B75" s="467"/>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875" t="s">
        <v>770</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7"/>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7" t="s">
        <v>773</v>
      </c>
      <c r="C78" s="52"/>
      <c r="D78" s="52"/>
      <c r="E78" s="610">
        <f>C56</f>
        <v>0.01</v>
      </c>
      <c r="F78" s="369"/>
      <c r="G78" s="1"/>
      <c r="H78" s="1"/>
      <c r="I78" s="1"/>
      <c r="J78" s="1"/>
      <c r="K78" s="1"/>
      <c r="L78" s="1"/>
      <c r="M78" s="1"/>
      <c r="N78" s="1"/>
      <c r="O78" s="1"/>
      <c r="P78" s="1"/>
      <c r="Q78" s="1"/>
      <c r="R78" s="1"/>
      <c r="S78" s="1"/>
      <c r="T78" s="1"/>
      <c r="U78" s="1"/>
      <c r="V78" s="1"/>
      <c r="W78" s="1"/>
      <c r="X78" s="1"/>
      <c r="Y78" s="1"/>
      <c r="Z78" s="1"/>
    </row>
    <row r="79" spans="1:26">
      <c r="A79" s="1"/>
      <c r="B79" s="467" t="s">
        <v>769</v>
      </c>
      <c r="C79" s="52"/>
      <c r="D79" s="52"/>
      <c r="E79" s="610">
        <f>C57</f>
        <v>8.1055238728503648E-2</v>
      </c>
      <c r="F79" s="369"/>
      <c r="G79" s="1"/>
      <c r="H79" s="1"/>
      <c r="I79" s="1"/>
      <c r="J79" s="1"/>
      <c r="K79" s="1"/>
      <c r="L79" s="1"/>
      <c r="M79" s="1"/>
      <c r="N79" s="1"/>
      <c r="O79" s="1"/>
      <c r="P79" s="1"/>
      <c r="Q79" s="1"/>
      <c r="R79" s="1"/>
      <c r="S79" s="1"/>
      <c r="T79" s="1"/>
      <c r="U79" s="1"/>
      <c r="V79" s="1"/>
      <c r="W79" s="1"/>
      <c r="X79" s="1"/>
      <c r="Y79" s="1"/>
      <c r="Z79" s="1"/>
    </row>
    <row r="80" spans="1:26">
      <c r="A80" s="1"/>
      <c r="B80" s="376" t="s">
        <v>771</v>
      </c>
      <c r="C80" s="101"/>
      <c r="D80" s="101"/>
      <c r="E80" s="492">
        <f>E78/E79</f>
        <v>0.12337265495565593</v>
      </c>
      <c r="F80" s="99"/>
      <c r="G80" s="1"/>
      <c r="H80" s="1"/>
      <c r="I80" s="1"/>
      <c r="J80" s="1"/>
      <c r="K80" s="1"/>
      <c r="L80" s="1"/>
      <c r="M80" s="1"/>
      <c r="N80" s="1"/>
      <c r="O80" s="1"/>
      <c r="P80" s="1"/>
      <c r="Q80" s="1"/>
      <c r="R80" s="1"/>
      <c r="S80" s="1"/>
      <c r="T80" s="1"/>
      <c r="U80" s="1"/>
      <c r="V80" s="1"/>
      <c r="W80" s="1"/>
      <c r="X80" s="1"/>
      <c r="Y80" s="1"/>
      <c r="Z80" s="1"/>
    </row>
    <row r="81" spans="1:26" ht="15" thickBot="1">
      <c r="A81" s="1"/>
      <c r="B81" s="609"/>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878"/>
      <c r="C82" s="879"/>
      <c r="D82" s="879"/>
      <c r="E82" s="879"/>
      <c r="F82" s="879"/>
      <c r="G82" s="880"/>
      <c r="H82" s="879" t="s">
        <v>747</v>
      </c>
      <c r="I82" s="879"/>
      <c r="J82" s="879"/>
      <c r="K82" s="879"/>
      <c r="L82" s="880"/>
      <c r="M82" s="879" t="s">
        <v>796</v>
      </c>
      <c r="N82" s="879"/>
      <c r="O82" s="880"/>
      <c r="P82" s="879"/>
      <c r="Q82" s="881"/>
      <c r="R82" s="1"/>
      <c r="S82" s="1"/>
      <c r="T82" s="1"/>
      <c r="U82" s="1"/>
      <c r="V82" s="1"/>
      <c r="W82" s="1"/>
      <c r="X82" s="1"/>
      <c r="Y82" s="1"/>
      <c r="Z82" s="1"/>
    </row>
    <row r="83" spans="1:26" ht="15" thickBot="1">
      <c r="A83" s="1"/>
      <c r="B83" s="882"/>
      <c r="C83" s="360"/>
      <c r="D83" s="360"/>
      <c r="E83" s="360"/>
      <c r="F83" s="360"/>
      <c r="G83" s="883">
        <v>2019</v>
      </c>
      <c r="H83" s="360">
        <v>2020</v>
      </c>
      <c r="I83" s="360">
        <v>2021</v>
      </c>
      <c r="J83" s="360">
        <v>2022</v>
      </c>
      <c r="K83" s="360">
        <v>2023</v>
      </c>
      <c r="L83" s="883">
        <v>2024</v>
      </c>
      <c r="M83" s="360">
        <v>2025</v>
      </c>
      <c r="N83" s="360">
        <v>2026</v>
      </c>
      <c r="O83" s="883">
        <v>2027</v>
      </c>
      <c r="P83" s="360" t="s">
        <v>503</v>
      </c>
      <c r="Q83" s="884"/>
      <c r="R83" s="1"/>
      <c r="S83" s="1"/>
      <c r="T83" s="1"/>
      <c r="U83" s="1"/>
      <c r="V83" s="1"/>
      <c r="W83" s="1"/>
      <c r="X83" s="1"/>
      <c r="Y83" s="1"/>
      <c r="Z83" s="1"/>
    </row>
    <row r="84" spans="1:26">
      <c r="A84" s="1"/>
      <c r="B84" s="257" t="s">
        <v>768</v>
      </c>
      <c r="C84" s="52"/>
      <c r="D84" s="52"/>
      <c r="E84" s="52"/>
      <c r="F84" s="52"/>
      <c r="G84" s="369"/>
      <c r="H84" s="657">
        <f>H68</f>
        <v>317.36373270597124</v>
      </c>
      <c r="I84" s="657">
        <f t="shared" ref="I84:L84" si="4">I68</f>
        <v>251.05073738659723</v>
      </c>
      <c r="J84" s="657">
        <f t="shared" si="4"/>
        <v>304.50249700167092</v>
      </c>
      <c r="K84" s="657">
        <f t="shared" si="4"/>
        <v>360.53906941444455</v>
      </c>
      <c r="L84" s="482">
        <f t="shared" si="4"/>
        <v>423.4949455319782</v>
      </c>
      <c r="M84" s="657">
        <f>L84*(1+L69+E73)</f>
        <v>474.20591330526855</v>
      </c>
      <c r="N84" s="657">
        <f>M84*(1+L69+E73+E73)</f>
        <v>504.9685931632992</v>
      </c>
      <c r="O84" s="482">
        <f>N84*(1+L69+E73+E73+E73)</f>
        <v>510.01827909493221</v>
      </c>
      <c r="P84" s="52"/>
      <c r="Q84" s="278"/>
      <c r="R84" s="1"/>
      <c r="S84" s="1"/>
      <c r="T84" s="1"/>
      <c r="U84" s="1"/>
      <c r="V84" s="1"/>
      <c r="W84" s="1"/>
      <c r="X84" s="1"/>
      <c r="Y84" s="1"/>
      <c r="Z84" s="1"/>
    </row>
    <row r="85" spans="1:26">
      <c r="A85" s="1"/>
      <c r="B85" s="257" t="s">
        <v>396</v>
      </c>
      <c r="C85" s="52"/>
      <c r="D85" s="52"/>
      <c r="E85" s="52"/>
      <c r="F85" s="52"/>
      <c r="G85" s="369"/>
      <c r="H85" s="610">
        <f>C54</f>
        <v>7.0797503832503647E-2</v>
      </c>
      <c r="I85" s="610">
        <f>H85</f>
        <v>7.0797503832503647E-2</v>
      </c>
      <c r="J85" s="610">
        <f>I85</f>
        <v>7.0797503832503647E-2</v>
      </c>
      <c r="K85" s="610">
        <f t="shared" ref="K85" si="5">J85</f>
        <v>7.0797503832503647E-2</v>
      </c>
      <c r="L85" s="438">
        <f>K85</f>
        <v>7.0797503832503647E-2</v>
      </c>
      <c r="M85" s="610">
        <f>L85+E74</f>
        <v>7.4216748797836976E-2</v>
      </c>
      <c r="N85" s="610">
        <f>M85+E74</f>
        <v>7.7635993763170305E-2</v>
      </c>
      <c r="O85" s="438">
        <f>N85+E74</f>
        <v>8.1055238728503634E-2</v>
      </c>
      <c r="P85" s="610">
        <f>O85</f>
        <v>8.1055238728503634E-2</v>
      </c>
      <c r="Q85" s="278"/>
      <c r="R85" s="1"/>
      <c r="S85" s="1"/>
      <c r="T85" s="1"/>
      <c r="U85" s="1"/>
      <c r="V85" s="1"/>
      <c r="W85" s="1"/>
      <c r="X85" s="1"/>
      <c r="Y85" s="1"/>
      <c r="Z85" s="1"/>
    </row>
    <row r="86" spans="1:26">
      <c r="A86" s="1"/>
      <c r="B86" s="257" t="s">
        <v>772</v>
      </c>
      <c r="C86" s="52"/>
      <c r="D86" s="52"/>
      <c r="E86" s="52"/>
      <c r="F86" s="52"/>
      <c r="G86" s="369"/>
      <c r="H86" s="612">
        <f>1/(1+H85)</f>
        <v>0.93388338730795362</v>
      </c>
      <c r="I86" s="612">
        <f>1/(1+I85)^2</f>
        <v>0.87213818108977736</v>
      </c>
      <c r="J86" s="612">
        <f>1/((1+J85)*(1+I85)^2)</f>
        <v>0.81447535875671873</v>
      </c>
      <c r="K86" s="612">
        <f>1/((1+J85)^2*(1+I85)^2)</f>
        <v>0.76062500691458523</v>
      </c>
      <c r="L86" s="458">
        <f>1/((1+J85)^3*(1+I85)^2)</f>
        <v>0.71033505792852858</v>
      </c>
      <c r="M86" s="612">
        <f>1/((1+M85)*(1+J85)^3*(1+I85)^2)</f>
        <v>0.66125859490039518</v>
      </c>
      <c r="N86" s="612">
        <f>1/((1+N85)*(1+M85)*(1+J85)^3*(1+I85)^2)</f>
        <v>0.61361962548340665</v>
      </c>
      <c r="O86" s="458">
        <f>1/((1+O85)*(1+N85)*(1+M85)*(1+J85)^3*(1+I85)^2)</f>
        <v>0.56761172186272624</v>
      </c>
      <c r="P86" s="612">
        <f>O86</f>
        <v>0.56761172186272624</v>
      </c>
      <c r="Q86" s="278"/>
      <c r="R86" s="1"/>
      <c r="S86" s="1"/>
      <c r="T86" s="1"/>
      <c r="U86" s="1"/>
      <c r="V86" s="1"/>
      <c r="W86" s="1"/>
      <c r="X86" s="1"/>
      <c r="Y86" s="1"/>
      <c r="Z86" s="1"/>
    </row>
    <row r="87" spans="1:26" ht="15" thickBot="1">
      <c r="A87" s="1"/>
      <c r="B87" s="269" t="s">
        <v>524</v>
      </c>
      <c r="C87" s="379"/>
      <c r="D87" s="379"/>
      <c r="E87" s="379"/>
      <c r="F87" s="379"/>
      <c r="G87" s="380"/>
      <c r="H87" s="814">
        <f>H84*H86</f>
        <v>296.38071770814844</v>
      </c>
      <c r="I87" s="814">
        <f t="shared" ref="I87:L87" si="6">I84*I86</f>
        <v>218.95093346559429</v>
      </c>
      <c r="J87" s="814">
        <f t="shared" si="6"/>
        <v>248.00978048775258</v>
      </c>
      <c r="K87" s="814">
        <f t="shared" si="6"/>
        <v>274.23503216634003</v>
      </c>
      <c r="L87" s="815">
        <f t="shared" si="6"/>
        <v>300.82330666689677</v>
      </c>
      <c r="M87" s="814">
        <f>M84*M86</f>
        <v>313.5727359257005</v>
      </c>
      <c r="N87" s="814">
        <f>N84*N86</f>
        <v>309.85863901774638</v>
      </c>
      <c r="O87" s="815">
        <f>O84*O86</f>
        <v>289.49235357853894</v>
      </c>
      <c r="P87" s="814">
        <f>(O84*(1+C56)/(E79-C56))*P86</f>
        <v>4114.9292064377205</v>
      </c>
      <c r="Q87" s="281"/>
      <c r="R87" s="1"/>
      <c r="S87" s="1"/>
      <c r="T87" s="1"/>
      <c r="U87" s="1"/>
      <c r="V87" s="1"/>
      <c r="W87" s="1"/>
      <c r="X87" s="1"/>
      <c r="Y87" s="1"/>
      <c r="Z87" s="1"/>
    </row>
    <row r="88" spans="1:26" ht="1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876" t="s">
        <v>797</v>
      </c>
      <c r="C89" s="793"/>
      <c r="D89" s="794"/>
      <c r="E89" s="1"/>
      <c r="F89" s="1"/>
      <c r="G89" s="1"/>
      <c r="H89" s="1"/>
      <c r="I89" s="1"/>
      <c r="J89" s="1"/>
      <c r="K89" s="1"/>
      <c r="L89" s="1"/>
      <c r="M89" s="1"/>
      <c r="N89" s="1"/>
      <c r="O89" s="1"/>
      <c r="P89" s="1"/>
      <c r="Q89" s="1"/>
      <c r="R89" s="1"/>
      <c r="S89" s="1"/>
      <c r="T89" s="1"/>
      <c r="U89" s="1"/>
      <c r="V89" s="1"/>
      <c r="W89" s="1"/>
      <c r="X89" s="1"/>
      <c r="Y89" s="1"/>
      <c r="Z89" s="1"/>
    </row>
    <row r="90" spans="1:26">
      <c r="A90" s="1"/>
      <c r="B90" s="257" t="s">
        <v>774</v>
      </c>
      <c r="C90" s="657"/>
      <c r="D90" s="827">
        <f>SUM(H87:L87)</f>
        <v>1338.3997704947321</v>
      </c>
      <c r="E90" s="1"/>
      <c r="F90" s="1"/>
      <c r="G90" s="1"/>
      <c r="H90" s="1"/>
      <c r="I90" s="1"/>
      <c r="J90" s="1"/>
      <c r="K90" s="1"/>
      <c r="L90" s="1"/>
      <c r="M90" s="1"/>
      <c r="N90" s="1"/>
      <c r="O90" s="1"/>
      <c r="P90" s="1"/>
      <c r="Q90" s="1"/>
      <c r="R90" s="1"/>
      <c r="S90" s="1"/>
      <c r="T90" s="1"/>
      <c r="U90" s="1"/>
      <c r="V90" s="1"/>
      <c r="W90" s="1"/>
      <c r="X90" s="1"/>
      <c r="Y90" s="1"/>
      <c r="Z90" s="1"/>
    </row>
    <row r="91" spans="1:26">
      <c r="A91" s="1"/>
      <c r="B91" s="257" t="s">
        <v>775</v>
      </c>
      <c r="C91" s="657"/>
      <c r="D91" s="827">
        <f>SUM(M87:O87)</f>
        <v>912.92372852198582</v>
      </c>
      <c r="E91" s="1"/>
      <c r="F91" s="1"/>
      <c r="G91" s="1"/>
      <c r="H91" s="1"/>
      <c r="I91" s="1"/>
      <c r="J91" s="1"/>
      <c r="K91" s="1"/>
      <c r="L91" s="1"/>
      <c r="M91" s="1"/>
      <c r="N91" s="1"/>
      <c r="O91" s="1"/>
      <c r="P91" s="1"/>
      <c r="Q91" s="1"/>
      <c r="R91" s="1"/>
      <c r="S91" s="1"/>
      <c r="T91" s="1"/>
      <c r="U91" s="1"/>
      <c r="V91" s="1"/>
      <c r="W91" s="1"/>
      <c r="X91" s="1"/>
      <c r="Y91" s="1"/>
      <c r="Z91" s="1"/>
    </row>
    <row r="92" spans="1:26">
      <c r="A92" s="1"/>
      <c r="B92" s="277" t="s">
        <v>776</v>
      </c>
      <c r="C92" s="101"/>
      <c r="D92" s="829">
        <f>P87</f>
        <v>4114.9292064377205</v>
      </c>
      <c r="E92" s="1"/>
      <c r="F92" s="1"/>
      <c r="G92" s="1"/>
      <c r="H92" s="1"/>
      <c r="I92" s="1"/>
      <c r="J92" s="1"/>
      <c r="K92" s="1"/>
      <c r="L92" s="1"/>
      <c r="M92" s="1"/>
      <c r="N92" s="1"/>
      <c r="O92" s="1"/>
      <c r="P92" s="1"/>
      <c r="Q92" s="1"/>
      <c r="R92" s="1"/>
      <c r="S92" s="1"/>
      <c r="T92" s="1"/>
      <c r="U92" s="1"/>
      <c r="V92" s="1"/>
      <c r="W92" s="1"/>
      <c r="X92" s="1"/>
      <c r="Y92" s="1"/>
      <c r="Z92" s="1"/>
    </row>
    <row r="93" spans="1:26">
      <c r="A93" s="1"/>
      <c r="B93" s="257" t="s">
        <v>777</v>
      </c>
      <c r="C93" s="657"/>
      <c r="D93" s="827">
        <f>SUM(D90:D92)</f>
        <v>6366.2527054544389</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778</v>
      </c>
      <c r="C95" s="612"/>
      <c r="D95" s="439">
        <f>G8</f>
        <v>3109.1838560000001</v>
      </c>
      <c r="E95" s="1"/>
      <c r="F95" s="1"/>
      <c r="G95" s="1"/>
      <c r="H95" s="1"/>
      <c r="I95" s="1"/>
      <c r="J95" s="1"/>
      <c r="K95" s="1"/>
      <c r="L95" s="1"/>
      <c r="M95" s="1"/>
      <c r="N95" s="1"/>
      <c r="O95" s="1"/>
      <c r="P95" s="1"/>
      <c r="Q95" s="1"/>
      <c r="R95" s="1"/>
      <c r="S95" s="1"/>
      <c r="T95" s="1"/>
      <c r="U95" s="1"/>
      <c r="V95" s="1"/>
      <c r="W95" s="1"/>
      <c r="X95" s="1"/>
      <c r="Y95" s="1"/>
      <c r="Z95" s="1"/>
    </row>
    <row r="96" spans="1:26" ht="15" thickBot="1">
      <c r="A96" s="1"/>
      <c r="B96" s="269" t="s">
        <v>490</v>
      </c>
      <c r="C96" s="877"/>
      <c r="D96" s="440">
        <f>D93/D95</f>
        <v>2.0475639268385675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 r="A100" s="852"/>
      <c r="B100" s="859" t="s">
        <v>798</v>
      </c>
      <c r="C100" s="662"/>
      <c r="D100" s="662"/>
      <c r="E100" s="662"/>
      <c r="F100" s="662"/>
      <c r="G100" s="662"/>
      <c r="H100" s="662"/>
      <c r="I100" s="662"/>
      <c r="J100" s="662"/>
      <c r="K100" s="662"/>
      <c r="L100" s="662"/>
      <c r="M100" s="662"/>
      <c r="N100" s="662"/>
      <c r="O100" s="662"/>
      <c r="P100" s="662"/>
      <c r="Q100" s="664"/>
      <c r="R100" s="1"/>
      <c r="S100" s="1"/>
      <c r="T100" s="1"/>
      <c r="U100" s="1"/>
      <c r="V100" s="1"/>
      <c r="W100" s="1"/>
      <c r="X100" s="1"/>
      <c r="Y100" s="1"/>
      <c r="Z100" s="1"/>
    </row>
    <row r="101" spans="1:26" ht="15" thickBot="1">
      <c r="A101" s="853"/>
      <c r="B101" s="665"/>
      <c r="C101" s="665"/>
      <c r="D101" s="665"/>
      <c r="E101" s="665"/>
      <c r="F101" s="665"/>
      <c r="G101" s="665"/>
      <c r="H101" s="665"/>
      <c r="I101" s="665"/>
      <c r="J101" s="665"/>
      <c r="K101" s="665"/>
      <c r="L101" s="665"/>
      <c r="M101" s="665"/>
      <c r="N101" s="665"/>
      <c r="O101" s="665"/>
      <c r="P101" s="665"/>
      <c r="Q101" s="666"/>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866"/>
      <c r="C105" s="868" t="s">
        <v>471</v>
      </c>
      <c r="D105" s="861"/>
      <c r="E105" s="861"/>
      <c r="F105" s="861"/>
      <c r="G105" s="862"/>
      <c r="H105" s="861" t="s">
        <v>543</v>
      </c>
      <c r="I105" s="861"/>
      <c r="J105" s="861"/>
      <c r="K105" s="861"/>
      <c r="L105" s="862"/>
      <c r="M105" s="1"/>
      <c r="N105" s="1"/>
      <c r="O105" s="1"/>
      <c r="P105" s="1"/>
      <c r="Q105" s="1"/>
      <c r="R105" s="1"/>
      <c r="S105" s="1"/>
      <c r="T105" s="1"/>
      <c r="U105" s="1"/>
      <c r="V105" s="1"/>
      <c r="W105" s="1"/>
      <c r="X105" s="1"/>
      <c r="Y105" s="1"/>
      <c r="Z105" s="1"/>
    </row>
    <row r="106" spans="1:26">
      <c r="A106" s="1"/>
      <c r="B106" s="867" t="s">
        <v>799</v>
      </c>
      <c r="C106" s="863"/>
      <c r="D106" s="864">
        <v>2016</v>
      </c>
      <c r="E106" s="864">
        <v>2017</v>
      </c>
      <c r="F106" s="864">
        <v>2018</v>
      </c>
      <c r="G106" s="865">
        <v>2019</v>
      </c>
      <c r="H106" s="864">
        <v>2020</v>
      </c>
      <c r="I106" s="864">
        <v>2021</v>
      </c>
      <c r="J106" s="864">
        <v>2022</v>
      </c>
      <c r="K106" s="864">
        <v>2023</v>
      </c>
      <c r="L106" s="865">
        <v>2024</v>
      </c>
      <c r="M106" s="1"/>
      <c r="N106" s="1"/>
      <c r="O106" s="1"/>
      <c r="P106" s="1"/>
      <c r="Q106" s="1"/>
      <c r="R106" s="1"/>
      <c r="S106" s="1"/>
      <c r="T106" s="1"/>
      <c r="U106" s="1"/>
      <c r="V106" s="1"/>
      <c r="W106" s="1"/>
      <c r="X106" s="1"/>
      <c r="Y106" s="1"/>
      <c r="Z106" s="1"/>
    </row>
    <row r="107" spans="1:26">
      <c r="A107" s="1"/>
      <c r="B107" s="595" t="s">
        <v>357</v>
      </c>
      <c r="C107" s="467"/>
      <c r="D107" s="657">
        <f>'Forecasts Simone'!V239</f>
        <v>32.18562874251495</v>
      </c>
      <c r="E107" s="657">
        <f>'Forecasts Simone'!W239</f>
        <v>765.33333333333326</v>
      </c>
      <c r="F107" s="657">
        <f>'Forecasts Simone'!X239</f>
        <v>31.600000000000023</v>
      </c>
      <c r="G107" s="822">
        <f>'Forecasts Simone'!Y239</f>
        <v>229.51807228915663</v>
      </c>
      <c r="H107" s="657">
        <f>'Forecasts Simone'!Z239</f>
        <v>153.92095593565264</v>
      </c>
      <c r="I107" s="657">
        <f>'Forecasts Simone'!AA239</f>
        <v>203.4991598179929</v>
      </c>
      <c r="J107" s="657">
        <f>'Forecasts Simone'!AB239</f>
        <v>255.40145635532625</v>
      </c>
      <c r="K107" s="657">
        <f>'Forecasts Simone'!AC239</f>
        <v>309.84115533779891</v>
      </c>
      <c r="L107" s="482">
        <f>'Forecasts Simone'!AD239</f>
        <v>367.92674475562848</v>
      </c>
      <c r="M107" s="1"/>
      <c r="N107" s="1"/>
      <c r="O107" s="1"/>
      <c r="P107" s="1"/>
      <c r="Q107" s="1"/>
      <c r="R107" s="1"/>
      <c r="S107" s="1"/>
      <c r="T107" s="1"/>
      <c r="U107" s="1"/>
      <c r="V107" s="1"/>
      <c r="W107" s="1"/>
      <c r="X107" s="1"/>
      <c r="Y107" s="1"/>
      <c r="Z107" s="1"/>
    </row>
    <row r="108" spans="1:26">
      <c r="A108" s="1"/>
      <c r="B108" s="96" t="s">
        <v>791</v>
      </c>
      <c r="C108" s="376"/>
      <c r="D108" s="870"/>
      <c r="E108" s="869">
        <f>(E107-D107)/D107</f>
        <v>22.778728682170556</v>
      </c>
      <c r="F108" s="869">
        <f>(F107-E107)/E107</f>
        <v>-0.95871080139372822</v>
      </c>
      <c r="G108" s="873">
        <f>(G107-F107)/F107</f>
        <v>6.2632301357327993</v>
      </c>
      <c r="H108" s="869">
        <f>(H107-G107)/G107</f>
        <v>-0.32937326285253704</v>
      </c>
      <c r="I108" s="869">
        <f t="shared" ref="I108" si="7">(I107-H107)/H107</f>
        <v>0.32210171500667301</v>
      </c>
      <c r="J108" s="869">
        <f t="shared" ref="J108" si="8">(J107-I107)/I107</f>
        <v>0.2550491932436188</v>
      </c>
      <c r="K108" s="869">
        <f t="shared" ref="K108" si="9">(K107-J107)/J107</f>
        <v>0.21315343991904906</v>
      </c>
      <c r="L108" s="885">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874" t="s">
        <v>793</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7"/>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7" t="s">
        <v>800</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7" t="s">
        <v>802</v>
      </c>
      <c r="C113" s="52"/>
      <c r="D113" s="52"/>
      <c r="E113" s="370">
        <f>(C58-C53)/3</f>
        <v>3.1300512153095844E-3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7"/>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875" t="s">
        <v>770</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7"/>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7" t="s">
        <v>773</v>
      </c>
      <c r="C117" s="52"/>
      <c r="D117" s="52"/>
      <c r="E117" s="610">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7" t="s">
        <v>801</v>
      </c>
      <c r="C118" s="52"/>
      <c r="D118" s="52"/>
      <c r="E118" s="610">
        <f>C58</f>
        <v>5.2784530767033287E-2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779</v>
      </c>
      <c r="C119" s="101"/>
      <c r="D119" s="101"/>
      <c r="E119" s="492">
        <f>E117/E118</f>
        <v>0.18944944389361751</v>
      </c>
      <c r="F119" s="99"/>
      <c r="G119" s="1"/>
      <c r="H119" s="1"/>
      <c r="I119" s="1"/>
      <c r="J119" s="1"/>
      <c r="K119" s="1"/>
      <c r="L119" s="1"/>
      <c r="M119" s="1"/>
      <c r="N119" s="1"/>
      <c r="O119" s="1"/>
      <c r="P119" s="1"/>
      <c r="Q119" s="1"/>
      <c r="R119" s="1"/>
      <c r="S119" s="1"/>
      <c r="T119" s="1"/>
      <c r="U119" s="1"/>
      <c r="V119" s="1"/>
      <c r="W119" s="1"/>
      <c r="X119" s="1"/>
      <c r="Y119" s="1"/>
      <c r="Z119" s="1"/>
    </row>
    <row r="120" spans="1:26" ht="1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878"/>
      <c r="C121" s="879"/>
      <c r="D121" s="879"/>
      <c r="E121" s="879"/>
      <c r="F121" s="879"/>
      <c r="G121" s="880"/>
      <c r="H121" s="879" t="s">
        <v>747</v>
      </c>
      <c r="I121" s="879"/>
      <c r="J121" s="879"/>
      <c r="K121" s="879"/>
      <c r="L121" s="880"/>
      <c r="M121" s="879" t="s">
        <v>796</v>
      </c>
      <c r="N121" s="879"/>
      <c r="O121" s="880"/>
      <c r="P121" s="879"/>
      <c r="Q121" s="881"/>
      <c r="R121" s="1"/>
      <c r="S121" s="1"/>
      <c r="T121" s="1"/>
      <c r="U121" s="1"/>
      <c r="V121" s="1"/>
      <c r="W121" s="1"/>
      <c r="X121" s="1"/>
      <c r="Y121" s="1"/>
      <c r="Z121" s="1"/>
    </row>
    <row r="122" spans="1:26" ht="15" thickBot="1">
      <c r="A122" s="1"/>
      <c r="B122" s="882"/>
      <c r="C122" s="360"/>
      <c r="D122" s="360"/>
      <c r="E122" s="360"/>
      <c r="F122" s="360"/>
      <c r="G122" s="883">
        <v>2019</v>
      </c>
      <c r="H122" s="360">
        <v>2020</v>
      </c>
      <c r="I122" s="360">
        <v>2021</v>
      </c>
      <c r="J122" s="360">
        <v>2022</v>
      </c>
      <c r="K122" s="360">
        <v>2023</v>
      </c>
      <c r="L122" s="883">
        <v>2024</v>
      </c>
      <c r="M122" s="360">
        <v>2025</v>
      </c>
      <c r="N122" s="360">
        <v>2026</v>
      </c>
      <c r="O122" s="883">
        <v>2027</v>
      </c>
      <c r="P122" s="360" t="s">
        <v>503</v>
      </c>
      <c r="Q122" s="884"/>
      <c r="R122" s="1"/>
      <c r="S122" s="1"/>
      <c r="T122" s="1"/>
      <c r="U122" s="1"/>
      <c r="V122" s="1"/>
      <c r="W122" s="1"/>
      <c r="X122" s="1"/>
      <c r="Y122" s="1"/>
      <c r="Z122" s="1"/>
    </row>
    <row r="123" spans="1:26">
      <c r="A123" s="1"/>
      <c r="B123" s="467" t="s">
        <v>357</v>
      </c>
      <c r="C123" s="52"/>
      <c r="D123" s="52"/>
      <c r="E123" s="52"/>
      <c r="F123" s="52"/>
      <c r="G123" s="369"/>
      <c r="H123" s="657">
        <f>H107</f>
        <v>153.92095593565264</v>
      </c>
      <c r="I123" s="657">
        <f t="shared" ref="I123:L123" si="11">I107</f>
        <v>203.4991598179929</v>
      </c>
      <c r="J123" s="657">
        <f t="shared" si="11"/>
        <v>255.40145635532625</v>
      </c>
      <c r="K123" s="657">
        <f t="shared" si="11"/>
        <v>309.84115533779891</v>
      </c>
      <c r="L123" s="482">
        <f t="shared" si="11"/>
        <v>367.92674475562848</v>
      </c>
      <c r="M123" s="657">
        <f>L123*(1+L108+E112)</f>
        <v>415.13638899234877</v>
      </c>
      <c r="N123" s="657">
        <f>M123*(1+L108+E112+E112)</f>
        <v>443.84568960379602</v>
      </c>
      <c r="O123" s="482">
        <f>N123*(1+L108+E112+E112+E112)</f>
        <v>448.28414649983398</v>
      </c>
      <c r="P123" s="52"/>
      <c r="Q123" s="369"/>
      <c r="R123" s="1"/>
      <c r="S123" s="1"/>
      <c r="T123" s="1"/>
      <c r="U123" s="1"/>
      <c r="V123" s="1"/>
      <c r="W123" s="1"/>
      <c r="X123" s="1"/>
      <c r="Y123" s="1"/>
      <c r="Z123" s="1"/>
    </row>
    <row r="124" spans="1:26">
      <c r="A124" s="1"/>
      <c r="B124" s="467" t="s">
        <v>824</v>
      </c>
      <c r="C124" s="52"/>
      <c r="D124" s="52"/>
      <c r="E124" s="52"/>
      <c r="F124" s="52"/>
      <c r="G124" s="369"/>
      <c r="H124" s="610">
        <f>C53</f>
        <v>4.3394377121104534E-2</v>
      </c>
      <c r="I124" s="610">
        <f>H124</f>
        <v>4.3394377121104534E-2</v>
      </c>
      <c r="J124" s="610">
        <f>I124</f>
        <v>4.3394377121104534E-2</v>
      </c>
      <c r="K124" s="610">
        <f t="shared" ref="K124" si="12">J124</f>
        <v>4.3394377121104534E-2</v>
      </c>
      <c r="L124" s="438">
        <f>K124</f>
        <v>4.3394377121104534E-2</v>
      </c>
      <c r="M124" s="610">
        <f>L124+E113</f>
        <v>4.6524428336414118E-2</v>
      </c>
      <c r="N124" s="610">
        <f>M124+E113</f>
        <v>4.9654479551723703E-2</v>
      </c>
      <c r="O124" s="438">
        <f>N124+E113</f>
        <v>5.2784530767033287E-2</v>
      </c>
      <c r="P124" s="610">
        <f>O124</f>
        <v>5.2784530767033287E-2</v>
      </c>
      <c r="Q124" s="369"/>
      <c r="R124" s="1"/>
      <c r="S124" s="1"/>
      <c r="T124" s="1"/>
      <c r="U124" s="1"/>
      <c r="V124" s="1"/>
      <c r="W124" s="1"/>
      <c r="X124" s="1"/>
      <c r="Y124" s="1"/>
      <c r="Z124" s="1"/>
    </row>
    <row r="125" spans="1:26">
      <c r="A125" s="1"/>
      <c r="B125" s="467" t="s">
        <v>772</v>
      </c>
      <c r="C125" s="52"/>
      <c r="D125" s="52"/>
      <c r="E125" s="52"/>
      <c r="F125" s="52"/>
      <c r="G125" s="369"/>
      <c r="H125" s="612">
        <f>1/(1+H124)</f>
        <v>0.95841037859449019</v>
      </c>
      <c r="I125" s="612">
        <f>1/(1+I124)^2</f>
        <v>0.918550453797634</v>
      </c>
      <c r="J125" s="612">
        <f>1/((1+I124)^2*(1+J124))</f>
        <v>0.88034828818233113</v>
      </c>
      <c r="K125" s="612">
        <f>1/((1+I124)^2*(1+J124)^2)</f>
        <v>0.84373493617183937</v>
      </c>
      <c r="L125" s="458">
        <f>1/((1+I124)^2*(1+J124)^3)</f>
        <v>0.8086443196098505</v>
      </c>
      <c r="M125" s="612">
        <f>1/((1+M124)*(1+I124)^2*(1+J124)^3)</f>
        <v>0.77269512083468062</v>
      </c>
      <c r="N125" s="612">
        <f>1/((1+N124)*(1+M124)*(1+I124)^2*(1+J124)^3)</f>
        <v>0.73614235530598182</v>
      </c>
      <c r="O125" s="458">
        <f>1/((1+M124)*(1+O124)*(1+N124)*(1+I124)^2*(1+J124)^3)</f>
        <v>0.69923363593654486</v>
      </c>
      <c r="P125" s="612">
        <f>O125</f>
        <v>0.69923363593654486</v>
      </c>
      <c r="Q125" s="369"/>
      <c r="R125" s="1"/>
      <c r="S125" s="1"/>
      <c r="T125" s="1"/>
      <c r="U125" s="1"/>
      <c r="V125" s="1"/>
      <c r="W125" s="1"/>
      <c r="X125" s="1"/>
      <c r="Y125" s="1"/>
      <c r="Z125" s="1"/>
    </row>
    <row r="126" spans="1:26">
      <c r="A126" s="1"/>
      <c r="B126" s="376" t="s">
        <v>524</v>
      </c>
      <c r="C126" s="101"/>
      <c r="D126" s="101"/>
      <c r="E126" s="101"/>
      <c r="F126" s="101"/>
      <c r="G126" s="99"/>
      <c r="H126" s="469">
        <f>H123*H125</f>
        <v>147.51944165191469</v>
      </c>
      <c r="I126" s="469">
        <f t="shared" ref="I126:L126" si="13">I123*I125</f>
        <v>186.92424559825463</v>
      </c>
      <c r="J126" s="469">
        <f t="shared" si="13"/>
        <v>224.84223490168583</v>
      </c>
      <c r="K126" s="469">
        <f t="shared" si="13"/>
        <v>261.42380742234673</v>
      </c>
      <c r="L126" s="470">
        <f t="shared" si="13"/>
        <v>297.52187217918231</v>
      </c>
      <c r="M126" s="469">
        <f>M123*M125</f>
        <v>320.77386225531592</v>
      </c>
      <c r="N126" s="469">
        <f>N123*N125</f>
        <v>326.73361133734613</v>
      </c>
      <c r="O126" s="470">
        <f>O123*O125</f>
        <v>313.45535368978966</v>
      </c>
      <c r="P126" s="469">
        <f>O123*(1+E117)/(E118-E117)*P125</f>
        <v>7399.6349042731399</v>
      </c>
      <c r="Q126" s="99"/>
      <c r="R126" s="1"/>
      <c r="S126" s="1"/>
      <c r="T126" s="1"/>
      <c r="U126" s="1"/>
      <c r="V126" s="1"/>
      <c r="W126" s="1"/>
      <c r="X126" s="1"/>
      <c r="Y126" s="1"/>
      <c r="Z126" s="1"/>
    </row>
    <row r="127" spans="1:26" ht="1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876" t="s">
        <v>803</v>
      </c>
      <c r="C128" s="793"/>
      <c r="D128" s="794"/>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774</v>
      </c>
      <c r="C129" s="657"/>
      <c r="D129" s="827">
        <f>SUM(H126:L126)</f>
        <v>1118.2316017533842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775</v>
      </c>
      <c r="C130" s="657"/>
      <c r="D130" s="827">
        <f>SUM(M126:O126)</f>
        <v>960.96282728245183</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776</v>
      </c>
      <c r="C131" s="101"/>
      <c r="D131" s="829">
        <f>P126</f>
        <v>7399.6349042731399</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804</v>
      </c>
      <c r="C132" s="657"/>
      <c r="D132" s="827">
        <f>SUM(D129:D131)</f>
        <v>9478.829333308975</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780</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805</v>
      </c>
      <c r="C134" s="52"/>
      <c r="D134" s="827">
        <f>D132-D133</f>
        <v>6301.829333308975</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778</v>
      </c>
      <c r="C135" s="612"/>
      <c r="D135" s="439">
        <f>G8</f>
        <v>3109.1838560000001</v>
      </c>
      <c r="E135" s="1"/>
      <c r="F135" s="1"/>
      <c r="G135" s="1"/>
      <c r="H135" s="1"/>
      <c r="I135" s="1"/>
      <c r="J135" s="1"/>
      <c r="K135" s="1"/>
      <c r="L135" s="1"/>
      <c r="M135" s="1"/>
      <c r="N135" s="1"/>
      <c r="O135" s="461"/>
      <c r="P135" s="1"/>
      <c r="Q135" s="1"/>
      <c r="R135" s="1"/>
      <c r="S135" s="1"/>
      <c r="T135" s="1"/>
      <c r="U135" s="1"/>
      <c r="V135" s="1"/>
      <c r="W135" s="1"/>
      <c r="X135" s="1"/>
      <c r="Y135" s="1"/>
      <c r="Z135" s="1"/>
    </row>
    <row r="136" spans="1:26" ht="15" thickBot="1">
      <c r="A136" s="1"/>
      <c r="B136" s="269" t="s">
        <v>490</v>
      </c>
      <c r="C136" s="877"/>
      <c r="D136" s="440">
        <f>D134/D135</f>
        <v>2.0268435786284922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 r="A140" s="852"/>
      <c r="B140" s="859" t="s">
        <v>809</v>
      </c>
      <c r="C140" s="662"/>
      <c r="D140" s="662"/>
      <c r="E140" s="662"/>
      <c r="F140" s="662"/>
      <c r="G140" s="662"/>
      <c r="H140" s="662"/>
      <c r="I140" s="662"/>
      <c r="J140" s="662"/>
      <c r="K140" s="662"/>
      <c r="L140" s="662"/>
      <c r="M140" s="662"/>
      <c r="N140" s="662"/>
      <c r="O140" s="662"/>
      <c r="P140" s="662"/>
      <c r="Q140" s="664"/>
      <c r="R140" s="1"/>
      <c r="S140" s="1"/>
      <c r="T140" s="1"/>
      <c r="U140" s="1"/>
      <c r="V140" s="1"/>
      <c r="W140" s="1"/>
      <c r="X140" s="1"/>
      <c r="Y140" s="1"/>
      <c r="Z140" s="1"/>
    </row>
    <row r="141" spans="1:26" ht="15" thickBot="1">
      <c r="A141" s="853"/>
      <c r="B141" s="665"/>
      <c r="C141" s="665"/>
      <c r="D141" s="665"/>
      <c r="E141" s="665"/>
      <c r="F141" s="665"/>
      <c r="G141" s="665"/>
      <c r="H141" s="665"/>
      <c r="I141" s="665"/>
      <c r="J141" s="665"/>
      <c r="K141" s="665"/>
      <c r="L141" s="665"/>
      <c r="M141" s="665"/>
      <c r="N141" s="665"/>
      <c r="O141" s="665"/>
      <c r="P141" s="665"/>
      <c r="Q141" s="666"/>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c r="A143" s="1"/>
      <c r="B143" s="1"/>
      <c r="C143" s="1"/>
      <c r="D143" s="1"/>
      <c r="E143" s="1"/>
      <c r="F143" s="1"/>
      <c r="G143" s="1"/>
      <c r="H143" s="1"/>
      <c r="I143" s="1"/>
      <c r="J143" s="1"/>
      <c r="K143" s="1"/>
      <c r="L143" s="1"/>
      <c r="M143" s="1"/>
      <c r="N143" s="1"/>
      <c r="O143" s="1"/>
      <c r="P143" s="1"/>
      <c r="Q143" s="52"/>
      <c r="R143" s="52"/>
      <c r="S143" s="1"/>
      <c r="T143" s="1"/>
      <c r="U143" s="1"/>
      <c r="V143" s="1"/>
      <c r="W143" s="1"/>
      <c r="X143" s="1"/>
      <c r="Y143" s="1"/>
      <c r="Z143" s="1"/>
    </row>
    <row r="144" spans="1:26" ht="15" thickBot="1">
      <c r="A144" s="1"/>
      <c r="B144" s="854" t="s">
        <v>784</v>
      </c>
      <c r="C144" s="855"/>
      <c r="D144" s="855"/>
      <c r="E144" s="856"/>
      <c r="F144" s="52"/>
      <c r="G144" s="52"/>
      <c r="H144" s="939" t="s">
        <v>825</v>
      </c>
      <c r="I144" s="772"/>
      <c r="J144" s="784"/>
      <c r="K144" s="940" t="s">
        <v>814</v>
      </c>
      <c r="L144" s="784"/>
      <c r="M144" s="940" t="s">
        <v>820</v>
      </c>
      <c r="N144" s="784"/>
      <c r="O144" s="940" t="s">
        <v>821</v>
      </c>
      <c r="P144" s="773"/>
      <c r="Q144" s="52"/>
      <c r="R144" s="52"/>
      <c r="S144" s="52"/>
      <c r="T144" s="1"/>
      <c r="U144" s="1"/>
      <c r="V144" s="1"/>
      <c r="W144" s="1"/>
      <c r="X144" s="1"/>
      <c r="Y144" s="1"/>
      <c r="Z144" s="1"/>
    </row>
    <row r="145" spans="1:26">
      <c r="A145" s="1"/>
      <c r="B145" s="875" t="s">
        <v>816</v>
      </c>
      <c r="C145" s="52"/>
      <c r="D145" s="52"/>
      <c r="E145" s="369"/>
      <c r="F145" s="52"/>
      <c r="G145" s="52"/>
      <c r="H145" s="919" t="s">
        <v>817</v>
      </c>
      <c r="I145" s="52"/>
      <c r="J145" s="482"/>
      <c r="K145" s="657"/>
      <c r="L145" s="369"/>
      <c r="M145" s="52"/>
      <c r="N145" s="482"/>
      <c r="O145" s="657"/>
      <c r="P145" s="278"/>
      <c r="Q145" s="52"/>
      <c r="R145" s="657"/>
      <c r="S145" s="657"/>
      <c r="T145" s="1"/>
      <c r="U145" s="1"/>
      <c r="V145" s="1"/>
      <c r="W145" s="1"/>
      <c r="X145" s="1"/>
      <c r="Y145" s="1"/>
      <c r="Z145" s="1"/>
    </row>
    <row r="146" spans="1:26">
      <c r="A146" s="1"/>
      <c r="B146" s="467" t="s">
        <v>785</v>
      </c>
      <c r="C146" s="370"/>
      <c r="D146" s="610">
        <v>5.3220000000000003E-2</v>
      </c>
      <c r="E146" s="369"/>
      <c r="F146" s="52"/>
      <c r="G146" s="52"/>
      <c r="H146" s="257"/>
      <c r="I146" s="52"/>
      <c r="J146" s="482"/>
      <c r="K146" s="657"/>
      <c r="L146" s="369"/>
      <c r="M146" s="52"/>
      <c r="N146" s="482"/>
      <c r="O146" s="657"/>
      <c r="P146" s="278"/>
      <c r="Q146" s="52"/>
      <c r="R146" s="657"/>
      <c r="S146" s="657"/>
      <c r="T146" s="1"/>
      <c r="U146" s="1"/>
      <c r="V146" s="1"/>
      <c r="W146" s="1"/>
      <c r="X146" s="1"/>
      <c r="Y146" s="1"/>
      <c r="Z146" s="1"/>
    </row>
    <row r="147" spans="1:26">
      <c r="A147" s="1"/>
      <c r="B147" s="467" t="s">
        <v>786</v>
      </c>
      <c r="C147" s="610"/>
      <c r="D147" s="370">
        <v>9.0300000000000005E-2</v>
      </c>
      <c r="E147" s="369"/>
      <c r="F147" s="52"/>
      <c r="G147" s="52"/>
      <c r="H147" s="257" t="s">
        <v>815</v>
      </c>
      <c r="I147" s="52"/>
      <c r="J147" s="369"/>
      <c r="K147" s="52" t="s">
        <v>822</v>
      </c>
      <c r="L147" s="369"/>
      <c r="M147" s="52" t="s">
        <v>822</v>
      </c>
      <c r="N147" s="369"/>
      <c r="O147" s="657">
        <v>9478.829333308975</v>
      </c>
      <c r="P147" s="278"/>
      <c r="Q147" s="52"/>
      <c r="R147" s="52"/>
      <c r="S147" s="657"/>
      <c r="T147" s="1"/>
      <c r="U147" s="1"/>
      <c r="V147" s="1"/>
      <c r="W147" s="1"/>
      <c r="X147" s="1"/>
      <c r="Y147" s="1"/>
      <c r="Z147" s="1"/>
    </row>
    <row r="148" spans="1:26">
      <c r="A148" s="1"/>
      <c r="B148" s="875" t="s">
        <v>813</v>
      </c>
      <c r="C148" s="610"/>
      <c r="D148" s="370"/>
      <c r="E148" s="369"/>
      <c r="F148" s="52"/>
      <c r="G148" s="52"/>
      <c r="H148" s="257" t="s">
        <v>777</v>
      </c>
      <c r="I148" s="52"/>
      <c r="J148" s="482"/>
      <c r="K148" s="657">
        <f>K149*K150</f>
        <v>4314.7038303310756</v>
      </c>
      <c r="L148" s="369"/>
      <c r="M148" s="657">
        <v>6366.2527054544389</v>
      </c>
      <c r="N148" s="482"/>
      <c r="O148" s="657">
        <v>6301.829333308975</v>
      </c>
      <c r="P148" s="278"/>
      <c r="Q148" s="52"/>
      <c r="R148" s="657"/>
      <c r="S148" s="657"/>
      <c r="T148" s="1"/>
      <c r="U148" s="1"/>
      <c r="V148" s="1"/>
      <c r="W148" s="1"/>
      <c r="X148" s="1"/>
      <c r="Y148" s="1"/>
      <c r="Z148" s="1"/>
    </row>
    <row r="149" spans="1:26">
      <c r="A149" s="1"/>
      <c r="B149" s="918" t="s">
        <v>785</v>
      </c>
      <c r="C149" s="610"/>
      <c r="D149" s="370">
        <v>6.5553539983623149E-2</v>
      </c>
      <c r="E149" s="369"/>
      <c r="F149" s="52"/>
      <c r="G149" s="52"/>
      <c r="H149" s="257" t="s">
        <v>778</v>
      </c>
      <c r="I149" s="52"/>
      <c r="J149" s="369"/>
      <c r="K149" s="657">
        <v>3109.1838560000001</v>
      </c>
      <c r="L149" s="482"/>
      <c r="M149" s="657">
        <v>3109.1838560000001</v>
      </c>
      <c r="N149" s="482"/>
      <c r="O149" s="657">
        <v>3109.1838560000001</v>
      </c>
      <c r="P149" s="278"/>
      <c r="Q149" s="52"/>
      <c r="R149" s="52"/>
      <c r="S149" s="52"/>
      <c r="T149" s="1"/>
      <c r="U149" s="1"/>
      <c r="V149" s="1"/>
      <c r="W149" s="1"/>
      <c r="X149" s="1"/>
      <c r="Y149" s="1"/>
      <c r="Z149" s="1"/>
    </row>
    <row r="150" spans="1:26">
      <c r="A150" s="1"/>
      <c r="B150" s="467" t="s">
        <v>786</v>
      </c>
      <c r="C150" s="610"/>
      <c r="D150" s="370">
        <v>0.10355523872850365</v>
      </c>
      <c r="E150" s="369"/>
      <c r="F150" s="52"/>
      <c r="G150" s="52"/>
      <c r="H150" s="257" t="s">
        <v>490</v>
      </c>
      <c r="I150" s="52"/>
      <c r="J150" s="458"/>
      <c r="K150" s="612">
        <v>1.3877287513907237</v>
      </c>
      <c r="L150" s="369"/>
      <c r="M150" s="612">
        <v>2.0475639268385675</v>
      </c>
      <c r="N150" s="458"/>
      <c r="O150" s="612">
        <v>2.0268435786284922</v>
      </c>
      <c r="P150" s="278"/>
      <c r="Q150" s="52"/>
      <c r="R150" s="52"/>
      <c r="S150" s="657"/>
      <c r="T150" s="1"/>
      <c r="U150" s="1"/>
      <c r="V150" s="1"/>
      <c r="W150" s="1"/>
      <c r="X150" s="1"/>
      <c r="Y150" s="1"/>
      <c r="Z150" s="1"/>
    </row>
    <row r="151" spans="1:26">
      <c r="A151" s="1"/>
      <c r="B151" s="376" t="s">
        <v>787</v>
      </c>
      <c r="C151" s="492"/>
      <c r="D151" s="453">
        <v>0.01</v>
      </c>
      <c r="E151" s="99"/>
      <c r="F151" s="52"/>
      <c r="G151" s="52"/>
      <c r="H151" s="277"/>
      <c r="I151" s="101"/>
      <c r="J151" s="457"/>
      <c r="K151" s="456"/>
      <c r="L151" s="99"/>
      <c r="M151" s="101"/>
      <c r="N151" s="457"/>
      <c r="O151" s="456"/>
      <c r="P151" s="279"/>
      <c r="Q151" s="52"/>
      <c r="R151" s="612"/>
      <c r="S151" s="612"/>
      <c r="T151" s="1"/>
      <c r="U151" s="1"/>
      <c r="V151" s="1"/>
      <c r="W151" s="1"/>
      <c r="X151" s="1"/>
      <c r="Y151" s="1"/>
      <c r="Z151" s="1"/>
    </row>
    <row r="152" spans="1:26">
      <c r="A152" s="1"/>
      <c r="B152" s="875"/>
      <c r="C152" s="52"/>
      <c r="D152" s="52"/>
      <c r="E152" s="369"/>
      <c r="F152" s="52"/>
      <c r="G152" s="52"/>
      <c r="H152" s="919" t="s">
        <v>818</v>
      </c>
      <c r="I152" s="52"/>
      <c r="J152" s="369"/>
      <c r="K152" s="52"/>
      <c r="L152" s="369"/>
      <c r="M152" s="52"/>
      <c r="N152" s="369"/>
      <c r="O152" s="52"/>
      <c r="P152" s="278"/>
      <c r="Q152" s="52"/>
      <c r="R152" s="612"/>
      <c r="S152" s="612"/>
      <c r="T152" s="1"/>
      <c r="U152" s="1"/>
      <c r="V152" s="1"/>
      <c r="W152" s="1"/>
      <c r="X152" s="1"/>
      <c r="Y152" s="1"/>
      <c r="Z152" s="1"/>
    </row>
    <row r="153" spans="1:26">
      <c r="A153" s="1"/>
      <c r="B153" s="875" t="s">
        <v>823</v>
      </c>
      <c r="C153" s="845"/>
      <c r="D153" s="798"/>
      <c r="E153" s="369"/>
      <c r="F153" s="52"/>
      <c r="G153" s="52"/>
      <c r="H153" s="257"/>
      <c r="I153" s="52"/>
      <c r="J153" s="369"/>
      <c r="K153" s="52"/>
      <c r="L153" s="369"/>
      <c r="M153" s="52"/>
      <c r="N153" s="369"/>
      <c r="O153" s="52"/>
      <c r="P153" s="278"/>
      <c r="Q153" s="52"/>
      <c r="R153" s="52"/>
      <c r="S153" s="1"/>
      <c r="T153" s="1"/>
      <c r="U153" s="1"/>
      <c r="V153" s="1"/>
      <c r="W153" s="1"/>
      <c r="X153" s="1"/>
      <c r="Y153" s="1"/>
      <c r="Z153" s="1"/>
    </row>
    <row r="154" spans="1:26">
      <c r="A154" s="1"/>
      <c r="B154" s="467" t="s">
        <v>812</v>
      </c>
      <c r="C154" s="610"/>
      <c r="D154" s="610">
        <v>4.3394377121104534E-2</v>
      </c>
      <c r="E154" s="369"/>
      <c r="F154" s="52"/>
      <c r="G154" s="52"/>
      <c r="H154" s="257" t="s">
        <v>815</v>
      </c>
      <c r="I154" s="52"/>
      <c r="J154" s="369"/>
      <c r="K154" s="52" t="s">
        <v>822</v>
      </c>
      <c r="L154" s="369"/>
      <c r="M154" s="52" t="s">
        <v>822</v>
      </c>
      <c r="N154" s="369"/>
      <c r="O154" s="657">
        <v>9304.1592884529218</v>
      </c>
      <c r="P154" s="278"/>
      <c r="Q154" s="52"/>
      <c r="R154" s="52"/>
      <c r="S154" s="1"/>
      <c r="T154" s="1"/>
      <c r="U154" s="1"/>
      <c r="V154" s="1"/>
      <c r="W154" s="1"/>
      <c r="X154" s="1"/>
      <c r="Y154" s="1"/>
      <c r="Z154" s="1"/>
    </row>
    <row r="155" spans="1:26">
      <c r="A155" s="1"/>
      <c r="B155" s="467" t="s">
        <v>786</v>
      </c>
      <c r="C155" s="610"/>
      <c r="D155" s="610">
        <v>7.0797503832503647E-2</v>
      </c>
      <c r="E155" s="369"/>
      <c r="F155" s="52"/>
      <c r="G155" s="52"/>
      <c r="H155" s="257" t="s">
        <v>777</v>
      </c>
      <c r="I155" s="52"/>
      <c r="J155" s="369"/>
      <c r="K155" s="657">
        <f>K157*K156</f>
        <v>4176.1992718281381</v>
      </c>
      <c r="L155" s="369"/>
      <c r="M155" s="657">
        <v>6145.7464040051927</v>
      </c>
      <c r="N155" s="369"/>
      <c r="O155" s="657">
        <v>6127.1592884529218</v>
      </c>
      <c r="P155" s="278"/>
      <c r="Q155" s="52"/>
      <c r="R155" s="52"/>
      <c r="S155" s="1"/>
      <c r="T155" s="1"/>
      <c r="U155" s="1"/>
      <c r="V155" s="1"/>
      <c r="W155" s="1"/>
      <c r="X155" s="1"/>
      <c r="Y155" s="1"/>
      <c r="Z155" s="1"/>
    </row>
    <row r="156" spans="1:26">
      <c r="A156" s="1"/>
      <c r="B156" s="875" t="s">
        <v>813</v>
      </c>
      <c r="C156" s="610"/>
      <c r="D156" s="610"/>
      <c r="E156" s="369"/>
      <c r="F156" s="52"/>
      <c r="G156" s="52"/>
      <c r="H156" s="257" t="s">
        <v>778</v>
      </c>
      <c r="I156" s="52"/>
      <c r="J156" s="369"/>
      <c r="K156" s="657">
        <v>3109.1838560000001</v>
      </c>
      <c r="L156" s="482"/>
      <c r="M156" s="657">
        <v>3109.1838560000001</v>
      </c>
      <c r="N156" s="482"/>
      <c r="O156" s="657">
        <v>3109.1838560000001</v>
      </c>
      <c r="P156" s="278"/>
      <c r="Q156" s="52"/>
      <c r="R156" s="52"/>
      <c r="S156" s="1"/>
      <c r="T156" s="1"/>
      <c r="U156" s="1"/>
      <c r="V156" s="1"/>
      <c r="W156" s="1"/>
      <c r="X156" s="1"/>
      <c r="Y156" s="1"/>
      <c r="Z156" s="1"/>
    </row>
    <row r="157" spans="1:26">
      <c r="A157" s="1"/>
      <c r="B157" s="918" t="s">
        <v>785</v>
      </c>
      <c r="C157" s="52"/>
      <c r="D157" s="370">
        <v>5.2784530767033287E-2</v>
      </c>
      <c r="E157" s="369"/>
      <c r="F157" s="1"/>
      <c r="G157" s="1"/>
      <c r="H157" s="257" t="s">
        <v>490</v>
      </c>
      <c r="I157" s="52"/>
      <c r="J157" s="369"/>
      <c r="K157" s="612">
        <v>1.3431818333190708</v>
      </c>
      <c r="L157" s="369"/>
      <c r="M157" s="612">
        <v>1.9766429676216588</v>
      </c>
      <c r="N157" s="369"/>
      <c r="O157" s="612">
        <v>1.9706648343194413</v>
      </c>
      <c r="P157" s="278"/>
      <c r="Q157" s="52"/>
      <c r="R157" s="52"/>
      <c r="S157" s="1"/>
      <c r="T157" s="1"/>
      <c r="U157" s="1"/>
      <c r="V157" s="1"/>
      <c r="W157" s="1"/>
      <c r="X157" s="1"/>
      <c r="Y157" s="1"/>
      <c r="Z157" s="1"/>
    </row>
    <row r="158" spans="1:26">
      <c r="A158" s="1"/>
      <c r="B158" s="467" t="s">
        <v>786</v>
      </c>
      <c r="C158" s="52"/>
      <c r="D158" s="370">
        <v>8.1055238728503648E-2</v>
      </c>
      <c r="E158" s="369"/>
      <c r="F158" s="1"/>
      <c r="G158" s="1"/>
      <c r="H158" s="277"/>
      <c r="I158" s="101"/>
      <c r="J158" s="99"/>
      <c r="K158" s="101"/>
      <c r="L158" s="99"/>
      <c r="M158" s="101"/>
      <c r="N158" s="99"/>
      <c r="O158" s="101"/>
      <c r="P158" s="279"/>
      <c r="Q158" s="52"/>
      <c r="R158" s="52"/>
      <c r="S158" s="1"/>
      <c r="T158" s="1"/>
      <c r="U158" s="1"/>
      <c r="V158" s="1"/>
      <c r="W158" s="1"/>
      <c r="X158" s="1"/>
      <c r="Y158" s="1"/>
      <c r="Z158" s="1"/>
    </row>
    <row r="159" spans="1:26">
      <c r="A159" s="1"/>
      <c r="B159" s="376" t="s">
        <v>787</v>
      </c>
      <c r="C159" s="101"/>
      <c r="D159" s="471">
        <v>0.01</v>
      </c>
      <c r="E159" s="99"/>
      <c r="F159" s="1"/>
      <c r="G159" s="1"/>
      <c r="H159" s="919" t="s">
        <v>819</v>
      </c>
      <c r="I159" s="52"/>
      <c r="J159" s="369"/>
      <c r="K159" s="52"/>
      <c r="L159" s="369"/>
      <c r="M159" s="52"/>
      <c r="N159" s="369"/>
      <c r="O159" s="52"/>
      <c r="P159" s="278"/>
      <c r="Q159" s="52"/>
      <c r="R159" s="52"/>
      <c r="S159" s="1"/>
      <c r="T159" s="1"/>
      <c r="U159" s="1"/>
      <c r="V159" s="1"/>
      <c r="W159" s="1"/>
      <c r="X159" s="1"/>
      <c r="Y159" s="1"/>
      <c r="Z159" s="1"/>
    </row>
    <row r="160" spans="1:26">
      <c r="A160" s="1"/>
      <c r="B160" s="1"/>
      <c r="C160" s="1"/>
      <c r="D160" s="1"/>
      <c r="E160" s="1"/>
      <c r="F160" s="1"/>
      <c r="G160" s="1"/>
      <c r="H160" s="257"/>
      <c r="I160" s="52"/>
      <c r="J160" s="369"/>
      <c r="K160" s="52"/>
      <c r="L160" s="369"/>
      <c r="M160" s="52"/>
      <c r="N160" s="369"/>
      <c r="O160" s="52"/>
      <c r="P160" s="278"/>
      <c r="Q160" s="52"/>
      <c r="R160" s="52"/>
      <c r="S160" s="1"/>
      <c r="T160" s="1"/>
      <c r="U160" s="1"/>
      <c r="V160" s="1"/>
      <c r="W160" s="1"/>
      <c r="X160" s="1"/>
      <c r="Y160" s="1"/>
      <c r="Z160" s="1"/>
    </row>
    <row r="161" spans="1:26">
      <c r="A161" s="1"/>
      <c r="B161" s="1"/>
      <c r="C161" s="1"/>
      <c r="D161" s="1"/>
      <c r="E161" s="1"/>
      <c r="F161" s="1"/>
      <c r="G161" s="1"/>
      <c r="H161" s="257" t="s">
        <v>815</v>
      </c>
      <c r="I161" s="52"/>
      <c r="J161" s="369"/>
      <c r="K161" s="52" t="s">
        <v>822</v>
      </c>
      <c r="L161" s="369"/>
      <c r="M161" s="52" t="s">
        <v>822</v>
      </c>
      <c r="N161" s="369"/>
      <c r="O161" s="657">
        <v>7240.0574500513894</v>
      </c>
      <c r="P161" s="278"/>
      <c r="Q161" s="52"/>
      <c r="R161" s="52"/>
      <c r="S161" s="1"/>
      <c r="T161" s="1"/>
      <c r="U161" s="1"/>
      <c r="V161" s="1"/>
      <c r="W161" s="1"/>
      <c r="X161" s="1"/>
      <c r="Y161" s="1"/>
      <c r="Z161" s="1"/>
    </row>
    <row r="162" spans="1:26">
      <c r="A162" s="1"/>
      <c r="B162" s="1"/>
      <c r="C162" s="1"/>
      <c r="D162" s="1"/>
      <c r="E162" s="1"/>
      <c r="F162" s="1"/>
      <c r="G162" s="1"/>
      <c r="H162" s="257" t="s">
        <v>777</v>
      </c>
      <c r="I162" s="52"/>
      <c r="J162" s="369"/>
      <c r="K162" s="657">
        <f>K164*K163</f>
        <v>3303.1396983137797</v>
      </c>
      <c r="L162" s="369"/>
      <c r="M162" s="657">
        <v>4761.3166929347217</v>
      </c>
      <c r="N162" s="369"/>
      <c r="O162" s="657">
        <v>4063.0574500513894</v>
      </c>
      <c r="P162" s="278"/>
      <c r="Q162" s="52"/>
      <c r="R162" s="52"/>
      <c r="S162" s="1"/>
      <c r="T162" s="1"/>
      <c r="U162" s="1"/>
      <c r="V162" s="1"/>
      <c r="W162" s="1"/>
      <c r="X162" s="1"/>
      <c r="Y162" s="1"/>
      <c r="Z162" s="1"/>
    </row>
    <row r="163" spans="1:26">
      <c r="A163" s="1"/>
      <c r="B163" s="1"/>
      <c r="C163" s="1"/>
      <c r="D163" s="1"/>
      <c r="E163" s="1"/>
      <c r="F163" s="1"/>
      <c r="G163" s="1"/>
      <c r="H163" s="257" t="s">
        <v>778</v>
      </c>
      <c r="I163" s="52"/>
      <c r="J163" s="369"/>
      <c r="K163" s="657">
        <v>3109.1838560000001</v>
      </c>
      <c r="L163" s="482"/>
      <c r="M163" s="657">
        <v>3109.1838560000001</v>
      </c>
      <c r="N163" s="482"/>
      <c r="O163" s="657">
        <v>3109.1838560000001</v>
      </c>
      <c r="P163" s="827"/>
      <c r="Q163" s="52"/>
      <c r="R163" s="52"/>
      <c r="S163" s="1"/>
      <c r="T163" s="1"/>
      <c r="U163" s="1"/>
      <c r="V163" s="1"/>
      <c r="W163" s="1"/>
      <c r="X163" s="1"/>
      <c r="Y163" s="1"/>
      <c r="Z163" s="1"/>
    </row>
    <row r="164" spans="1:26" ht="15" thickBot="1">
      <c r="A164" s="1"/>
      <c r="B164" s="1"/>
      <c r="C164" s="1"/>
      <c r="D164" s="1"/>
      <c r="E164" s="1"/>
      <c r="F164" s="1"/>
      <c r="G164" s="1"/>
      <c r="H164" s="269" t="s">
        <v>490</v>
      </c>
      <c r="I164" s="379"/>
      <c r="J164" s="380"/>
      <c r="K164" s="877">
        <v>1.0623815931436444</v>
      </c>
      <c r="L164" s="380"/>
      <c r="M164" s="877">
        <v>1.5313718690988602</v>
      </c>
      <c r="N164" s="380"/>
      <c r="O164" s="877">
        <v>1.3067922767611944</v>
      </c>
      <c r="P164" s="281"/>
      <c r="Q164" s="52"/>
      <c r="R164" s="52"/>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5" zoomScale="74" zoomScaleNormal="60" workbookViewId="0">
      <selection activeCell="D141" sqref="D141"/>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923" t="s">
        <v>315</v>
      </c>
      <c r="C1" s="924"/>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921" t="s">
        <v>158</v>
      </c>
      <c r="D2" s="921"/>
      <c r="E2" s="921"/>
      <c r="F2" s="921"/>
      <c r="G2" s="921"/>
      <c r="H2" s="922"/>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925" t="s">
        <v>163</v>
      </c>
      <c r="E49" s="925"/>
      <c r="F49" s="925"/>
      <c r="G49" s="925"/>
      <c r="H49" s="926"/>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927" t="s">
        <v>163</v>
      </c>
      <c r="E118" s="927"/>
      <c r="F118" s="927"/>
      <c r="G118" s="928"/>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927" t="s">
        <v>163</v>
      </c>
      <c r="E2" s="927"/>
      <c r="F2" s="927"/>
      <c r="G2" s="928"/>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396" t="s">
        <v>538</v>
      </c>
      <c r="B1" s="397"/>
      <c r="C1" s="125"/>
      <c r="D1" s="125"/>
      <c r="E1" s="125"/>
      <c r="F1" s="125"/>
      <c r="G1" s="288"/>
      <c r="H1" s="1"/>
      <c r="I1" s="1"/>
      <c r="J1" s="1"/>
      <c r="K1" s="1"/>
      <c r="L1" s="1"/>
      <c r="M1" s="1"/>
      <c r="N1" s="1"/>
      <c r="O1" s="1"/>
      <c r="P1" s="1"/>
      <c r="Q1" s="1"/>
      <c r="R1" s="1"/>
      <c r="S1" s="1"/>
      <c r="T1" s="1"/>
    </row>
    <row r="2" spans="1:20">
      <c r="A2" s="289"/>
      <c r="B2" s="921" t="s">
        <v>158</v>
      </c>
      <c r="C2" s="921"/>
      <c r="D2" s="921"/>
      <c r="E2" s="921"/>
      <c r="F2" s="921"/>
      <c r="G2" s="922"/>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537</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925" t="s">
        <v>163</v>
      </c>
      <c r="D49" s="925"/>
      <c r="E49" s="925"/>
      <c r="F49" s="925"/>
      <c r="G49" s="926"/>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16"/>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17">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17">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17"/>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2">
        <f>-(29-25) + 'Reorganised Statements'!D83</f>
        <v>-142</v>
      </c>
      <c r="D61" s="624">
        <f>-(29-25) + 'Reorganised Statements'!E83</f>
        <v>-165</v>
      </c>
      <c r="E61" s="624">
        <f>-(29-25) + 'Reorganised Statements'!F83</f>
        <v>-138</v>
      </c>
      <c r="F61" s="624">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15">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18">
        <f>-(58-59)+'Reorganised Statements'!H109</f>
        <v>-188</v>
      </c>
      <c r="H64" s="52"/>
      <c r="I64" s="52"/>
      <c r="J64" s="52"/>
      <c r="K64" s="52"/>
      <c r="L64" s="52"/>
      <c r="M64" s="52"/>
      <c r="N64" s="52"/>
      <c r="O64" s="52"/>
      <c r="P64" s="52"/>
      <c r="Q64" s="52"/>
      <c r="R64" s="52"/>
      <c r="S64" s="52"/>
      <c r="T64" s="52"/>
      <c r="U64" s="276"/>
      <c r="V64" s="276"/>
    </row>
    <row r="65" spans="1:22">
      <c r="A65" s="330" t="s">
        <v>440</v>
      </c>
      <c r="B65" s="286"/>
      <c r="C65" s="625">
        <f>C63+C64</f>
        <v>-104</v>
      </c>
      <c r="D65" s="623">
        <f>D63+D64</f>
        <v>207</v>
      </c>
      <c r="E65" s="623">
        <f>E63+E64</f>
        <v>379</v>
      </c>
      <c r="F65" s="623">
        <f>F63+F64</f>
        <v>281</v>
      </c>
      <c r="G65" s="619">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0">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1">
        <f>D68+D69</f>
        <v>225</v>
      </c>
      <c r="E71" s="361">
        <f>E68+E69</f>
        <v>286</v>
      </c>
      <c r="F71" s="361">
        <f>F68+F69</f>
        <v>284</v>
      </c>
      <c r="G71" s="621">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927" t="s">
        <v>163</v>
      </c>
      <c r="D77" s="927"/>
      <c r="E77" s="927"/>
      <c r="F77" s="928"/>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7"/>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26"/>
      <c r="E101" s="626"/>
      <c r="F101" s="628"/>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27">
        <f t="shared" ref="D114:F114" si="12">D113-D112</f>
        <v>37</v>
      </c>
      <c r="E114" s="627">
        <f t="shared" si="12"/>
        <v>-122</v>
      </c>
      <c r="F114" s="629">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28"/>
      <c r="D118" s="1"/>
      <c r="E118" s="1"/>
      <c r="F118" s="1"/>
      <c r="G118" s="1"/>
      <c r="H118" s="1"/>
      <c r="I118" s="1"/>
      <c r="J118" s="1"/>
      <c r="K118" s="1"/>
      <c r="L118" s="1"/>
      <c r="M118" s="1"/>
      <c r="N118" s="1"/>
      <c r="O118" s="1"/>
      <c r="P118" s="1"/>
      <c r="Q118" s="1"/>
      <c r="R118" s="1"/>
      <c r="S118" s="1"/>
      <c r="T118" s="1"/>
    </row>
    <row r="119" spans="1:22">
      <c r="A119" s="1"/>
      <c r="B119" s="1"/>
      <c r="C119" s="428"/>
      <c r="D119" s="1"/>
      <c r="E119" s="1"/>
      <c r="F119" s="1"/>
      <c r="G119" s="1"/>
      <c r="H119" s="1"/>
      <c r="I119" s="1"/>
      <c r="J119" s="1"/>
      <c r="K119" s="1"/>
      <c r="L119" s="1"/>
      <c r="M119" s="1"/>
      <c r="N119" s="1"/>
      <c r="O119" s="1"/>
      <c r="P119" s="1"/>
      <c r="Q119" s="1"/>
      <c r="R119" s="1"/>
      <c r="S119" s="1"/>
      <c r="T119" s="1"/>
    </row>
    <row r="120" spans="1:22">
      <c r="A120" s="1"/>
      <c r="B120" s="1"/>
      <c r="C120" s="428"/>
      <c r="D120" s="1"/>
      <c r="E120" s="1"/>
      <c r="F120" s="1"/>
      <c r="G120" s="1"/>
      <c r="H120" s="1"/>
      <c r="I120" s="1"/>
      <c r="J120" s="1"/>
      <c r="K120" s="1"/>
      <c r="L120" s="1"/>
      <c r="M120" s="1"/>
      <c r="N120" s="1"/>
      <c r="O120" s="1"/>
      <c r="P120" s="1"/>
      <c r="Q120" s="1"/>
      <c r="R120" s="1"/>
      <c r="S120" s="1"/>
      <c r="T120" s="1"/>
    </row>
    <row r="121" spans="1:22">
      <c r="A121" s="1"/>
      <c r="B121" s="1"/>
      <c r="C121" s="428"/>
      <c r="D121" s="1"/>
      <c r="E121" s="1"/>
      <c r="F121" s="1"/>
      <c r="G121" s="1"/>
      <c r="H121" s="1"/>
      <c r="I121" s="1"/>
      <c r="J121" s="1"/>
      <c r="K121" s="1"/>
      <c r="L121" s="1"/>
      <c r="M121" s="1"/>
      <c r="N121" s="1"/>
      <c r="O121" s="1"/>
      <c r="P121" s="1"/>
      <c r="Q121" s="1"/>
      <c r="R121" s="1"/>
      <c r="S121" s="1"/>
      <c r="T121" s="1"/>
    </row>
    <row r="122" spans="1:22">
      <c r="A122" s="1"/>
      <c r="B122" s="1"/>
      <c r="C122" s="428"/>
      <c r="D122" s="1"/>
      <c r="E122" s="1"/>
      <c r="F122" s="1"/>
      <c r="G122" s="1"/>
      <c r="H122" s="1"/>
      <c r="I122" s="1"/>
      <c r="J122" s="1"/>
      <c r="K122" s="1"/>
      <c r="L122" s="1"/>
      <c r="M122" s="1"/>
      <c r="N122" s="1"/>
      <c r="O122" s="1"/>
      <c r="P122" s="1"/>
      <c r="Q122" s="1"/>
      <c r="R122" s="1"/>
      <c r="S122" s="1"/>
      <c r="T122" s="1"/>
    </row>
    <row r="123" spans="1:22">
      <c r="A123" s="1"/>
      <c r="B123" s="1"/>
      <c r="C123" s="428"/>
      <c r="D123" s="1"/>
      <c r="E123" s="1"/>
      <c r="F123" s="1"/>
      <c r="G123" s="1"/>
      <c r="H123" s="1"/>
      <c r="I123" s="1"/>
      <c r="J123" s="1"/>
      <c r="K123" s="1"/>
      <c r="L123" s="1"/>
      <c r="M123" s="1"/>
      <c r="N123" s="1"/>
      <c r="O123" s="1"/>
      <c r="P123" s="1"/>
      <c r="Q123" s="1"/>
      <c r="R123" s="1"/>
      <c r="S123" s="1"/>
      <c r="T123" s="1"/>
    </row>
    <row r="124" spans="1:22">
      <c r="A124" s="1"/>
      <c r="B124" s="1"/>
      <c r="C124" s="429"/>
      <c r="D124" s="1"/>
      <c r="E124" s="1"/>
      <c r="F124" s="1"/>
      <c r="G124" s="1"/>
      <c r="H124" s="1"/>
      <c r="I124" s="1"/>
      <c r="J124" s="1"/>
      <c r="K124" s="1"/>
      <c r="L124" s="1"/>
      <c r="M124" s="1"/>
      <c r="N124" s="1"/>
      <c r="O124" s="1"/>
      <c r="P124" s="1"/>
      <c r="Q124" s="1"/>
      <c r="R124" s="1"/>
      <c r="S124" s="1"/>
      <c r="T124" s="1"/>
    </row>
    <row r="125" spans="1:22">
      <c r="A125" s="1"/>
      <c r="B125" s="1"/>
      <c r="C125" s="429"/>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0"/>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1"/>
      <c r="E130" s="431"/>
      <c r="F130" s="427"/>
      <c r="G130" s="427"/>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16" zoomScale="66" zoomScaleNormal="66" workbookViewId="0">
      <selection activeCell="L48" sqref="L48"/>
    </sheetView>
  </sheetViews>
  <sheetFormatPr defaultRowHeight="14.4"/>
  <cols>
    <col min="1" max="1" width="3.33203125" customWidth="1"/>
    <col min="2" max="2" width="50.6640625" customWidth="1"/>
    <col min="3" max="3" width="22"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91" ht="25.8">
      <c r="A1" s="249"/>
      <c r="B1" s="250" t="s">
        <v>504</v>
      </c>
      <c r="C1" s="250"/>
      <c r="D1" s="58"/>
      <c r="E1" s="58"/>
      <c r="F1" s="58"/>
      <c r="G1" s="58"/>
      <c r="H1" s="630"/>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4"/>
      <c r="B2" s="60"/>
      <c r="C2" s="631"/>
      <c r="D2" s="920" t="s">
        <v>158</v>
      </c>
      <c r="E2" s="920"/>
      <c r="F2" s="920"/>
      <c r="G2" s="920"/>
      <c r="H2" s="929"/>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2" t="s">
        <v>708</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1" t="s">
        <v>505</v>
      </c>
      <c r="C4" s="595"/>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ht="28.8">
      <c r="A5" s="257"/>
      <c r="B5" s="592" t="s">
        <v>673</v>
      </c>
      <c r="C5" s="596" t="s">
        <v>307</v>
      </c>
      <c r="D5" s="639">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2"/>
      <c r="C6" s="597"/>
      <c r="D6" s="2"/>
      <c r="E6" s="26"/>
      <c r="F6" s="26"/>
      <c r="G6" s="26"/>
      <c r="H6" s="554"/>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2" t="s">
        <v>506</v>
      </c>
      <c r="C7" s="597"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33">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2"/>
      <c r="C8" s="597"/>
      <c r="D8" s="2"/>
      <c r="E8" s="26"/>
      <c r="F8" s="26"/>
      <c r="G8" s="26"/>
      <c r="H8" s="554"/>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2" t="s">
        <v>508</v>
      </c>
      <c r="C9" s="598" t="s">
        <v>509</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33">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2"/>
      <c r="C10" s="597"/>
      <c r="D10" s="2"/>
      <c r="E10" s="26"/>
      <c r="F10" s="26"/>
      <c r="G10" s="26"/>
      <c r="H10" s="554"/>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2" t="s">
        <v>711</v>
      </c>
      <c r="C11" s="597" t="s">
        <v>674</v>
      </c>
      <c r="D11" s="639">
        <f>('Reorganised Statements'!D80*(1-0.279))/(('Financial statements'!F112+'Financial statements'!G112 )/2-('Reorganised Statements'!D39+'Reorganised Statements'!E39)/2)</f>
        <v>2.1966132917670397E-2</v>
      </c>
      <c r="E11" s="639">
        <f>('Reorganised Statements'!E80*(1-0.279))/(('Financial statements'!G112+'Financial statements'!H112 )/2-('Reorganised Statements'!E39+'Reorganised Statements'!F39)/2)</f>
        <v>4.5547664884135468E-2</v>
      </c>
      <c r="F11" s="639">
        <f>('Reorganised Statements'!F80*(1-0.279))/(('Financial statements'!H112+'Financial statements'!I112 )/2-('Reorganised Statements'!F39+'Reorganised Statements'!G39)/2)</f>
        <v>7.2344544940644434E-2</v>
      </c>
      <c r="G11" s="639">
        <f>('Reorganised Statements'!G80*(1-0.279))/(('Financial statements'!I112+'Financial statements'!J112 )/2-('Reorganised Statements'!G39+'Reorganised Statements'!H39)/2)</f>
        <v>5.8625181497614601E-2</v>
      </c>
      <c r="H11" s="368"/>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595"/>
      <c r="D12" s="639"/>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2" t="s">
        <v>510</v>
      </c>
      <c r="C13" s="598" t="s">
        <v>675</v>
      </c>
      <c r="D13" s="120">
        <f>(('Reorganised Statements'!D80*(1-0.279))/'Financial statements'!F198)*('Financial statements'!F198/-('Reorganised Statements'!D35+'Reorganised Statements'!D39))</f>
        <v>2.2019176136363634E-2</v>
      </c>
      <c r="E13" s="120">
        <f>(('Reorganised Statements'!E80*(1-0.279))/'Financial statements'!G198)*('Financial statements'!G198/-('Reorganised Statements'!E35+'Reorganised Statements'!E39))</f>
        <v>4.5151682216567707E-2</v>
      </c>
      <c r="F13" s="120">
        <f>(('Reorganised Statements'!F80*(1-0.279))/'Financial statements'!H198)*('Financial statements'!H198/-('Reorganised Statements'!F35+'Reorganised Statements'!F39))</f>
        <v>7.3645518630412896E-2</v>
      </c>
      <c r="G13" s="120">
        <f>(('Reorganised Statements'!G80*(1-0.279))/'Financial statements'!I198)*('Financial statements'!I198/-('Reorganised Statements'!G35+'Reorganised Statements'!G39))</f>
        <v>5.8873489793084294E-2</v>
      </c>
      <c r="H13" s="633">
        <f>(('Reorganised Statements'!H80*(1-0.279))/'Financial statements'!J198)*('Financial statements'!J198/-('Reorganised Statements'!H35+'Reorganised Statements'!H39))</f>
        <v>6.820806940236851E-2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595"/>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593" t="s">
        <v>709</v>
      </c>
      <c r="C15" s="597" t="s">
        <v>810</v>
      </c>
      <c r="D15" s="640">
        <f>D9+(D51)*(D9-((('Financial statements'!F237+'Financial statements'!F238)/'Financial statements'!F121))*(1-0.279))</f>
        <v>9.6539885414308434E-3</v>
      </c>
      <c r="E15" s="640">
        <f>E9+(E51)*(E9-((('Financial statements'!G237+'Financial statements'!G238)/'Financial statements'!G121))*(1-0.279))</f>
        <v>6.4865684759365771E-2</v>
      </c>
      <c r="F15" s="640">
        <f>F9+(F51)*(F9-((('Financial statements'!H237+'Financial statements'!H238)/'Financial statements'!H121))*(1-0.279))</f>
        <v>0.13948470613820163</v>
      </c>
      <c r="G15" s="640">
        <f>G9+(G51)*(G9-((('Financial statements'!I237+'Financial statements'!I238)/'Financial statements'!I121))*(1-0.279))</f>
        <v>9.3093939557667385E-2</v>
      </c>
      <c r="H15" s="634">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598"/>
      <c r="D16" s="2"/>
      <c r="E16" s="26"/>
      <c r="F16" s="26"/>
      <c r="G16" s="26"/>
      <c r="H16" s="554"/>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593" t="s">
        <v>511</v>
      </c>
      <c r="C17" s="597"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33">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1"/>
      <c r="C18" s="595"/>
      <c r="D18" s="510"/>
      <c r="E18" s="389"/>
      <c r="F18" s="389"/>
      <c r="G18" s="389"/>
      <c r="H18" s="646"/>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2" t="s">
        <v>710</v>
      </c>
      <c r="C19" s="597"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33"/>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599"/>
      <c r="C20" s="547"/>
      <c r="D20" s="641"/>
      <c r="E20" s="600"/>
      <c r="F20" s="600"/>
      <c r="G20" s="600"/>
      <c r="H20" s="647"/>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1" t="s">
        <v>512</v>
      </c>
      <c r="C21" s="595"/>
      <c r="D21" s="510"/>
      <c r="E21" s="391"/>
      <c r="F21" s="391"/>
      <c r="G21" s="391"/>
      <c r="H21" s="634"/>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2" t="s">
        <v>513</v>
      </c>
      <c r="C22" s="597" t="s">
        <v>678</v>
      </c>
      <c r="D22" s="642">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35">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2"/>
      <c r="C23" s="597"/>
      <c r="D23" s="642">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35">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1"/>
      <c r="C24" s="595"/>
      <c r="D24" s="509"/>
      <c r="E24" s="393"/>
      <c r="F24" s="393"/>
      <c r="G24" s="393"/>
      <c r="H24" s="648"/>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2" t="s">
        <v>514</v>
      </c>
      <c r="C25" s="597" t="s">
        <v>679</v>
      </c>
      <c r="D25" s="642">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35">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2" t="s">
        <v>712</v>
      </c>
      <c r="C26" s="597" t="s">
        <v>683</v>
      </c>
      <c r="D26" s="642">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35">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593"/>
      <c r="C27" s="597"/>
      <c r="D27" s="642"/>
      <c r="E27" s="392"/>
      <c r="F27" s="392"/>
      <c r="G27" s="392"/>
      <c r="H27" s="635"/>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593"/>
      <c r="C28" s="597"/>
      <c r="D28" s="642"/>
      <c r="E28" s="392"/>
      <c r="F28" s="392"/>
      <c r="G28" s="392"/>
      <c r="H28" s="635"/>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1"/>
      <c r="C29" s="547"/>
      <c r="D29" s="643"/>
      <c r="E29" s="602"/>
      <c r="F29" s="602"/>
      <c r="G29" s="602"/>
      <c r="H29" s="649"/>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1" t="s">
        <v>688</v>
      </c>
      <c r="C30" s="597"/>
      <c r="D30" s="642"/>
      <c r="E30" s="392"/>
      <c r="F30" s="392"/>
      <c r="G30" s="392"/>
      <c r="H30" s="635"/>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593" t="s">
        <v>689</v>
      </c>
      <c r="C31" s="597"/>
      <c r="D31" s="642"/>
      <c r="E31" s="392"/>
      <c r="F31" s="392"/>
      <c r="G31" s="392"/>
      <c r="H31" s="635"/>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593"/>
      <c r="C32" s="597"/>
      <c r="D32" s="642"/>
      <c r="E32" s="392"/>
      <c r="F32" s="392"/>
      <c r="G32" s="392"/>
      <c r="H32" s="635"/>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593" t="s">
        <v>696</v>
      </c>
      <c r="C33" s="597" t="s">
        <v>700</v>
      </c>
      <c r="D33" s="644">
        <f>'Reorganised Statements'!D11*365 / 'Forecasts Simone'!B10</f>
        <v>114.54459002535926</v>
      </c>
      <c r="E33" s="650">
        <f>'Reorganised Statements'!E11*365 / 'Forecasts Simone'!C10</f>
        <v>145.09168303863785</v>
      </c>
      <c r="F33" s="650">
        <f>'Reorganised Statements'!F11*365 / 'Forecasts Simone'!D10</f>
        <v>109.10822898032201</v>
      </c>
      <c r="G33" s="650">
        <f>'Reorganised Statements'!G11*365 / 'Forecasts Simone'!E10</f>
        <v>103.66209535959177</v>
      </c>
      <c r="H33" s="636">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593"/>
      <c r="C34" s="597"/>
      <c r="D34" s="642"/>
      <c r="E34" s="392"/>
      <c r="F34" s="392"/>
      <c r="G34" s="392"/>
      <c r="H34" s="635"/>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593" t="s">
        <v>697</v>
      </c>
      <c r="C35" s="597" t="s">
        <v>699</v>
      </c>
      <c r="D35" s="644">
        <f>-'Forecasts Simone'!B63*365/'Forecasts Simone'!B15</f>
        <v>29.378827646544181</v>
      </c>
      <c r="E35" s="650">
        <f>-'Forecasts Simone'!C63*365/'Forecasts Simone'!C15</f>
        <v>27.62256068538791</v>
      </c>
      <c r="F35" s="650">
        <f>-'Forecasts Simone'!D63*365/'Forecasts Simone'!D15</f>
        <v>18.952666902154714</v>
      </c>
      <c r="G35" s="650">
        <f>-'Forecasts Simone'!E63*365/'Forecasts Simone'!E15</f>
        <v>20.398983861326958</v>
      </c>
      <c r="H35" s="636">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593"/>
      <c r="C36" s="597"/>
      <c r="D36" s="642"/>
      <c r="E36" s="392"/>
      <c r="F36" s="392"/>
      <c r="G36" s="392"/>
      <c r="H36" s="635"/>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593" t="s">
        <v>698</v>
      </c>
      <c r="C37" s="597" t="s">
        <v>701</v>
      </c>
      <c r="D37" s="644">
        <f>'Forecasts Simone'!B65*365/('Forecasts Simone'!B15+'Forecasts Simone'!B16)</f>
        <v>142.73061497326202</v>
      </c>
      <c r="E37" s="650">
        <f>'Forecasts Simone'!C65*365/('Forecasts Simone'!C15+'Forecasts Simone'!C16)</f>
        <v>176.6911507520112</v>
      </c>
      <c r="F37" s="650">
        <f>'Forecasts Simone'!D65*365/('Forecasts Simone'!D15+'Forecasts Simone'!D16)</f>
        <v>136.93697364846508</v>
      </c>
      <c r="G37" s="650">
        <f>'Forecasts Simone'!E65*365/('Forecasts Simone'!E15+'Forecasts Simone'!E16)</f>
        <v>119.05470914127424</v>
      </c>
      <c r="H37" s="636">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593"/>
      <c r="C38" s="597"/>
      <c r="D38" s="644"/>
      <c r="E38" s="650"/>
      <c r="F38" s="650"/>
      <c r="G38" s="650"/>
      <c r="H38" s="636"/>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593" t="s">
        <v>705</v>
      </c>
      <c r="C39" s="597" t="s">
        <v>704</v>
      </c>
      <c r="D39" s="644">
        <f>'Forecasts Simone'!B65*365/'Forecasts Simone'!B15</f>
        <v>186.81102362204723</v>
      </c>
      <c r="E39" s="650">
        <f>'Forecasts Simone'!C65*365/'Forecasts Simone'!C15</f>
        <v>240.43788672060924</v>
      </c>
      <c r="F39" s="650">
        <f>'Forecasts Simone'!D65*365/'Forecasts Simone'!D15</f>
        <v>178.05192511480041</v>
      </c>
      <c r="G39" s="650">
        <f>'Forecasts Simone'!E65*365/'Forecasts Simone'!E15</f>
        <v>154.13777644949192</v>
      </c>
      <c r="H39" s="636">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593"/>
      <c r="C40" s="597"/>
      <c r="D40" s="642"/>
      <c r="E40" s="392"/>
      <c r="F40" s="392"/>
      <c r="G40" s="392"/>
      <c r="H40" s="635"/>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593" t="s">
        <v>702</v>
      </c>
      <c r="C41" s="597" t="s">
        <v>703</v>
      </c>
      <c r="D41" s="644">
        <f>D33+D35-D37</f>
        <v>1.1928026986414295</v>
      </c>
      <c r="E41" s="650">
        <f t="shared" ref="E41:H41" si="0">E33+E35-E37</f>
        <v>-3.9769070279854191</v>
      </c>
      <c r="F41" s="650">
        <f t="shared" si="0"/>
        <v>-8.8760777659883558</v>
      </c>
      <c r="G41" s="650">
        <f t="shared" si="0"/>
        <v>5.0063700796444834</v>
      </c>
      <c r="H41" s="636">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593" t="s">
        <v>706</v>
      </c>
      <c r="C42" s="597" t="s">
        <v>707</v>
      </c>
      <c r="D42" s="644">
        <f>D33+D35-D39</f>
        <v>-42.887605950143779</v>
      </c>
      <c r="E42" s="650">
        <f t="shared" ref="E42:H42" si="1">E33+E35-E39</f>
        <v>-67.723642996583465</v>
      </c>
      <c r="F42" s="650">
        <f t="shared" si="1"/>
        <v>-49.991029232323683</v>
      </c>
      <c r="G42" s="650">
        <f t="shared" si="1"/>
        <v>-30.076697228573195</v>
      </c>
      <c r="H42" s="636">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593"/>
      <c r="C43" s="597"/>
      <c r="D43" s="642"/>
      <c r="E43" s="392"/>
      <c r="F43" s="392"/>
      <c r="G43" s="392"/>
      <c r="H43" s="635"/>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1"/>
      <c r="C44" s="547"/>
      <c r="D44" s="643"/>
      <c r="E44" s="602"/>
      <c r="F44" s="602"/>
      <c r="G44" s="602"/>
      <c r="H44" s="649"/>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594" t="s">
        <v>515</v>
      </c>
      <c r="C45" s="597"/>
      <c r="D45" s="2"/>
      <c r="E45" s="26"/>
      <c r="F45" s="26"/>
      <c r="G45" s="26"/>
      <c r="H45" s="554"/>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2" t="s">
        <v>516</v>
      </c>
      <c r="C46" s="597" t="s">
        <v>680</v>
      </c>
      <c r="D46" s="642">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35">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1"/>
      <c r="C47" s="597"/>
      <c r="D47" s="639"/>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593" t="s">
        <v>517</v>
      </c>
      <c r="C48" s="597" t="s">
        <v>681</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33">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2" t="s">
        <v>811</v>
      </c>
      <c r="C49" s="597" t="s">
        <v>685</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33">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2"/>
      <c r="C50" s="597"/>
      <c r="D50" s="120"/>
      <c r="E50" s="29"/>
      <c r="F50" s="29"/>
      <c r="G50" s="29"/>
      <c r="H50" s="633"/>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593" t="s">
        <v>518</v>
      </c>
      <c r="C51" s="597" t="s">
        <v>682</v>
      </c>
      <c r="D51" s="642">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35">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7"/>
      <c r="B52" s="592"/>
      <c r="C52" s="597"/>
      <c r="D52" s="52"/>
      <c r="E52" s="26"/>
      <c r="F52" s="26"/>
      <c r="G52" s="26"/>
      <c r="H52" s="554"/>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7"/>
      <c r="B53" s="592" t="s">
        <v>686</v>
      </c>
      <c r="C53" s="597" t="s">
        <v>687</v>
      </c>
      <c r="D53" s="645">
        <f>'Reorganised Statements'!D35/('Reorganised Statements'!D35+'Reorganised Statements'!D39)</f>
        <v>0.46292613636363639</v>
      </c>
      <c r="E53" s="651">
        <f>'Reorganised Statements'!E35/('Reorganised Statements'!E35+'Reorganised Statements'!E39)</f>
        <v>0.46352841391009331</v>
      </c>
      <c r="F53" s="651">
        <f>'Reorganised Statements'!F35/('Reorganised Statements'!F35+'Reorganised Statements'!F39)</f>
        <v>0.43346281110631563</v>
      </c>
      <c r="G53" s="651">
        <f>'Reorganised Statements'!G35/('Reorganised Statements'!G35+'Reorganised Statements'!G39)</f>
        <v>0.48923760588807108</v>
      </c>
      <c r="H53" s="637">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2"/>
      <c r="C54" s="597"/>
      <c r="D54" s="52"/>
      <c r="E54" s="26"/>
      <c r="F54" s="26"/>
      <c r="G54" s="26"/>
      <c r="H54" s="554"/>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2" t="s">
        <v>520</v>
      </c>
      <c r="C55" s="597" t="s">
        <v>684</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595"/>
      <c r="D56" s="52"/>
      <c r="E56" s="590" t="s">
        <v>672</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2"/>
      <c r="C57" s="597"/>
      <c r="D57" s="52"/>
      <c r="E57" s="46"/>
      <c r="F57" s="652" t="s">
        <v>521</v>
      </c>
      <c r="G57" s="653">
        <f>AVERAGE(E55:H55)</f>
        <v>1.1597653602856097</v>
      </c>
      <c r="H57" s="554"/>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9"/>
      <c r="B58" s="380"/>
      <c r="C58" s="638"/>
      <c r="D58" s="379"/>
      <c r="E58" s="654"/>
      <c r="F58" s="654"/>
      <c r="G58" s="654"/>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77"/>
      <c r="E69" s="677"/>
      <c r="F69" s="677"/>
      <c r="G69" s="677"/>
      <c r="H69" s="677"/>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77"/>
      <c r="D77" s="677"/>
      <c r="E77" s="677"/>
      <c r="F77" s="677"/>
      <c r="G77" s="677"/>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39"/>
      <c r="E78" s="639"/>
      <c r="F78" s="639"/>
      <c r="G78" s="639"/>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39"/>
      <c r="E79" s="639"/>
      <c r="F79" s="639"/>
      <c r="G79" s="639"/>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20"/>
      <c r="D80" s="720"/>
      <c r="E80" s="720"/>
      <c r="F80" s="720"/>
      <c r="G80" s="72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39"/>
      <c r="E81" s="639"/>
      <c r="F81" s="639"/>
      <c r="G81" s="639"/>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40"/>
      <c r="D82" s="640"/>
      <c r="E82" s="640"/>
      <c r="F82" s="640"/>
      <c r="G82" s="64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39"/>
      <c r="E83" s="639"/>
      <c r="F83" s="639"/>
      <c r="G83" s="639"/>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40"/>
      <c r="D84" s="640"/>
      <c r="E84" s="640"/>
      <c r="F84" s="640"/>
      <c r="G84" s="64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39"/>
      <c r="E85" s="639"/>
      <c r="F85" s="639"/>
      <c r="G85" s="639"/>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913"/>
      <c r="D86" s="913"/>
      <c r="E86" s="913"/>
      <c r="F86" s="913"/>
      <c r="G86" s="913"/>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914"/>
      <c r="D87" s="639"/>
      <c r="E87" s="639"/>
      <c r="F87" s="639"/>
      <c r="G87" s="639"/>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40"/>
      <c r="D88" s="640"/>
      <c r="E88" s="640"/>
      <c r="F88" s="640"/>
      <c r="G88" s="64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39"/>
      <c r="E89" s="639"/>
      <c r="F89" s="639"/>
      <c r="G89" s="639"/>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40"/>
      <c r="D90" s="640"/>
      <c r="E90" s="640"/>
      <c r="F90" s="640"/>
      <c r="G90" s="64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39"/>
      <c r="E91" s="639"/>
      <c r="F91" s="639"/>
      <c r="G91" s="639"/>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915"/>
      <c r="D92" s="915"/>
      <c r="E92" s="915"/>
      <c r="F92" s="915"/>
      <c r="G92" s="915"/>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39"/>
      <c r="E93" s="639"/>
      <c r="F93" s="639"/>
      <c r="G93" s="639"/>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40"/>
      <c r="D94" s="640"/>
      <c r="E94" s="640"/>
      <c r="F94" s="640"/>
      <c r="G94" s="64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917"/>
      <c r="D95" s="639"/>
      <c r="E95" s="639"/>
      <c r="F95" s="639"/>
      <c r="G95" s="639"/>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39"/>
      <c r="E96" s="639"/>
      <c r="F96" s="639"/>
      <c r="G96" s="639"/>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916"/>
      <c r="D97" s="916"/>
      <c r="E97" s="916"/>
      <c r="F97" s="916"/>
      <c r="G97" s="916"/>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611"/>
      <c r="E98" s="611"/>
      <c r="F98" s="611"/>
      <c r="G98" s="611"/>
      <c r="H98" s="67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611"/>
      <c r="E99" s="611"/>
      <c r="F99" s="611"/>
      <c r="G99" s="611"/>
      <c r="H99" s="67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509"/>
      <c r="D100" s="509"/>
      <c r="E100" s="509"/>
      <c r="F100" s="509"/>
      <c r="G100" s="509"/>
      <c r="H100" s="67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509"/>
      <c r="D101" s="509"/>
      <c r="E101" s="509"/>
      <c r="F101" s="509"/>
      <c r="G101" s="509"/>
      <c r="H101" s="67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611"/>
      <c r="E102" s="611"/>
      <c r="F102" s="611"/>
      <c r="G102" s="611"/>
      <c r="H102" s="67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611"/>
      <c r="E103" s="611"/>
      <c r="F103" s="611"/>
      <c r="G103" s="611"/>
      <c r="H103" s="67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611"/>
      <c r="E104" s="611"/>
      <c r="F104" s="611"/>
      <c r="G104" s="611"/>
      <c r="H104" s="67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57"/>
      <c r="D105" s="657"/>
      <c r="E105" s="657"/>
      <c r="F105" s="657"/>
      <c r="G105" s="657"/>
      <c r="H105" s="67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611"/>
      <c r="E106" s="611"/>
      <c r="F106" s="611"/>
      <c r="G106" s="611"/>
      <c r="H106" s="67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57"/>
      <c r="D107" s="657"/>
      <c r="E107" s="657"/>
      <c r="F107" s="657"/>
      <c r="G107" s="657"/>
      <c r="H107" s="67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611"/>
      <c r="E108" s="611"/>
      <c r="F108" s="611"/>
      <c r="G108" s="611"/>
      <c r="H108" s="67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57"/>
      <c r="D109" s="657"/>
      <c r="E109" s="657"/>
      <c r="F109" s="657"/>
      <c r="G109" s="657"/>
      <c r="H109" s="67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70"/>
      <c r="E110" s="370"/>
      <c r="F110" s="370"/>
      <c r="G110" s="370"/>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40"/>
      <c r="D111" s="840"/>
      <c r="E111" s="840"/>
      <c r="F111" s="840"/>
      <c r="G111" s="840"/>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70"/>
      <c r="E112" s="370"/>
      <c r="F112" s="370"/>
      <c r="G112" s="370"/>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57"/>
      <c r="D113" s="657"/>
      <c r="E113" s="657"/>
      <c r="F113" s="657"/>
      <c r="G113" s="657"/>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57"/>
      <c r="D114" s="657"/>
      <c r="E114" s="657"/>
      <c r="F114" s="657"/>
      <c r="G114" s="657"/>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70"/>
      <c r="E115" s="370"/>
      <c r="F115" s="370"/>
      <c r="G115" s="370"/>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70"/>
      <c r="E116" s="370"/>
      <c r="F116" s="370"/>
      <c r="G116" s="370"/>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70"/>
      <c r="E117" s="370"/>
      <c r="F117" s="370"/>
      <c r="G117" s="370"/>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509"/>
      <c r="D118" s="509"/>
      <c r="E118" s="509"/>
      <c r="F118" s="509"/>
      <c r="G118" s="509"/>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70"/>
      <c r="E119" s="370"/>
      <c r="F119" s="370"/>
      <c r="G119" s="370"/>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510"/>
      <c r="D120" s="510"/>
      <c r="E120" s="510"/>
      <c r="F120" s="510"/>
      <c r="G120" s="510"/>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70"/>
      <c r="E121" s="370"/>
      <c r="F121" s="370"/>
      <c r="G121" s="370"/>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611"/>
      <c r="D122" s="611"/>
      <c r="E122" s="611"/>
      <c r="F122" s="611"/>
      <c r="G122" s="61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45"/>
      <c r="D124" s="845"/>
      <c r="E124" s="845"/>
      <c r="F124" s="845"/>
      <c r="G124" s="84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45"/>
      <c r="E126" s="845"/>
      <c r="F126" s="845"/>
      <c r="G126" s="84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923" t="s">
        <v>315</v>
      </c>
      <c r="B1" s="924"/>
      <c r="C1" s="125"/>
      <c r="D1" s="125"/>
      <c r="E1" s="125"/>
      <c r="F1" s="125"/>
      <c r="G1" s="288"/>
      <c r="H1" s="1"/>
      <c r="I1" s="1"/>
      <c r="J1" s="1"/>
      <c r="K1" s="1"/>
      <c r="L1" s="1"/>
    </row>
    <row r="2" spans="1:12">
      <c r="A2" s="289"/>
      <c r="B2" s="921" t="s">
        <v>158</v>
      </c>
      <c r="C2" s="921"/>
      <c r="D2" s="921"/>
      <c r="E2" s="921"/>
      <c r="F2" s="921"/>
      <c r="G2" s="922"/>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925" t="s">
        <v>163</v>
      </c>
      <c r="D55" s="925"/>
      <c r="E55" s="925"/>
      <c r="F55" s="925"/>
      <c r="G55" s="926"/>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927" t="s">
        <v>163</v>
      </c>
      <c r="D124" s="927"/>
      <c r="E124" s="927"/>
      <c r="F124" s="928"/>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topLeftCell="A31" zoomScale="70" zoomScaleNormal="70" workbookViewId="0">
      <selection activeCell="G67" sqref="G67"/>
    </sheetView>
  </sheetViews>
  <sheetFormatPr defaultRowHeight="14.4"/>
  <cols>
    <col min="2" max="2" width="37" customWidth="1"/>
    <col min="3" max="3" width="19.109375" customWidth="1"/>
    <col min="4" max="4" width="31.33203125" customWidth="1"/>
    <col min="5" max="5" width="20.44140625" customWidth="1"/>
    <col min="6" max="6" width="33" customWidth="1"/>
    <col min="7" max="7" width="29.5546875" customWidth="1"/>
    <col min="8" max="8" width="47.33203125" bestFit="1" customWidth="1"/>
    <col min="9" max="9" width="21.44140625" customWidth="1"/>
    <col min="10" max="10" width="23.88671875" bestFit="1" customWidth="1"/>
  </cols>
  <sheetData>
    <row r="1" spans="1:35" ht="27.6">
      <c r="A1" s="852"/>
      <c r="B1" s="905" t="s">
        <v>419</v>
      </c>
      <c r="C1" s="662"/>
      <c r="D1" s="662"/>
      <c r="E1" s="662"/>
      <c r="F1" s="662"/>
      <c r="G1" s="662"/>
      <c r="H1" s="662"/>
      <c r="I1" s="662"/>
      <c r="J1" s="664"/>
      <c r="K1" s="369"/>
      <c r="L1" s="1"/>
      <c r="M1" s="1"/>
      <c r="N1" s="904" t="s">
        <v>807</v>
      </c>
      <c r="O1" s="662"/>
      <c r="P1" s="662"/>
      <c r="Q1" s="662"/>
      <c r="R1" s="662"/>
      <c r="S1" s="662"/>
      <c r="T1" s="662"/>
      <c r="U1" s="664"/>
      <c r="V1" s="1"/>
      <c r="W1" s="1"/>
      <c r="X1" s="1"/>
      <c r="Y1" s="1"/>
      <c r="Z1" s="1"/>
      <c r="AA1" s="1"/>
      <c r="AB1" s="1"/>
      <c r="AC1" s="1"/>
      <c r="AD1" s="1"/>
      <c r="AE1" s="1"/>
      <c r="AF1" s="1"/>
      <c r="AG1" s="1"/>
      <c r="AH1" s="1"/>
      <c r="AI1" s="1"/>
    </row>
    <row r="2" spans="1:35" ht="15" thickBot="1">
      <c r="A2" s="853"/>
      <c r="B2" s="665"/>
      <c r="C2" s="665"/>
      <c r="D2" s="665"/>
      <c r="E2" s="665"/>
      <c r="F2" s="665"/>
      <c r="G2" s="665"/>
      <c r="H2" s="665"/>
      <c r="I2" s="665"/>
      <c r="J2" s="666"/>
      <c r="K2" s="369"/>
      <c r="L2" s="1"/>
      <c r="M2" s="1"/>
      <c r="N2" s="853"/>
      <c r="O2" s="665"/>
      <c r="P2" s="665"/>
      <c r="Q2" s="665"/>
      <c r="R2" s="665"/>
      <c r="S2" s="665"/>
      <c r="T2" s="665"/>
      <c r="U2" s="666"/>
      <c r="V2" s="1"/>
      <c r="W2" s="1"/>
      <c r="X2" s="1"/>
      <c r="Y2" s="1"/>
      <c r="Z2" s="1"/>
      <c r="AA2" s="1"/>
      <c r="AB2" s="1"/>
      <c r="AC2" s="1"/>
      <c r="AD2" s="1"/>
      <c r="AE2" s="1"/>
      <c r="AF2" s="1"/>
      <c r="AG2" s="1"/>
      <c r="AH2" s="1"/>
      <c r="AI2" s="1"/>
    </row>
    <row r="3" spans="1:35">
      <c r="A3" s="1"/>
      <c r="B3" s="1"/>
      <c r="C3" s="1"/>
      <c r="D3" s="1"/>
      <c r="E3" s="1"/>
      <c r="F3" s="1"/>
      <c r="G3" s="1"/>
      <c r="H3" s="1"/>
      <c r="I3" s="1"/>
      <c r="J3" s="1"/>
      <c r="K3" s="369"/>
      <c r="L3" s="1"/>
      <c r="M3" s="1"/>
      <c r="N3" s="1"/>
      <c r="O3" s="1"/>
      <c r="P3" s="1"/>
      <c r="Q3" s="1"/>
      <c r="R3" s="1"/>
      <c r="S3" s="1"/>
      <c r="T3" s="1"/>
      <c r="U3" s="1"/>
      <c r="V3" s="1"/>
      <c r="W3" s="1"/>
      <c r="X3" s="1"/>
      <c r="Y3" s="1"/>
      <c r="Z3" s="1"/>
      <c r="AA3" s="1"/>
      <c r="AB3" s="1"/>
      <c r="AC3" s="1"/>
      <c r="AD3" s="1"/>
      <c r="AE3" s="1"/>
      <c r="AF3" s="1"/>
      <c r="AG3" s="1"/>
      <c r="AH3" s="1"/>
      <c r="AI3" s="1"/>
    </row>
    <row r="4" spans="1:35" ht="15" thickBot="1">
      <c r="A4" s="1"/>
      <c r="B4" s="5"/>
      <c r="C4" s="398"/>
      <c r="D4" s="126"/>
      <c r="E4" s="126"/>
      <c r="F4" s="126"/>
      <c r="G4" s="126"/>
      <c r="H4" s="126"/>
      <c r="I4" s="14"/>
      <c r="J4" s="14"/>
      <c r="K4" s="369"/>
      <c r="L4" s="1"/>
      <c r="M4" s="1"/>
      <c r="N4" s="1"/>
      <c r="O4" s="1"/>
      <c r="P4" s="1"/>
      <c r="Q4" s="1"/>
      <c r="R4" s="1"/>
      <c r="S4" s="1"/>
      <c r="T4" s="1"/>
      <c r="U4" s="1"/>
      <c r="V4" s="1"/>
      <c r="W4" s="1"/>
      <c r="X4" s="1"/>
      <c r="Y4" s="1"/>
      <c r="Z4" s="1"/>
      <c r="AA4" s="1"/>
      <c r="AB4" s="1"/>
      <c r="AC4" s="1"/>
      <c r="AD4" s="1"/>
      <c r="AE4" s="1"/>
      <c r="AF4" s="1"/>
      <c r="AG4" s="1"/>
      <c r="AH4" s="1"/>
      <c r="AI4" s="1"/>
    </row>
    <row r="5" spans="1:35" ht="15" thickBot="1">
      <c r="A5" s="1"/>
      <c r="B5" s="903" t="s">
        <v>419</v>
      </c>
      <c r="C5" s="544"/>
      <c r="D5" s="126"/>
      <c r="E5" s="512" t="s">
        <v>401</v>
      </c>
      <c r="F5" s="513" t="s">
        <v>426</v>
      </c>
      <c r="G5" s="126"/>
      <c r="H5" s="514" t="s">
        <v>468</v>
      </c>
      <c r="I5" s="514" t="s">
        <v>401</v>
      </c>
      <c r="J5" s="514" t="s">
        <v>426</v>
      </c>
      <c r="K5" s="369"/>
      <c r="L5" s="1"/>
      <c r="M5" s="1"/>
      <c r="N5" s="1"/>
      <c r="O5" s="1"/>
      <c r="P5" s="1"/>
      <c r="Q5" s="1"/>
      <c r="R5" s="1"/>
      <c r="S5" s="1"/>
      <c r="T5" s="1"/>
      <c r="U5" s="1"/>
      <c r="V5" s="1"/>
      <c r="W5" s="1"/>
      <c r="X5" s="1"/>
      <c r="Y5" s="1"/>
      <c r="Z5" s="1"/>
      <c r="AA5" s="1"/>
      <c r="AB5" s="1"/>
      <c r="AC5" s="1"/>
      <c r="AD5" s="1"/>
      <c r="AE5" s="1"/>
      <c r="AF5" s="1"/>
      <c r="AG5" s="1"/>
      <c r="AH5" s="1"/>
      <c r="AI5" s="1"/>
    </row>
    <row r="6" spans="1:35">
      <c r="A6" s="1"/>
      <c r="B6" s="126"/>
      <c r="C6" s="515" t="s">
        <v>402</v>
      </c>
      <c r="D6" s="516" t="s">
        <v>403</v>
      </c>
      <c r="E6" s="517">
        <f>'Financial statements'!J112</f>
        <v>3651</v>
      </c>
      <c r="F6" s="518">
        <f>-'Trailing 12-months'!G35</f>
        <v>3746</v>
      </c>
      <c r="G6" s="394"/>
      <c r="H6" s="519" t="s">
        <v>422</v>
      </c>
      <c r="I6" s="603">
        <f>E6/(E6+E8)</f>
        <v>0.50275406224180663</v>
      </c>
      <c r="J6" s="606">
        <f>F6/(F6+F8)</f>
        <v>0.50917493543563952</v>
      </c>
      <c r="K6" s="369"/>
      <c r="L6" s="1"/>
      <c r="M6" s="1"/>
      <c r="N6" s="1"/>
      <c r="O6" s="1"/>
      <c r="P6" s="1"/>
      <c r="Q6" s="1"/>
      <c r="R6" s="1"/>
      <c r="S6" s="1"/>
      <c r="T6" s="1"/>
      <c r="U6" s="1"/>
      <c r="V6" s="1"/>
      <c r="W6" s="1"/>
      <c r="X6" s="1"/>
      <c r="Y6" s="1"/>
      <c r="Z6" s="1"/>
      <c r="AA6" s="1"/>
      <c r="AB6" s="1"/>
      <c r="AC6" s="1"/>
      <c r="AD6" s="1"/>
      <c r="AE6" s="1"/>
      <c r="AF6" s="1"/>
      <c r="AG6" s="1"/>
      <c r="AH6" s="1"/>
      <c r="AI6" s="1"/>
    </row>
    <row r="7" spans="1:35" ht="15" thickBot="1">
      <c r="A7" s="1"/>
      <c r="B7" s="126"/>
      <c r="C7" s="520" t="s">
        <v>404</v>
      </c>
      <c r="D7" s="521" t="s">
        <v>405</v>
      </c>
      <c r="E7" s="522">
        <v>4926</v>
      </c>
      <c r="F7" s="523">
        <f>PRODUCT(1.12,3109.183856)</f>
        <v>3482.2859187200006</v>
      </c>
      <c r="G7" s="394"/>
      <c r="H7" s="524" t="s">
        <v>423</v>
      </c>
      <c r="I7" s="604">
        <f>E8/(E8+E6)</f>
        <v>0.49724593775819331</v>
      </c>
      <c r="J7" s="607">
        <f>1-J6</f>
        <v>0.49082506456436048</v>
      </c>
      <c r="K7" s="369"/>
      <c r="L7" s="1"/>
      <c r="M7" s="1"/>
      <c r="N7" s="1"/>
      <c r="O7" s="1"/>
      <c r="P7" s="1"/>
      <c r="Q7" s="1"/>
      <c r="R7" s="1"/>
      <c r="S7" s="1"/>
      <c r="T7" s="1"/>
      <c r="U7" s="1"/>
      <c r="V7" s="1"/>
      <c r="W7" s="1"/>
      <c r="X7" s="1"/>
      <c r="Y7" s="1"/>
      <c r="Z7" s="1"/>
      <c r="AA7" s="1"/>
      <c r="AB7" s="1"/>
      <c r="AC7" s="1"/>
      <c r="AD7" s="1"/>
      <c r="AE7" s="1"/>
      <c r="AF7" s="1"/>
      <c r="AG7" s="1"/>
      <c r="AH7" s="1"/>
      <c r="AI7" s="1"/>
    </row>
    <row r="8" spans="1:35">
      <c r="A8" s="1"/>
      <c r="B8" s="126"/>
      <c r="C8" s="526" t="s">
        <v>406</v>
      </c>
      <c r="D8" s="527" t="s">
        <v>427</v>
      </c>
      <c r="E8" s="528">
        <f>-'Reorganised Statements'!H39</f>
        <v>3611</v>
      </c>
      <c r="F8" s="528">
        <f>-'Reorganised Statements'!H39</f>
        <v>3611</v>
      </c>
      <c r="G8" s="394"/>
      <c r="H8" s="524"/>
      <c r="I8" s="529"/>
      <c r="J8" s="525"/>
      <c r="K8" s="369"/>
      <c r="L8" s="1"/>
      <c r="M8" s="1"/>
      <c r="N8" s="1"/>
      <c r="O8" s="1"/>
      <c r="P8" s="1"/>
      <c r="Q8" s="1"/>
      <c r="R8" s="1"/>
      <c r="S8" s="1"/>
      <c r="T8" s="1"/>
      <c r="U8" s="1"/>
      <c r="V8" s="1"/>
      <c r="W8" s="1"/>
      <c r="X8" s="1"/>
      <c r="Y8" s="1"/>
      <c r="Z8" s="1"/>
      <c r="AA8" s="1"/>
      <c r="AB8" s="1"/>
      <c r="AC8" s="1"/>
      <c r="AD8" s="1"/>
      <c r="AE8" s="1"/>
      <c r="AF8" s="1"/>
      <c r="AG8" s="1"/>
      <c r="AH8" s="1"/>
      <c r="AI8" s="1"/>
    </row>
    <row r="9" spans="1:35" ht="15" thickBot="1">
      <c r="A9" s="1"/>
      <c r="B9" s="126"/>
      <c r="C9" s="530" t="s">
        <v>407</v>
      </c>
      <c r="D9" s="531" t="s">
        <v>467</v>
      </c>
      <c r="E9" s="532">
        <f>(SUM(E10:E12))</f>
        <v>3754</v>
      </c>
      <c r="F9" s="533">
        <f>(SUM(F10:F12))</f>
        <v>3754</v>
      </c>
      <c r="G9" s="394"/>
      <c r="H9" s="524" t="s">
        <v>424</v>
      </c>
      <c r="I9" s="604">
        <f>E7/(E7+E9)</f>
        <v>0.56751152073732714</v>
      </c>
      <c r="J9" s="607">
        <f>F7/(F7+F9)</f>
        <v>0.48122558420632017</v>
      </c>
      <c r="K9" s="369"/>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6"/>
      <c r="C10" s="126"/>
      <c r="D10" s="534" t="s">
        <v>408</v>
      </c>
      <c r="E10" s="535">
        <v>3635</v>
      </c>
      <c r="F10" s="536">
        <v>3635</v>
      </c>
      <c r="G10" s="394"/>
      <c r="H10" s="537" t="s">
        <v>425</v>
      </c>
      <c r="I10" s="605">
        <f>1-I9</f>
        <v>0.43248847926267286</v>
      </c>
      <c r="J10" s="608">
        <f>1-J9</f>
        <v>0.51877441579367978</v>
      </c>
      <c r="K10" s="369"/>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6"/>
      <c r="C11" s="126"/>
      <c r="D11" s="534" t="s">
        <v>109</v>
      </c>
      <c r="E11" s="535">
        <v>2</v>
      </c>
      <c r="F11" s="536">
        <v>2</v>
      </c>
      <c r="G11" s="126"/>
      <c r="H11" s="126"/>
      <c r="I11" s="126"/>
      <c r="J11" s="126"/>
      <c r="K11" s="369"/>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6"/>
      <c r="C12" s="126"/>
      <c r="D12" s="538" t="s">
        <v>409</v>
      </c>
      <c r="E12" s="539">
        <v>117</v>
      </c>
      <c r="F12" s="540">
        <v>117</v>
      </c>
      <c r="G12" s="126"/>
      <c r="H12" s="126"/>
      <c r="I12" s="126"/>
      <c r="J12" s="126"/>
      <c r="K12" s="369"/>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6"/>
      <c r="C13" s="126"/>
      <c r="D13" s="126"/>
      <c r="E13" s="126"/>
      <c r="F13" s="126"/>
      <c r="G13" s="126"/>
      <c r="H13" s="126"/>
      <c r="I13" s="126"/>
      <c r="J13" s="126"/>
      <c r="K13" s="369"/>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41" t="s">
        <v>420</v>
      </c>
      <c r="C14" s="542"/>
      <c r="D14" s="543"/>
      <c r="E14" s="126"/>
      <c r="F14" s="126"/>
      <c r="G14" s="126"/>
      <c r="H14" s="2"/>
      <c r="I14" s="2"/>
      <c r="J14" s="2"/>
      <c r="K14" s="369"/>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44"/>
      <c r="C15" s="545"/>
      <c r="D15" s="545"/>
      <c r="E15" s="126"/>
      <c r="F15" s="126"/>
      <c r="G15" s="126"/>
      <c r="H15" s="2"/>
      <c r="I15" s="2"/>
      <c r="J15" s="2"/>
      <c r="K15" s="369"/>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6"/>
      <c r="C16" s="546" t="s">
        <v>470</v>
      </c>
      <c r="D16" s="546" t="s">
        <v>410</v>
      </c>
      <c r="E16" s="546" t="s">
        <v>469</v>
      </c>
      <c r="F16" s="546" t="s">
        <v>411</v>
      </c>
      <c r="G16" s="126"/>
      <c r="H16" s="2"/>
      <c r="I16" s="2"/>
      <c r="J16" s="2"/>
      <c r="K16" s="369"/>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6"/>
      <c r="C17" s="906" t="s">
        <v>479</v>
      </c>
      <c r="D17" s="547">
        <v>4.3749999999999997E-2</v>
      </c>
      <c r="E17" s="547">
        <v>2</v>
      </c>
      <c r="F17" s="907">
        <v>351.45699999999999</v>
      </c>
      <c r="G17" s="126"/>
      <c r="H17" s="2"/>
      <c r="I17" s="720"/>
      <c r="J17" s="2"/>
      <c r="K17" s="369"/>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6"/>
      <c r="C18" s="906" t="s">
        <v>412</v>
      </c>
      <c r="D18" s="547">
        <v>3.6880000000000003E-2</v>
      </c>
      <c r="E18" s="547">
        <v>3</v>
      </c>
      <c r="F18" s="907">
        <v>500</v>
      </c>
      <c r="G18" s="126"/>
      <c r="H18" s="2"/>
      <c r="I18" s="720"/>
      <c r="J18" s="2"/>
      <c r="K18" s="369"/>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6"/>
      <c r="C19" s="906" t="s">
        <v>477</v>
      </c>
      <c r="D19" s="547">
        <v>4.0570000000000002E-2</v>
      </c>
      <c r="E19" s="547">
        <v>4</v>
      </c>
      <c r="F19" s="907">
        <v>300</v>
      </c>
      <c r="G19" s="126"/>
      <c r="H19" s="2"/>
      <c r="I19" s="720"/>
      <c r="J19" s="2"/>
      <c r="K19" s="369"/>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6"/>
      <c r="C20" s="906" t="s">
        <v>478</v>
      </c>
      <c r="D20" s="547">
        <v>1.2840000000000001E-2</v>
      </c>
      <c r="E20" s="547">
        <v>5</v>
      </c>
      <c r="F20" s="907">
        <v>300</v>
      </c>
      <c r="G20" s="126"/>
      <c r="H20" s="2"/>
      <c r="I20" s="720"/>
      <c r="J20" s="2"/>
      <c r="K20" s="369"/>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6"/>
      <c r="C21" s="908" t="s">
        <v>413</v>
      </c>
      <c r="D21" s="529">
        <v>1.8360000000000001E-2</v>
      </c>
      <c r="E21" s="529">
        <v>6</v>
      </c>
      <c r="F21" s="909">
        <v>300</v>
      </c>
      <c r="G21" s="126"/>
      <c r="H21" s="2"/>
      <c r="I21" s="720"/>
      <c r="J21" s="2"/>
      <c r="K21" s="369"/>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6"/>
      <c r="C22" s="908" t="s">
        <v>414</v>
      </c>
      <c r="D22" s="529">
        <v>1.7680000000000001E-2</v>
      </c>
      <c r="E22" s="529">
        <v>8</v>
      </c>
      <c r="F22" s="909">
        <v>300</v>
      </c>
      <c r="G22" s="126"/>
      <c r="H22" s="2"/>
      <c r="I22" s="720"/>
      <c r="J22" s="2"/>
      <c r="K22" s="369"/>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6"/>
      <c r="C23" s="910" t="s">
        <v>415</v>
      </c>
      <c r="D23" s="911">
        <v>1.3899999999999999E-2</v>
      </c>
      <c r="E23" s="911">
        <v>10</v>
      </c>
      <c r="F23" s="912">
        <v>400</v>
      </c>
      <c r="G23" s="126"/>
      <c r="H23" s="126"/>
      <c r="I23" s="126"/>
      <c r="J23" s="126"/>
      <c r="K23" s="369"/>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6"/>
      <c r="C24" s="126"/>
      <c r="D24" s="126"/>
      <c r="E24" s="126"/>
      <c r="F24" s="126"/>
      <c r="G24" s="126"/>
      <c r="H24" s="126"/>
      <c r="I24" s="126"/>
      <c r="J24" s="126"/>
      <c r="K24" s="369"/>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6"/>
      <c r="C25" s="548" t="s">
        <v>421</v>
      </c>
      <c r="D25" s="549">
        <f xml:space="preserve"> (PRODUCT(D17:F17)+ PRODUCT(D18:F18) + PRODUCT(D19:F19) + PRODUCT(D20:F20)+ PRODUCT(D21:F21)+PRODUCT(D22:F22)+PRODUCT(D23:F23))/(PRODUCT(E17:F17) + PRODUCT(E18:F18) + PRODUCT(E19:F19) + PRODUCT(E20:F20)+PRODUCT(E21:F21)+PRODUCT(E22:F22)+PRODUCT(E23:F23))</f>
        <v>2.1758250683779193E-2</v>
      </c>
      <c r="E25" s="550"/>
      <c r="F25" s="126"/>
      <c r="G25" s="126"/>
      <c r="H25" s="395"/>
      <c r="I25" s="395"/>
      <c r="J25" s="126"/>
      <c r="K25" s="369"/>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6"/>
      <c r="C26" s="126"/>
      <c r="D26" s="126"/>
      <c r="E26" s="126"/>
      <c r="F26" s="126"/>
      <c r="G26" s="126"/>
      <c r="H26" s="126"/>
      <c r="I26" s="126"/>
      <c r="J26" s="126"/>
      <c r="K26" s="369"/>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6"/>
      <c r="D27" s="126"/>
      <c r="E27" s="126"/>
      <c r="F27" s="126"/>
      <c r="G27" s="126"/>
      <c r="H27" s="126"/>
      <c r="I27" s="126"/>
      <c r="J27" s="126"/>
      <c r="K27" s="369"/>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51" t="s">
        <v>428</v>
      </c>
      <c r="C28" s="552"/>
      <c r="D28" s="514" t="s">
        <v>165</v>
      </c>
      <c r="E28" s="514" t="s">
        <v>429</v>
      </c>
      <c r="F28" s="514" t="s">
        <v>430</v>
      </c>
      <c r="G28" s="511" t="s">
        <v>431</v>
      </c>
      <c r="H28" s="126"/>
      <c r="I28" s="126"/>
      <c r="J28" s="126"/>
      <c r="K28" s="369"/>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5" t="s">
        <v>432</v>
      </c>
      <c r="C29" s="2"/>
      <c r="D29" s="553">
        <v>3836.2650000000003</v>
      </c>
      <c r="E29" s="553">
        <v>0.52576026796023623</v>
      </c>
      <c r="F29" s="553">
        <v>0.41</v>
      </c>
      <c r="G29" s="554">
        <v>0.21556170986369683</v>
      </c>
      <c r="H29" s="126"/>
      <c r="I29" s="126"/>
      <c r="J29" s="126"/>
      <c r="K29" s="369"/>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5" t="s">
        <v>433</v>
      </c>
      <c r="C30" s="2"/>
      <c r="D30" s="553">
        <v>49.814999999999998</v>
      </c>
      <c r="E30" s="553">
        <v>6.8271476940303041E-3</v>
      </c>
      <c r="F30" s="553">
        <v>0.28999999999999998</v>
      </c>
      <c r="G30" s="554">
        <v>1.9798728312687879E-3</v>
      </c>
      <c r="H30" s="126"/>
      <c r="I30" s="126"/>
      <c r="J30" s="126"/>
      <c r="K30" s="369"/>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5" t="s">
        <v>434</v>
      </c>
      <c r="C31" s="2"/>
      <c r="D31" s="553">
        <v>1278.7550000000001</v>
      </c>
      <c r="E31" s="553">
        <v>0.17525342265341209</v>
      </c>
      <c r="F31" s="553">
        <v>0.6</v>
      </c>
      <c r="G31" s="554">
        <v>0.10515205359204725</v>
      </c>
      <c r="H31" s="126"/>
      <c r="I31" s="126"/>
      <c r="J31" s="126"/>
      <c r="K31" s="369"/>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5" t="s">
        <v>435</v>
      </c>
      <c r="C32" s="2"/>
      <c r="D32" s="553">
        <v>903</v>
      </c>
      <c r="E32" s="553">
        <v>0.12375618523957373</v>
      </c>
      <c r="F32" s="553">
        <v>0.8</v>
      </c>
      <c r="G32" s="554">
        <v>9.900494819165899E-2</v>
      </c>
      <c r="H32" s="126"/>
      <c r="I32" s="126"/>
      <c r="J32" s="126"/>
      <c r="K32" s="369"/>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5"/>
      <c r="C33" s="2"/>
      <c r="D33" s="553"/>
      <c r="E33" s="553"/>
      <c r="F33" s="553"/>
      <c r="G33" s="554">
        <v>0</v>
      </c>
      <c r="H33" s="126"/>
      <c r="I33" s="126"/>
      <c r="J33" s="126"/>
      <c r="K33" s="369"/>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5" t="s">
        <v>436</v>
      </c>
      <c r="C34" s="2"/>
      <c r="D34" s="553">
        <v>1228.77</v>
      </c>
      <c r="E34" s="553">
        <v>0.16840297645274752</v>
      </c>
      <c r="F34" s="553">
        <v>0.74</v>
      </c>
      <c r="G34" s="554">
        <v>0.12461820257503316</v>
      </c>
      <c r="H34" s="126"/>
      <c r="I34" s="126"/>
      <c r="J34" s="126"/>
      <c r="K34" s="369"/>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5" t="s">
        <v>437</v>
      </c>
      <c r="C35" s="2"/>
      <c r="D35" s="553"/>
      <c r="E35" s="553">
        <v>0</v>
      </c>
      <c r="F35" s="553">
        <v>0.91</v>
      </c>
      <c r="G35" s="554">
        <v>0</v>
      </c>
      <c r="H35" s="126"/>
      <c r="I35" s="126"/>
      <c r="J35" s="126"/>
      <c r="K35" s="369"/>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55" t="s">
        <v>438</v>
      </c>
      <c r="C36" s="556"/>
      <c r="D36" s="546">
        <v>7296.6050000000014</v>
      </c>
      <c r="E36" s="546">
        <v>0.99999999999999989</v>
      </c>
      <c r="F36" s="546"/>
      <c r="G36" s="557">
        <v>0.54631678705370501</v>
      </c>
      <c r="H36" s="126"/>
      <c r="I36" s="126"/>
      <c r="J36" s="126"/>
      <c r="K36" s="369"/>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6"/>
      <c r="C37" s="126"/>
      <c r="D37" s="126"/>
      <c r="E37" s="126"/>
      <c r="F37" s="126"/>
      <c r="G37" s="126"/>
      <c r="H37" s="126"/>
      <c r="I37" s="126"/>
      <c r="J37" s="126"/>
      <c r="K37" s="369"/>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14" t="s">
        <v>458</v>
      </c>
      <c r="C38" s="558">
        <v>43830</v>
      </c>
      <c r="D38" s="511" t="s">
        <v>459</v>
      </c>
      <c r="E38" s="126"/>
      <c r="F38" s="126"/>
      <c r="G38" s="126"/>
      <c r="H38" s="126"/>
      <c r="I38" s="126"/>
      <c r="J38" s="126"/>
      <c r="K38" s="369"/>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53" t="s">
        <v>460</v>
      </c>
      <c r="C39" s="553">
        <v>0.54631678705370501</v>
      </c>
      <c r="D39" s="554">
        <v>0.54631678705370501</v>
      </c>
      <c r="E39" s="126"/>
      <c r="F39" s="126"/>
      <c r="G39" s="126"/>
      <c r="H39" s="126"/>
      <c r="I39" s="126"/>
      <c r="J39" s="126"/>
      <c r="K39" s="369"/>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53" t="s">
        <v>461</v>
      </c>
      <c r="C40" s="553">
        <f>E8/E6</f>
        <v>0.98904409750753219</v>
      </c>
      <c r="D40" s="554">
        <f>F8/F6</f>
        <v>0.96396155899626268</v>
      </c>
      <c r="E40" s="126"/>
      <c r="F40" s="126"/>
      <c r="G40" s="126"/>
      <c r="H40" s="126"/>
      <c r="I40" s="126"/>
      <c r="J40" s="126"/>
      <c r="K40" s="369"/>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53" t="s">
        <v>462</v>
      </c>
      <c r="C41" s="553">
        <f>E9/E7</f>
        <v>0.76207876573284616</v>
      </c>
      <c r="D41" s="554">
        <f>F9/F7</f>
        <v>1.0780275048120904</v>
      </c>
      <c r="E41" s="126"/>
      <c r="F41" s="126"/>
      <c r="G41" s="126"/>
      <c r="H41" s="126"/>
      <c r="I41" s="126"/>
      <c r="J41" s="126"/>
      <c r="K41" s="369"/>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53" t="s">
        <v>463</v>
      </c>
      <c r="C42" s="553">
        <v>0.27900000000000003</v>
      </c>
      <c r="D42" s="554">
        <v>0.27900000000000003</v>
      </c>
      <c r="E42" s="126"/>
      <c r="F42" s="126"/>
      <c r="G42" s="126"/>
      <c r="H42" s="126"/>
      <c r="I42" s="126"/>
      <c r="J42" s="126"/>
      <c r="K42" s="369"/>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53" t="s">
        <v>464</v>
      </c>
      <c r="C43" s="553">
        <f>PRODUCT(C39,1+PRODUCT(1-C42,C40))</f>
        <v>0.93589572184272718</v>
      </c>
      <c r="D43" s="554">
        <f>PRODUCT(C39,1+PRODUCT(1-C42,D40))</f>
        <v>0.9260158502984247</v>
      </c>
      <c r="E43" s="126"/>
      <c r="F43" s="126"/>
      <c r="G43" s="126"/>
      <c r="H43" s="2"/>
      <c r="I43" s="2"/>
      <c r="J43" s="2"/>
      <c r="K43" s="369"/>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59" t="s">
        <v>465</v>
      </c>
      <c r="C44" s="559">
        <f>PRODUCT(C39,1+PRODUCT(1-C42,C41))</f>
        <v>0.84649534787593761</v>
      </c>
      <c r="D44" s="560">
        <f>PRODUCT(C39,1+PRODUCT(1-C42,D41))</f>
        <v>0.97094578798130338</v>
      </c>
      <c r="E44" s="126"/>
      <c r="F44" s="126"/>
      <c r="G44" s="126"/>
      <c r="H44" s="2"/>
      <c r="I44" s="2"/>
      <c r="J44" s="2"/>
      <c r="K44" s="369"/>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6"/>
      <c r="C45" s="126"/>
      <c r="D45" s="126"/>
      <c r="E45" s="126"/>
      <c r="F45" s="126"/>
      <c r="G45" s="126"/>
      <c r="H45" s="2"/>
      <c r="I45" s="2"/>
      <c r="J45" s="2"/>
      <c r="K45" s="369"/>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6"/>
      <c r="C46" s="126"/>
      <c r="D46" s="126"/>
      <c r="E46" s="126"/>
      <c r="F46" s="126"/>
      <c r="G46" s="126"/>
      <c r="H46" s="2"/>
      <c r="I46" s="2"/>
      <c r="J46" s="2"/>
      <c r="K46" s="369"/>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61" t="s">
        <v>542</v>
      </c>
      <c r="C47" s="562"/>
      <c r="D47" s="562"/>
      <c r="E47" s="562"/>
      <c r="F47" s="562"/>
      <c r="G47" s="562"/>
      <c r="H47" s="175"/>
      <c r="I47" s="398"/>
      <c r="J47" s="398"/>
      <c r="K47" s="369"/>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63" t="s">
        <v>379</v>
      </c>
      <c r="C48" s="564"/>
      <c r="D48" s="563" t="s">
        <v>380</v>
      </c>
      <c r="E48" s="564"/>
      <c r="F48" s="563" t="s">
        <v>381</v>
      </c>
      <c r="G48" s="718"/>
      <c r="H48" s="175"/>
      <c r="I48" s="2"/>
      <c r="J48" s="2"/>
      <c r="K48" s="369"/>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5" t="s">
        <v>382</v>
      </c>
      <c r="C49" s="368">
        <v>3.1552387285036501E-3</v>
      </c>
      <c r="D49" s="175" t="s">
        <v>383</v>
      </c>
      <c r="E49" s="566">
        <f>C49</f>
        <v>3.1552387285036501E-3</v>
      </c>
      <c r="F49" s="175"/>
      <c r="G49" s="2"/>
      <c r="H49" s="175"/>
      <c r="I49" s="2"/>
      <c r="J49" s="2"/>
      <c r="K49" s="369"/>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67" t="s">
        <v>384</v>
      </c>
      <c r="C50" s="568">
        <v>1.4999999999999999E-2</v>
      </c>
      <c r="D50" s="567" t="s">
        <v>385</v>
      </c>
      <c r="E50" s="568">
        <v>1.4999999999999999E-2</v>
      </c>
      <c r="F50" s="569" t="s">
        <v>418</v>
      </c>
      <c r="G50" s="719">
        <f>D25</f>
        <v>2.1758250683779193E-2</v>
      </c>
      <c r="H50" s="175"/>
      <c r="I50" s="2"/>
      <c r="J50" s="720"/>
      <c r="K50" s="369"/>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91" t="s">
        <v>386</v>
      </c>
      <c r="C51" s="566">
        <f>SUM(C49:C50)</f>
        <v>1.815523872850365E-2</v>
      </c>
      <c r="D51" s="570" t="s">
        <v>386</v>
      </c>
      <c r="E51" s="566">
        <f>SUM(E49:E50)</f>
        <v>1.815523872850365E-2</v>
      </c>
      <c r="F51" s="175"/>
      <c r="G51" s="2"/>
      <c r="H51" s="175"/>
      <c r="I51" s="2"/>
      <c r="J51" s="720"/>
      <c r="K51" s="369"/>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67" t="s">
        <v>387</v>
      </c>
      <c r="C52" s="568">
        <v>0.27900000000000003</v>
      </c>
      <c r="D52" s="567" t="s">
        <v>387</v>
      </c>
      <c r="E52" s="568">
        <v>0.27900000000000003</v>
      </c>
      <c r="F52" s="567" t="s">
        <v>387</v>
      </c>
      <c r="G52" s="719">
        <v>0.27900000000000003</v>
      </c>
      <c r="H52" s="175"/>
      <c r="I52" s="2"/>
      <c r="J52" s="720"/>
      <c r="K52" s="369"/>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91" t="s">
        <v>388</v>
      </c>
      <c r="C53" s="368">
        <f>PRODUCT(C51,(1-C52))</f>
        <v>1.3089927123251131E-2</v>
      </c>
      <c r="D53" s="291" t="s">
        <v>388</v>
      </c>
      <c r="E53" s="368">
        <f>PRODUCT(E51,(1-E52))</f>
        <v>1.3089927123251131E-2</v>
      </c>
      <c r="F53" s="291" t="s">
        <v>389</v>
      </c>
      <c r="G53" s="639">
        <f>PRODUCT(G50,(1-G52))</f>
        <v>1.5687698743004796E-2</v>
      </c>
      <c r="H53" s="175"/>
      <c r="I53" s="2"/>
      <c r="J53" s="720"/>
      <c r="K53" s="369"/>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5"/>
      <c r="C54" s="566"/>
      <c r="D54" s="175"/>
      <c r="E54" s="566"/>
      <c r="F54" s="175"/>
      <c r="G54" s="704"/>
      <c r="H54" s="175"/>
      <c r="I54" s="2"/>
      <c r="J54" s="2"/>
      <c r="K54" s="369"/>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91" t="s">
        <v>390</v>
      </c>
      <c r="C55" s="368">
        <f>C49</f>
        <v>3.1552387285036501E-3</v>
      </c>
      <c r="D55" s="175" t="s">
        <v>390</v>
      </c>
      <c r="E55" s="566">
        <f>E49</f>
        <v>3.1552387285036501E-3</v>
      </c>
      <c r="F55" s="175" t="s">
        <v>390</v>
      </c>
      <c r="G55" s="639">
        <f>E55</f>
        <v>3.1552387285036501E-3</v>
      </c>
      <c r="H55" s="175"/>
      <c r="I55" s="2"/>
      <c r="J55" s="720"/>
      <c r="K55" s="369"/>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5" t="s">
        <v>391</v>
      </c>
      <c r="C56" s="566">
        <v>4.53717660848309E-2</v>
      </c>
      <c r="D56" s="175" t="s">
        <v>391</v>
      </c>
      <c r="E56" s="566">
        <f>C56</f>
        <v>4.53717660848309E-2</v>
      </c>
      <c r="F56" s="175" t="s">
        <v>391</v>
      </c>
      <c r="G56" s="720">
        <f>C56</f>
        <v>4.53717660848309E-2</v>
      </c>
      <c r="H56" s="175"/>
      <c r="I56" s="2"/>
      <c r="J56" s="704"/>
      <c r="K56" s="369"/>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5" t="s">
        <v>392</v>
      </c>
      <c r="C57" s="368">
        <v>3.2549780667749703E-2</v>
      </c>
      <c r="D57" s="175" t="s">
        <v>392</v>
      </c>
      <c r="E57" s="566">
        <f>C57</f>
        <v>3.2549780667749703E-2</v>
      </c>
      <c r="F57" s="175" t="s">
        <v>392</v>
      </c>
      <c r="G57" s="639">
        <f>C57</f>
        <v>3.2549780667749703E-2</v>
      </c>
      <c r="H57" s="175"/>
      <c r="I57" s="2"/>
      <c r="J57" s="412"/>
      <c r="K57" s="369"/>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91" t="s">
        <v>393</v>
      </c>
      <c r="C58" s="566">
        <f>C56+C57</f>
        <v>7.7921546752580603E-2</v>
      </c>
      <c r="D58" s="175" t="s">
        <v>393</v>
      </c>
      <c r="E58" s="566">
        <f>E56+E57</f>
        <v>7.7921546752580603E-2</v>
      </c>
      <c r="F58" s="175" t="s">
        <v>393</v>
      </c>
      <c r="G58" s="720">
        <v>7.7899999999999997E-2</v>
      </c>
      <c r="H58" s="175"/>
      <c r="I58" s="2"/>
      <c r="J58" s="720"/>
      <c r="K58" s="369"/>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69" t="s">
        <v>394</v>
      </c>
      <c r="C59" s="572">
        <v>0.86832176000000005</v>
      </c>
      <c r="D59" s="567" t="s">
        <v>395</v>
      </c>
      <c r="E59" s="571">
        <v>0.83109791342430983</v>
      </c>
      <c r="F59" s="567" t="s">
        <v>394</v>
      </c>
      <c r="G59" s="721">
        <f>C59</f>
        <v>0.86832176000000005</v>
      </c>
      <c r="H59" s="175"/>
      <c r="I59" s="2"/>
      <c r="J59" s="2"/>
      <c r="K59" s="369"/>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5" t="s">
        <v>396</v>
      </c>
      <c r="C60" s="566">
        <f>C55+PRODUCT(C59,C58)</f>
        <v>7.081621334662673E-2</v>
      </c>
      <c r="D60" s="175" t="s">
        <v>396</v>
      </c>
      <c r="E60" s="566">
        <f>E55+PRODUCT(E58:E59)</f>
        <v>6.7915673645368199E-2</v>
      </c>
      <c r="F60" s="175" t="s">
        <v>396</v>
      </c>
      <c r="G60" s="720">
        <f>G55+G59*(G58)</f>
        <v>7.0797503832503647E-2</v>
      </c>
      <c r="H60" s="175"/>
      <c r="I60" s="398"/>
      <c r="J60" s="727"/>
      <c r="K60" s="369"/>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5"/>
      <c r="C61" s="554"/>
      <c r="D61" s="175"/>
      <c r="E61" s="566"/>
      <c r="F61" s="175"/>
      <c r="G61" s="2"/>
      <c r="H61" s="175"/>
      <c r="I61" s="398"/>
      <c r="J61" s="727"/>
      <c r="K61" s="369"/>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73" t="s">
        <v>397</v>
      </c>
      <c r="C62" s="574">
        <f>C53*I7 +I6*C60</f>
        <v>4.2112052020186447E-2</v>
      </c>
      <c r="D62" s="573" t="s">
        <v>416</v>
      </c>
      <c r="E62" s="575"/>
      <c r="F62" s="573" t="s">
        <v>417</v>
      </c>
      <c r="G62" s="722">
        <f>G53*I7+G60*I6</f>
        <v>4.3394377121104534E-2</v>
      </c>
      <c r="H62" s="175"/>
      <c r="I62" s="2"/>
      <c r="J62" s="2"/>
      <c r="K62" s="369"/>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76" t="s">
        <v>398</v>
      </c>
      <c r="C63" s="577">
        <f>I10*C53+C60*I9</f>
        <v>4.5850259604397231E-2</v>
      </c>
      <c r="D63" s="576" t="s">
        <v>398</v>
      </c>
      <c r="E63" s="578">
        <f>E53*I10+I9*E60</f>
        <v>4.4204169907577015E-2</v>
      </c>
      <c r="F63" s="576" t="s">
        <v>398</v>
      </c>
      <c r="G63" s="723">
        <f>G53*I10+I9*G60</f>
        <v>4.6963148036883978E-2</v>
      </c>
      <c r="H63" s="175"/>
      <c r="I63" s="2"/>
      <c r="J63" s="720"/>
      <c r="K63" s="369"/>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5"/>
      <c r="C64" s="579" t="s">
        <v>399</v>
      </c>
      <c r="D64" s="580"/>
      <c r="E64" s="581"/>
      <c r="F64" s="126" t="s">
        <v>727</v>
      </c>
      <c r="G64" s="724" t="s">
        <v>728</v>
      </c>
      <c r="H64" s="175"/>
      <c r="I64" s="2"/>
      <c r="J64" s="720"/>
      <c r="K64" s="369"/>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5"/>
      <c r="C65" s="579" t="s">
        <v>466</v>
      </c>
      <c r="D65" s="580"/>
      <c r="E65" s="581"/>
      <c r="F65" s="712">
        <f>G53*I10+I9*F67</f>
        <v>3.7311329154130067E-2</v>
      </c>
      <c r="G65" s="725">
        <f>G53*I10+I9*G67</f>
        <v>5.2784530767033287E-2</v>
      </c>
      <c r="H65" s="175"/>
      <c r="I65" s="2"/>
      <c r="J65" s="2"/>
      <c r="K65" s="369"/>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6"/>
      <c r="C66" s="521" t="s">
        <v>400</v>
      </c>
      <c r="D66" s="582"/>
      <c r="E66" s="583"/>
      <c r="F66" s="565" t="s">
        <v>715</v>
      </c>
      <c r="G66" s="724" t="s">
        <v>725</v>
      </c>
      <c r="H66" s="175"/>
      <c r="I66" s="2"/>
      <c r="J66" s="2"/>
      <c r="K66" s="369"/>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6"/>
      <c r="C67" s="126"/>
      <c r="D67" s="126"/>
      <c r="E67" s="126"/>
      <c r="F67" s="584">
        <f>G55+G58*0.65</f>
        <v>5.379023872850365E-2</v>
      </c>
      <c r="G67" s="726">
        <f>G58+G55</f>
        <v>8.1055238728503648E-2</v>
      </c>
      <c r="H67" s="257"/>
      <c r="I67" s="2"/>
      <c r="J67" s="2"/>
      <c r="K67" s="369"/>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6"/>
      <c r="C68" s="126"/>
      <c r="D68" s="126"/>
      <c r="E68" s="126"/>
      <c r="F68" s="126"/>
      <c r="G68" s="126"/>
      <c r="H68" s="720"/>
      <c r="I68" s="2"/>
      <c r="J68" s="2"/>
      <c r="K68" s="369"/>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6"/>
      <c r="C69" s="126"/>
      <c r="D69" s="126"/>
      <c r="E69" s="126"/>
      <c r="F69" s="126"/>
      <c r="G69" s="126"/>
      <c r="H69" s="2"/>
      <c r="I69" s="2"/>
      <c r="J69" s="2"/>
      <c r="K69" s="369"/>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6"/>
      <c r="C70" s="126"/>
      <c r="D70" s="126"/>
      <c r="E70" s="126"/>
      <c r="F70" s="126"/>
      <c r="G70" s="126"/>
      <c r="H70" s="2"/>
      <c r="I70" s="2"/>
      <c r="J70" s="2"/>
      <c r="K70" s="369"/>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9"/>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9"/>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9"/>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9"/>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9"/>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topLeftCell="B22" zoomScale="110" zoomScaleNormal="110" workbookViewId="0">
      <selection activeCell="B112" sqref="B112"/>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4.33203125" bestFit="1"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403" t="s">
        <v>669</v>
      </c>
      <c r="C1" s="402"/>
      <c r="D1" s="402"/>
      <c r="E1" s="402"/>
      <c r="F1" s="402"/>
      <c r="G1" s="402"/>
      <c r="H1" s="402"/>
      <c r="I1" s="402"/>
      <c r="J1" s="381"/>
      <c r="K1" s="381"/>
      <c r="L1" s="381"/>
      <c r="M1" s="381"/>
      <c r="N1" s="381"/>
      <c r="O1" s="381"/>
      <c r="P1" s="381"/>
      <c r="Q1" s="381"/>
      <c r="R1" s="381"/>
      <c r="S1" s="381"/>
      <c r="T1" s="381"/>
      <c r="U1" s="381"/>
      <c r="V1" s="381"/>
      <c r="W1" s="381"/>
      <c r="X1" s="381"/>
      <c r="Y1" s="381"/>
      <c r="Z1" s="59"/>
      <c r="AA1" s="59"/>
      <c r="AB1" s="59"/>
      <c r="AC1" s="59"/>
      <c r="AD1" s="59"/>
    </row>
    <row r="2" spans="1:30" ht="15" customHeight="1">
      <c r="A2" s="59"/>
      <c r="B2" s="403"/>
      <c r="C2" s="402"/>
      <c r="D2" s="402"/>
      <c r="E2" s="402"/>
      <c r="F2" s="402"/>
      <c r="G2" s="402"/>
      <c r="H2" s="402"/>
      <c r="I2" s="402"/>
      <c r="J2" s="381"/>
      <c r="K2" s="381"/>
      <c r="L2" s="381"/>
      <c r="M2" s="381"/>
      <c r="N2" s="381"/>
      <c r="O2" s="381"/>
      <c r="P2" s="381"/>
      <c r="Q2" s="381"/>
      <c r="R2" s="381"/>
      <c r="S2" s="381"/>
      <c r="T2" s="381"/>
      <c r="U2" s="381"/>
      <c r="V2" s="381"/>
      <c r="W2" s="381"/>
      <c r="X2" s="381"/>
      <c r="Y2" s="381"/>
      <c r="Z2" s="59"/>
      <c r="AA2" s="59"/>
      <c r="AB2" s="59"/>
      <c r="AC2" s="59"/>
      <c r="AD2" s="59"/>
    </row>
    <row r="3" spans="1:30" s="62" customFormat="1" ht="6.75" customHeight="1">
      <c r="B3" s="383"/>
      <c r="C3" s="383"/>
      <c r="D3" s="383"/>
      <c r="E3" s="383"/>
      <c r="F3" s="383"/>
      <c r="G3" s="383"/>
      <c r="H3" s="383"/>
      <c r="I3" s="383"/>
      <c r="J3" s="383"/>
      <c r="K3" s="383"/>
      <c r="L3" s="383"/>
      <c r="M3" s="383"/>
      <c r="N3" s="383"/>
      <c r="O3" s="383"/>
      <c r="P3" s="383"/>
      <c r="Q3" s="383"/>
      <c r="R3" s="383"/>
      <c r="S3" s="383"/>
      <c r="T3" s="383"/>
      <c r="U3" s="383"/>
      <c r="V3" s="383"/>
      <c r="W3" s="383"/>
      <c r="X3" s="383"/>
      <c r="Y3" s="383"/>
    </row>
    <row r="4" spans="1:30">
      <c r="A4" s="1"/>
      <c r="B4" s="126"/>
      <c r="C4" s="126"/>
      <c r="D4" s="126"/>
      <c r="E4" s="126"/>
      <c r="F4" s="126"/>
      <c r="G4" s="126"/>
      <c r="H4" s="126"/>
      <c r="I4" s="126"/>
      <c r="J4" s="126"/>
      <c r="K4" s="126"/>
      <c r="L4" s="126"/>
      <c r="M4" s="126"/>
      <c r="N4" s="126"/>
      <c r="O4" s="126"/>
      <c r="P4" s="126"/>
      <c r="Q4" s="126"/>
      <c r="R4" s="126"/>
      <c r="S4" s="126"/>
      <c r="T4" s="126"/>
      <c r="U4" s="126"/>
      <c r="V4" s="126"/>
      <c r="W4" s="126"/>
      <c r="X4" s="126"/>
      <c r="Y4" s="126"/>
      <c r="Z4" s="1"/>
      <c r="AA4" s="1"/>
      <c r="AB4" s="1"/>
      <c r="AC4" s="1"/>
      <c r="AD4" s="1"/>
    </row>
    <row r="5" spans="1:30" ht="24.6">
      <c r="A5" s="1"/>
      <c r="B5" s="2"/>
      <c r="C5" s="401"/>
      <c r="D5" s="2"/>
      <c r="E5" s="2"/>
      <c r="F5" s="2"/>
      <c r="G5" s="2"/>
      <c r="H5" s="2"/>
      <c r="I5" s="126"/>
      <c r="J5" s="126"/>
      <c r="K5" s="126"/>
      <c r="L5" s="126"/>
      <c r="M5" s="126"/>
      <c r="N5" s="126"/>
      <c r="O5" s="126"/>
      <c r="P5" s="1"/>
      <c r="Q5" s="1"/>
      <c r="R5" s="1"/>
      <c r="S5" s="1"/>
      <c r="T5" s="1"/>
      <c r="U5" s="1"/>
      <c r="V5" s="1"/>
      <c r="W5" s="1"/>
      <c r="X5" s="1"/>
      <c r="Y5" s="126"/>
      <c r="Z5" s="1"/>
      <c r="AA5" s="1"/>
      <c r="AB5" s="1"/>
      <c r="AC5" s="1"/>
      <c r="AD5" s="1"/>
    </row>
    <row r="6" spans="1:30">
      <c r="A6" s="1"/>
      <c r="B6" s="2"/>
      <c r="C6" s="2"/>
      <c r="D6" s="2"/>
      <c r="E6" s="934"/>
      <c r="F6" s="934"/>
      <c r="G6" s="934"/>
      <c r="H6" s="934"/>
      <c r="I6" s="126"/>
      <c r="J6" s="126"/>
      <c r="K6" s="126"/>
      <c r="L6" s="126"/>
      <c r="M6" s="126"/>
      <c r="N6" s="126"/>
      <c r="O6" s="126"/>
      <c r="P6" s="1"/>
      <c r="Q6" s="1"/>
      <c r="R6" s="1"/>
      <c r="S6" s="1"/>
      <c r="T6" s="1"/>
      <c r="U6" s="1"/>
      <c r="V6" s="1"/>
      <c r="W6" s="1"/>
      <c r="X6" s="1"/>
      <c r="Y6" s="126"/>
      <c r="Z6" s="1"/>
      <c r="AA6" s="1"/>
      <c r="AB6" s="1"/>
      <c r="AC6" s="1"/>
      <c r="AD6" s="1"/>
    </row>
    <row r="7" spans="1:30">
      <c r="A7" s="1"/>
      <c r="B7" s="2"/>
      <c r="C7" s="2"/>
      <c r="D7" s="398"/>
      <c r="E7" s="399"/>
      <c r="F7" s="399"/>
      <c r="G7" s="399"/>
      <c r="H7" s="399"/>
      <c r="I7" s="126"/>
      <c r="J7" s="126"/>
      <c r="K7" s="126"/>
      <c r="L7" s="126"/>
      <c r="M7" s="126"/>
      <c r="N7" s="126"/>
      <c r="O7" s="126"/>
      <c r="P7" s="1"/>
      <c r="Q7" s="1"/>
      <c r="R7" s="1"/>
      <c r="S7" s="1"/>
      <c r="T7" s="1"/>
      <c r="U7" s="1"/>
      <c r="V7" s="1"/>
      <c r="W7" s="1"/>
      <c r="X7" s="1"/>
      <c r="Y7" s="126"/>
      <c r="Z7" s="1"/>
      <c r="AA7" s="1"/>
      <c r="AB7" s="1"/>
      <c r="AC7" s="1"/>
      <c r="AD7" s="1"/>
    </row>
    <row r="8" spans="1:30" ht="34.799999999999997">
      <c r="A8" s="680" t="s">
        <v>733</v>
      </c>
      <c r="B8" s="1"/>
      <c r="C8" s="1"/>
      <c r="D8" s="1"/>
      <c r="E8" s="1"/>
      <c r="F8" s="1"/>
      <c r="G8" s="1"/>
      <c r="H8" s="1"/>
      <c r="I8" s="1"/>
      <c r="J8" s="1"/>
      <c r="K8" s="1"/>
      <c r="L8" s="1"/>
      <c r="M8" s="1"/>
      <c r="N8" s="1"/>
      <c r="O8" s="1"/>
      <c r="P8" s="1"/>
      <c r="Q8" s="1"/>
      <c r="R8" s="1"/>
      <c r="S8" s="1"/>
      <c r="T8" s="1"/>
      <c r="U8" s="1"/>
      <c r="V8" s="1"/>
      <c r="W8" s="1"/>
      <c r="X8" s="1"/>
      <c r="Y8" s="126"/>
      <c r="Z8" s="1"/>
      <c r="AA8" s="1"/>
      <c r="AB8" s="1"/>
      <c r="AC8" s="1"/>
      <c r="AD8" s="1"/>
    </row>
    <row r="9" spans="1:30" ht="19.2">
      <c r="A9" s="1"/>
      <c r="B9" s="400" t="s">
        <v>519</v>
      </c>
      <c r="C9" s="126"/>
      <c r="D9" s="126"/>
      <c r="E9" s="126"/>
      <c r="F9" s="126"/>
      <c r="G9" s="126"/>
      <c r="H9" s="126"/>
      <c r="I9" s="126"/>
      <c r="J9" s="126"/>
      <c r="K9" s="126"/>
      <c r="L9" s="126"/>
      <c r="M9" s="126"/>
      <c r="N9" s="126"/>
      <c r="O9" s="126"/>
      <c r="P9" s="126"/>
      <c r="Q9" s="126"/>
      <c r="R9" s="126"/>
      <c r="S9" s="126"/>
      <c r="T9" s="126"/>
      <c r="U9" s="126"/>
      <c r="V9" s="126"/>
      <c r="W9" s="126"/>
      <c r="X9" s="126"/>
      <c r="Y9" s="126"/>
      <c r="Z9" s="1"/>
      <c r="AA9" s="1"/>
      <c r="AB9" s="1"/>
      <c r="AC9" s="1"/>
      <c r="AD9" s="1"/>
    </row>
    <row r="10" spans="1:30">
      <c r="A10" s="1"/>
      <c r="B10" s="935" t="s">
        <v>729</v>
      </c>
      <c r="C10" s="935"/>
      <c r="D10" s="935"/>
      <c r="E10" s="935"/>
      <c r="F10" s="935"/>
      <c r="G10" s="935"/>
      <c r="H10" s="935"/>
      <c r="I10" s="935"/>
      <c r="J10" s="935"/>
      <c r="K10" s="935"/>
      <c r="L10" s="935"/>
      <c r="M10" s="935"/>
      <c r="N10" s="126"/>
      <c r="O10" s="126"/>
      <c r="P10" s="126"/>
      <c r="Q10" s="126"/>
      <c r="R10" s="126"/>
      <c r="S10" s="126"/>
      <c r="T10" s="126"/>
      <c r="U10" s="126"/>
      <c r="V10" s="126"/>
      <c r="W10" s="126"/>
      <c r="X10" s="126"/>
      <c r="Y10" s="126"/>
      <c r="Z10" s="1"/>
      <c r="AA10" s="1"/>
      <c r="AB10" s="1"/>
      <c r="AC10" s="1"/>
      <c r="AD10" s="1"/>
    </row>
    <row r="11" spans="1:30">
      <c r="A11" s="1"/>
      <c r="B11" s="935"/>
      <c r="C11" s="935"/>
      <c r="D11" s="935"/>
      <c r="E11" s="935"/>
      <c r="F11" s="935"/>
      <c r="G11" s="935"/>
      <c r="H11" s="935"/>
      <c r="I11" s="935"/>
      <c r="J11" s="935"/>
      <c r="K11" s="935"/>
      <c r="L11" s="935"/>
      <c r="M11" s="935"/>
      <c r="N11" s="126"/>
      <c r="O11" s="126"/>
      <c r="P11" s="126"/>
      <c r="Q11" s="126"/>
      <c r="R11" s="126"/>
      <c r="S11" s="126"/>
      <c r="T11" s="126"/>
      <c r="U11" s="126"/>
      <c r="V11" s="126"/>
      <c r="W11" s="126"/>
      <c r="X11" s="126"/>
      <c r="Y11" s="126"/>
      <c r="Z11" s="1"/>
      <c r="AA11" s="1"/>
      <c r="AB11" s="1"/>
      <c r="AC11" s="1"/>
      <c r="AD11" s="1"/>
    </row>
    <row r="12" spans="1:30">
      <c r="A12" s="1"/>
      <c r="B12" s="126" t="s">
        <v>734</v>
      </c>
      <c r="C12" s="410"/>
      <c r="D12" s="410"/>
      <c r="E12" s="410"/>
      <c r="F12" s="410"/>
      <c r="G12" s="409">
        <f>AVERAGE(F30:I30)</f>
        <v>0.10710872645178841</v>
      </c>
      <c r="I12" s="409"/>
      <c r="K12" s="1"/>
      <c r="L12" s="1"/>
      <c r="M12" s="1"/>
      <c r="N12" s="1"/>
      <c r="O12" s="126"/>
      <c r="P12" s="126"/>
      <c r="Q12" s="126"/>
      <c r="R12" s="126"/>
      <c r="S12" s="126"/>
      <c r="T12" s="126"/>
      <c r="U12" s="126"/>
      <c r="V12" s="126"/>
      <c r="W12" s="126"/>
      <c r="X12" s="126"/>
      <c r="Y12" s="126"/>
      <c r="Z12" s="1"/>
      <c r="AA12" s="1"/>
      <c r="AB12" s="1"/>
      <c r="AC12" s="1"/>
      <c r="AD12" s="1"/>
    </row>
    <row r="13" spans="1:30">
      <c r="A13" s="1"/>
      <c r="B13" s="126" t="s">
        <v>723</v>
      </c>
      <c r="C13" s="126"/>
      <c r="D13" s="126"/>
      <c r="E13" s="414">
        <v>7.6797343881065003E-2</v>
      </c>
      <c r="G13" s="126"/>
      <c r="H13" s="1"/>
      <c r="I13" s="1"/>
      <c r="J13" s="1"/>
      <c r="K13" s="1"/>
      <c r="L13" s="126"/>
      <c r="M13" s="126"/>
      <c r="N13" s="126"/>
      <c r="O13" s="126"/>
      <c r="P13" s="126"/>
      <c r="Q13" s="126"/>
      <c r="R13" s="126"/>
      <c r="S13" s="126"/>
      <c r="T13" s="126"/>
      <c r="U13" s="126"/>
      <c r="V13" s="126"/>
      <c r="W13" s="126"/>
      <c r="X13" s="126"/>
      <c r="Y13" s="126"/>
      <c r="Z13" s="1"/>
      <c r="AA13" s="1"/>
      <c r="AB13" s="1"/>
      <c r="AC13" s="1"/>
      <c r="AD13" s="1"/>
    </row>
    <row r="14" spans="1:30">
      <c r="B14" s="126" t="s">
        <v>724</v>
      </c>
      <c r="C14" s="404">
        <v>0.27900000000000003</v>
      </c>
      <c r="D14" s="1"/>
      <c r="E14" s="1"/>
      <c r="F14" s="1"/>
      <c r="G14" s="126"/>
      <c r="H14" s="404"/>
      <c r="J14" s="126"/>
      <c r="K14" s="126"/>
      <c r="L14" s="126"/>
      <c r="M14" s="126"/>
      <c r="N14" s="126"/>
      <c r="O14" s="126"/>
      <c r="P14" s="126"/>
      <c r="Q14" s="126"/>
      <c r="R14" s="126"/>
      <c r="S14" s="126"/>
      <c r="T14" s="126"/>
      <c r="U14" s="126"/>
      <c r="V14" s="126"/>
      <c r="W14" s="126"/>
      <c r="X14" s="126"/>
      <c r="Y14" s="126"/>
      <c r="Z14" s="1"/>
      <c r="AA14" s="1"/>
      <c r="AB14" s="1"/>
      <c r="AC14" s="1"/>
      <c r="AD14" s="1"/>
    </row>
    <row r="15" spans="1:30">
      <c r="A15" s="1"/>
      <c r="B15" s="126" t="s">
        <v>523</v>
      </c>
      <c r="C15" s="408">
        <f>WACC!G63</f>
        <v>4.6963148036883978E-2</v>
      </c>
      <c r="D15" s="126"/>
      <c r="E15" s="406"/>
      <c r="F15" s="408"/>
      <c r="G15" s="126"/>
      <c r="H15" s="126"/>
      <c r="I15" s="126"/>
      <c r="J15" s="126"/>
      <c r="K15" s="1"/>
      <c r="L15" s="126"/>
      <c r="M15" s="126"/>
      <c r="N15" s="126"/>
      <c r="O15" s="126"/>
      <c r="P15" s="126"/>
      <c r="Q15" s="126"/>
      <c r="R15" s="126"/>
      <c r="S15" s="126"/>
      <c r="T15" s="126"/>
      <c r="U15" s="126"/>
      <c r="V15" s="126"/>
      <c r="W15" s="126"/>
      <c r="X15" s="126"/>
      <c r="Y15" s="126"/>
      <c r="Z15" s="1"/>
      <c r="AA15" s="1"/>
      <c r="AB15" s="1"/>
      <c r="AC15" s="1"/>
      <c r="AD15" s="1"/>
    </row>
    <row r="16" spans="1:30">
      <c r="A16" s="1"/>
      <c r="B16" s="406" t="s">
        <v>522</v>
      </c>
      <c r="C16" s="408">
        <f>(E13+1.2%)/2</f>
        <v>4.43986719405325E-2</v>
      </c>
      <c r="E16" s="1"/>
      <c r="F16" s="1"/>
      <c r="G16" s="126"/>
      <c r="H16" s="126"/>
      <c r="I16" s="126"/>
      <c r="J16" s="126"/>
      <c r="L16" s="126"/>
      <c r="M16" s="126"/>
      <c r="N16" s="126"/>
      <c r="O16" s="126"/>
      <c r="P16" s="126"/>
      <c r="Q16" s="126"/>
      <c r="R16" s="126"/>
      <c r="S16" s="126"/>
      <c r="T16" s="126"/>
      <c r="U16" s="126"/>
      <c r="V16" s="126"/>
      <c r="W16" s="126"/>
      <c r="X16" s="126"/>
      <c r="Y16" s="126"/>
      <c r="Z16" s="1"/>
      <c r="AA16" s="1"/>
      <c r="AB16" s="1"/>
      <c r="AC16" s="1"/>
      <c r="AD16" s="1"/>
    </row>
    <row r="17" spans="1:30">
      <c r="A17" s="1"/>
      <c r="B17" s="407" t="s">
        <v>522</v>
      </c>
      <c r="C17" s="390">
        <f>WACC!G65</f>
        <v>5.2784530767033287E-2</v>
      </c>
      <c r="D17" s="126"/>
      <c r="E17" s="126"/>
      <c r="F17" s="126"/>
      <c r="G17" s="409"/>
      <c r="H17" s="414"/>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661</v>
      </c>
      <c r="C18" s="410"/>
      <c r="D18" s="410"/>
      <c r="E18" s="410"/>
      <c r="F18" s="410"/>
      <c r="G18" s="409">
        <v>0.11</v>
      </c>
      <c r="I18" s="126"/>
      <c r="J18" s="126"/>
      <c r="K18" s="126"/>
      <c r="L18" s="126"/>
      <c r="M18" s="126"/>
      <c r="N18" s="126"/>
      <c r="O18" s="126"/>
      <c r="P18" s="126"/>
      <c r="Q18" s="126"/>
      <c r="R18" s="126"/>
      <c r="S18" s="126"/>
      <c r="T18" s="126"/>
      <c r="U18" s="126"/>
      <c r="V18" s="126"/>
      <c r="W18" s="126"/>
      <c r="X18" s="126"/>
      <c r="Y18" s="126"/>
      <c r="Z18" s="1"/>
      <c r="AA18" s="1"/>
      <c r="AB18" s="1"/>
      <c r="AC18" s="1"/>
      <c r="AD18" s="1"/>
    </row>
    <row r="19" spans="1:30">
      <c r="A19" s="1"/>
      <c r="B19" s="410" t="s">
        <v>662</v>
      </c>
      <c r="C19" s="410"/>
      <c r="D19" s="410"/>
      <c r="E19" s="410"/>
      <c r="F19" s="410"/>
      <c r="G19" s="410"/>
      <c r="H19" s="409">
        <f>AVERAGE(F46,H46:I46)</f>
        <v>0.59912998234232473</v>
      </c>
      <c r="I19" s="1"/>
      <c r="K19" s="1"/>
      <c r="L19" s="1"/>
      <c r="M19" s="1"/>
      <c r="N19" s="126"/>
      <c r="O19" s="126"/>
      <c r="P19" s="126"/>
      <c r="Q19" s="126"/>
      <c r="R19" s="126"/>
      <c r="S19" s="126"/>
      <c r="T19" s="126"/>
      <c r="U19" s="126"/>
      <c r="V19" s="126"/>
      <c r="W19" s="126"/>
      <c r="X19" s="126"/>
      <c r="Y19" s="126"/>
      <c r="Z19" s="1"/>
      <c r="AA19" s="1"/>
      <c r="AB19" s="1"/>
      <c r="AC19" s="1"/>
      <c r="AD19" s="1"/>
    </row>
    <row r="20" spans="1:30">
      <c r="A20" s="1"/>
      <c r="B20" s="126" t="s">
        <v>735</v>
      </c>
      <c r="C20" s="1"/>
      <c r="D20" s="1"/>
      <c r="E20" s="1"/>
      <c r="F20" s="1"/>
      <c r="G20" s="896">
        <f>AVERAGE(F34:I34)</f>
        <v>-43</v>
      </c>
      <c r="H20" s="1"/>
      <c r="J20" s="1"/>
      <c r="K20" s="1"/>
      <c r="L20" s="1"/>
      <c r="M20" s="1"/>
      <c r="N20" s="126"/>
      <c r="O20" s="126"/>
      <c r="P20" s="126"/>
      <c r="Q20" s="1"/>
      <c r="R20" s="126"/>
      <c r="S20" s="126"/>
      <c r="T20" s="126"/>
      <c r="U20" s="126"/>
      <c r="V20" s="126"/>
      <c r="W20" s="126"/>
      <c r="X20" s="126"/>
      <c r="Y20" s="126"/>
      <c r="Z20" s="1"/>
      <c r="AA20" s="1"/>
      <c r="AB20" s="1"/>
      <c r="AC20" s="1"/>
      <c r="AD20" s="1"/>
    </row>
    <row r="21" spans="1:30">
      <c r="A21" s="1"/>
      <c r="B21" s="1" t="s">
        <v>663</v>
      </c>
      <c r="C21" s="126"/>
      <c r="D21" s="126"/>
      <c r="E21" s="705">
        <f>AVERAGE(G49:I49)</f>
        <v>0.29511823035850493</v>
      </c>
      <c r="G21" s="408"/>
      <c r="H21" s="126"/>
      <c r="I21" s="1"/>
      <c r="J21" s="1"/>
      <c r="K21" s="126"/>
      <c r="L21" s="126"/>
      <c r="M21" s="126"/>
      <c r="N21" s="126"/>
      <c r="O21" s="126"/>
      <c r="P21" s="126"/>
      <c r="Q21" s="126"/>
      <c r="R21" s="126"/>
      <c r="S21" s="126"/>
      <c r="T21" s="126"/>
      <c r="U21" s="126"/>
      <c r="V21" s="126"/>
      <c r="W21" s="126"/>
      <c r="X21" s="126"/>
      <c r="Y21" s="126"/>
      <c r="Z21" s="1"/>
      <c r="AA21" s="1"/>
      <c r="AB21" s="1"/>
      <c r="AC21" s="1"/>
      <c r="AD21" s="1"/>
    </row>
    <row r="22" spans="1:30">
      <c r="A22" s="1"/>
      <c r="B22" s="1" t="s">
        <v>664</v>
      </c>
      <c r="C22" s="1"/>
      <c r="D22" s="1"/>
      <c r="E22" s="1"/>
      <c r="F22" s="409">
        <f>AVERAGE(G51:I51)</f>
        <v>-0.63421168203776901</v>
      </c>
      <c r="G22" s="1"/>
      <c r="H22" s="1"/>
      <c r="I22" s="126"/>
      <c r="J22" s="126"/>
      <c r="K22" s="126"/>
      <c r="L22" s="126"/>
      <c r="M22" s="126"/>
      <c r="N22" s="126"/>
      <c r="O22" s="126"/>
      <c r="P22" s="412"/>
      <c r="Q22" s="126"/>
      <c r="R22" s="126"/>
      <c r="S22" s="126"/>
      <c r="T22" s="126"/>
      <c r="U22" s="126"/>
      <c r="V22" s="126"/>
      <c r="W22" s="126"/>
      <c r="X22" s="126"/>
      <c r="Y22" s="126"/>
      <c r="Z22" s="1"/>
      <c r="AA22" s="1"/>
      <c r="AB22" s="1"/>
      <c r="AC22" s="1"/>
      <c r="AD22" s="1"/>
    </row>
    <row r="23" spans="1:30">
      <c r="A23" s="1"/>
      <c r="B23" s="126" t="s">
        <v>665</v>
      </c>
      <c r="E23" s="1"/>
      <c r="F23" s="409">
        <f>AVERAGE(G53:I53)</f>
        <v>0.26192328692328681</v>
      </c>
      <c r="H23" s="1"/>
      <c r="I23" s="1"/>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666</v>
      </c>
      <c r="C24" s="126"/>
      <c r="D24" s="126"/>
      <c r="E24" s="126"/>
      <c r="F24" s="409">
        <f>AVERAGE(G55:I55)</f>
        <v>-2.647868797868798</v>
      </c>
      <c r="G24" s="1"/>
      <c r="H24" s="126"/>
      <c r="I24" s="126"/>
      <c r="J24" s="126"/>
      <c r="K24" s="126"/>
      <c r="L24" s="126"/>
      <c r="M24" s="126"/>
      <c r="N24" s="126"/>
      <c r="O24" s="126"/>
      <c r="P24" s="126"/>
      <c r="Q24" s="126"/>
      <c r="R24" s="126"/>
      <c r="S24" s="126"/>
      <c r="T24" s="126"/>
      <c r="U24" s="126"/>
      <c r="V24" s="126"/>
      <c r="W24" s="126"/>
      <c r="X24" s="126"/>
      <c r="Y24" s="126"/>
      <c r="Z24" s="1"/>
      <c r="AA24" s="1"/>
      <c r="AB24" s="1"/>
      <c r="AC24" s="1"/>
      <c r="AD24" s="1"/>
    </row>
    <row r="25" spans="1:30">
      <c r="A25" s="1"/>
      <c r="B25" s="126" t="s">
        <v>667</v>
      </c>
      <c r="C25" s="1"/>
      <c r="D25" s="1"/>
      <c r="E25" s="1"/>
      <c r="F25" s="409">
        <f>AVERAGE(G57:I57)</f>
        <v>9.0530217335866598E-3</v>
      </c>
      <c r="H25" s="1"/>
      <c r="I25" s="1"/>
      <c r="J25" s="1"/>
      <c r="K25" s="1"/>
      <c r="L25" s="1"/>
      <c r="M25" s="1"/>
      <c r="N25" s="1"/>
      <c r="O25" s="161"/>
      <c r="P25" s="126"/>
      <c r="Q25" s="126"/>
      <c r="R25" s="126"/>
      <c r="S25" s="126"/>
      <c r="T25" s="126"/>
      <c r="U25" s="126"/>
      <c r="V25" s="126"/>
      <c r="W25" s="126"/>
      <c r="X25" s="126"/>
      <c r="Y25" s="126"/>
      <c r="Z25" s="1"/>
      <c r="AA25" s="1"/>
      <c r="AB25" s="1"/>
      <c r="AC25" s="1"/>
      <c r="AD25" s="1"/>
    </row>
    <row r="26" spans="1:30">
      <c r="A26" s="1"/>
      <c r="C26" s="1"/>
      <c r="D26" s="1"/>
      <c r="E26" s="1"/>
      <c r="G26" s="1"/>
      <c r="H26" s="1"/>
      <c r="I26" s="1"/>
      <c r="J26" s="1"/>
      <c r="K26" s="1"/>
      <c r="L26" s="1"/>
      <c r="M26" s="1"/>
      <c r="N26" s="1"/>
      <c r="O26" s="126"/>
      <c r="P26" s="126"/>
      <c r="Q26" s="126"/>
      <c r="R26" s="126"/>
      <c r="S26" s="126"/>
      <c r="T26" s="126"/>
      <c r="U26" s="126"/>
      <c r="V26" s="126"/>
      <c r="W26" s="126"/>
      <c r="X26" s="126"/>
      <c r="Y26" s="126"/>
      <c r="Z26" s="1"/>
      <c r="AA26" s="1"/>
      <c r="AB26" s="1"/>
      <c r="AC26" s="1"/>
      <c r="AD26" s="1"/>
    </row>
    <row r="27" spans="1:30">
      <c r="A27" s="1"/>
      <c r="B27" s="126"/>
      <c r="C27" s="126"/>
      <c r="D27" s="126"/>
      <c r="E27" s="14"/>
      <c r="F27" s="920" t="s">
        <v>158</v>
      </c>
      <c r="G27" s="920"/>
      <c r="H27" s="920"/>
      <c r="I27" s="936"/>
      <c r="J27" s="937" t="s">
        <v>528</v>
      </c>
      <c r="K27" s="938"/>
      <c r="L27" s="938"/>
      <c r="M27" s="938"/>
      <c r="N27" s="938"/>
      <c r="O27" s="585" t="s">
        <v>658</v>
      </c>
      <c r="P27" s="126"/>
      <c r="Q27" s="126"/>
      <c r="R27" s="126"/>
      <c r="S27" s="126"/>
      <c r="T27" s="126"/>
      <c r="U27" s="126"/>
      <c r="V27" s="126"/>
      <c r="W27" s="126"/>
      <c r="X27" s="126"/>
      <c r="Y27" s="126"/>
      <c r="Z27" s="1"/>
      <c r="AA27" s="1"/>
      <c r="AB27" s="1"/>
      <c r="AC27" s="1"/>
      <c r="AD27" s="1"/>
    </row>
    <row r="28" spans="1:30">
      <c r="A28" s="1"/>
      <c r="B28" s="383"/>
      <c r="C28" s="411"/>
      <c r="D28" s="121"/>
      <c r="E28" s="122" t="s">
        <v>1</v>
      </c>
      <c r="F28" s="124">
        <v>42735</v>
      </c>
      <c r="G28" s="124">
        <v>43100</v>
      </c>
      <c r="H28" s="124">
        <v>43465</v>
      </c>
      <c r="I28" s="124">
        <v>43830</v>
      </c>
      <c r="J28" s="586">
        <v>44196</v>
      </c>
      <c r="K28" s="108">
        <v>44561</v>
      </c>
      <c r="L28" s="108">
        <v>44926</v>
      </c>
      <c r="M28" s="108">
        <v>45291</v>
      </c>
      <c r="N28" s="108">
        <v>45657</v>
      </c>
      <c r="O28" s="126"/>
      <c r="P28" s="126"/>
      <c r="Q28" s="126"/>
      <c r="R28" s="126"/>
      <c r="S28" s="126"/>
      <c r="T28" s="126"/>
      <c r="U28" s="126"/>
      <c r="V28" s="126"/>
      <c r="W28" s="126"/>
      <c r="X28" s="126"/>
      <c r="Y28" s="126"/>
      <c r="Z28" s="1"/>
      <c r="AA28" s="1"/>
      <c r="AB28" s="1"/>
      <c r="AC28" s="1"/>
      <c r="AD28" s="1"/>
    </row>
    <row r="29" spans="1:30">
      <c r="A29" s="1"/>
      <c r="B29" s="126" t="s">
        <v>457</v>
      </c>
      <c r="C29" s="126"/>
      <c r="D29" s="126"/>
      <c r="E29" s="126"/>
      <c r="F29" s="422">
        <v>4860</v>
      </c>
      <c r="G29" s="422">
        <v>5796</v>
      </c>
      <c r="H29" s="422">
        <v>6494</v>
      </c>
      <c r="I29" s="422">
        <v>7324</v>
      </c>
      <c r="J29" s="587">
        <f>I29*(1+J30)</f>
        <v>8108.4643125328985</v>
      </c>
      <c r="K29" s="216">
        <f t="shared" ref="K29:O29" si="0">J29*(1+K30)</f>
        <v>8976.9515985280741</v>
      </c>
      <c r="L29" s="216">
        <f t="shared" si="0"/>
        <v>9938.4614516657621</v>
      </c>
      <c r="M29" s="216">
        <f t="shared" si="0"/>
        <v>11002.957400643874</v>
      </c>
      <c r="N29" s="216">
        <f t="shared" si="0"/>
        <v>12181.470155030122</v>
      </c>
      <c r="O29" s="216">
        <f t="shared" si="0"/>
        <v>13486.211909645868</v>
      </c>
      <c r="P29" s="126"/>
      <c r="Q29" s="126"/>
      <c r="R29" s="126"/>
      <c r="S29" s="126"/>
      <c r="T29" s="126"/>
      <c r="U29" s="126"/>
      <c r="V29" s="126"/>
      <c r="W29" s="126"/>
      <c r="X29" s="126"/>
      <c r="Y29" s="126"/>
      <c r="Z29" s="1"/>
      <c r="AA29" s="1"/>
      <c r="AB29" s="1"/>
      <c r="AC29" s="1"/>
      <c r="AD29" s="1"/>
    </row>
    <row r="30" spans="1:30">
      <c r="A30" s="1"/>
      <c r="B30" s="698" t="s">
        <v>720</v>
      </c>
      <c r="C30" s="698"/>
      <c r="D30" s="126"/>
      <c r="E30" s="126"/>
      <c r="F30" s="893">
        <v>-1.2395854501117659E-2</v>
      </c>
      <c r="G30" s="893">
        <v>0.19259259259259259</v>
      </c>
      <c r="H30" s="893">
        <v>0.12042788129744651</v>
      </c>
      <c r="I30" s="893">
        <v>0.12781028641823222</v>
      </c>
      <c r="J30" s="887">
        <v>0.10710872645178841</v>
      </c>
      <c r="K30" s="888">
        <v>0.10710872645178841</v>
      </c>
      <c r="L30" s="888">
        <v>0.10710872645178841</v>
      </c>
      <c r="M30" s="888">
        <v>0.10710872645178841</v>
      </c>
      <c r="N30" s="888">
        <v>0.10710872645178841</v>
      </c>
      <c r="O30" s="888">
        <v>0.10710872645178841</v>
      </c>
      <c r="P30" s="126"/>
      <c r="Q30" s="126"/>
      <c r="R30" s="126"/>
      <c r="S30" s="126"/>
      <c r="T30" s="126"/>
      <c r="U30" s="126"/>
      <c r="V30" s="126"/>
      <c r="W30" s="126"/>
      <c r="X30" s="126"/>
      <c r="Y30" s="126"/>
      <c r="Z30" s="1"/>
      <c r="AA30" s="1"/>
      <c r="AB30" s="1"/>
      <c r="AC30" s="1"/>
      <c r="AD30" s="1"/>
    </row>
    <row r="31" spans="1:30">
      <c r="A31" s="1"/>
      <c r="B31" s="126"/>
      <c r="C31" s="126"/>
      <c r="D31" s="126"/>
      <c r="E31" s="126"/>
      <c r="F31" s="422"/>
      <c r="G31" s="422"/>
      <c r="H31" s="422"/>
      <c r="I31" s="422"/>
      <c r="J31" s="587"/>
      <c r="K31" s="216"/>
      <c r="L31" s="216"/>
      <c r="M31" s="216"/>
      <c r="N31" s="216"/>
      <c r="O31" s="126"/>
      <c r="P31" s="126"/>
      <c r="Q31" s="126"/>
      <c r="R31" s="126"/>
      <c r="S31" s="126"/>
      <c r="T31" s="126"/>
      <c r="U31" s="126"/>
      <c r="V31" s="126"/>
      <c r="W31" s="126"/>
      <c r="X31" s="126"/>
      <c r="Y31" s="126"/>
      <c r="Z31" s="1"/>
      <c r="AA31" s="1"/>
      <c r="AB31" s="1"/>
      <c r="AC31" s="1"/>
      <c r="AD31" s="1"/>
    </row>
    <row r="32" spans="1:30">
      <c r="A32" s="1"/>
      <c r="B32" s="580" t="s">
        <v>306</v>
      </c>
      <c r="C32" s="580"/>
      <c r="D32" s="580"/>
      <c r="E32" s="706"/>
      <c r="F32" s="706">
        <v>1162</v>
      </c>
      <c r="G32" s="706">
        <v>1199</v>
      </c>
      <c r="H32" s="706">
        <v>1231</v>
      </c>
      <c r="I32" s="706">
        <v>1234</v>
      </c>
      <c r="J32" s="707">
        <f>I32*(1+$E$13)</f>
        <v>1328.7679223492341</v>
      </c>
      <c r="K32" s="706">
        <f>J32*(1+$E$13)</f>
        <v>1430.8137694200166</v>
      </c>
      <c r="L32" s="706">
        <f>K32*(1+$E$13)</f>
        <v>1540.6964664999284</v>
      </c>
      <c r="M32" s="706">
        <f>L32*(1+$E$13)</f>
        <v>1659.017862854065</v>
      </c>
      <c r="N32" s="706">
        <f>M32*(1+$E$13)</f>
        <v>1786.426028172498</v>
      </c>
      <c r="O32" s="706">
        <f>N32*(1+C16)</f>
        <v>1865.7409713433572</v>
      </c>
      <c r="P32" s="126"/>
      <c r="Q32" s="126"/>
      <c r="R32" s="126"/>
      <c r="S32" s="126"/>
      <c r="T32" s="126"/>
      <c r="U32" s="126"/>
      <c r="V32" s="126"/>
      <c r="W32" s="126"/>
      <c r="X32" s="126"/>
      <c r="Y32" s="126"/>
      <c r="Z32" s="1"/>
      <c r="AA32" s="1"/>
      <c r="AB32" s="1"/>
      <c r="AC32" s="1"/>
      <c r="AD32" s="1"/>
    </row>
    <row r="33" spans="1:30">
      <c r="A33" s="1"/>
      <c r="B33" s="683"/>
      <c r="C33" s="684"/>
      <c r="D33" s="126"/>
      <c r="E33" s="126"/>
      <c r="F33" s="685">
        <v>0.10877862595419847</v>
      </c>
      <c r="G33" s="685">
        <f t="shared" ref="G33" si="1">(G32-F32)/F32</f>
        <v>3.1841652323580036E-2</v>
      </c>
      <c r="H33" s="685">
        <f t="shared" ref="H33" si="2">(H32-G32)/G32</f>
        <v>2.6688907422852376E-2</v>
      </c>
      <c r="I33" s="685">
        <f t="shared" ref="I33" si="3">(I32-H32)/H32</f>
        <v>2.437043054427295E-3</v>
      </c>
      <c r="J33" s="588">
        <v>7.6797343881065003E-2</v>
      </c>
      <c r="K33" s="420">
        <v>7.6797343881065003E-2</v>
      </c>
      <c r="L33" s="420">
        <v>7.6797343881065003E-2</v>
      </c>
      <c r="M33" s="420">
        <v>7.6797343881065003E-2</v>
      </c>
      <c r="N33" s="420">
        <v>7.6797343881065003E-2</v>
      </c>
      <c r="O33" s="420">
        <v>4.43986719405325E-2</v>
      </c>
      <c r="P33" s="126"/>
      <c r="Q33" s="126"/>
      <c r="R33" s="126"/>
      <c r="S33" s="126"/>
      <c r="T33" s="126"/>
      <c r="U33" s="126"/>
      <c r="V33" s="126"/>
      <c r="W33" s="126"/>
      <c r="X33" s="126"/>
      <c r="Y33" s="126"/>
      <c r="Z33" s="1"/>
      <c r="AA33" s="1"/>
      <c r="AB33" s="1"/>
      <c r="AC33" s="1"/>
      <c r="AD33" s="1"/>
    </row>
    <row r="34" spans="1:30">
      <c r="A34" s="1"/>
      <c r="B34" s="126" t="s">
        <v>456</v>
      </c>
      <c r="C34" s="1"/>
      <c r="D34" s="126"/>
      <c r="E34" s="422"/>
      <c r="F34" s="422">
        <v>-71</v>
      </c>
      <c r="G34" s="422">
        <v>-45</v>
      </c>
      <c r="H34" s="422">
        <v>-20</v>
      </c>
      <c r="I34" s="422">
        <v>-36</v>
      </c>
      <c r="J34" s="587">
        <f t="shared" ref="J34:O34" si="4">$G$20</f>
        <v>-43</v>
      </c>
      <c r="K34" s="216">
        <f t="shared" si="4"/>
        <v>-43</v>
      </c>
      <c r="L34" s="216">
        <f t="shared" si="4"/>
        <v>-43</v>
      </c>
      <c r="M34" s="216">
        <f t="shared" si="4"/>
        <v>-43</v>
      </c>
      <c r="N34" s="216">
        <f t="shared" si="4"/>
        <v>-43</v>
      </c>
      <c r="O34" s="216">
        <f t="shared" si="4"/>
        <v>-43</v>
      </c>
      <c r="P34" s="126"/>
      <c r="Q34" s="126"/>
      <c r="R34" s="126"/>
      <c r="S34" s="126"/>
      <c r="T34" s="126"/>
      <c r="U34" s="126"/>
      <c r="V34" s="126"/>
      <c r="W34" s="126"/>
      <c r="X34" s="126"/>
      <c r="Y34" s="126"/>
      <c r="Z34" s="1"/>
      <c r="AA34" s="1"/>
      <c r="AB34" s="1"/>
      <c r="AC34" s="1"/>
      <c r="AD34" s="1"/>
    </row>
    <row r="35" spans="1:30">
      <c r="A35" s="1"/>
      <c r="B35" s="126" t="s">
        <v>726</v>
      </c>
      <c r="C35" s="126"/>
      <c r="D35" s="126"/>
      <c r="E35" s="679"/>
      <c r="F35" s="679">
        <f t="shared" ref="F35:I35" si="5">F32+F34</f>
        <v>1091</v>
      </c>
      <c r="G35" s="679">
        <f t="shared" si="5"/>
        <v>1154</v>
      </c>
      <c r="H35" s="679">
        <f t="shared" si="5"/>
        <v>1211</v>
      </c>
      <c r="I35" s="679">
        <f t="shared" si="5"/>
        <v>1198</v>
      </c>
      <c r="J35" s="587">
        <f>J32+J34</f>
        <v>1285.7679223492341</v>
      </c>
      <c r="K35" s="216">
        <f t="shared" ref="K35:O35" si="6">K32+K34</f>
        <v>1387.8137694200166</v>
      </c>
      <c r="L35" s="216">
        <f t="shared" si="6"/>
        <v>1497.6964664999284</v>
      </c>
      <c r="M35" s="216">
        <f t="shared" si="6"/>
        <v>1616.017862854065</v>
      </c>
      <c r="N35" s="216">
        <f t="shared" si="6"/>
        <v>1743.426028172498</v>
      </c>
      <c r="O35" s="216">
        <f t="shared" si="6"/>
        <v>1822.7409713433572</v>
      </c>
      <c r="P35" s="1"/>
      <c r="Q35" s="1"/>
      <c r="R35" s="1"/>
      <c r="S35" s="1"/>
      <c r="T35" s="1"/>
      <c r="U35" s="1"/>
      <c r="V35" s="1"/>
      <c r="W35" s="1"/>
      <c r="X35" s="1"/>
      <c r="Y35" s="1"/>
      <c r="Z35" s="1"/>
      <c r="AA35" s="1"/>
      <c r="AB35" s="1"/>
      <c r="AC35" s="1"/>
      <c r="AD35" s="1"/>
    </row>
    <row r="36" spans="1:30">
      <c r="A36" s="1"/>
      <c r="B36" s="126"/>
      <c r="C36" s="1"/>
      <c r="D36" s="126"/>
      <c r="E36" s="126"/>
      <c r="F36" s="422"/>
      <c r="G36" s="422"/>
      <c r="H36" s="422"/>
      <c r="I36" s="422"/>
      <c r="J36" s="587"/>
      <c r="K36" s="216"/>
      <c r="L36" s="216"/>
      <c r="M36" s="216"/>
      <c r="N36" s="216"/>
      <c r="O36" s="126"/>
      <c r="P36" s="1"/>
      <c r="Q36" s="1"/>
      <c r="R36" s="1"/>
      <c r="S36" s="1"/>
      <c r="T36" s="1"/>
      <c r="U36" s="1"/>
      <c r="V36" s="1"/>
      <c r="W36" s="1"/>
      <c r="X36" s="1"/>
      <c r="Y36" s="1"/>
      <c r="Z36" s="1"/>
      <c r="AA36" s="1"/>
      <c r="AB36" s="1"/>
      <c r="AC36" s="1"/>
      <c r="AD36" s="1"/>
    </row>
    <row r="37" spans="1:30">
      <c r="A37" s="1"/>
      <c r="B37" s="126" t="s">
        <v>334</v>
      </c>
      <c r="C37" s="126"/>
      <c r="D37" s="126"/>
      <c r="E37" s="126"/>
      <c r="F37" s="422">
        <v>-648</v>
      </c>
      <c r="G37" s="422">
        <v>-444</v>
      </c>
      <c r="H37" s="422">
        <v>-623</v>
      </c>
      <c r="I37" s="422">
        <v>-511</v>
      </c>
      <c r="J37" s="587">
        <f>J44*J46</f>
        <v>-534.3826488430326</v>
      </c>
      <c r="K37" s="216">
        <f t="shared" ref="K37:O37" si="7">K44*K46</f>
        <v>-591.61969379854315</v>
      </c>
      <c r="L37" s="216">
        <f t="shared" si="7"/>
        <v>-654.98732574510211</v>
      </c>
      <c r="M37" s="216">
        <f t="shared" si="7"/>
        <v>-725.14218404772271</v>
      </c>
      <c r="N37" s="216">
        <f t="shared" si="7"/>
        <v>-802.81123987754279</v>
      </c>
      <c r="O37" s="216">
        <f t="shared" si="7"/>
        <v>-1036.4963799654774</v>
      </c>
      <c r="P37" s="1"/>
      <c r="Q37" s="1"/>
      <c r="R37" s="1"/>
      <c r="S37" s="1"/>
      <c r="T37" s="1"/>
      <c r="U37" s="1"/>
      <c r="V37" s="1"/>
      <c r="W37" s="1"/>
      <c r="X37" s="1"/>
      <c r="Y37" s="1"/>
      <c r="Z37" s="1"/>
      <c r="AA37" s="1"/>
      <c r="AB37" s="1"/>
      <c r="AC37" s="1"/>
      <c r="AD37" s="1"/>
    </row>
    <row r="38" spans="1:30">
      <c r="A38" s="1"/>
      <c r="B38" s="580" t="s">
        <v>303</v>
      </c>
      <c r="C38" s="580"/>
      <c r="D38" s="580"/>
      <c r="E38" s="580"/>
      <c r="F38" s="728">
        <v>443</v>
      </c>
      <c r="G38" s="728">
        <v>710</v>
      </c>
      <c r="H38" s="728">
        <v>588</v>
      </c>
      <c r="I38" s="728">
        <v>687</v>
      </c>
      <c r="J38" s="707">
        <f>J35+J37</f>
        <v>751.38527350620154</v>
      </c>
      <c r="K38" s="706">
        <f t="shared" ref="K38:O38" si="8">K35+K37</f>
        <v>796.19407562147342</v>
      </c>
      <c r="L38" s="706">
        <f t="shared" si="8"/>
        <v>842.70914075482631</v>
      </c>
      <c r="M38" s="706">
        <f t="shared" si="8"/>
        <v>890.87567880634231</v>
      </c>
      <c r="N38" s="706">
        <f t="shared" si="8"/>
        <v>940.61478829495525</v>
      </c>
      <c r="O38" s="706">
        <f t="shared" si="8"/>
        <v>786.24459137787971</v>
      </c>
      <c r="P38" s="126"/>
      <c r="Q38" s="126"/>
      <c r="R38" s="126"/>
      <c r="S38" s="126"/>
      <c r="T38" s="126"/>
      <c r="U38" s="126"/>
      <c r="V38" s="126"/>
      <c r="W38" s="126"/>
      <c r="X38" s="126"/>
      <c r="Y38" s="126"/>
      <c r="Z38" s="1"/>
      <c r="AA38" s="1"/>
      <c r="AB38" s="1"/>
      <c r="AC38" s="1"/>
      <c r="AD38" s="1"/>
    </row>
    <row r="39" spans="1:30">
      <c r="A39" s="1"/>
      <c r="B39" s="126"/>
      <c r="C39" s="126"/>
      <c r="D39" s="126"/>
      <c r="E39" s="126"/>
      <c r="F39" s="422"/>
      <c r="G39" s="422"/>
      <c r="H39" s="422"/>
      <c r="I39" s="422"/>
      <c r="J39" s="587"/>
      <c r="K39" s="216"/>
      <c r="L39" s="216"/>
      <c r="M39" s="216"/>
      <c r="N39" s="216"/>
      <c r="O39" s="126"/>
      <c r="P39" s="126"/>
      <c r="Q39" s="126"/>
      <c r="R39" s="126"/>
      <c r="S39" s="126"/>
      <c r="T39" s="126"/>
      <c r="U39" s="126"/>
      <c r="V39" s="126"/>
      <c r="W39" s="126"/>
      <c r="X39" s="126"/>
      <c r="Y39" s="126"/>
      <c r="Z39" s="1"/>
      <c r="AA39" s="1"/>
      <c r="AB39" s="1"/>
      <c r="AC39" s="1"/>
      <c r="AD39" s="1"/>
    </row>
    <row r="40" spans="1:30">
      <c r="A40" s="1"/>
      <c r="B40" s="126" t="s">
        <v>716</v>
      </c>
      <c r="C40" s="126"/>
      <c r="D40" s="126"/>
      <c r="E40" s="126"/>
      <c r="F40" s="216">
        <v>281.18562874251495</v>
      </c>
      <c r="G40" s="216">
        <v>473.33333333333331</v>
      </c>
      <c r="H40" s="216">
        <v>399.6</v>
      </c>
      <c r="I40" s="216">
        <v>463.51807228915663</v>
      </c>
      <c r="J40" s="587">
        <f>J38*(1-0.279)</f>
        <v>541.74878219797131</v>
      </c>
      <c r="K40" s="216">
        <f>J40*(1+$C$16)</f>
        <v>565.80170865296202</v>
      </c>
      <c r="L40" s="216">
        <f>K40*(1+$C$16)</f>
        <v>590.92255309883762</v>
      </c>
      <c r="M40" s="216">
        <f>L40*(1+$C$16)</f>
        <v>617.15872967613484</v>
      </c>
      <c r="N40" s="216">
        <f>M40*(1+$C$16)</f>
        <v>644.5597576502613</v>
      </c>
      <c r="O40" s="216">
        <f>N40*(1+$C$16)</f>
        <v>673.17735487624441</v>
      </c>
      <c r="P40" s="126"/>
      <c r="Q40" s="126"/>
      <c r="R40" s="126"/>
      <c r="S40" s="126"/>
      <c r="T40" s="126"/>
      <c r="U40" s="126"/>
      <c r="V40" s="126"/>
      <c r="W40" s="126"/>
      <c r="X40" s="126"/>
      <c r="Y40" s="126"/>
      <c r="Z40" s="1"/>
      <c r="AA40" s="1"/>
      <c r="AB40" s="1"/>
      <c r="AC40" s="1"/>
      <c r="AD40" s="1"/>
    </row>
    <row r="41" spans="1:30">
      <c r="B41" s="126" t="s">
        <v>719</v>
      </c>
      <c r="C41" s="1"/>
      <c r="D41" s="1"/>
      <c r="E41" s="126"/>
      <c r="F41" s="134">
        <v>-39.814371257485028</v>
      </c>
      <c r="G41" s="134">
        <v>-44.666666666666664</v>
      </c>
      <c r="H41" s="134">
        <v>-31.400000000000002</v>
      </c>
      <c r="I41" s="134">
        <v>-34.481927710843372</v>
      </c>
      <c r="J41" s="587">
        <v>-37.590741408748769</v>
      </c>
      <c r="K41" s="216">
        <v>-37.590741408748769</v>
      </c>
      <c r="L41" s="216">
        <v>-37.590741408748769</v>
      </c>
      <c r="M41" s="216">
        <v>-37.590741408748769</v>
      </c>
      <c r="N41" s="216">
        <v>-37.590741408748769</v>
      </c>
      <c r="O41" s="216">
        <v>-37.590741408748769</v>
      </c>
      <c r="P41" s="1"/>
      <c r="Q41" s="1"/>
      <c r="R41" s="1"/>
      <c r="S41" s="1"/>
      <c r="T41" s="1"/>
      <c r="U41" s="1"/>
      <c r="V41" s="1"/>
      <c r="W41" s="1"/>
      <c r="X41" s="1"/>
      <c r="Y41" s="1"/>
      <c r="Z41" s="1"/>
      <c r="AA41" s="1"/>
      <c r="AB41" s="1"/>
      <c r="AC41" s="1"/>
      <c r="AD41" s="1"/>
    </row>
    <row r="42" spans="1:30">
      <c r="B42" s="580" t="s">
        <v>718</v>
      </c>
      <c r="C42" s="708"/>
      <c r="D42" s="708"/>
      <c r="E42" s="580"/>
      <c r="F42" s="709">
        <v>281.18562874251495</v>
      </c>
      <c r="G42" s="709">
        <v>473.33333333333331</v>
      </c>
      <c r="H42" s="709">
        <v>399.6</v>
      </c>
      <c r="I42" s="709">
        <v>463.51807228915663</v>
      </c>
      <c r="J42" s="710">
        <f t="shared" ref="J42:O42" si="9">J40+J41</f>
        <v>504.15804078922253</v>
      </c>
      <c r="K42" s="711">
        <f t="shared" si="9"/>
        <v>528.21096724421329</v>
      </c>
      <c r="L42" s="711">
        <f t="shared" si="9"/>
        <v>553.3318116900889</v>
      </c>
      <c r="M42" s="711">
        <f t="shared" si="9"/>
        <v>579.56798826738611</v>
      </c>
      <c r="N42" s="711">
        <f t="shared" si="9"/>
        <v>606.96901624151258</v>
      </c>
      <c r="O42" s="711">
        <f t="shared" si="9"/>
        <v>635.58661346749568</v>
      </c>
      <c r="P42" s="126"/>
      <c r="Q42" s="126"/>
      <c r="R42" s="126"/>
      <c r="S42" s="126"/>
      <c r="T42" s="126"/>
      <c r="U42" s="126"/>
      <c r="V42" s="126"/>
      <c r="W42" s="126"/>
      <c r="X42" s="126"/>
      <c r="Y42" s="126"/>
      <c r="Z42" s="1"/>
      <c r="AA42" s="1"/>
      <c r="AB42" s="1"/>
      <c r="AC42" s="1"/>
      <c r="AD42" s="1"/>
    </row>
    <row r="43" spans="1:30">
      <c r="A43" s="1"/>
      <c r="B43" s="1"/>
      <c r="C43" s="1"/>
      <c r="D43" s="1"/>
      <c r="E43" s="126"/>
      <c r="F43" s="126"/>
      <c r="G43" s="126"/>
      <c r="H43" s="126"/>
      <c r="I43" s="126"/>
      <c r="J43" s="413"/>
      <c r="K43" s="2"/>
      <c r="L43" s="2"/>
      <c r="M43" s="2"/>
      <c r="N43" s="2"/>
      <c r="O43" s="544"/>
      <c r="P43" s="1"/>
      <c r="Q43" s="1"/>
      <c r="R43" s="1"/>
      <c r="S43" s="1"/>
      <c r="T43" s="1"/>
      <c r="U43" s="1"/>
      <c r="V43" s="1"/>
      <c r="W43" s="1"/>
      <c r="X43" s="1"/>
      <c r="Y43" s="1"/>
      <c r="Z43" s="1"/>
      <c r="AA43" s="1"/>
      <c r="AB43" s="1"/>
      <c r="AC43" s="1"/>
      <c r="AD43" s="1"/>
    </row>
    <row r="44" spans="1:30">
      <c r="A44" s="1"/>
      <c r="B44" s="126" t="s">
        <v>526</v>
      </c>
      <c r="C44" s="126"/>
      <c r="D44" s="126"/>
      <c r="E44" s="2"/>
      <c r="F44" s="422">
        <f>'Cash flows'!D19</f>
        <v>-1066</v>
      </c>
      <c r="G44" s="422">
        <f>'Cash flows'!E19</f>
        <v>-80</v>
      </c>
      <c r="H44" s="422">
        <f>'Cash flows'!F19</f>
        <v>-1076</v>
      </c>
      <c r="I44" s="422">
        <f>'Cash flows'!G19</f>
        <v>-837</v>
      </c>
      <c r="J44" s="587">
        <f t="shared" ref="J44:O44" si="10">-J29*J47</f>
        <v>-891.93107437861886</v>
      </c>
      <c r="K44" s="216">
        <f t="shared" si="10"/>
        <v>-987.46467583808817</v>
      </c>
      <c r="L44" s="216">
        <f t="shared" si="10"/>
        <v>-1093.2307596832338</v>
      </c>
      <c r="M44" s="216">
        <f t="shared" si="10"/>
        <v>-1210.3253140708262</v>
      </c>
      <c r="N44" s="216">
        <f t="shared" si="10"/>
        <v>-1339.9617170533134</v>
      </c>
      <c r="O44" s="713">
        <f t="shared" si="10"/>
        <v>-1730.002521177875</v>
      </c>
      <c r="P44" s="126"/>
      <c r="Q44" s="126"/>
      <c r="R44" s="126"/>
      <c r="S44" s="126"/>
      <c r="T44" s="126"/>
      <c r="U44" s="126"/>
      <c r="V44" s="126"/>
      <c r="W44" s="126"/>
      <c r="X44" s="126"/>
      <c r="Y44" s="126"/>
      <c r="Z44" s="1"/>
      <c r="AA44" s="1"/>
      <c r="AB44" s="1"/>
      <c r="AC44" s="1"/>
      <c r="AD44" s="1"/>
    </row>
    <row r="45" spans="1:30">
      <c r="A45" s="1"/>
      <c r="B45" s="126" t="s">
        <v>525</v>
      </c>
      <c r="C45" s="126"/>
      <c r="D45" s="126"/>
      <c r="E45" s="126"/>
      <c r="F45" s="422">
        <f>'Cash flows'!D20</f>
        <v>648</v>
      </c>
      <c r="G45" s="422">
        <f>'Cash flows'!E20</f>
        <v>444</v>
      </c>
      <c r="H45" s="422">
        <f>'Cash flows'!F20</f>
        <v>623</v>
      </c>
      <c r="I45" s="422">
        <f>'Cash flows'!G20</f>
        <v>511</v>
      </c>
      <c r="J45" s="587">
        <f>-J44*J46</f>
        <v>534.3826488430326</v>
      </c>
      <c r="K45" s="216">
        <f t="shared" ref="K45:O45" si="11">-K44*K46</f>
        <v>591.61969379854315</v>
      </c>
      <c r="L45" s="216">
        <f t="shared" si="11"/>
        <v>654.98732574510211</v>
      </c>
      <c r="M45" s="216">
        <f t="shared" si="11"/>
        <v>725.14218404772271</v>
      </c>
      <c r="N45" s="216">
        <f t="shared" si="11"/>
        <v>802.81123987754279</v>
      </c>
      <c r="O45" s="713">
        <f t="shared" si="11"/>
        <v>1036.4963799654774</v>
      </c>
      <c r="P45" s="1"/>
      <c r="Q45" s="1"/>
      <c r="R45" s="1"/>
      <c r="S45" s="1"/>
      <c r="T45" s="1"/>
      <c r="U45" s="1"/>
      <c r="V45" s="1"/>
      <c r="W45" s="1"/>
      <c r="X45" s="1"/>
      <c r="Y45" s="1"/>
      <c r="Z45" s="1"/>
      <c r="AA45" s="1"/>
      <c r="AB45" s="1"/>
      <c r="AC45" s="1"/>
      <c r="AD45" s="1"/>
    </row>
    <row r="46" spans="1:30">
      <c r="A46" s="1"/>
      <c r="B46" s="418" t="s">
        <v>527</v>
      </c>
      <c r="C46" s="416"/>
      <c r="D46" s="416"/>
      <c r="E46" s="416"/>
      <c r="F46" s="893">
        <f>-F45/F44</f>
        <v>0.60787992495309573</v>
      </c>
      <c r="G46" s="893">
        <f t="shared" ref="G46:I46" si="12">-G45/G44</f>
        <v>5.55</v>
      </c>
      <c r="H46" s="893">
        <f t="shared" si="12"/>
        <v>0.57899628252788105</v>
      </c>
      <c r="I46" s="893">
        <f t="shared" si="12"/>
        <v>0.61051373954599764</v>
      </c>
      <c r="J46" s="894">
        <v>0.59912998234232473</v>
      </c>
      <c r="K46" s="889">
        <v>0.59912998234232473</v>
      </c>
      <c r="L46" s="889">
        <v>0.59912998234232473</v>
      </c>
      <c r="M46" s="889">
        <v>0.59912998234232473</v>
      </c>
      <c r="N46" s="889">
        <v>0.59912998234232473</v>
      </c>
      <c r="O46" s="714">
        <v>0.59912998234232473</v>
      </c>
      <c r="P46" s="126"/>
      <c r="Q46" s="126"/>
      <c r="R46" s="126"/>
      <c r="S46" s="126"/>
      <c r="T46" s="126"/>
      <c r="U46" s="126"/>
      <c r="V46" s="126"/>
      <c r="W46" s="126"/>
      <c r="X46" s="126"/>
      <c r="Y46" s="126"/>
      <c r="Z46" s="1"/>
      <c r="AA46" s="1"/>
      <c r="AB46" s="1"/>
      <c r="AC46" s="1"/>
      <c r="AD46" s="1"/>
    </row>
    <row r="47" spans="1:30">
      <c r="A47" s="1"/>
      <c r="B47" s="418" t="s">
        <v>529</v>
      </c>
      <c r="C47" s="416"/>
      <c r="D47" s="416"/>
      <c r="E47" s="416"/>
      <c r="F47" s="893">
        <f>-F44/F29</f>
        <v>0.21934156378600822</v>
      </c>
      <c r="G47" s="893">
        <f>-G44/G29</f>
        <v>1.3802622498274672E-2</v>
      </c>
      <c r="H47" s="893">
        <f>-H44/H29</f>
        <v>0.16569140745303357</v>
      </c>
      <c r="I47" s="893">
        <f>-I44/I29</f>
        <v>0.1142818132168214</v>
      </c>
      <c r="J47" s="897">
        <v>0.11</v>
      </c>
      <c r="K47" s="898">
        <v>0.11</v>
      </c>
      <c r="L47" s="898">
        <v>0.11</v>
      </c>
      <c r="M47" s="898">
        <v>0.11</v>
      </c>
      <c r="N47" s="898">
        <v>0.11</v>
      </c>
      <c r="O47" s="715">
        <v>0.12827935173853447</v>
      </c>
      <c r="P47" s="1"/>
      <c r="Q47" s="1"/>
      <c r="R47" s="1"/>
      <c r="S47" s="1"/>
      <c r="T47" s="1"/>
      <c r="U47" s="1"/>
      <c r="V47" s="1"/>
      <c r="W47" s="1"/>
      <c r="X47" s="1"/>
      <c r="Y47" s="1"/>
      <c r="Z47" s="1"/>
      <c r="AA47" s="1"/>
      <c r="AB47" s="1"/>
      <c r="AC47" s="1"/>
      <c r="AD47" s="1"/>
    </row>
    <row r="48" spans="1:30">
      <c r="A48" s="1"/>
      <c r="B48" s="126" t="s">
        <v>354</v>
      </c>
      <c r="C48" s="126"/>
      <c r="D48" s="126"/>
      <c r="E48" s="126"/>
      <c r="F48" s="422">
        <v>95</v>
      </c>
      <c r="G48" s="422">
        <v>-46</v>
      </c>
      <c r="H48" s="422">
        <v>17</v>
      </c>
      <c r="I48" s="422">
        <v>34</v>
      </c>
      <c r="J48" s="587">
        <v>44.03</v>
      </c>
      <c r="K48" s="216">
        <v>44.03</v>
      </c>
      <c r="L48" s="216">
        <v>44.03</v>
      </c>
      <c r="M48" s="216">
        <v>44.03</v>
      </c>
      <c r="N48" s="216">
        <v>44.03</v>
      </c>
      <c r="O48" s="716">
        <v>44.03</v>
      </c>
      <c r="P48" s="126"/>
      <c r="Q48" s="126"/>
      <c r="R48" s="126"/>
      <c r="S48" s="126"/>
      <c r="T48" s="126"/>
      <c r="U48" s="126"/>
      <c r="V48" s="126"/>
      <c r="W48" s="126"/>
      <c r="X48" s="126"/>
      <c r="Y48" s="126"/>
      <c r="Z48" s="1"/>
      <c r="AA48" s="1"/>
      <c r="AB48" s="1"/>
      <c r="AC48" s="1"/>
      <c r="AD48" s="1"/>
    </row>
    <row r="49" spans="1:30">
      <c r="A49" s="1"/>
      <c r="B49" s="416" t="s">
        <v>531</v>
      </c>
      <c r="C49" s="416"/>
      <c r="D49" s="416"/>
      <c r="E49" s="416"/>
      <c r="F49" s="419"/>
      <c r="G49" s="893">
        <f>G48/F48-1</f>
        <v>-1.4842105263157894</v>
      </c>
      <c r="H49" s="893">
        <f>-(H48/G48-1)</f>
        <v>1.3695652173913042</v>
      </c>
      <c r="I49" s="893">
        <f t="shared" ref="I49" si="13">I48/H48-1</f>
        <v>1</v>
      </c>
      <c r="J49" s="894">
        <v>0.29511823035850493</v>
      </c>
      <c r="K49" s="889">
        <v>0.29511823035850493</v>
      </c>
      <c r="L49" s="889">
        <v>0.29511823035850493</v>
      </c>
      <c r="M49" s="889">
        <v>0.29511823035850493</v>
      </c>
      <c r="N49" s="889">
        <v>0.29511823035850493</v>
      </c>
      <c r="O49" s="714">
        <v>0.29511823035850493</v>
      </c>
      <c r="P49" s="1"/>
      <c r="Q49" s="1"/>
      <c r="R49" s="1"/>
      <c r="S49" s="1"/>
      <c r="T49" s="1"/>
      <c r="U49" s="1"/>
      <c r="V49" s="1"/>
      <c r="W49" s="1"/>
      <c r="X49" s="1"/>
      <c r="Y49" s="1"/>
      <c r="Z49" s="1"/>
      <c r="AA49" s="1"/>
      <c r="AB49" s="1"/>
      <c r="AC49" s="1"/>
      <c r="AD49" s="1"/>
    </row>
    <row r="50" spans="1:30">
      <c r="A50" s="1"/>
      <c r="B50" s="126" t="s">
        <v>660</v>
      </c>
      <c r="C50" s="126"/>
      <c r="D50" s="126"/>
      <c r="E50" s="126"/>
      <c r="F50" s="422">
        <v>33</v>
      </c>
      <c r="G50" s="422">
        <v>-46</v>
      </c>
      <c r="H50" s="422">
        <v>-5</v>
      </c>
      <c r="I50" s="422">
        <v>-7</v>
      </c>
      <c r="J50" s="587">
        <f>I50*(1-$F$22)</f>
        <v>-11.439481774264383</v>
      </c>
      <c r="K50" s="216">
        <v>-11.439481774264383</v>
      </c>
      <c r="L50" s="216">
        <v>-11.439481774264383</v>
      </c>
      <c r="M50" s="216">
        <v>-11.439481774264383</v>
      </c>
      <c r="N50" s="216">
        <v>-11.439481774264383</v>
      </c>
      <c r="O50" s="716">
        <v>-11.439481774264383</v>
      </c>
      <c r="P50" s="126"/>
      <c r="Q50" s="126"/>
      <c r="R50" s="126"/>
      <c r="S50" s="126"/>
      <c r="T50" s="126"/>
      <c r="U50" s="126"/>
      <c r="V50" s="126"/>
      <c r="W50" s="126"/>
      <c r="X50" s="126"/>
      <c r="Y50" s="126"/>
      <c r="Z50" s="1"/>
      <c r="AA50" s="1"/>
      <c r="AB50" s="1"/>
      <c r="AC50" s="1"/>
      <c r="AD50" s="1"/>
    </row>
    <row r="51" spans="1:30">
      <c r="A51" s="1"/>
      <c r="B51" s="416" t="s">
        <v>531</v>
      </c>
      <c r="C51" s="416"/>
      <c r="D51" s="416"/>
      <c r="E51" s="416"/>
      <c r="F51" s="419"/>
      <c r="G51" s="893">
        <f>G50/F50-1</f>
        <v>-2.393939393939394</v>
      </c>
      <c r="H51" s="893">
        <f>-(H50/G50-1)</f>
        <v>0.89130434782608692</v>
      </c>
      <c r="I51" s="893">
        <f>-(I50/H50-1)</f>
        <v>-0.39999999999999991</v>
      </c>
      <c r="J51" s="894">
        <v>-0.63421168203776901</v>
      </c>
      <c r="K51" s="889">
        <v>-0.63421168203776901</v>
      </c>
      <c r="L51" s="889">
        <v>-0.63421168203776901</v>
      </c>
      <c r="M51" s="889">
        <v>-0.63421168203776901</v>
      </c>
      <c r="N51" s="889">
        <v>-0.63421168203776901</v>
      </c>
      <c r="O51" s="714">
        <v>-0.63421168203776901</v>
      </c>
      <c r="P51" s="126"/>
      <c r="Q51" s="126"/>
      <c r="R51" s="126"/>
      <c r="S51" s="126"/>
      <c r="T51" s="126"/>
      <c r="U51" s="126"/>
      <c r="V51" s="126"/>
      <c r="W51" s="126"/>
      <c r="X51" s="126"/>
      <c r="Y51" s="126"/>
      <c r="Z51" s="1"/>
      <c r="AA51" s="1"/>
      <c r="AB51" s="1"/>
      <c r="AC51" s="1"/>
      <c r="AD51" s="1"/>
    </row>
    <row r="52" spans="1:30">
      <c r="A52" s="1"/>
      <c r="B52" s="126" t="s">
        <v>368</v>
      </c>
      <c r="C52" s="126"/>
      <c r="D52" s="126"/>
      <c r="E52" s="126"/>
      <c r="F52" s="422">
        <v>-33</v>
      </c>
      <c r="G52" s="422">
        <v>40</v>
      </c>
      <c r="H52" s="422">
        <v>37</v>
      </c>
      <c r="I52" s="422">
        <v>-13</v>
      </c>
      <c r="J52" s="587">
        <f>I52*(1+$F$23)</f>
        <v>-16.405002730002728</v>
      </c>
      <c r="K52" s="216">
        <v>-16.405002730002728</v>
      </c>
      <c r="L52" s="216">
        <v>-16.405002730002728</v>
      </c>
      <c r="M52" s="216">
        <v>-16.405002730002728</v>
      </c>
      <c r="N52" s="216">
        <v>-16.405002730002728</v>
      </c>
      <c r="O52" s="716">
        <v>-16.405002730002728</v>
      </c>
      <c r="P52" s="126"/>
      <c r="Q52" s="126"/>
      <c r="R52" s="126"/>
      <c r="S52" s="126"/>
      <c r="T52" s="126"/>
      <c r="U52" s="126"/>
      <c r="V52" s="126"/>
      <c r="W52" s="126"/>
      <c r="X52" s="126"/>
      <c r="Y52" s="126"/>
      <c r="Z52" s="1"/>
      <c r="AA52" s="1"/>
      <c r="AB52" s="1"/>
      <c r="AC52" s="1"/>
      <c r="AD52" s="1"/>
    </row>
    <row r="53" spans="1:30">
      <c r="A53" s="1"/>
      <c r="B53" s="416" t="s">
        <v>531</v>
      </c>
      <c r="C53" s="416"/>
      <c r="D53" s="416"/>
      <c r="E53" s="416"/>
      <c r="F53" s="419"/>
      <c r="G53" s="893">
        <f>-(G52/F52 -1)</f>
        <v>2.2121212121212119</v>
      </c>
      <c r="H53" s="893">
        <f t="shared" ref="H53:I53" si="14">H52/G52 -1</f>
        <v>-7.4999999999999956E-2</v>
      </c>
      <c r="I53" s="893">
        <f t="shared" si="14"/>
        <v>-1.3513513513513513</v>
      </c>
      <c r="J53" s="894">
        <v>0.26192328692328681</v>
      </c>
      <c r="K53" s="889">
        <v>0.26192328692328681</v>
      </c>
      <c r="L53" s="889">
        <v>0.26192328692328681</v>
      </c>
      <c r="M53" s="889">
        <v>0.26192328692328681</v>
      </c>
      <c r="N53" s="889">
        <v>0.26192328692328681</v>
      </c>
      <c r="O53" s="714">
        <v>0.26192328692328681</v>
      </c>
      <c r="P53" s="126"/>
      <c r="Q53" s="126"/>
      <c r="R53" s="126"/>
      <c r="S53" s="126"/>
      <c r="T53" s="126"/>
      <c r="U53" s="126"/>
      <c r="V53" s="126"/>
      <c r="W53" s="126"/>
      <c r="X53" s="126"/>
      <c r="Y53" s="126"/>
      <c r="Z53" s="1"/>
      <c r="AA53" s="1"/>
      <c r="AB53" s="1"/>
      <c r="AC53" s="1"/>
      <c r="AD53" s="1"/>
    </row>
    <row r="54" spans="1:30">
      <c r="A54" s="1"/>
      <c r="B54" s="126" t="s">
        <v>356</v>
      </c>
      <c r="C54" s="126"/>
      <c r="D54" s="126"/>
      <c r="E54" s="126"/>
      <c r="F54" s="422">
        <v>20</v>
      </c>
      <c r="G54" s="422">
        <v>-91</v>
      </c>
      <c r="H54" s="422">
        <v>11</v>
      </c>
      <c r="I54" s="422">
        <v>-3</v>
      </c>
      <c r="J54" s="587">
        <f t="shared" ref="J54:O54" si="15">I54*(1+$F$24)</f>
        <v>4.9436063936063945</v>
      </c>
      <c r="K54" s="216">
        <f t="shared" si="15"/>
        <v>-8.1464147249686736</v>
      </c>
      <c r="L54" s="216">
        <f t="shared" si="15"/>
        <v>13.424222639774802</v>
      </c>
      <c r="M54" s="216">
        <f t="shared" si="15"/>
        <v>-22.121357623728805</v>
      </c>
      <c r="N54" s="216">
        <f t="shared" si="15"/>
        <v>36.453094994639756</v>
      </c>
      <c r="O54" s="716">
        <f t="shared" si="15"/>
        <v>-60.069917827414109</v>
      </c>
      <c r="P54" s="126"/>
      <c r="Q54" s="126"/>
      <c r="R54" s="126"/>
      <c r="S54" s="126"/>
      <c r="T54" s="126"/>
      <c r="U54" s="126"/>
      <c r="V54" s="126"/>
      <c r="W54" s="126"/>
      <c r="X54" s="126"/>
      <c r="Y54" s="126"/>
      <c r="Z54" s="1"/>
      <c r="AA54" s="1"/>
      <c r="AB54" s="1"/>
      <c r="AC54" s="1"/>
      <c r="AD54" s="1"/>
    </row>
    <row r="55" spans="1:30">
      <c r="A55" s="1"/>
      <c r="B55" s="416" t="s">
        <v>531</v>
      </c>
      <c r="C55" s="416"/>
      <c r="D55" s="416"/>
      <c r="E55" s="416"/>
      <c r="F55" s="419"/>
      <c r="G55" s="893">
        <f>G54/F54 -1</f>
        <v>-5.55</v>
      </c>
      <c r="H55" s="893">
        <f>H54/G54 -1</f>
        <v>-1.1208791208791209</v>
      </c>
      <c r="I55" s="893">
        <f t="shared" ref="I55" si="16">I54/H54 -1</f>
        <v>-1.2727272727272727</v>
      </c>
      <c r="J55" s="894">
        <v>-2.647868797868798</v>
      </c>
      <c r="K55" s="889">
        <v>-2.647868797868798</v>
      </c>
      <c r="L55" s="889">
        <v>-2.647868797868798</v>
      </c>
      <c r="M55" s="889">
        <v>-2.647868797868798</v>
      </c>
      <c r="N55" s="889">
        <v>-2.647868797868798</v>
      </c>
      <c r="O55" s="714">
        <v>-1.9006160506160503</v>
      </c>
      <c r="P55" s="126"/>
      <c r="Q55" s="126"/>
      <c r="R55" s="126"/>
      <c r="S55" s="126"/>
      <c r="T55" s="126"/>
      <c r="U55" s="126"/>
      <c r="V55" s="126"/>
      <c r="W55" s="126"/>
      <c r="X55" s="126"/>
      <c r="Y55" s="126"/>
      <c r="Z55" s="1"/>
      <c r="AA55" s="1"/>
      <c r="AB55" s="1"/>
      <c r="AC55" s="1"/>
      <c r="AD55" s="1"/>
    </row>
    <row r="56" spans="1:30">
      <c r="A56" s="1"/>
      <c r="B56" s="126" t="s">
        <v>530</v>
      </c>
      <c r="C56" s="126"/>
      <c r="D56" s="126"/>
      <c r="E56" s="126"/>
      <c r="F56" s="422">
        <v>54</v>
      </c>
      <c r="G56" s="422">
        <v>71</v>
      </c>
      <c r="H56" s="422">
        <v>25</v>
      </c>
      <c r="I56" s="422">
        <v>81</v>
      </c>
      <c r="J56" s="587">
        <f t="shared" ref="J56:O56" si="17">J29*J57</f>
        <v>73.406103647372149</v>
      </c>
      <c r="K56" s="216">
        <f t="shared" si="17"/>
        <v>81.268537922830163</v>
      </c>
      <c r="L56" s="216">
        <f t="shared" si="17"/>
        <v>89.973107520343362</v>
      </c>
      <c r="M56" s="216">
        <f t="shared" si="17"/>
        <v>99.610012481757181</v>
      </c>
      <c r="N56" s="216">
        <f t="shared" si="17"/>
        <v>110.27911406052495</v>
      </c>
      <c r="O56" s="716">
        <f t="shared" si="17"/>
        <v>122.0909695217793</v>
      </c>
      <c r="P56" s="126"/>
      <c r="Q56" s="126"/>
      <c r="R56" s="126"/>
      <c r="S56" s="126"/>
      <c r="T56" s="126"/>
      <c r="U56" s="126"/>
      <c r="V56" s="126"/>
      <c r="W56" s="126"/>
      <c r="X56" s="126"/>
      <c r="Y56" s="126"/>
      <c r="Z56" s="1"/>
      <c r="AA56" s="1"/>
      <c r="AB56" s="1"/>
      <c r="AC56" s="1"/>
      <c r="AD56" s="1"/>
    </row>
    <row r="57" spans="1:30">
      <c r="A57" s="1"/>
      <c r="B57" s="416" t="s">
        <v>659</v>
      </c>
      <c r="C57" s="416"/>
      <c r="D57" s="416"/>
      <c r="E57" s="416"/>
      <c r="F57" s="886">
        <f>F56/F29</f>
        <v>1.1111111111111112E-2</v>
      </c>
      <c r="G57" s="886">
        <f>G56/G29</f>
        <v>1.2249827467218772E-2</v>
      </c>
      <c r="H57" s="886">
        <f>H56/H29</f>
        <v>3.8497074222359103E-3</v>
      </c>
      <c r="I57" s="886">
        <f>I56/I29</f>
        <v>1.1059530311305297E-2</v>
      </c>
      <c r="J57" s="887">
        <v>9.0530217335866598E-3</v>
      </c>
      <c r="K57" s="886">
        <v>9.0530217335866598E-3</v>
      </c>
      <c r="L57" s="886">
        <v>9.0530217335866598E-3</v>
      </c>
      <c r="M57" s="886">
        <v>9.0530217335866598E-3</v>
      </c>
      <c r="N57" s="886">
        <v>9.0530217335866598E-3</v>
      </c>
      <c r="O57" s="717">
        <v>9.0530217335866598E-3</v>
      </c>
      <c r="P57" s="1"/>
      <c r="Q57" s="1"/>
      <c r="R57" s="126"/>
      <c r="S57" s="126"/>
      <c r="T57" s="126"/>
      <c r="U57" s="126"/>
      <c r="V57" s="126"/>
      <c r="W57" s="126"/>
      <c r="X57" s="126"/>
      <c r="Y57" s="126"/>
      <c r="Z57" s="1"/>
      <c r="AA57" s="1"/>
      <c r="AB57" s="1"/>
      <c r="AC57" s="1"/>
      <c r="AD57" s="1"/>
    </row>
    <row r="58" spans="1:30">
      <c r="A58" s="1"/>
      <c r="B58" s="421" t="s">
        <v>357</v>
      </c>
      <c r="C58" s="421"/>
      <c r="D58" s="421"/>
      <c r="E58" s="421"/>
      <c r="F58" s="423">
        <f>F40+F44+F45+F48+F50+F52+F54+F56</f>
        <v>32.18562874251495</v>
      </c>
      <c r="G58" s="423">
        <f>G40+G44+G45+G48+G50+G52+G54+G56</f>
        <v>765.33333333333326</v>
      </c>
      <c r="H58" s="423">
        <f>H40+H44+H45+H48+H50+H52+H54+H56</f>
        <v>31.600000000000023</v>
      </c>
      <c r="I58" s="423">
        <f>I40+I44+I45+I48+I50+I52+I54+I56</f>
        <v>229.51807228915663</v>
      </c>
      <c r="J58" s="589">
        <f>J42+J44+J45+J48+J50+J52+J54+J56</f>
        <v>241.1448407903477</v>
      </c>
      <c r="K58" s="424">
        <f t="shared" ref="K58:O58" si="18">K42+K44+K45+K48+K50+K52+K54+K56</f>
        <v>221.67362389826263</v>
      </c>
      <c r="L58" s="424">
        <f t="shared" si="18"/>
        <v>234.67122340780821</v>
      </c>
      <c r="M58" s="424">
        <f t="shared" si="18"/>
        <v>188.05902859804394</v>
      </c>
      <c r="N58" s="424">
        <f t="shared" si="18"/>
        <v>232.7362636166396</v>
      </c>
      <c r="O58" s="713">
        <f t="shared" si="18"/>
        <v>20.2870394451962</v>
      </c>
      <c r="P58" s="126"/>
      <c r="Q58" s="126"/>
      <c r="R58" s="126"/>
      <c r="S58" s="126"/>
      <c r="T58" s="126"/>
      <c r="U58" s="126"/>
      <c r="V58" s="126"/>
      <c r="W58" s="126"/>
      <c r="X58" s="126"/>
      <c r="Y58" s="126"/>
      <c r="Z58" s="1"/>
      <c r="AA58" s="1"/>
      <c r="AB58" s="1"/>
      <c r="AC58" s="1"/>
      <c r="AD58" s="1"/>
    </row>
    <row r="59" spans="1:30">
      <c r="A59" s="1"/>
      <c r="B59" s="416" t="s">
        <v>532</v>
      </c>
      <c r="C59" s="416"/>
      <c r="D59" s="416"/>
      <c r="E59" s="416"/>
      <c r="F59" s="419"/>
      <c r="G59" s="419"/>
      <c r="H59" s="419"/>
      <c r="I59" s="419"/>
      <c r="J59" s="899">
        <v>1.0469999999999999</v>
      </c>
      <c r="K59" s="900">
        <f>1.047^2</f>
        <v>1.0962089999999998</v>
      </c>
      <c r="L59" s="900">
        <f>1.047^3</f>
        <v>1.1477308229999996</v>
      </c>
      <c r="M59" s="900">
        <f>1.047^4</f>
        <v>1.2016741716809995</v>
      </c>
      <c r="N59" s="900">
        <f>1.047^5</f>
        <v>1.2581528577500065</v>
      </c>
      <c r="O59" s="544"/>
      <c r="P59" s="126"/>
      <c r="Q59" s="126"/>
      <c r="R59" s="126"/>
      <c r="S59" s="126"/>
      <c r="T59" s="126"/>
      <c r="U59" s="126"/>
      <c r="V59" s="126"/>
      <c r="W59" s="126"/>
      <c r="X59" s="126"/>
      <c r="Y59" s="126"/>
      <c r="Z59" s="1"/>
      <c r="AA59" s="1"/>
      <c r="AB59" s="1"/>
      <c r="AC59" s="1"/>
      <c r="AD59" s="1"/>
    </row>
    <row r="60" spans="1:30">
      <c r="A60" s="1"/>
      <c r="B60" s="126" t="s">
        <v>524</v>
      </c>
      <c r="C60" s="126"/>
      <c r="D60" s="126"/>
      <c r="E60" s="126"/>
      <c r="F60" s="126"/>
      <c r="G60" s="126"/>
      <c r="H60" s="126"/>
      <c r="I60" s="126"/>
      <c r="J60" s="686">
        <f>J58/J59</f>
        <v>230.31980973290135</v>
      </c>
      <c r="K60" s="644">
        <f t="shared" ref="K60:N60" si="19">K58/K59</f>
        <v>202.21839439218496</v>
      </c>
      <c r="L60" s="644">
        <f t="shared" si="19"/>
        <v>204.46538396033674</v>
      </c>
      <c r="M60" s="644">
        <f>M58/M59</f>
        <v>156.49752073390383</v>
      </c>
      <c r="N60" s="644">
        <f t="shared" si="19"/>
        <v>184.98250207279983</v>
      </c>
      <c r="O60" s="126"/>
      <c r="P60" s="126"/>
      <c r="Q60" s="126"/>
      <c r="R60" s="126"/>
      <c r="S60" s="126"/>
      <c r="T60" s="126"/>
      <c r="U60" s="126"/>
      <c r="V60" s="126"/>
      <c r="W60" s="126"/>
      <c r="X60" s="126"/>
      <c r="Y60" s="126"/>
      <c r="Z60" s="1"/>
      <c r="AA60" s="1"/>
      <c r="AB60" s="1"/>
      <c r="AC60" s="1"/>
      <c r="AD60" s="1"/>
    </row>
    <row r="61" spans="1:30">
      <c r="A61" s="1"/>
      <c r="B61" s="1"/>
      <c r="C61" s="126"/>
      <c r="D61" s="126"/>
      <c r="E61" s="126"/>
      <c r="F61" s="126"/>
      <c r="G61" s="126"/>
      <c r="H61" s="126"/>
      <c r="I61" s="126"/>
      <c r="J61" s="2"/>
      <c r="K61" s="2"/>
      <c r="L61" s="2"/>
      <c r="M61" s="2"/>
      <c r="N61" s="2"/>
      <c r="O61" s="126"/>
      <c r="P61" s="126"/>
      <c r="Q61" s="126"/>
      <c r="R61" s="126"/>
      <c r="S61" s="126"/>
      <c r="T61" s="126"/>
      <c r="U61" s="126"/>
      <c r="V61" s="126"/>
      <c r="W61" s="126"/>
      <c r="X61" s="126"/>
      <c r="Y61" s="126"/>
      <c r="Z61" s="1"/>
      <c r="AA61" s="1"/>
      <c r="AB61" s="1"/>
      <c r="AC61" s="1"/>
      <c r="AD61" s="1"/>
    </row>
    <row r="62" spans="1:30">
      <c r="A62" s="1"/>
      <c r="B62" s="1"/>
      <c r="C62" s="1"/>
      <c r="D62" s="1"/>
      <c r="E62" s="1"/>
      <c r="F62" s="1"/>
      <c r="G62" s="1"/>
      <c r="H62" s="126"/>
      <c r="I62" s="126"/>
      <c r="J62" s="2"/>
      <c r="K62" s="2"/>
      <c r="L62" s="2"/>
      <c r="M62" s="2"/>
      <c r="O62" s="126"/>
      <c r="P62" s="126"/>
      <c r="Q62" s="126"/>
      <c r="R62" s="126"/>
      <c r="S62" s="126"/>
      <c r="T62" s="126"/>
      <c r="U62" s="126"/>
      <c r="V62" s="126"/>
      <c r="W62" s="126"/>
      <c r="X62" s="126"/>
      <c r="Y62" s="126"/>
      <c r="Z62" s="1"/>
      <c r="AA62" s="1"/>
      <c r="AB62" s="1"/>
      <c r="AC62" s="1"/>
      <c r="AD62" s="1"/>
    </row>
    <row r="63" spans="1:30">
      <c r="A63" s="1"/>
      <c r="B63" s="411" t="s">
        <v>670</v>
      </c>
      <c r="C63" s="1"/>
      <c r="D63" s="1"/>
      <c r="E63" s="1"/>
      <c r="F63" s="1"/>
      <c r="G63" s="1"/>
      <c r="H63" s="126"/>
      <c r="I63" s="126"/>
      <c r="J63" s="2"/>
      <c r="K63" s="2"/>
      <c r="L63" s="2"/>
      <c r="M63" s="2"/>
      <c r="N63" s="1"/>
      <c r="O63" s="1"/>
      <c r="P63" s="126"/>
      <c r="Q63" s="126"/>
      <c r="R63" s="126"/>
      <c r="S63" s="126"/>
      <c r="T63" s="126"/>
      <c r="U63" s="126"/>
      <c r="V63" s="126"/>
      <c r="W63" s="126"/>
      <c r="X63" s="126"/>
      <c r="Y63" s="126"/>
      <c r="Z63" s="1"/>
      <c r="AA63" s="1"/>
      <c r="AB63" s="1"/>
      <c r="AC63" s="1"/>
      <c r="AD63" s="1"/>
    </row>
    <row r="64" spans="1:30">
      <c r="A64" s="1"/>
      <c r="B64" s="1"/>
      <c r="C64" s="1"/>
      <c r="D64" s="1"/>
      <c r="E64" s="1"/>
      <c r="F64" s="1"/>
      <c r="G64" s="1"/>
      <c r="H64" s="126"/>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534</v>
      </c>
      <c r="C65" s="126"/>
      <c r="D65" s="432">
        <f>O40*(((1-E67))*(1+C16))/C17-C16</f>
        <v>2116.025579380992</v>
      </c>
      <c r="E65" s="1"/>
      <c r="G65" s="1"/>
      <c r="H65" s="697"/>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126" t="s">
        <v>671</v>
      </c>
      <c r="D66" s="425">
        <f>D65/(1+0.0528)^5</f>
        <v>1636.0310128861393</v>
      </c>
      <c r="E66" s="126"/>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2" t="s">
        <v>668</v>
      </c>
      <c r="C67" s="126"/>
      <c r="D67" s="126"/>
      <c r="E67" s="404">
        <f>C16/C17</f>
        <v>0.84113037087490417</v>
      </c>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
      <c r="C68" s="1"/>
      <c r="D68" s="1"/>
      <c r="E68" s="1"/>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533</v>
      </c>
      <c r="C69" s="126"/>
      <c r="E69" s="432">
        <f>SUM(J60:N60,D66)</f>
        <v>2614.5146237782656</v>
      </c>
      <c r="F69" s="126"/>
      <c r="G69" s="126"/>
      <c r="H69" s="126"/>
      <c r="I69" s="126"/>
      <c r="J69" s="2"/>
      <c r="K69" s="2"/>
      <c r="L69" s="2"/>
      <c r="M69" s="2"/>
      <c r="N69" s="2"/>
      <c r="O69" s="126"/>
      <c r="P69" s="126"/>
      <c r="Q69" s="126"/>
      <c r="R69" s="126"/>
      <c r="S69" s="126"/>
      <c r="T69" s="126"/>
      <c r="U69" s="126"/>
      <c r="V69" s="126"/>
      <c r="W69" s="126"/>
      <c r="X69" s="126"/>
      <c r="Y69" s="126"/>
      <c r="Z69" s="1"/>
      <c r="AA69" s="1"/>
      <c r="AB69" s="1"/>
      <c r="AC69" s="1"/>
      <c r="AD69" s="1"/>
    </row>
    <row r="70" spans="1:30">
      <c r="A70" s="1"/>
      <c r="B70" s="126" t="s">
        <v>731</v>
      </c>
      <c r="C70" s="126"/>
      <c r="D70" s="126"/>
      <c r="E70" s="126">
        <f>'Reorganised Statements'!H41</f>
        <v>434</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540</v>
      </c>
      <c r="C71" s="126"/>
      <c r="D71" s="126"/>
      <c r="E71" s="126">
        <f>'Reorganised Statements'!H39 +'Reorganised Statements'!H8</f>
        <v>3702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541</v>
      </c>
      <c r="C72" s="126"/>
      <c r="D72" s="126"/>
      <c r="E72" s="126">
        <f>'Financial statements'!J111</f>
        <v>362</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535</v>
      </c>
      <c r="C73" s="126"/>
      <c r="D73" s="126"/>
      <c r="E73" s="432">
        <f>E69+E70+E71-E72</f>
        <v>6388.5146237782656</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26" t="s">
        <v>730</v>
      </c>
      <c r="C74" s="126"/>
      <c r="D74" s="126"/>
      <c r="E74" s="433">
        <f>E73/'Forecasts Simone'!G139</f>
        <v>2.0547239789148914</v>
      </c>
      <c r="F74" s="126"/>
      <c r="G74" s="126"/>
      <c r="H74" s="126"/>
      <c r="I74" s="126"/>
      <c r="J74" s="2"/>
      <c r="K74" s="2"/>
      <c r="L74" s="2"/>
      <c r="M74" s="2"/>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2"/>
      <c r="O75" s="126"/>
      <c r="P75" s="1"/>
      <c r="Q75" s="1"/>
      <c r="R75" s="126"/>
      <c r="S75" s="126"/>
      <c r="T75" s="126"/>
      <c r="U75" s="126"/>
      <c r="V75" s="126"/>
      <c r="W75" s="126"/>
      <c r="X75" s="126"/>
      <c r="Y75" s="126"/>
      <c r="Z75" s="1"/>
      <c r="AA75" s="1"/>
      <c r="AB75" s="1"/>
      <c r="AC75" s="1"/>
      <c r="AD75" s="1"/>
    </row>
    <row r="76" spans="1:30">
      <c r="A76" s="1"/>
      <c r="B76" s="1"/>
      <c r="C76" s="1"/>
      <c r="D76" s="1"/>
      <c r="E76" s="1"/>
      <c r="F76" s="1"/>
      <c r="G76" s="1"/>
      <c r="H76" s="1"/>
      <c r="I76" s="1"/>
      <c r="J76" s="1"/>
      <c r="K76" s="1"/>
      <c r="L76" s="1"/>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c r="A80" s="1"/>
      <c r="B80" s="126"/>
      <c r="C80" s="126"/>
      <c r="D80" s="126"/>
      <c r="E80" s="126"/>
      <c r="F80" s="126"/>
      <c r="G80" s="126"/>
      <c r="H80" s="126"/>
      <c r="I80" s="126"/>
      <c r="J80" s="126"/>
      <c r="K80" s="126"/>
      <c r="L80" s="126"/>
      <c r="M80" s="1"/>
      <c r="N80" s="1"/>
      <c r="O80" s="1"/>
      <c r="P80" s="1"/>
      <c r="Q80" s="1"/>
      <c r="R80" s="126"/>
      <c r="S80" s="126"/>
      <c r="T80" s="126"/>
      <c r="U80" s="126"/>
      <c r="V80" s="126"/>
      <c r="W80" s="126"/>
      <c r="X80" s="126"/>
      <c r="Y80" s="126"/>
      <c r="Z80" s="1"/>
      <c r="AA80" s="1"/>
      <c r="AB80" s="1"/>
      <c r="AC80" s="1"/>
      <c r="AD80" s="1"/>
    </row>
    <row r="81" spans="1:30" ht="34.799999999999997">
      <c r="A81" s="680" t="s">
        <v>732</v>
      </c>
      <c r="B81" s="14"/>
      <c r="C81" s="126"/>
      <c r="D81" s="126"/>
      <c r="E81" s="126"/>
      <c r="F81" s="126"/>
      <c r="G81" s="126"/>
      <c r="H81" s="126"/>
      <c r="I81" s="126"/>
      <c r="J81" s="126"/>
      <c r="K81" s="126"/>
      <c r="L81" s="126"/>
      <c r="M81" s="1"/>
      <c r="N81" s="2"/>
      <c r="O81" s="126"/>
      <c r="P81" s="126"/>
      <c r="Q81" s="126"/>
      <c r="R81" s="126"/>
      <c r="S81" s="126"/>
      <c r="T81" s="126"/>
      <c r="U81" s="126"/>
      <c r="V81" s="126"/>
      <c r="W81" s="126"/>
      <c r="X81" s="126"/>
      <c r="Y81" s="126"/>
      <c r="Z81" s="1"/>
      <c r="AA81" s="1"/>
      <c r="AB81" s="1"/>
      <c r="AC81" s="1"/>
      <c r="AD81" s="1"/>
    </row>
    <row r="82" spans="1:30" ht="19.2">
      <c r="A82" s="1"/>
      <c r="B82" s="400" t="s">
        <v>721</v>
      </c>
      <c r="C82" s="126"/>
      <c r="D82" s="126"/>
      <c r="E82" s="126"/>
      <c r="F82" s="126"/>
      <c r="G82" s="126"/>
      <c r="H82" s="126"/>
      <c r="I82" s="126"/>
      <c r="J82" s="126"/>
      <c r="K82" s="126"/>
      <c r="L82" s="126"/>
      <c r="M82" s="1"/>
      <c r="N82" s="1"/>
      <c r="O82" s="1"/>
      <c r="P82" s="1"/>
      <c r="Q82" s="1"/>
      <c r="R82" s="126"/>
      <c r="S82" s="126"/>
      <c r="T82" s="126"/>
      <c r="U82" s="126"/>
      <c r="V82" s="126"/>
      <c r="W82" s="126"/>
      <c r="X82" s="126"/>
      <c r="Y82" s="126"/>
      <c r="Z82" s="1"/>
      <c r="AA82" s="1"/>
      <c r="AB82" s="1"/>
      <c r="AC82" s="1"/>
      <c r="AD82" s="1"/>
    </row>
    <row r="83" spans="1:30">
      <c r="A83" s="1"/>
      <c r="B83" s="126" t="s">
        <v>736</v>
      </c>
      <c r="C83" s="404"/>
      <c r="D83" s="126"/>
      <c r="E83" s="404"/>
      <c r="F83" s="126"/>
      <c r="G83" s="126"/>
      <c r="H83" s="126"/>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126" t="s">
        <v>722</v>
      </c>
      <c r="C84" s="126"/>
      <c r="D84" s="126"/>
      <c r="E84" s="126"/>
      <c r="F84" s="126"/>
      <c r="G84" s="126"/>
      <c r="H84" s="409">
        <v>6.4000000000000001E-2</v>
      </c>
      <c r="I84" s="126"/>
      <c r="J84" s="126"/>
      <c r="K84" s="126"/>
      <c r="L84" s="126"/>
      <c r="M84" s="126"/>
      <c r="N84" s="126"/>
      <c r="O84" s="126"/>
      <c r="P84" s="126"/>
      <c r="Q84" s="126"/>
      <c r="R84" s="126"/>
      <c r="S84" s="126"/>
      <c r="T84" s="126"/>
      <c r="U84" s="126"/>
      <c r="V84" s="126"/>
      <c r="W84" s="126"/>
      <c r="X84" s="126"/>
      <c r="Y84" s="126"/>
      <c r="Z84" s="1"/>
      <c r="AA84" s="1"/>
      <c r="AB84" s="1"/>
      <c r="AC84" s="1"/>
      <c r="AD84" s="1"/>
    </row>
    <row r="85" spans="1:30">
      <c r="A85" s="1"/>
      <c r="B85" s="753" t="s">
        <v>737</v>
      </c>
      <c r="C85" s="753"/>
      <c r="D85" s="753"/>
      <c r="E85" s="753"/>
      <c r="F85" s="753"/>
      <c r="G85" s="754">
        <v>1.2E-2</v>
      </c>
      <c r="H85" s="14"/>
      <c r="I85" s="126"/>
      <c r="J85" s="126"/>
      <c r="K85" s="14"/>
      <c r="L85" s="126"/>
      <c r="M85" s="697"/>
      <c r="N85" s="126"/>
      <c r="O85" s="126"/>
      <c r="P85" s="126"/>
      <c r="Q85" s="126"/>
      <c r="R85" s="126"/>
      <c r="S85" s="126"/>
      <c r="T85" s="126"/>
      <c r="U85" s="126"/>
      <c r="V85" s="126"/>
      <c r="W85" s="126"/>
      <c r="X85" s="126"/>
      <c r="Y85" s="126"/>
      <c r="Z85" s="1"/>
      <c r="AA85" s="1"/>
      <c r="AB85" s="1"/>
      <c r="AC85" s="1"/>
      <c r="AD85" s="1"/>
    </row>
    <row r="86" spans="1:30">
      <c r="A86" s="1"/>
      <c r="B86" s="126" t="s">
        <v>806</v>
      </c>
      <c r="C86" s="126"/>
      <c r="D86" s="126"/>
      <c r="E86" s="126"/>
      <c r="G86" s="409">
        <v>0.1071</v>
      </c>
      <c r="H86" s="675"/>
      <c r="I86" s="675"/>
      <c r="J86" s="675"/>
      <c r="K86" s="675"/>
      <c r="L86" s="425"/>
      <c r="M86" s="126"/>
      <c r="N86" s="126"/>
      <c r="O86" s="126"/>
      <c r="P86" s="126"/>
      <c r="Q86" s="126"/>
      <c r="R86" s="126"/>
      <c r="S86" s="126"/>
      <c r="T86" s="126"/>
      <c r="U86" s="126"/>
      <c r="V86" s="126"/>
      <c r="W86" s="126"/>
      <c r="X86" s="126"/>
      <c r="Y86" s="126"/>
      <c r="Z86" s="1"/>
      <c r="AA86" s="1"/>
      <c r="AB86" s="1"/>
      <c r="AC86" s="1"/>
      <c r="AD86" s="1"/>
    </row>
    <row r="87" spans="1:30" ht="17.25" customHeight="1">
      <c r="A87" s="1"/>
      <c r="B87" s="126" t="s">
        <v>739</v>
      </c>
      <c r="C87" s="126"/>
      <c r="D87" s="126"/>
      <c r="E87" s="126"/>
      <c r="F87" s="902">
        <f>4476/(1+(1+G86)+(1+G86)^2+(1+G86)^3+(1+G86)^4)</f>
        <v>722.87077665416166</v>
      </c>
      <c r="G87" s="126"/>
      <c r="H87" s="126"/>
      <c r="I87" s="126"/>
      <c r="J87" s="126"/>
      <c r="K87" s="126"/>
      <c r="L87" s="126"/>
      <c r="M87" s="1"/>
      <c r="N87" s="1"/>
      <c r="O87" s="1"/>
      <c r="P87" s="1"/>
      <c r="Q87" s="1"/>
      <c r="R87" s="1"/>
      <c r="S87" s="1"/>
      <c r="T87" s="1"/>
      <c r="U87" s="1"/>
      <c r="V87" s="1"/>
      <c r="W87" s="1"/>
      <c r="X87" s="126"/>
      <c r="Y87" s="126"/>
      <c r="Z87" s="1"/>
      <c r="AA87" s="1"/>
      <c r="AB87" s="1"/>
      <c r="AC87" s="1"/>
      <c r="AD87" s="1"/>
    </row>
    <row r="88" spans="1:30">
      <c r="A88" s="1"/>
      <c r="B88" s="14"/>
      <c r="C88" s="390"/>
      <c r="D88" s="126"/>
      <c r="E88" s="404"/>
      <c r="F88" s="126"/>
      <c r="G88" s="126"/>
      <c r="H88" s="126"/>
      <c r="I88" s="126"/>
      <c r="J88" s="14"/>
      <c r="K88" s="126"/>
      <c r="L88" s="126"/>
      <c r="M88" s="1"/>
      <c r="N88" s="1"/>
      <c r="O88" s="1"/>
      <c r="P88" s="1"/>
      <c r="Q88" s="126"/>
      <c r="R88" s="126"/>
      <c r="S88" s="126"/>
      <c r="T88" s="126"/>
      <c r="U88" s="126"/>
      <c r="V88" s="126"/>
      <c r="W88" s="126"/>
      <c r="X88" s="126"/>
      <c r="Y88" s="126"/>
      <c r="Z88" s="126"/>
      <c r="AA88" s="126"/>
      <c r="AB88" s="126"/>
      <c r="AC88" s="126"/>
      <c r="AD88" s="1"/>
    </row>
    <row r="89" spans="1:30">
      <c r="A89" s="1"/>
      <c r="B89" s="126" t="s">
        <v>742</v>
      </c>
      <c r="C89" s="390"/>
      <c r="D89" s="126"/>
      <c r="E89" s="126"/>
      <c r="F89" s="126"/>
      <c r="G89" s="14"/>
      <c r="H89" s="126"/>
      <c r="I89" s="126"/>
      <c r="J89" s="1"/>
      <c r="K89" s="409">
        <f>AVERAGE(F96:J96)</f>
        <v>4.6749245751011637E-2</v>
      </c>
      <c r="L89" s="126"/>
      <c r="M89" s="1"/>
      <c r="N89" s="1"/>
      <c r="O89" s="1"/>
      <c r="P89" s="1"/>
      <c r="Q89" s="126"/>
      <c r="R89" s="126"/>
      <c r="S89" s="639"/>
      <c r="T89" s="126"/>
      <c r="U89" s="2"/>
      <c r="V89" s="687"/>
      <c r="W89" s="2"/>
      <c r="X89" s="126"/>
      <c r="Y89" s="404"/>
      <c r="Z89" s="126"/>
      <c r="AA89" s="126"/>
      <c r="AB89" s="126"/>
      <c r="AC89" s="126"/>
      <c r="AD89" s="1"/>
    </row>
    <row r="90" spans="1:30">
      <c r="A90" s="1"/>
      <c r="B90" s="126"/>
      <c r="C90" s="126"/>
      <c r="D90" s="126"/>
      <c r="E90" s="930" t="s">
        <v>158</v>
      </c>
      <c r="F90" s="930"/>
      <c r="G90" s="930"/>
      <c r="H90" s="930"/>
      <c r="I90" s="931"/>
      <c r="J90" s="932" t="s">
        <v>528</v>
      </c>
      <c r="K90" s="933"/>
      <c r="L90" s="933"/>
      <c r="M90" s="933"/>
      <c r="N90" s="933"/>
      <c r="O90" s="739" t="s">
        <v>658</v>
      </c>
      <c r="P90" s="739" t="s">
        <v>741</v>
      </c>
      <c r="Q90" s="126"/>
      <c r="R90" s="126"/>
      <c r="S90" s="682"/>
      <c r="T90" s="126"/>
      <c r="U90" s="2"/>
      <c r="V90" s="687"/>
      <c r="W90" s="2"/>
      <c r="X90" s="2"/>
      <c r="Y90" s="126"/>
      <c r="Z90" s="126"/>
      <c r="AA90" s="126"/>
      <c r="AB90" s="126"/>
      <c r="AC90" s="126"/>
      <c r="AD90" s="1"/>
    </row>
    <row r="91" spans="1:30">
      <c r="A91" s="1"/>
      <c r="B91" s="383"/>
      <c r="C91" s="383"/>
      <c r="D91" s="411"/>
      <c r="E91" s="746" t="s">
        <v>1</v>
      </c>
      <c r="F91" s="729">
        <v>42735</v>
      </c>
      <c r="G91" s="729">
        <v>43100</v>
      </c>
      <c r="H91" s="729">
        <v>43465</v>
      </c>
      <c r="I91" s="729">
        <v>43830</v>
      </c>
      <c r="J91" s="730">
        <v>44196</v>
      </c>
      <c r="K91" s="731">
        <v>44561</v>
      </c>
      <c r="L91" s="731">
        <v>44926</v>
      </c>
      <c r="M91" s="731">
        <v>45291</v>
      </c>
      <c r="N91" s="731">
        <v>45657</v>
      </c>
      <c r="O91" s="1"/>
      <c r="P91" s="1"/>
      <c r="Q91" s="126"/>
      <c r="R91" s="126"/>
      <c r="S91" s="126"/>
      <c r="T91" s="126"/>
      <c r="U91" s="126"/>
      <c r="V91" s="126"/>
      <c r="W91" s="126"/>
      <c r="X91" s="126"/>
      <c r="Y91" s="126"/>
      <c r="Z91" s="126"/>
      <c r="AA91" s="126"/>
      <c r="AB91" s="126"/>
      <c r="AC91" s="126"/>
      <c r="AD91" s="1"/>
    </row>
    <row r="92" spans="1:30">
      <c r="A92" s="1"/>
      <c r="B92" s="126" t="s">
        <v>457</v>
      </c>
      <c r="C92" s="126"/>
      <c r="D92" s="2"/>
      <c r="E92" s="732">
        <v>4921</v>
      </c>
      <c r="F92" s="216">
        <v>4860</v>
      </c>
      <c r="G92" s="216">
        <v>5796</v>
      </c>
      <c r="H92" s="216">
        <v>6494</v>
      </c>
      <c r="I92" s="216">
        <v>7324</v>
      </c>
      <c r="J92" s="587">
        <f>I92*(1+J93)</f>
        <v>8108.4643125328985</v>
      </c>
      <c r="K92" s="216">
        <f t="shared" ref="K92:O92" si="20">J92*(1+K93)</f>
        <v>8976.9515985280741</v>
      </c>
      <c r="L92" s="216">
        <f t="shared" si="20"/>
        <v>9938.4614516657621</v>
      </c>
      <c r="M92" s="216">
        <f t="shared" si="20"/>
        <v>11002.957400643874</v>
      </c>
      <c r="N92" s="216">
        <f t="shared" si="20"/>
        <v>12181.470155030122</v>
      </c>
      <c r="O92" s="216">
        <f t="shared" si="20"/>
        <v>13486.211909645868</v>
      </c>
      <c r="P92" s="216">
        <f>N92*(1+P93)</f>
        <v>13486.211909645868</v>
      </c>
      <c r="Q92" s="126"/>
      <c r="R92" s="126"/>
      <c r="S92" s="126"/>
      <c r="T92" s="126"/>
      <c r="U92" s="126"/>
      <c r="V92" s="126"/>
      <c r="W92" s="126"/>
      <c r="Y92" s="126"/>
      <c r="Z92" s="126"/>
      <c r="AA92" s="126"/>
      <c r="AB92" s="126"/>
      <c r="AC92" s="126"/>
      <c r="AD92" s="1"/>
    </row>
    <row r="93" spans="1:30">
      <c r="A93" s="1"/>
      <c r="B93" s="698" t="s">
        <v>720</v>
      </c>
      <c r="C93" s="698"/>
      <c r="D93" s="700"/>
      <c r="E93" s="398"/>
      <c r="F93" s="889">
        <f>(F92-E92)/E92</f>
        <v>-1.2395854501117659E-2</v>
      </c>
      <c r="G93" s="889">
        <f t="shared" ref="G93:I93" si="21">(G92-F92)/F92</f>
        <v>0.19259259259259259</v>
      </c>
      <c r="H93" s="889">
        <f t="shared" si="21"/>
        <v>0.12042788129744651</v>
      </c>
      <c r="I93" s="889">
        <f t="shared" si="21"/>
        <v>0.12781028641823222</v>
      </c>
      <c r="J93" s="887">
        <v>0.10710872645178841</v>
      </c>
      <c r="K93" s="888">
        <v>0.10710872645178841</v>
      </c>
      <c r="L93" s="888">
        <v>0.10710872645178841</v>
      </c>
      <c r="M93" s="888">
        <v>0.10710872645178841</v>
      </c>
      <c r="N93" s="888">
        <v>0.10710872645178841</v>
      </c>
      <c r="O93" s="888">
        <v>0.10710872645178841</v>
      </c>
      <c r="P93" s="888">
        <v>0.10710872645178841</v>
      </c>
      <c r="Q93" s="1"/>
      <c r="R93" s="126"/>
      <c r="S93" s="126"/>
      <c r="T93" s="126"/>
      <c r="U93" s="126"/>
      <c r="V93" s="126"/>
      <c r="W93" s="126"/>
      <c r="X93" s="126"/>
      <c r="Y93" s="126"/>
      <c r="Z93" s="1"/>
      <c r="AA93" s="1"/>
      <c r="AB93" s="1"/>
      <c r="AC93" s="1"/>
      <c r="AD93" s="1"/>
    </row>
    <row r="94" spans="1:30">
      <c r="A94" s="1"/>
      <c r="B94" s="126"/>
      <c r="C94" s="126"/>
      <c r="D94" s="2"/>
      <c r="E94" s="398"/>
      <c r="F94" s="216"/>
      <c r="G94" s="216"/>
      <c r="H94" s="216"/>
      <c r="I94" s="216"/>
      <c r="J94" s="587"/>
      <c r="K94" s="216"/>
      <c r="L94" s="216"/>
      <c r="M94" s="216"/>
      <c r="N94" s="216"/>
      <c r="O94" s="126"/>
      <c r="P94" s="1"/>
      <c r="Q94" s="1"/>
      <c r="R94" s="126"/>
      <c r="S94" s="126"/>
      <c r="T94" s="126"/>
      <c r="U94" s="126"/>
      <c r="V94" s="126"/>
      <c r="W94" s="126"/>
      <c r="X94" s="126"/>
      <c r="Y94" s="126"/>
      <c r="Z94" s="1"/>
      <c r="AA94" s="1"/>
      <c r="AB94" s="1"/>
      <c r="AC94" s="1"/>
      <c r="AD94" s="1"/>
    </row>
    <row r="95" spans="1:30">
      <c r="A95" s="1"/>
      <c r="B95" s="126" t="s">
        <v>306</v>
      </c>
      <c r="C95" s="126"/>
      <c r="D95" s="2"/>
      <c r="E95" s="713">
        <v>1048</v>
      </c>
      <c r="F95" s="216">
        <v>1162</v>
      </c>
      <c r="G95" s="216">
        <v>1199</v>
      </c>
      <c r="H95" s="216">
        <v>1231</v>
      </c>
      <c r="I95" s="216">
        <v>1234</v>
      </c>
      <c r="J95" s="737">
        <f>I95*(1+J96)</f>
        <v>1312.9760000000001</v>
      </c>
      <c r="K95" s="738">
        <f>J95*(1+K96)</f>
        <v>1397.0064640000003</v>
      </c>
      <c r="L95" s="738">
        <f t="shared" ref="L95:M95" si="22">K95*(1+L96)</f>
        <v>1486.4148776960003</v>
      </c>
      <c r="M95" s="738">
        <f t="shared" si="22"/>
        <v>1581.5454298685445</v>
      </c>
      <c r="N95" s="738">
        <f>M95*(1+N96)</f>
        <v>1682.7643373801313</v>
      </c>
      <c r="O95" s="425">
        <f>N95*(1+O96)</f>
        <v>1702.9575094286929</v>
      </c>
      <c r="P95" s="752">
        <f>N95*(1+P96)</f>
        <v>1761.4323009293535</v>
      </c>
      <c r="Q95" s="1"/>
      <c r="R95" s="126"/>
      <c r="S95" s="126"/>
      <c r="T95" s="126"/>
      <c r="U95" s="126"/>
      <c r="V95" s="126"/>
      <c r="W95" s="126"/>
      <c r="X95" s="126"/>
      <c r="Y95" s="126"/>
      <c r="Z95" s="1"/>
      <c r="AA95" s="1"/>
      <c r="AB95" s="1"/>
      <c r="AC95" s="1"/>
      <c r="AD95" s="1"/>
    </row>
    <row r="96" spans="1:30">
      <c r="A96" s="1"/>
      <c r="B96" s="683"/>
      <c r="C96" s="684"/>
      <c r="D96" s="684"/>
      <c r="E96" s="428"/>
      <c r="F96" s="886">
        <f t="shared" ref="F96:I96" si="23">(F95-E95)/E95</f>
        <v>0.10877862595419847</v>
      </c>
      <c r="G96" s="886">
        <f t="shared" si="23"/>
        <v>3.1841652323580036E-2</v>
      </c>
      <c r="H96" s="886">
        <f t="shared" si="23"/>
        <v>2.6688907422852376E-2</v>
      </c>
      <c r="I96" s="886">
        <f t="shared" si="23"/>
        <v>2.437043054427295E-3</v>
      </c>
      <c r="J96" s="887">
        <f>$H$84</f>
        <v>6.4000000000000001E-2</v>
      </c>
      <c r="K96" s="888">
        <f t="shared" ref="K96:N96" si="24">$H$84</f>
        <v>6.4000000000000001E-2</v>
      </c>
      <c r="L96" s="888">
        <f t="shared" si="24"/>
        <v>6.4000000000000001E-2</v>
      </c>
      <c r="M96" s="888">
        <f t="shared" si="24"/>
        <v>6.4000000000000001E-2</v>
      </c>
      <c r="N96" s="888">
        <f t="shared" si="24"/>
        <v>6.4000000000000001E-2</v>
      </c>
      <c r="O96" s="736">
        <f>G85</f>
        <v>1.2E-2</v>
      </c>
      <c r="P96" s="901">
        <f>K89</f>
        <v>4.6749245751011637E-2</v>
      </c>
      <c r="Q96" s="1"/>
      <c r="R96" s="126"/>
      <c r="S96" s="126"/>
      <c r="T96" s="126"/>
      <c r="U96" s="126"/>
      <c r="V96" s="126"/>
      <c r="W96" s="126"/>
      <c r="X96" s="126"/>
      <c r="Y96" s="126"/>
      <c r="Z96" s="1"/>
      <c r="AA96" s="1"/>
      <c r="AB96" s="1"/>
      <c r="AC96" s="1"/>
      <c r="AD96" s="1"/>
    </row>
    <row r="97" spans="1:30">
      <c r="A97" s="1"/>
      <c r="B97" s="167" t="s">
        <v>456</v>
      </c>
      <c r="C97" s="1"/>
      <c r="D97" s="1"/>
      <c r="E97" s="733">
        <v>-79</v>
      </c>
      <c r="F97" s="678">
        <v>-71</v>
      </c>
      <c r="G97" s="678">
        <v>-45</v>
      </c>
      <c r="H97" s="678">
        <v>-20</v>
      </c>
      <c r="I97" s="678">
        <v>-36</v>
      </c>
      <c r="J97" s="702">
        <f>$G$20</f>
        <v>-43</v>
      </c>
      <c r="K97" s="703">
        <f t="shared" ref="K97:P97" si="25">$G$20</f>
        <v>-43</v>
      </c>
      <c r="L97" s="703">
        <f t="shared" si="25"/>
        <v>-43</v>
      </c>
      <c r="M97" s="703">
        <f t="shared" si="25"/>
        <v>-43</v>
      </c>
      <c r="N97" s="703">
        <f t="shared" si="25"/>
        <v>-43</v>
      </c>
      <c r="O97" s="703">
        <f t="shared" si="25"/>
        <v>-43</v>
      </c>
      <c r="P97" s="703">
        <f t="shared" si="25"/>
        <v>-43</v>
      </c>
      <c r="Q97" s="1"/>
      <c r="R97" s="126"/>
      <c r="S97" s="126"/>
      <c r="T97" s="126"/>
      <c r="U97" s="126"/>
      <c r="V97" s="126"/>
      <c r="W97" s="126"/>
      <c r="X97" s="126"/>
      <c r="Y97" s="126"/>
      <c r="Z97" s="1"/>
      <c r="AA97" s="1"/>
      <c r="AB97" s="1"/>
      <c r="AC97" s="1"/>
      <c r="AD97" s="1"/>
    </row>
    <row r="98" spans="1:30">
      <c r="A98" s="1"/>
      <c r="B98" s="580" t="s">
        <v>738</v>
      </c>
      <c r="C98" s="580"/>
      <c r="D98" s="580"/>
      <c r="E98" s="745">
        <f t="shared" ref="E98:J98" si="26">E95+E97</f>
        <v>969</v>
      </c>
      <c r="F98" s="706">
        <f t="shared" si="26"/>
        <v>1091</v>
      </c>
      <c r="G98" s="706">
        <f t="shared" si="26"/>
        <v>1154</v>
      </c>
      <c r="H98" s="706">
        <f t="shared" si="26"/>
        <v>1211</v>
      </c>
      <c r="I98" s="706">
        <f t="shared" si="26"/>
        <v>1198</v>
      </c>
      <c r="J98" s="707">
        <f t="shared" si="26"/>
        <v>1269.9760000000001</v>
      </c>
      <c r="K98" s="706">
        <f t="shared" ref="K98:P98" si="27">K95+K97</f>
        <v>1354.0064640000003</v>
      </c>
      <c r="L98" s="706">
        <f t="shared" si="27"/>
        <v>1443.4148776960003</v>
      </c>
      <c r="M98" s="706">
        <f t="shared" si="27"/>
        <v>1538.5454298685445</v>
      </c>
      <c r="N98" s="706">
        <f t="shared" si="27"/>
        <v>1639.7643373801313</v>
      </c>
      <c r="O98" s="706">
        <f t="shared" si="27"/>
        <v>1659.9575094286929</v>
      </c>
      <c r="P98" s="706">
        <f t="shared" si="27"/>
        <v>1718.4323009293535</v>
      </c>
      <c r="Q98" s="126"/>
      <c r="R98" s="126"/>
      <c r="S98" s="126"/>
      <c r="T98" s="126"/>
      <c r="U98" s="126"/>
      <c r="V98" s="126"/>
      <c r="W98" s="126"/>
      <c r="X98" s="126"/>
      <c r="Y98" s="126"/>
      <c r="Z98" s="1"/>
      <c r="AA98" s="1"/>
      <c r="AB98" s="1"/>
      <c r="AC98" s="1"/>
      <c r="AD98" s="1"/>
    </row>
    <row r="99" spans="1:30">
      <c r="A99" s="1"/>
      <c r="B99" s="1"/>
      <c r="C99" s="1"/>
      <c r="D99" s="1"/>
      <c r="E99" s="428"/>
      <c r="F99" s="890">
        <f>(F98-E98)/E98</f>
        <v>0.12590299277605779</v>
      </c>
      <c r="G99" s="890">
        <f t="shared" ref="G99:I99" si="28">(G98-F98)/F98</f>
        <v>5.7745187901008251E-2</v>
      </c>
      <c r="H99" s="890">
        <f t="shared" si="28"/>
        <v>4.9393414211438474E-2</v>
      </c>
      <c r="I99" s="890">
        <f t="shared" si="28"/>
        <v>-1.0734929810074319E-2</v>
      </c>
      <c r="J99" s="891">
        <v>6.4000000000000001E-2</v>
      </c>
      <c r="K99" s="892">
        <v>6.4000000000000001E-2</v>
      </c>
      <c r="L99" s="892">
        <v>6.4000000000000001E-2</v>
      </c>
      <c r="M99" s="892">
        <v>6.4000000000000001E-2</v>
      </c>
      <c r="N99" s="892">
        <v>6.4000000000000001E-2</v>
      </c>
      <c r="O99" s="415"/>
      <c r="P99" s="1"/>
      <c r="Q99" s="126"/>
      <c r="R99" s="126"/>
      <c r="S99" s="126"/>
      <c r="T99" s="126"/>
      <c r="U99" s="126"/>
      <c r="V99" s="126"/>
      <c r="W99" s="126"/>
      <c r="X99" s="126"/>
      <c r="Y99" s="126"/>
      <c r="Z99" s="1"/>
      <c r="AA99" s="1"/>
      <c r="AB99" s="1"/>
      <c r="AC99" s="1"/>
      <c r="AD99" s="1"/>
    </row>
    <row r="100" spans="1:30">
      <c r="A100" s="1"/>
      <c r="B100" s="1"/>
      <c r="C100" s="1"/>
      <c r="D100" s="1"/>
      <c r="E100" s="428"/>
      <c r="F100" s="1"/>
      <c r="G100" s="1"/>
      <c r="H100" s="1"/>
      <c r="I100" s="1"/>
      <c r="J100" s="701"/>
      <c r="K100" s="52"/>
      <c r="L100" s="52"/>
      <c r="M100" s="52"/>
      <c r="N100" s="1"/>
      <c r="O100" s="1"/>
      <c r="P100" s="126"/>
      <c r="Q100" s="1"/>
      <c r="R100" s="126"/>
      <c r="S100" s="126"/>
      <c r="T100" s="126"/>
      <c r="U100" s="126"/>
      <c r="V100" s="126"/>
      <c r="W100" s="126"/>
      <c r="X100" s="126"/>
      <c r="Y100" s="126"/>
      <c r="Z100" s="1"/>
      <c r="AA100" s="1"/>
      <c r="AB100" s="1"/>
      <c r="AC100" s="1"/>
      <c r="AD100" s="1"/>
    </row>
    <row r="101" spans="1:30">
      <c r="A101" s="1"/>
      <c r="B101" s="1" t="s">
        <v>334</v>
      </c>
      <c r="C101" s="126"/>
      <c r="D101" s="1"/>
      <c r="E101" s="734">
        <v>-754</v>
      </c>
      <c r="F101" s="422">
        <v>-648</v>
      </c>
      <c r="G101" s="422">
        <v>-444</v>
      </c>
      <c r="H101" s="422">
        <v>-623</v>
      </c>
      <c r="I101" s="422">
        <v>-511</v>
      </c>
      <c r="J101" s="688">
        <f t="shared" ref="J101:O101" si="29">-J109</f>
        <v>-433.09355565259045</v>
      </c>
      <c r="K101" s="689">
        <f t="shared" si="29"/>
        <v>-479.47787546298287</v>
      </c>
      <c r="L101" s="689">
        <f t="shared" si="29"/>
        <v>-530.82995592506836</v>
      </c>
      <c r="M101" s="689">
        <f t="shared" si="29"/>
        <v>-587.68184420464308</v>
      </c>
      <c r="N101" s="689">
        <f t="shared" si="29"/>
        <v>-650.62256971896045</v>
      </c>
      <c r="O101" s="689">
        <f t="shared" si="29"/>
        <v>-650.62256971896045</v>
      </c>
      <c r="P101" s="689">
        <f>-O109</f>
        <v>-650.62256971896045</v>
      </c>
      <c r="Q101" s="126"/>
      <c r="R101" s="126"/>
      <c r="S101" s="126"/>
      <c r="T101" s="126"/>
      <c r="U101" s="126"/>
      <c r="V101" s="126"/>
      <c r="W101" s="126"/>
      <c r="X101" s="126"/>
      <c r="Y101" s="126"/>
      <c r="Z101" s="1"/>
      <c r="AA101" s="1"/>
      <c r="AB101" s="1"/>
      <c r="AC101" s="1"/>
      <c r="AD101" s="1"/>
    </row>
    <row r="102" spans="1:30">
      <c r="A102" s="1"/>
      <c r="B102" s="580" t="s">
        <v>303</v>
      </c>
      <c r="C102" s="580"/>
      <c r="D102" s="580"/>
      <c r="E102" s="741">
        <f>SUM(E95,E101,E97)</f>
        <v>215</v>
      </c>
      <c r="F102" s="740">
        <f>SUM(F95,F101,F97)</f>
        <v>443</v>
      </c>
      <c r="G102" s="740">
        <f>SUM(G95,G101,G97)</f>
        <v>710</v>
      </c>
      <c r="H102" s="740">
        <f>SUM(H95,H101,H97)</f>
        <v>588</v>
      </c>
      <c r="I102" s="740">
        <f>SUM(I95,I101,I97)</f>
        <v>687</v>
      </c>
      <c r="J102" s="707">
        <f t="shared" ref="J102:P102" si="30">J98+J101</f>
        <v>836.88244434740966</v>
      </c>
      <c r="K102" s="706">
        <f t="shared" si="30"/>
        <v>874.52858853701741</v>
      </c>
      <c r="L102" s="706">
        <f t="shared" si="30"/>
        <v>912.58492177093194</v>
      </c>
      <c r="M102" s="706">
        <f t="shared" si="30"/>
        <v>950.8635856639014</v>
      </c>
      <c r="N102" s="706">
        <f t="shared" si="30"/>
        <v>989.14176766117089</v>
      </c>
      <c r="O102" s="706">
        <f t="shared" si="30"/>
        <v>1009.3349397097325</v>
      </c>
      <c r="P102" s="706">
        <f t="shared" si="30"/>
        <v>1067.809731210393</v>
      </c>
      <c r="Q102" s="126"/>
      <c r="R102" s="126"/>
      <c r="S102" s="126"/>
      <c r="T102" s="126"/>
      <c r="U102" s="126"/>
      <c r="V102" s="126"/>
      <c r="W102" s="126"/>
      <c r="X102" s="126"/>
      <c r="Y102" s="126"/>
      <c r="Z102" s="1"/>
      <c r="AA102" s="1"/>
      <c r="AB102" s="1"/>
      <c r="AC102" s="1"/>
      <c r="AD102" s="1"/>
    </row>
    <row r="103" spans="1:30">
      <c r="A103" s="1"/>
      <c r="B103" s="1"/>
      <c r="C103" s="1"/>
      <c r="D103" s="1"/>
      <c r="E103" s="428"/>
      <c r="F103" s="1"/>
      <c r="G103" s="1"/>
      <c r="H103" s="1"/>
      <c r="I103" s="1"/>
      <c r="J103" s="701"/>
      <c r="K103" s="52"/>
      <c r="L103" s="52"/>
      <c r="M103" s="52"/>
      <c r="N103" s="52"/>
      <c r="O103" s="126"/>
      <c r="P103" s="126"/>
      <c r="Q103" s="126"/>
      <c r="R103" s="126"/>
      <c r="S103" s="126"/>
      <c r="T103" s="126"/>
      <c r="U103" s="126"/>
      <c r="V103" s="126"/>
      <c r="W103" s="126"/>
      <c r="X103" s="126"/>
      <c r="Y103" s="126"/>
      <c r="Z103" s="1"/>
      <c r="AA103" s="1"/>
      <c r="AB103" s="1"/>
      <c r="AC103" s="1"/>
      <c r="AD103" s="1"/>
    </row>
    <row r="104" spans="1:30">
      <c r="A104" s="1"/>
      <c r="B104" s="126" t="s">
        <v>717</v>
      </c>
      <c r="C104" s="126"/>
      <c r="D104" s="126"/>
      <c r="E104" s="2"/>
      <c r="F104" s="422">
        <f t="shared" ref="F104:P104" si="31">F102*(1-0.279)</f>
        <v>319.40299999999996</v>
      </c>
      <c r="G104" s="422">
        <f t="shared" si="31"/>
        <v>511.90999999999997</v>
      </c>
      <c r="H104" s="422">
        <f t="shared" si="31"/>
        <v>423.94799999999998</v>
      </c>
      <c r="I104" s="422">
        <f t="shared" si="31"/>
        <v>495.327</v>
      </c>
      <c r="J104" s="587">
        <f t="shared" si="31"/>
        <v>603.39224237448229</v>
      </c>
      <c r="K104" s="216">
        <f t="shared" si="31"/>
        <v>630.53511233518952</v>
      </c>
      <c r="L104" s="216">
        <f t="shared" si="31"/>
        <v>657.97372859684185</v>
      </c>
      <c r="M104" s="216">
        <f t="shared" si="31"/>
        <v>685.57264526367294</v>
      </c>
      <c r="N104" s="216">
        <f t="shared" si="31"/>
        <v>713.17121448370415</v>
      </c>
      <c r="O104" s="422">
        <f t="shared" si="31"/>
        <v>727.73049153071702</v>
      </c>
      <c r="P104" s="422">
        <f t="shared" si="31"/>
        <v>769.89081620269337</v>
      </c>
      <c r="Q104" s="126"/>
      <c r="R104" s="126"/>
      <c r="S104" s="126"/>
      <c r="T104" s="126"/>
      <c r="U104" s="126"/>
      <c r="V104" s="126"/>
      <c r="W104" s="126"/>
      <c r="X104" s="126"/>
      <c r="Y104" s="126"/>
      <c r="Z104" s="1"/>
      <c r="AA104" s="1"/>
      <c r="AB104" s="1"/>
      <c r="AC104" s="1"/>
      <c r="AD104" s="1"/>
    </row>
    <row r="105" spans="1:30">
      <c r="A105" s="1"/>
      <c r="B105" s="126" t="s">
        <v>719</v>
      </c>
      <c r="C105" s="126"/>
      <c r="D105" s="126"/>
      <c r="E105" s="2"/>
      <c r="F105" s="696">
        <v>-39.814371257485028</v>
      </c>
      <c r="G105" s="696">
        <v>-44.666666666666664</v>
      </c>
      <c r="H105" s="696">
        <v>-31.400000000000002</v>
      </c>
      <c r="I105" s="696">
        <v>-34.481927710843372</v>
      </c>
      <c r="J105" s="587">
        <v>-37.590741408748769</v>
      </c>
      <c r="K105" s="216">
        <v>-37.590741408748769</v>
      </c>
      <c r="L105" s="216">
        <v>-37.590741408748769</v>
      </c>
      <c r="M105" s="216">
        <v>-37.590741408748769</v>
      </c>
      <c r="N105" s="216">
        <v>-37.590741408748769</v>
      </c>
      <c r="O105" s="422">
        <v>-37.590741408748769</v>
      </c>
      <c r="P105" s="422">
        <v>-37.590741408748769</v>
      </c>
      <c r="Q105" s="1"/>
      <c r="R105" s="126"/>
      <c r="S105" s="126"/>
      <c r="T105" s="126"/>
      <c r="U105" s="126"/>
      <c r="V105" s="126"/>
      <c r="W105" s="126"/>
      <c r="X105" s="126"/>
      <c r="Y105" s="126"/>
      <c r="Z105" s="1"/>
      <c r="AA105" s="1"/>
      <c r="AB105" s="1"/>
      <c r="AC105" s="1"/>
      <c r="AD105" s="1"/>
    </row>
    <row r="106" spans="1:30">
      <c r="A106" s="1"/>
      <c r="B106" s="580" t="s">
        <v>718</v>
      </c>
      <c r="C106" s="580"/>
      <c r="D106" s="580"/>
      <c r="E106" s="580"/>
      <c r="F106" s="742">
        <v>281.18562874251495</v>
      </c>
      <c r="G106" s="742">
        <v>473.33333333333331</v>
      </c>
      <c r="H106" s="742">
        <v>399.6</v>
      </c>
      <c r="I106" s="742">
        <v>463.51807228915663</v>
      </c>
      <c r="J106" s="743">
        <f t="shared" ref="J106:P106" si="32">J104+J105</f>
        <v>565.80150096573357</v>
      </c>
      <c r="K106" s="744">
        <f t="shared" si="32"/>
        <v>592.9443709264408</v>
      </c>
      <c r="L106" s="744">
        <f t="shared" si="32"/>
        <v>620.38298718809313</v>
      </c>
      <c r="M106" s="744">
        <f t="shared" si="32"/>
        <v>647.98190385492421</v>
      </c>
      <c r="N106" s="744">
        <f t="shared" si="32"/>
        <v>675.58047307495542</v>
      </c>
      <c r="O106" s="744">
        <f t="shared" si="32"/>
        <v>690.13975012196829</v>
      </c>
      <c r="P106" s="744">
        <f t="shared" si="32"/>
        <v>732.30007479394465</v>
      </c>
      <c r="Q106" s="126"/>
      <c r="R106" s="126"/>
      <c r="S106" s="126"/>
      <c r="T106" s="126"/>
      <c r="U106" s="126"/>
      <c r="V106" s="126"/>
      <c r="W106" s="126"/>
      <c r="X106" s="126"/>
      <c r="Y106" s="126"/>
      <c r="Z106" s="1"/>
      <c r="AA106" s="1"/>
      <c r="AB106" s="1"/>
      <c r="AC106" s="1"/>
      <c r="AD106" s="1"/>
    </row>
    <row r="107" spans="1:30">
      <c r="A107" s="1"/>
      <c r="B107" s="1"/>
      <c r="C107" s="1"/>
      <c r="D107" s="1"/>
      <c r="E107" s="1"/>
      <c r="F107" s="1"/>
      <c r="G107" s="1"/>
      <c r="H107" s="1"/>
      <c r="I107" s="1"/>
      <c r="J107" s="701"/>
      <c r="K107" s="52"/>
      <c r="L107" s="52"/>
      <c r="M107" s="52"/>
      <c r="N107" s="52"/>
      <c r="O107" s="126"/>
      <c r="P107" s="126"/>
      <c r="Q107" s="126"/>
      <c r="R107" s="126"/>
      <c r="S107" s="126"/>
      <c r="T107" s="126"/>
      <c r="U107" s="126"/>
      <c r="V107" s="126"/>
      <c r="W107" s="126"/>
      <c r="X107" s="126"/>
      <c r="Y107" s="126"/>
      <c r="Z107" s="1"/>
      <c r="AA107" s="1"/>
      <c r="AB107" s="1"/>
      <c r="AC107" s="1"/>
      <c r="AD107" s="1"/>
    </row>
    <row r="108" spans="1:30">
      <c r="A108" s="1"/>
      <c r="B108" s="675" t="s">
        <v>526</v>
      </c>
      <c r="C108" s="416"/>
      <c r="D108" s="416"/>
      <c r="E108" s="416"/>
      <c r="F108" s="422">
        <v>-1066</v>
      </c>
      <c r="G108" s="422">
        <v>-80</v>
      </c>
      <c r="H108" s="422">
        <v>-1076</v>
      </c>
      <c r="I108" s="422">
        <v>-837</v>
      </c>
      <c r="J108" s="587">
        <f>-F87</f>
        <v>-722.87077665416166</v>
      </c>
      <c r="K108" s="216">
        <f>-$F$87*(1+$G$86)</f>
        <v>-800.29023683382241</v>
      </c>
      <c r="L108" s="216">
        <f>-$F$87*(1+$G$86)^2</f>
        <v>-886.00132119872478</v>
      </c>
      <c r="M108" s="216">
        <f>-$F$87*(1+$G$86)^3</f>
        <v>-980.89206269910812</v>
      </c>
      <c r="N108" s="216">
        <f>-$F$87*(1+$G$86)^4</f>
        <v>-1085.9456026141827</v>
      </c>
      <c r="O108" s="713">
        <v>-1085.9456026141827</v>
      </c>
      <c r="P108" s="751"/>
      <c r="Q108" s="1"/>
      <c r="R108" s="126"/>
      <c r="S108" s="126"/>
      <c r="T108" s="126"/>
      <c r="U108" s="126"/>
      <c r="V108" s="126"/>
      <c r="W108" s="126"/>
      <c r="X108" s="126"/>
      <c r="Y108" s="126"/>
      <c r="Z108" s="1"/>
      <c r="AA108" s="1"/>
      <c r="AB108" s="1"/>
      <c r="AC108" s="1"/>
      <c r="AD108" s="1"/>
    </row>
    <row r="109" spans="1:30">
      <c r="A109" s="1"/>
      <c r="B109" s="675" t="s">
        <v>525</v>
      </c>
      <c r="C109" s="416"/>
      <c r="D109" s="416"/>
      <c r="E109" s="416"/>
      <c r="F109" s="678">
        <v>648</v>
      </c>
      <c r="G109" s="678">
        <v>444</v>
      </c>
      <c r="H109" s="678">
        <v>623</v>
      </c>
      <c r="I109" s="678">
        <v>511</v>
      </c>
      <c r="J109" s="688">
        <f>-J108*J110</f>
        <v>433.09355565259045</v>
      </c>
      <c r="K109" s="689">
        <f t="shared" ref="K109:N109" si="33">-K108*K110</f>
        <v>479.47787546298287</v>
      </c>
      <c r="L109" s="689">
        <f t="shared" si="33"/>
        <v>530.82995592506836</v>
      </c>
      <c r="M109" s="689">
        <f t="shared" si="33"/>
        <v>587.68184420464308</v>
      </c>
      <c r="N109" s="689">
        <f t="shared" si="33"/>
        <v>650.62256971896045</v>
      </c>
      <c r="O109" s="747">
        <f t="shared" ref="O109" si="34">-O108*O110</f>
        <v>650.62256971896045</v>
      </c>
      <c r="P109" s="1"/>
      <c r="Q109" s="1"/>
      <c r="R109" s="126"/>
      <c r="S109" s="126"/>
      <c r="T109" s="126"/>
      <c r="U109" s="126"/>
      <c r="V109" s="126"/>
      <c r="W109" s="126"/>
      <c r="X109" s="126"/>
      <c r="Y109" s="126"/>
      <c r="Z109" s="1"/>
      <c r="AA109" s="1"/>
      <c r="AB109" s="1"/>
      <c r="AC109" s="1"/>
      <c r="AD109" s="1"/>
    </row>
    <row r="110" spans="1:30">
      <c r="A110" s="1"/>
      <c r="B110" s="681" t="s">
        <v>527</v>
      </c>
      <c r="C110" s="126"/>
      <c r="D110" s="126"/>
      <c r="E110" s="126"/>
      <c r="F110" s="893">
        <v>0.60787992495309573</v>
      </c>
      <c r="G110" s="893">
        <v>5.55</v>
      </c>
      <c r="H110" s="893">
        <v>0.57899628252788105</v>
      </c>
      <c r="I110" s="893">
        <v>0.61051373954599764</v>
      </c>
      <c r="J110" s="894">
        <v>0.59912998234232473</v>
      </c>
      <c r="K110" s="889">
        <v>0.59912998234232473</v>
      </c>
      <c r="L110" s="889">
        <v>0.59912998234232473</v>
      </c>
      <c r="M110" s="889">
        <v>0.59912998234232473</v>
      </c>
      <c r="N110" s="889">
        <v>0.59912998234232473</v>
      </c>
      <c r="O110" s="714">
        <v>0.59912998234232473</v>
      </c>
      <c r="P110" s="126"/>
      <c r="Q110" s="126"/>
      <c r="R110" s="126"/>
      <c r="S110" s="126"/>
      <c r="T110" s="126"/>
      <c r="U110" s="126"/>
      <c r="V110" s="126"/>
      <c r="W110" s="126"/>
      <c r="X110" s="126"/>
      <c r="Y110" s="126"/>
      <c r="Z110" s="1"/>
      <c r="AA110" s="1"/>
      <c r="AB110" s="1"/>
      <c r="AC110" s="1"/>
      <c r="AD110" s="1"/>
    </row>
    <row r="111" spans="1:30">
      <c r="A111" s="1"/>
      <c r="B111" s="416"/>
      <c r="C111" s="416"/>
      <c r="D111" s="416"/>
      <c r="E111" s="416"/>
      <c r="F111" s="699"/>
      <c r="G111" s="699"/>
      <c r="H111" s="699"/>
      <c r="I111" s="699"/>
      <c r="J111" s="694"/>
      <c r="K111" s="695"/>
      <c r="L111" s="695"/>
      <c r="M111" s="695"/>
      <c r="N111" s="695"/>
      <c r="O111" s="544"/>
      <c r="P111" s="126"/>
      <c r="Q111" s="126"/>
      <c r="R111" s="126"/>
      <c r="S111" s="126"/>
      <c r="T111" s="126"/>
      <c r="U111" s="126"/>
      <c r="V111" s="126"/>
      <c r="W111" s="126"/>
      <c r="X111" s="126"/>
      <c r="Y111" s="126"/>
      <c r="Z111" s="1"/>
      <c r="AA111" s="1"/>
      <c r="AB111" s="1"/>
      <c r="AC111" s="1"/>
      <c r="AD111" s="1"/>
    </row>
    <row r="112" spans="1:30">
      <c r="A112" s="1"/>
      <c r="B112" s="126" t="s">
        <v>354</v>
      </c>
      <c r="C112" s="126"/>
      <c r="D112" s="126"/>
      <c r="E112" s="126"/>
      <c r="F112" s="422">
        <v>95</v>
      </c>
      <c r="G112" s="422">
        <v>-46</v>
      </c>
      <c r="H112" s="422">
        <v>17</v>
      </c>
      <c r="I112" s="422">
        <v>34</v>
      </c>
      <c r="J112" s="587">
        <v>44.034019832189166</v>
      </c>
      <c r="K112" s="216">
        <v>44.03</v>
      </c>
      <c r="L112" s="216">
        <v>44.03</v>
      </c>
      <c r="M112" s="216">
        <v>44.03</v>
      </c>
      <c r="N112" s="216">
        <v>44.03</v>
      </c>
      <c r="O112" s="713">
        <v>44.03</v>
      </c>
      <c r="P112" s="126"/>
      <c r="Q112" s="126"/>
      <c r="R112" s="126"/>
      <c r="S112" s="126"/>
      <c r="T112" s="126"/>
      <c r="U112" s="126"/>
      <c r="V112" s="126"/>
      <c r="W112" s="126"/>
      <c r="X112" s="126"/>
      <c r="Y112" s="126"/>
      <c r="Z112" s="1"/>
      <c r="AA112" s="1"/>
      <c r="AB112" s="1"/>
      <c r="AC112" s="1"/>
      <c r="AD112" s="1"/>
    </row>
    <row r="113" spans="1:30">
      <c r="A113" s="1"/>
      <c r="B113" s="416" t="s">
        <v>531</v>
      </c>
      <c r="C113" s="416"/>
      <c r="D113" s="416"/>
      <c r="E113" s="416"/>
      <c r="F113" s="895"/>
      <c r="G113" s="886">
        <v>-1.4842105263157894</v>
      </c>
      <c r="H113" s="886">
        <v>1.3695652173913042</v>
      </c>
      <c r="I113" s="886">
        <v>1</v>
      </c>
      <c r="J113" s="894">
        <v>0.29511823035850493</v>
      </c>
      <c r="K113" s="889">
        <v>0.29511823035850493</v>
      </c>
      <c r="L113" s="889">
        <v>0.29511823035850493</v>
      </c>
      <c r="M113" s="889">
        <v>0.29511823035850493</v>
      </c>
      <c r="N113" s="889">
        <v>0.29511823035850493</v>
      </c>
      <c r="O113" s="735"/>
      <c r="P113" s="126"/>
      <c r="Q113" s="126"/>
      <c r="R113" s="126"/>
      <c r="S113" s="126"/>
      <c r="T113" s="126"/>
      <c r="U113" s="126"/>
      <c r="V113" s="126"/>
      <c r="W113" s="126"/>
      <c r="X113" s="126"/>
      <c r="Y113" s="126"/>
      <c r="Z113" s="1"/>
      <c r="AA113" s="1"/>
      <c r="AB113" s="1"/>
      <c r="AC113" s="1"/>
      <c r="AD113" s="1"/>
    </row>
    <row r="114" spans="1:30">
      <c r="A114" s="1"/>
      <c r="B114" s="126" t="s">
        <v>660</v>
      </c>
      <c r="C114" s="126"/>
      <c r="D114" s="126"/>
      <c r="E114" s="126"/>
      <c r="F114" s="422">
        <v>33</v>
      </c>
      <c r="G114" s="422">
        <v>-46</v>
      </c>
      <c r="H114" s="422">
        <v>-5</v>
      </c>
      <c r="I114" s="422">
        <v>-7</v>
      </c>
      <c r="J114" s="587">
        <v>-11.439481774264383</v>
      </c>
      <c r="K114" s="216">
        <v>-11.439481774264383</v>
      </c>
      <c r="L114" s="216">
        <v>-11.439481774264383</v>
      </c>
      <c r="M114" s="216">
        <v>-11.439481774264383</v>
      </c>
      <c r="N114" s="216">
        <v>-11.439481774264383</v>
      </c>
      <c r="O114" s="713">
        <v>-11.439481774264383</v>
      </c>
      <c r="P114" s="126"/>
      <c r="Q114" s="126"/>
      <c r="R114" s="126"/>
      <c r="S114" s="126"/>
      <c r="T114" s="126"/>
      <c r="U114" s="126"/>
      <c r="V114" s="126"/>
      <c r="W114" s="126"/>
      <c r="X114" s="126"/>
      <c r="Y114" s="126"/>
      <c r="Z114" s="1"/>
      <c r="AA114" s="1"/>
      <c r="AB114" s="1"/>
      <c r="AC114" s="1"/>
      <c r="AD114" s="1"/>
    </row>
    <row r="115" spans="1:30">
      <c r="A115" s="1"/>
      <c r="B115" s="416" t="s">
        <v>531</v>
      </c>
      <c r="C115" s="416"/>
      <c r="D115" s="416"/>
      <c r="E115" s="416"/>
      <c r="F115" s="419"/>
      <c r="G115" s="886">
        <v>-2.393939393939394</v>
      </c>
      <c r="H115" s="886">
        <v>0.89130434782608692</v>
      </c>
      <c r="I115" s="886">
        <v>-0.39999999999999991</v>
      </c>
      <c r="J115" s="894">
        <v>-0.63421168203776901</v>
      </c>
      <c r="K115" s="889">
        <v>-0.63421168203776901</v>
      </c>
      <c r="L115" s="889">
        <v>-0.63421168203776901</v>
      </c>
      <c r="M115" s="889">
        <v>-0.63421168203776901</v>
      </c>
      <c r="N115" s="889">
        <v>-0.63421168203776901</v>
      </c>
      <c r="O115" s="735"/>
      <c r="P115" s="126"/>
      <c r="Q115" s="126"/>
      <c r="R115" s="126"/>
      <c r="S115" s="126"/>
      <c r="T115" s="126"/>
      <c r="U115" s="126"/>
      <c r="V115" s="126"/>
      <c r="W115" s="126"/>
      <c r="X115" s="126"/>
      <c r="Y115" s="126"/>
      <c r="Z115" s="1"/>
      <c r="AA115" s="1"/>
      <c r="AB115" s="1"/>
      <c r="AC115" s="1"/>
      <c r="AD115" s="1"/>
    </row>
    <row r="116" spans="1:30">
      <c r="A116" s="1"/>
      <c r="B116" s="126" t="s">
        <v>368</v>
      </c>
      <c r="C116" s="126"/>
      <c r="D116" s="126"/>
      <c r="E116" s="126"/>
      <c r="F116" s="422">
        <v>-33</v>
      </c>
      <c r="G116" s="422">
        <v>40</v>
      </c>
      <c r="H116" s="422">
        <v>37</v>
      </c>
      <c r="I116" s="422">
        <v>-13</v>
      </c>
      <c r="J116" s="587">
        <v>-16.405002730002728</v>
      </c>
      <c r="K116" s="216">
        <v>-16.405002730002728</v>
      </c>
      <c r="L116" s="216">
        <v>-16.405002730002728</v>
      </c>
      <c r="M116" s="216">
        <v>-16.405002730002728</v>
      </c>
      <c r="N116" s="216">
        <v>-16.405002730002728</v>
      </c>
      <c r="O116" s="713">
        <v>-16.405002730002728</v>
      </c>
      <c r="P116" s="126"/>
      <c r="Q116" s="126"/>
      <c r="R116" s="126"/>
      <c r="S116" s="126"/>
      <c r="T116" s="126"/>
      <c r="U116" s="126"/>
      <c r="V116" s="126"/>
      <c r="W116" s="126"/>
      <c r="X116" s="126"/>
      <c r="Y116" s="126"/>
      <c r="Z116" s="1"/>
      <c r="AA116" s="1"/>
      <c r="AB116" s="1"/>
      <c r="AC116" s="1"/>
      <c r="AD116" s="1"/>
    </row>
    <row r="117" spans="1:30">
      <c r="A117" s="1"/>
      <c r="B117" s="416" t="s">
        <v>531</v>
      </c>
      <c r="C117" s="416"/>
      <c r="D117" s="416"/>
      <c r="E117" s="416"/>
      <c r="F117" s="419"/>
      <c r="G117" s="886">
        <v>2.2121212121212119</v>
      </c>
      <c r="H117" s="886">
        <v>-7.4999999999999956E-2</v>
      </c>
      <c r="I117" s="886">
        <v>-1.3513513513513513</v>
      </c>
      <c r="J117" s="894">
        <v>0.26192328692328681</v>
      </c>
      <c r="K117" s="889">
        <v>0.26192328692328681</v>
      </c>
      <c r="L117" s="889">
        <v>0.26192328692328681</v>
      </c>
      <c r="M117" s="889">
        <v>0.26192328692328681</v>
      </c>
      <c r="N117" s="889">
        <v>0.26192328692328681</v>
      </c>
      <c r="O117" s="735"/>
      <c r="P117" s="126"/>
      <c r="Q117" s="126"/>
      <c r="R117" s="126"/>
      <c r="S117" s="126"/>
      <c r="T117" s="126"/>
      <c r="U117" s="126"/>
      <c r="V117" s="126"/>
      <c r="W117" s="126"/>
      <c r="X117" s="126"/>
      <c r="Y117" s="126"/>
      <c r="Z117" s="1"/>
      <c r="AA117" s="1"/>
      <c r="AB117" s="1"/>
      <c r="AC117" s="1"/>
      <c r="AD117" s="1"/>
    </row>
    <row r="118" spans="1:30">
      <c r="A118" s="1"/>
      <c r="B118" s="126" t="s">
        <v>356</v>
      </c>
      <c r="C118" s="126"/>
      <c r="D118" s="126"/>
      <c r="E118" s="126"/>
      <c r="F118" s="422">
        <v>20</v>
      </c>
      <c r="G118" s="422">
        <v>-91</v>
      </c>
      <c r="H118" s="422">
        <v>11</v>
      </c>
      <c r="I118" s="422">
        <v>-3</v>
      </c>
      <c r="J118" s="587">
        <v>2.701848151848151</v>
      </c>
      <c r="K118" s="216">
        <v>-2.4333278118817563</v>
      </c>
      <c r="L118" s="216">
        <v>2.191494083791143</v>
      </c>
      <c r="M118" s="216">
        <v>-1.9736947466924188</v>
      </c>
      <c r="N118" s="216">
        <v>1.7775411678877722</v>
      </c>
      <c r="O118" s="713">
        <v>1.7775411678877722</v>
      </c>
      <c r="P118" s="126"/>
      <c r="Q118" s="126"/>
      <c r="R118" s="126"/>
      <c r="S118" s="126"/>
      <c r="T118" s="126"/>
      <c r="U118" s="126"/>
      <c r="V118" s="126"/>
      <c r="W118" s="126"/>
      <c r="X118" s="126"/>
      <c r="Y118" s="126"/>
      <c r="Z118" s="1"/>
      <c r="AA118" s="1"/>
      <c r="AB118" s="1"/>
      <c r="AC118" s="1"/>
      <c r="AD118" s="1"/>
    </row>
    <row r="119" spans="1:30">
      <c r="A119" s="1"/>
      <c r="B119" s="416" t="s">
        <v>531</v>
      </c>
      <c r="C119" s="416"/>
      <c r="D119" s="416"/>
      <c r="E119" s="416"/>
      <c r="F119" s="417"/>
      <c r="G119" s="886">
        <v>-5.55</v>
      </c>
      <c r="H119" s="886">
        <v>1.1208791208791209</v>
      </c>
      <c r="I119" s="886">
        <v>-1.2727272727272727</v>
      </c>
      <c r="J119" s="894">
        <v>-2.647868797868798</v>
      </c>
      <c r="K119" s="889">
        <v>-2.647868797868798</v>
      </c>
      <c r="L119" s="889">
        <v>-2.647868797868798</v>
      </c>
      <c r="M119" s="889">
        <v>-2.647868797868798</v>
      </c>
      <c r="N119" s="889">
        <v>-2.647868797868798</v>
      </c>
      <c r="O119" s="544"/>
      <c r="P119" s="126"/>
      <c r="Q119" s="126"/>
      <c r="R119" s="126"/>
      <c r="S119" s="126"/>
      <c r="T119" s="126"/>
      <c r="U119" s="126"/>
      <c r="V119" s="126"/>
      <c r="W119" s="126"/>
      <c r="X119" s="126"/>
      <c r="Y119" s="126"/>
      <c r="Z119" s="1"/>
      <c r="AA119" s="1"/>
      <c r="AB119" s="1"/>
      <c r="AC119" s="1"/>
      <c r="AD119" s="1"/>
    </row>
    <row r="120" spans="1:30">
      <c r="A120" s="1"/>
      <c r="B120" s="126" t="s">
        <v>530</v>
      </c>
      <c r="C120" s="126"/>
      <c r="D120" s="126"/>
      <c r="E120" s="126"/>
      <c r="F120" s="422">
        <v>54</v>
      </c>
      <c r="G120" s="422">
        <v>71</v>
      </c>
      <c r="H120" s="422">
        <v>25</v>
      </c>
      <c r="I120" s="422">
        <v>81</v>
      </c>
      <c r="J120" s="587">
        <v>74.778706735263384</v>
      </c>
      <c r="K120" s="216">
        <v>84.336194661082388</v>
      </c>
      <c r="L120" s="216">
        <v>95.115227856139114</v>
      </c>
      <c r="M120" s="216">
        <v>107.27193237116767</v>
      </c>
      <c r="N120" s="216">
        <v>120.98238877216383</v>
      </c>
      <c r="O120" s="713">
        <v>120.98238877216383</v>
      </c>
      <c r="P120" s="126"/>
      <c r="Q120" s="126"/>
      <c r="R120" s="126"/>
      <c r="S120" s="126"/>
      <c r="T120" s="126"/>
      <c r="U120" s="126"/>
      <c r="V120" s="126"/>
      <c r="W120" s="126"/>
      <c r="X120" s="126"/>
      <c r="Y120" s="126"/>
      <c r="Z120" s="1"/>
      <c r="AA120" s="1"/>
      <c r="AB120" s="1"/>
      <c r="AC120" s="1"/>
      <c r="AD120" s="1"/>
    </row>
    <row r="121" spans="1:30">
      <c r="A121" s="1"/>
      <c r="B121" s="416" t="s">
        <v>659</v>
      </c>
      <c r="C121" s="416"/>
      <c r="D121" s="416"/>
      <c r="E121" s="416"/>
      <c r="F121" s="886">
        <v>1.1111111111111112E-2</v>
      </c>
      <c r="G121" s="886">
        <v>1.2249827467218772E-2</v>
      </c>
      <c r="H121" s="886">
        <v>3.8497074222359103E-3</v>
      </c>
      <c r="I121" s="886">
        <v>1.1059530311305297E-2</v>
      </c>
      <c r="J121" s="887">
        <v>9.0530217335866598E-3</v>
      </c>
      <c r="K121" s="888">
        <v>9.0530217335866598E-3</v>
      </c>
      <c r="L121" s="888">
        <v>9.0530217335866598E-3</v>
      </c>
      <c r="M121" s="888">
        <v>9.0530217335866598E-3</v>
      </c>
      <c r="N121" s="888">
        <v>9.0530217335866598E-3</v>
      </c>
      <c r="O121" s="748">
        <v>9.0530217335866598E-3</v>
      </c>
      <c r="P121" s="126"/>
      <c r="Q121" s="126"/>
      <c r="R121" s="126"/>
      <c r="S121" s="126"/>
      <c r="T121" s="126"/>
      <c r="U121" s="126"/>
      <c r="V121" s="126"/>
      <c r="W121" s="126"/>
      <c r="X121" s="126"/>
      <c r="Y121" s="126"/>
      <c r="Z121" s="1"/>
      <c r="AA121" s="1"/>
      <c r="AB121" s="1"/>
      <c r="AC121" s="1"/>
      <c r="AD121" s="1"/>
    </row>
    <row r="122" spans="1:30">
      <c r="A122" s="1"/>
      <c r="B122" s="690" t="s">
        <v>357</v>
      </c>
      <c r="C122" s="690"/>
      <c r="D122" s="690"/>
      <c r="E122" s="690"/>
      <c r="F122" s="691">
        <v>32.18562874251495</v>
      </c>
      <c r="G122" s="691">
        <v>765.33333333333326</v>
      </c>
      <c r="H122" s="691">
        <v>31.600000000000023</v>
      </c>
      <c r="I122" s="691">
        <v>229.51807228915663</v>
      </c>
      <c r="J122" s="692">
        <f>J106+J108+J109+J112+J114+J116+J118+J120</f>
        <v>369.69437017919597</v>
      </c>
      <c r="K122" s="693">
        <f t="shared" ref="K122:M122" si="35">K106+K108+K109+K112+K114+K116+K118+K120</f>
        <v>370.22039190053476</v>
      </c>
      <c r="L122" s="693">
        <f t="shared" si="35"/>
        <v>378.70385935009983</v>
      </c>
      <c r="M122" s="693">
        <f t="shared" si="35"/>
        <v>376.25543848066729</v>
      </c>
      <c r="N122" s="693">
        <f>N106+N108+N109+N112+N114+N116+N118+N120</f>
        <v>379.20288561551763</v>
      </c>
      <c r="O122" s="750">
        <f>O106+O108+O109+O112+O114+O116+O118+O120</f>
        <v>393.7621626625305</v>
      </c>
      <c r="P122" s="126"/>
      <c r="Q122" s="126"/>
      <c r="R122" s="126"/>
      <c r="S122" s="126"/>
      <c r="T122" s="126"/>
      <c r="U122" s="126"/>
      <c r="V122" s="126"/>
      <c r="W122" s="126"/>
      <c r="X122" s="126"/>
      <c r="Y122" s="126"/>
      <c r="Z122" s="1"/>
      <c r="AA122" s="1"/>
      <c r="AB122" s="1"/>
      <c r="AC122" s="1"/>
      <c r="AD122" s="1"/>
    </row>
    <row r="123" spans="1:30">
      <c r="A123" s="1"/>
      <c r="B123" s="126" t="s">
        <v>532</v>
      </c>
      <c r="C123" s="126"/>
      <c r="D123" s="126"/>
      <c r="E123" s="126"/>
      <c r="F123" s="126"/>
      <c r="G123" s="126"/>
      <c r="H123" s="126"/>
      <c r="I123" s="126"/>
      <c r="J123" s="413">
        <v>1.0469999999999999</v>
      </c>
      <c r="K123" s="2">
        <v>1.0962089999999998</v>
      </c>
      <c r="L123" s="2">
        <v>1.1477308229999996</v>
      </c>
      <c r="M123" s="2">
        <v>1.2016741716809995</v>
      </c>
      <c r="N123" s="2">
        <v>1.2581528577500065</v>
      </c>
      <c r="O123" s="544">
        <f>(1+E83)^6</f>
        <v>1</v>
      </c>
      <c r="P123" s="126"/>
      <c r="Q123" s="126"/>
      <c r="R123" s="126"/>
      <c r="S123" s="126"/>
      <c r="T123" s="126"/>
      <c r="U123" s="126"/>
      <c r="V123" s="126"/>
      <c r="W123" s="126"/>
      <c r="X123" s="126"/>
      <c r="Y123" s="126"/>
      <c r="Z123" s="1"/>
      <c r="AA123" s="1"/>
      <c r="AB123" s="1"/>
      <c r="AC123" s="1"/>
      <c r="AD123" s="1"/>
    </row>
    <row r="124" spans="1:30">
      <c r="A124" s="1"/>
      <c r="B124" s="126" t="s">
        <v>524</v>
      </c>
      <c r="C124" s="126"/>
      <c r="D124" s="126"/>
      <c r="E124" s="126"/>
      <c r="F124" s="126"/>
      <c r="G124" s="126"/>
      <c r="H124" s="126"/>
      <c r="I124" s="126"/>
      <c r="J124" s="686">
        <f t="shared" ref="J124:O124" si="36">J122/J123</f>
        <v>353.09872987506782</v>
      </c>
      <c r="K124" s="644">
        <f t="shared" si="36"/>
        <v>337.72792587958577</v>
      </c>
      <c r="L124" s="644">
        <f t="shared" si="36"/>
        <v>329.9587775818581</v>
      </c>
      <c r="M124" s="644">
        <f t="shared" si="36"/>
        <v>313.10936637202627</v>
      </c>
      <c r="N124" s="644">
        <f t="shared" si="36"/>
        <v>301.39651416733085</v>
      </c>
      <c r="O124" s="749">
        <f t="shared" si="36"/>
        <v>393.7621626625305</v>
      </c>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411" t="s">
        <v>670</v>
      </c>
      <c r="C127" s="126"/>
      <c r="D127" s="126"/>
      <c r="E127" s="126"/>
      <c r="F127" s="126"/>
      <c r="G127" s="411" t="s">
        <v>740</v>
      </c>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534</v>
      </c>
      <c r="C129" s="126"/>
      <c r="D129" s="432">
        <f>O104*(((1-E131))*(1+G85))/C17-G85</f>
        <v>10780.347011978787</v>
      </c>
      <c r="E129" s="126"/>
      <c r="F129" s="126"/>
      <c r="G129" s="126" t="s">
        <v>534</v>
      </c>
      <c r="H129" s="126"/>
      <c r="I129" s="432">
        <f>P104*(((1-J131))*(1+J86))/C17-K89</f>
        <v>1667.6366019282864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126" t="s">
        <v>671</v>
      </c>
      <c r="C130" s="14"/>
      <c r="D130" s="425">
        <f>D129/(1+0.0528)^5</f>
        <v>8334.9569178795682</v>
      </c>
      <c r="E130" s="126"/>
      <c r="F130" s="126"/>
      <c r="G130" s="126" t="s">
        <v>671</v>
      </c>
      <c r="H130" s="14"/>
      <c r="I130" s="425">
        <f>I129/(1+0.0528)^5</f>
        <v>1289.3536002418523</v>
      </c>
      <c r="J130" s="126"/>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2" t="s">
        <v>668</v>
      </c>
      <c r="C131" s="126"/>
      <c r="D131" s="126"/>
      <c r="E131" s="404">
        <f>O96/C17</f>
        <v>0.22733933267234102</v>
      </c>
      <c r="F131" s="126"/>
      <c r="G131" s="2" t="s">
        <v>668</v>
      </c>
      <c r="H131" s="126"/>
      <c r="I131" s="126"/>
      <c r="J131" s="404">
        <f>K89/C17</f>
        <v>0.88566186099752153</v>
      </c>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533</v>
      </c>
      <c r="C133" s="126"/>
      <c r="D133" s="14"/>
      <c r="E133" s="432">
        <f>SUM(J124:M124,D130)</f>
        <v>9668.8517175881061</v>
      </c>
      <c r="F133" s="126"/>
      <c r="G133" s="126" t="s">
        <v>533</v>
      </c>
      <c r="H133" s="126"/>
      <c r="I133" s="14"/>
      <c r="J133" s="432">
        <f>SUM(O124:R124,I130)</f>
        <v>1683.1157629043828</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539</v>
      </c>
      <c r="C134" s="126"/>
      <c r="D134" s="126"/>
      <c r="E134" s="126">
        <v>434</v>
      </c>
      <c r="F134" s="126"/>
      <c r="G134" s="126" t="s">
        <v>539</v>
      </c>
      <c r="H134" s="126"/>
      <c r="I134" s="126"/>
      <c r="J134" s="126">
        <v>434</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540</v>
      </c>
      <c r="C135" s="126"/>
      <c r="D135" s="126"/>
      <c r="E135" s="126">
        <v>3702</v>
      </c>
      <c r="F135" s="126"/>
      <c r="G135" s="126" t="s">
        <v>540</v>
      </c>
      <c r="H135" s="126"/>
      <c r="I135" s="126"/>
      <c r="J135" s="126">
        <v>3702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541</v>
      </c>
      <c r="C136" s="126"/>
      <c r="D136" s="126"/>
      <c r="E136" s="126">
        <v>362</v>
      </c>
      <c r="F136" s="126"/>
      <c r="G136" s="126" t="s">
        <v>541</v>
      </c>
      <c r="H136" s="126"/>
      <c r="I136" s="126"/>
      <c r="J136" s="126">
        <v>362</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535</v>
      </c>
      <c r="C137" s="126"/>
      <c r="D137" s="126"/>
      <c r="E137" s="432">
        <f>E133+E134+E135-E136</f>
        <v>13442.851717588106</v>
      </c>
      <c r="F137" s="126"/>
      <c r="G137" s="126" t="s">
        <v>535</v>
      </c>
      <c r="H137" s="126"/>
      <c r="I137" s="126"/>
      <c r="J137" s="432">
        <f>J133+J134+J135-J136</f>
        <v>5457.1157629043828</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t="s">
        <v>730</v>
      </c>
      <c r="C138" s="126"/>
      <c r="D138" s="126"/>
      <c r="E138" s="433">
        <f>E137/'Forecasts Simone'!G139</f>
        <v>4.3235949818942148</v>
      </c>
      <c r="F138" s="126"/>
      <c r="G138" s="126" t="s">
        <v>730</v>
      </c>
      <c r="H138" s="126"/>
      <c r="I138" s="126"/>
      <c r="J138" s="433">
        <f>J137/'Forecasts Simone'!G139</f>
        <v>1.755160201405723</v>
      </c>
      <c r="K138" s="126"/>
      <c r="L138" s="126"/>
      <c r="M138" s="126"/>
      <c r="N138" s="126"/>
      <c r="O138" s="126"/>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26"/>
      <c r="C141" s="126"/>
      <c r="D141" s="126"/>
      <c r="E141" s="126"/>
      <c r="F141" s="126"/>
      <c r="G141" s="126"/>
      <c r="H141" s="126"/>
      <c r="I141" s="126"/>
      <c r="J141" s="126"/>
      <c r="K141" s="126"/>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26"/>
      <c r="Q147" s="126"/>
      <c r="R147" s="126"/>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A157" s="1"/>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2"/>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
      <c r="AA279" s="1"/>
      <c r="AB279" s="1"/>
      <c r="AC279" s="1"/>
      <c r="AD279" s="1"/>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2020-06-26T13:28:53Z</dcterms:modified>
</cp:coreProperties>
</file>