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CV1819\"/>
    </mc:Choice>
  </mc:AlternateContent>
  <bookViews>
    <workbookView xWindow="0" yWindow="0" windowWidth="20490" windowHeight="7155" tabRatio="775"/>
  </bookViews>
  <sheets>
    <sheet name="Cover" sheetId="14" r:id="rId1"/>
    <sheet name="Instructions" sheetId="15" r:id="rId2"/>
    <sheet name="Originals" sheetId="6" r:id="rId3"/>
    <sheet name="Restatements" sheetId="18" r:id="rId4"/>
    <sheet name="Calculations" sheetId="10" r:id="rId5"/>
    <sheet name="Output" sheetId="7" r:id="rId6"/>
    <sheet name="Analysis" sheetId="11" r:id="rId7"/>
    <sheet name="WACC" sheetId="16" r:id="rId8"/>
    <sheet name="Valuation DCF EP APV" sheetId="12" r:id="rId9"/>
    <sheet name="Valuation Multiples" sheetId="17" r:id="rId10"/>
    <sheet name="Summary" sheetId="19" r:id="rId11"/>
  </sheets>
  <definedNames>
    <definedName name="_xlnm._FilterDatabase" localSheetId="10" hidden="1">Summary!#REF!</definedName>
    <definedName name="_xlnm._FilterDatabase" localSheetId="8" hidden="1">'Valuation DCF EP APV'!$B$142</definedName>
  </definedNames>
  <calcPr calcId="152511"/>
</workbook>
</file>

<file path=xl/calcChain.xml><?xml version="1.0" encoding="utf-8"?>
<calcChain xmlns="http://schemas.openxmlformats.org/spreadsheetml/2006/main">
  <c r="G11" i="12" l="1"/>
  <c r="G14" i="12"/>
  <c r="G12" i="12"/>
  <c r="G13" i="12"/>
  <c r="D141" i="10" l="1"/>
  <c r="D142" i="10"/>
  <c r="D49" i="18"/>
  <c r="E105" i="12"/>
  <c r="D105" i="12"/>
  <c r="E104" i="12"/>
  <c r="H42" i="19" s="1"/>
  <c r="D104" i="12"/>
  <c r="I42" i="19" s="1"/>
  <c r="E103" i="12"/>
  <c r="D103" i="12"/>
  <c r="I43" i="19" s="1"/>
  <c r="J97" i="12"/>
  <c r="E97" i="12"/>
  <c r="D97" i="12"/>
  <c r="J105" i="12"/>
  <c r="J104" i="12"/>
  <c r="G42" i="19" s="1"/>
  <c r="J103" i="12"/>
  <c r="G43" i="19" s="1"/>
  <c r="G131" i="12"/>
  <c r="G132" i="12"/>
  <c r="G129" i="12"/>
  <c r="G128" i="12"/>
  <c r="K127" i="12"/>
  <c r="L127" i="12"/>
  <c r="I127" i="12"/>
  <c r="H127" i="12"/>
  <c r="I12" i="10"/>
  <c r="J12" i="10"/>
  <c r="K12" i="10"/>
  <c r="L12" i="10"/>
  <c r="G9" i="17"/>
  <c r="G8" i="17"/>
  <c r="G7" i="17"/>
  <c r="G6" i="17"/>
  <c r="F9" i="17"/>
  <c r="F8" i="17"/>
  <c r="F7" i="17"/>
  <c r="F6" i="17"/>
  <c r="I9" i="16"/>
  <c r="I8" i="16"/>
  <c r="I7" i="16"/>
  <c r="I6" i="16"/>
  <c r="D9" i="17"/>
  <c r="D8" i="17"/>
  <c r="D7" i="17"/>
  <c r="D6" i="17"/>
  <c r="I10" i="16"/>
  <c r="K20" i="16"/>
  <c r="K6" i="16"/>
  <c r="M6" i="16"/>
  <c r="H43" i="19"/>
  <c r="I109" i="12"/>
  <c r="H109" i="12"/>
  <c r="K109" i="12"/>
  <c r="L109" i="12"/>
  <c r="G111" i="12"/>
  <c r="G110" i="12"/>
  <c r="G113" i="12"/>
  <c r="G114" i="12"/>
  <c r="I118" i="12"/>
  <c r="H118" i="12"/>
  <c r="K118" i="12"/>
  <c r="L118" i="12"/>
  <c r="G120" i="12"/>
  <c r="G119" i="12"/>
  <c r="G122" i="12"/>
  <c r="G123" i="12"/>
  <c r="L125" i="10"/>
  <c r="K125" i="10"/>
  <c r="J125" i="10"/>
  <c r="I125" i="10"/>
  <c r="H125" i="10"/>
  <c r="J11" i="10"/>
  <c r="K11" i="10"/>
  <c r="L11" i="10"/>
  <c r="E19" i="10"/>
  <c r="D19" i="10"/>
  <c r="G100" i="6"/>
  <c r="G16" i="10"/>
  <c r="F100" i="6"/>
  <c r="F16" i="10"/>
  <c r="F99" i="6"/>
  <c r="F15" i="10"/>
  <c r="G99" i="6"/>
  <c r="G15" i="10"/>
  <c r="G11" i="10"/>
  <c r="F97" i="6"/>
  <c r="F101" i="6"/>
  <c r="F17" i="10"/>
  <c r="G97" i="6"/>
  <c r="G101" i="6"/>
  <c r="G17" i="10"/>
  <c r="F64" i="18"/>
  <c r="E64" i="18"/>
  <c r="D64" i="18"/>
  <c r="G89" i="6"/>
  <c r="G64" i="18"/>
  <c r="G70" i="6"/>
  <c r="G29" i="6"/>
  <c r="G17" i="6"/>
  <c r="F86" i="6"/>
  <c r="F87" i="6"/>
  <c r="E86" i="6"/>
  <c r="E87" i="6"/>
  <c r="D86" i="6"/>
  <c r="D87" i="6"/>
  <c r="F80" i="6"/>
  <c r="E80" i="6"/>
  <c r="D80" i="6"/>
  <c r="F70" i="6"/>
  <c r="F73" i="6"/>
  <c r="E70" i="6"/>
  <c r="E73" i="6"/>
  <c r="D70" i="6"/>
  <c r="D73" i="6"/>
  <c r="F62" i="6"/>
  <c r="E62" i="6"/>
  <c r="D62" i="6"/>
  <c r="F53" i="6"/>
  <c r="E53" i="6"/>
  <c r="D53" i="6"/>
  <c r="F12" i="6"/>
  <c r="F15" i="6"/>
  <c r="F18" i="6"/>
  <c r="F21" i="6"/>
  <c r="F27" i="6"/>
  <c r="F30" i="6"/>
  <c r="E12" i="6"/>
  <c r="E15" i="6"/>
  <c r="E18" i="6"/>
  <c r="E21" i="6"/>
  <c r="E27" i="6"/>
  <c r="E30" i="6"/>
  <c r="D12" i="6"/>
  <c r="D15" i="6"/>
  <c r="D18" i="6"/>
  <c r="D21" i="6"/>
  <c r="D27" i="6"/>
  <c r="D30" i="6"/>
  <c r="H17" i="10"/>
  <c r="G13" i="10"/>
  <c r="H16" i="10"/>
  <c r="I16" i="10"/>
  <c r="J16" i="10"/>
  <c r="K16" i="10"/>
  <c r="L16" i="10"/>
  <c r="G12" i="10"/>
  <c r="G19" i="10"/>
  <c r="F19" i="10"/>
  <c r="H15" i="10"/>
  <c r="E66" i="6"/>
  <c r="F66" i="6"/>
  <c r="F91" i="6"/>
  <c r="D66" i="6"/>
  <c r="D91" i="6"/>
  <c r="E91" i="6"/>
  <c r="G70" i="18"/>
  <c r="F70" i="18"/>
  <c r="E70" i="18"/>
  <c r="D70" i="18"/>
  <c r="D136" i="10"/>
  <c r="E133" i="10"/>
  <c r="H141" i="10"/>
  <c r="H53" i="11"/>
  <c r="G141" i="10"/>
  <c r="G53" i="11"/>
  <c r="F141" i="10"/>
  <c r="F53" i="11"/>
  <c r="E141" i="10"/>
  <c r="E53" i="11"/>
  <c r="D10" i="18"/>
  <c r="E10" i="18"/>
  <c r="F10" i="18"/>
  <c r="G10" i="18"/>
  <c r="D13" i="18"/>
  <c r="E13" i="18"/>
  <c r="F13" i="18"/>
  <c r="G13" i="18"/>
  <c r="D14" i="18"/>
  <c r="E14" i="18"/>
  <c r="F14" i="18"/>
  <c r="G14" i="18"/>
  <c r="D15" i="18"/>
  <c r="E15" i="18"/>
  <c r="F15" i="18"/>
  <c r="G15" i="18"/>
  <c r="D16" i="18"/>
  <c r="E16" i="18"/>
  <c r="F16" i="18"/>
  <c r="G16" i="18"/>
  <c r="D21" i="18"/>
  <c r="E21" i="18"/>
  <c r="E91" i="18"/>
  <c r="F21" i="18"/>
  <c r="F91" i="18"/>
  <c r="G21" i="18"/>
  <c r="G91" i="18"/>
  <c r="D25" i="18"/>
  <c r="E25" i="18"/>
  <c r="E100" i="18"/>
  <c r="F25" i="18"/>
  <c r="F100" i="18"/>
  <c r="G25" i="18"/>
  <c r="G100" i="18"/>
  <c r="D26" i="18"/>
  <c r="E26" i="18"/>
  <c r="E101" i="18"/>
  <c r="F26" i="18"/>
  <c r="F101" i="18"/>
  <c r="G26" i="18"/>
  <c r="G101" i="18"/>
  <c r="D27" i="18"/>
  <c r="E27" i="18"/>
  <c r="E102" i="18"/>
  <c r="F27" i="18"/>
  <c r="F102" i="18"/>
  <c r="G27" i="18"/>
  <c r="G102" i="18"/>
  <c r="D30" i="18"/>
  <c r="E30" i="18"/>
  <c r="F30" i="18"/>
  <c r="G30" i="18"/>
  <c r="D34" i="18"/>
  <c r="E34" i="18"/>
  <c r="E108" i="18"/>
  <c r="F34" i="18"/>
  <c r="F108" i="18"/>
  <c r="G34" i="18"/>
  <c r="G108" i="18"/>
  <c r="D46" i="18"/>
  <c r="E46" i="18"/>
  <c r="F46" i="18"/>
  <c r="G46" i="18"/>
  <c r="D47" i="18"/>
  <c r="E47" i="18"/>
  <c r="F47" i="18"/>
  <c r="G47" i="18"/>
  <c r="D48" i="18"/>
  <c r="E48" i="18"/>
  <c r="F48" i="18"/>
  <c r="G48" i="18"/>
  <c r="D50" i="18"/>
  <c r="E49" i="18"/>
  <c r="F49" i="18"/>
  <c r="F50" i="18"/>
  <c r="G49" i="18"/>
  <c r="G50" i="18"/>
  <c r="D52" i="18"/>
  <c r="E52" i="18"/>
  <c r="F52" i="18"/>
  <c r="G52" i="18"/>
  <c r="D53" i="18"/>
  <c r="E53" i="18"/>
  <c r="F53" i="18"/>
  <c r="G53" i="18"/>
  <c r="D56" i="18"/>
  <c r="E56" i="18"/>
  <c r="F56" i="18"/>
  <c r="G56" i="18"/>
  <c r="D57" i="18"/>
  <c r="E57" i="18"/>
  <c r="F57" i="18"/>
  <c r="G57" i="18"/>
  <c r="D58" i="18"/>
  <c r="D59" i="18"/>
  <c r="E58" i="18"/>
  <c r="E59" i="18"/>
  <c r="F58" i="18"/>
  <c r="G58" i="18"/>
  <c r="D63" i="18"/>
  <c r="E63" i="18"/>
  <c r="F63" i="18"/>
  <c r="G63" i="18"/>
  <c r="G105" i="18"/>
  <c r="D66" i="18"/>
  <c r="D71" i="18"/>
  <c r="E71" i="18"/>
  <c r="F71" i="18"/>
  <c r="G71" i="18"/>
  <c r="D72" i="18"/>
  <c r="E72" i="18"/>
  <c r="F72" i="18"/>
  <c r="G72" i="18"/>
  <c r="D73" i="18"/>
  <c r="E73" i="18"/>
  <c r="F73" i="18"/>
  <c r="G73" i="18"/>
  <c r="D76" i="18"/>
  <c r="E76" i="18"/>
  <c r="F76" i="18"/>
  <c r="G76" i="18"/>
  <c r="D80" i="18"/>
  <c r="E80" i="18"/>
  <c r="F80" i="18"/>
  <c r="F110" i="18"/>
  <c r="G80" i="18"/>
  <c r="G110" i="18"/>
  <c r="D77" i="18"/>
  <c r="E77" i="18"/>
  <c r="F77" i="18"/>
  <c r="G77" i="18"/>
  <c r="E5" i="18"/>
  <c r="F5" i="18"/>
  <c r="G5" i="18"/>
  <c r="H5" i="18"/>
  <c r="I5" i="18"/>
  <c r="J5" i="18"/>
  <c r="K5" i="18"/>
  <c r="L5" i="18"/>
  <c r="G104" i="18"/>
  <c r="F104" i="18"/>
  <c r="E54" i="18"/>
  <c r="F105" i="18"/>
  <c r="E17" i="18"/>
  <c r="E18" i="18"/>
  <c r="E110" i="18"/>
  <c r="D54" i="18"/>
  <c r="D61" i="18"/>
  <c r="D68" i="18"/>
  <c r="K13" i="10"/>
  <c r="I13" i="10"/>
  <c r="I17" i="10"/>
  <c r="J13" i="10"/>
  <c r="L13" i="10"/>
  <c r="D17" i="18"/>
  <c r="D18" i="18"/>
  <c r="D19" i="18"/>
  <c r="F54" i="18"/>
  <c r="H19" i="10"/>
  <c r="I15" i="10"/>
  <c r="G17" i="18"/>
  <c r="G18" i="18"/>
  <c r="F17" i="18"/>
  <c r="F18" i="18"/>
  <c r="G54" i="18"/>
  <c r="D78" i="18"/>
  <c r="D81" i="18"/>
  <c r="E78" i="18"/>
  <c r="G78" i="18"/>
  <c r="F78" i="18"/>
  <c r="G59" i="18"/>
  <c r="F59" i="18"/>
  <c r="G66" i="18"/>
  <c r="G11" i="18"/>
  <c r="E50" i="18"/>
  <c r="E61" i="18"/>
  <c r="G94" i="18"/>
  <c r="F66" i="18"/>
  <c r="E96" i="18"/>
  <c r="D74" i="18"/>
  <c r="E105" i="18"/>
  <c r="E11" i="18"/>
  <c r="E104" i="18"/>
  <c r="E95" i="18"/>
  <c r="F11" i="18"/>
  <c r="E66" i="18"/>
  <c r="F95" i="18"/>
  <c r="G95" i="18"/>
  <c r="E81" i="18"/>
  <c r="F81" i="18"/>
  <c r="G81" i="18"/>
  <c r="F61" i="18"/>
  <c r="F68" i="18"/>
  <c r="J17" i="10"/>
  <c r="K17" i="10"/>
  <c r="L17" i="10"/>
  <c r="G19" i="18"/>
  <c r="G22" i="18"/>
  <c r="J15" i="10"/>
  <c r="I19" i="10"/>
  <c r="G61" i="18"/>
  <c r="G68" i="18"/>
  <c r="G96" i="18"/>
  <c r="D83" i="18"/>
  <c r="D85" i="18"/>
  <c r="F96" i="18"/>
  <c r="E68" i="18"/>
  <c r="F94" i="18"/>
  <c r="E94" i="18"/>
  <c r="D22" i="18"/>
  <c r="D23" i="18"/>
  <c r="E22" i="18"/>
  <c r="E89" i="18"/>
  <c r="E19" i="18"/>
  <c r="F19" i="18"/>
  <c r="F22" i="18"/>
  <c r="F89" i="18"/>
  <c r="G28" i="18"/>
  <c r="G89" i="18"/>
  <c r="G23" i="18"/>
  <c r="K15" i="10"/>
  <c r="J19" i="10"/>
  <c r="D28" i="18"/>
  <c r="D31" i="18"/>
  <c r="D35" i="18"/>
  <c r="G31" i="18"/>
  <c r="G109" i="18"/>
  <c r="G92" i="10"/>
  <c r="E28" i="18"/>
  <c r="E23" i="18"/>
  <c r="F23" i="18"/>
  <c r="F28" i="18"/>
  <c r="G35" i="18"/>
  <c r="L15" i="10"/>
  <c r="K19" i="10"/>
  <c r="D92" i="10"/>
  <c r="G32" i="18"/>
  <c r="D32" i="18"/>
  <c r="F31" i="18"/>
  <c r="F109" i="18"/>
  <c r="F92" i="10"/>
  <c r="E31" i="18"/>
  <c r="E92" i="10"/>
  <c r="F35" i="18"/>
  <c r="E35" i="18"/>
  <c r="E109" i="18"/>
  <c r="L19" i="10"/>
  <c r="E32" i="18"/>
  <c r="F32" i="18"/>
  <c r="D99" i="10"/>
  <c r="D34" i="7"/>
  <c r="F99" i="10"/>
  <c r="G99" i="10"/>
  <c r="E99" i="10"/>
  <c r="E6" i="17"/>
  <c r="H6" i="17"/>
  <c r="E7" i="17"/>
  <c r="H7" i="17"/>
  <c r="E8" i="17"/>
  <c r="H8" i="17"/>
  <c r="E9" i="17"/>
  <c r="H9" i="17"/>
  <c r="K18" i="16"/>
  <c r="K16" i="16"/>
  <c r="K9" i="16"/>
  <c r="M9" i="16"/>
  <c r="K8" i="16"/>
  <c r="M8" i="16"/>
  <c r="K7" i="16"/>
  <c r="M7" i="16"/>
  <c r="M118" i="12"/>
  <c r="N118" i="12" s="1"/>
  <c r="G34" i="7"/>
  <c r="G108" i="7"/>
  <c r="E34" i="7"/>
  <c r="E108" i="7"/>
  <c r="F34" i="7"/>
  <c r="F108" i="7"/>
  <c r="Q8" i="17"/>
  <c r="O8" i="17"/>
  <c r="O9" i="17"/>
  <c r="Q9" i="17"/>
  <c r="I7" i="17"/>
  <c r="Q7" i="17"/>
  <c r="O7" i="17"/>
  <c r="I6" i="17"/>
  <c r="P6" i="17"/>
  <c r="O6" i="17"/>
  <c r="Q6" i="17"/>
  <c r="Q11" i="17"/>
  <c r="Q14" i="17"/>
  <c r="J31" i="17"/>
  <c r="I8" i="17"/>
  <c r="N8" i="17"/>
  <c r="I9" i="17"/>
  <c r="N9" i="17"/>
  <c r="M10" i="16"/>
  <c r="N7" i="17"/>
  <c r="B8" i="15"/>
  <c r="B9" i="15"/>
  <c r="B10" i="15"/>
  <c r="B11" i="15"/>
  <c r="B12" i="15"/>
  <c r="B13" i="15"/>
  <c r="B14" i="15"/>
  <c r="B15" i="15"/>
  <c r="B16" i="15"/>
  <c r="B17" i="15"/>
  <c r="B19" i="15"/>
  <c r="B20" i="15"/>
  <c r="B21" i="15"/>
  <c r="K29" i="16"/>
  <c r="K19" i="16"/>
  <c r="O10" i="17"/>
  <c r="O13" i="17"/>
  <c r="C31" i="17"/>
  <c r="O11" i="17"/>
  <c r="O14" i="17"/>
  <c r="D31" i="17"/>
  <c r="N6" i="17"/>
  <c r="Q10" i="17"/>
  <c r="Q13" i="17"/>
  <c r="I31" i="17"/>
  <c r="P7" i="17"/>
  <c r="P8" i="17"/>
  <c r="P9" i="17"/>
  <c r="M119" i="12"/>
  <c r="N119" i="12" s="1"/>
  <c r="P11" i="17"/>
  <c r="P14" i="17"/>
  <c r="J19" i="17"/>
  <c r="N10" i="17"/>
  <c r="N11" i="17"/>
  <c r="N14" i="17"/>
  <c r="D19" i="17"/>
  <c r="P10" i="17"/>
  <c r="P13" i="17"/>
  <c r="I19" i="17"/>
  <c r="E5" i="12"/>
  <c r="F5" i="12"/>
  <c r="G5" i="12"/>
  <c r="H5" i="12"/>
  <c r="H79" i="12"/>
  <c r="N13" i="17"/>
  <c r="C19" i="17"/>
  <c r="H51" i="12"/>
  <c r="H52" i="12"/>
  <c r="H44" i="12"/>
  <c r="H45" i="12"/>
  <c r="H146" i="12"/>
  <c r="H29" i="12"/>
  <c r="I5" i="12"/>
  <c r="I79" i="12"/>
  <c r="I44" i="12"/>
  <c r="I45" i="12"/>
  <c r="I46" i="12" s="1"/>
  <c r="I51" i="12"/>
  <c r="I52" i="12"/>
  <c r="I29" i="12"/>
  <c r="I146" i="12"/>
  <c r="J5" i="12"/>
  <c r="J79" i="12"/>
  <c r="J44" i="12"/>
  <c r="J45" i="12"/>
  <c r="J46" i="12" s="1"/>
  <c r="J51" i="12"/>
  <c r="J52" i="12"/>
  <c r="J146" i="12"/>
  <c r="J29" i="12"/>
  <c r="K5" i="12"/>
  <c r="K79" i="12"/>
  <c r="E5" i="11"/>
  <c r="F5" i="11"/>
  <c r="G5" i="11"/>
  <c r="H5" i="11"/>
  <c r="I5" i="11"/>
  <c r="J5" i="11"/>
  <c r="K5" i="11"/>
  <c r="L5" i="11"/>
  <c r="K51" i="12"/>
  <c r="K52" i="12"/>
  <c r="K44" i="12"/>
  <c r="K45" i="12"/>
  <c r="K46" i="12" s="1"/>
  <c r="K29" i="12"/>
  <c r="K146" i="12"/>
  <c r="L5" i="12"/>
  <c r="L79" i="12"/>
  <c r="L51" i="12"/>
  <c r="L52" i="12"/>
  <c r="L44" i="12"/>
  <c r="L45" i="12"/>
  <c r="L146" i="12"/>
  <c r="L29" i="12"/>
  <c r="G15" i="12"/>
  <c r="K25" i="16"/>
  <c r="E5" i="7"/>
  <c r="F5" i="7"/>
  <c r="G5" i="7"/>
  <c r="H5" i="7"/>
  <c r="I5" i="7"/>
  <c r="J5" i="7"/>
  <c r="K5" i="7"/>
  <c r="L5" i="7"/>
  <c r="H27" i="7"/>
  <c r="H102" i="7"/>
  <c r="H26" i="7"/>
  <c r="H101" i="7"/>
  <c r="I83" i="10"/>
  <c r="I141" i="10"/>
  <c r="I53" i="11"/>
  <c r="I78" i="10"/>
  <c r="J78" i="10"/>
  <c r="K78" i="10"/>
  <c r="L78" i="10"/>
  <c r="M78" i="10"/>
  <c r="I77" i="10"/>
  <c r="J77" i="10"/>
  <c r="K77" i="10"/>
  <c r="L77" i="10"/>
  <c r="M77" i="10"/>
  <c r="L27" i="7"/>
  <c r="L102" i="7"/>
  <c r="M27" i="7"/>
  <c r="M102" i="7"/>
  <c r="L26" i="7"/>
  <c r="L101" i="7"/>
  <c r="M26" i="7"/>
  <c r="M101" i="7"/>
  <c r="K26" i="7"/>
  <c r="K101" i="7"/>
  <c r="I26" i="7"/>
  <c r="I101" i="7"/>
  <c r="J27" i="7"/>
  <c r="J102" i="7"/>
  <c r="I27" i="7"/>
  <c r="I102" i="7"/>
  <c r="J83" i="10"/>
  <c r="J141" i="10"/>
  <c r="J53" i="11"/>
  <c r="J26" i="7"/>
  <c r="J101" i="7"/>
  <c r="K27" i="7"/>
  <c r="K102" i="7"/>
  <c r="K83" i="10"/>
  <c r="K141" i="10"/>
  <c r="K53" i="11"/>
  <c r="L83" i="10"/>
  <c r="M83" i="10"/>
  <c r="M141" i="10"/>
  <c r="L141" i="10"/>
  <c r="L53" i="11"/>
  <c r="M53" i="11"/>
  <c r="E5" i="10"/>
  <c r="F5" i="10"/>
  <c r="G5" i="10"/>
  <c r="H5" i="10"/>
  <c r="I5" i="10"/>
  <c r="J5" i="10"/>
  <c r="K5" i="10"/>
  <c r="L5" i="10"/>
  <c r="E5" i="6"/>
  <c r="F5" i="6"/>
  <c r="G5" i="6"/>
  <c r="H5" i="6"/>
  <c r="I5" i="6"/>
  <c r="J5" i="6"/>
  <c r="K5" i="6"/>
  <c r="L5" i="6"/>
  <c r="G110" i="10"/>
  <c r="H110" i="10"/>
  <c r="I110" i="10"/>
  <c r="J110" i="10"/>
  <c r="K110" i="10"/>
  <c r="L110" i="10"/>
  <c r="M110" i="10"/>
  <c r="G123" i="10"/>
  <c r="G73" i="7"/>
  <c r="G121" i="10"/>
  <c r="G75" i="10"/>
  <c r="G72" i="10"/>
  <c r="G71" i="10"/>
  <c r="G70" i="10"/>
  <c r="G39" i="10"/>
  <c r="G46" i="10"/>
  <c r="G52" i="7"/>
  <c r="G58" i="10"/>
  <c r="G48" i="7"/>
  <c r="G57" i="10"/>
  <c r="G47" i="7"/>
  <c r="G56" i="10"/>
  <c r="G46" i="7"/>
  <c r="F110" i="10"/>
  <c r="F80" i="7"/>
  <c r="F123" i="10"/>
  <c r="F73" i="7"/>
  <c r="F121" i="10"/>
  <c r="F72" i="7"/>
  <c r="F75" i="10"/>
  <c r="F64" i="7"/>
  <c r="F72" i="10"/>
  <c r="F58" i="7"/>
  <c r="F71" i="10"/>
  <c r="F57" i="7"/>
  <c r="F70" i="10"/>
  <c r="F56" i="7"/>
  <c r="F39" i="10"/>
  <c r="F53" i="7"/>
  <c r="F46" i="10"/>
  <c r="F52" i="7"/>
  <c r="F58" i="10"/>
  <c r="F48" i="7"/>
  <c r="F57" i="10"/>
  <c r="F47" i="7"/>
  <c r="F56" i="10"/>
  <c r="F46" i="7"/>
  <c r="E110" i="10"/>
  <c r="E80" i="7"/>
  <c r="E123" i="10"/>
  <c r="E73" i="7"/>
  <c r="E121" i="10"/>
  <c r="E72" i="7"/>
  <c r="E75" i="10"/>
  <c r="E64" i="7"/>
  <c r="E72" i="10"/>
  <c r="E58" i="7"/>
  <c r="E71" i="10"/>
  <c r="E57" i="7"/>
  <c r="E70" i="10"/>
  <c r="E56" i="7"/>
  <c r="E39" i="10"/>
  <c r="E53" i="7"/>
  <c r="E46" i="10"/>
  <c r="E52" i="7"/>
  <c r="E58" i="10"/>
  <c r="E48" i="7"/>
  <c r="E57" i="10"/>
  <c r="E47" i="7"/>
  <c r="E56" i="10"/>
  <c r="E46" i="7"/>
  <c r="D59" i="10"/>
  <c r="D49" i="7"/>
  <c r="D75" i="10"/>
  <c r="D64" i="7"/>
  <c r="G80" i="6"/>
  <c r="G73" i="6"/>
  <c r="G62" i="6"/>
  <c r="G53" i="6"/>
  <c r="D123" i="10"/>
  <c r="D73" i="7"/>
  <c r="D121" i="10"/>
  <c r="D72" i="7"/>
  <c r="D116" i="10"/>
  <c r="D71" i="7"/>
  <c r="D72" i="10"/>
  <c r="D58" i="7"/>
  <c r="D71" i="10"/>
  <c r="D57" i="7"/>
  <c r="D70" i="10"/>
  <c r="D56" i="7"/>
  <c r="D74" i="10"/>
  <c r="D63" i="7"/>
  <c r="D39" i="10"/>
  <c r="D53" i="7"/>
  <c r="D58" i="10"/>
  <c r="D48" i="7"/>
  <c r="D57" i="10"/>
  <c r="D47" i="7"/>
  <c r="D56" i="10"/>
  <c r="D46" i="7"/>
  <c r="D127" i="10"/>
  <c r="D48" i="10"/>
  <c r="D21" i="7"/>
  <c r="G27" i="10"/>
  <c r="G16" i="7"/>
  <c r="G26" i="10"/>
  <c r="G15" i="7"/>
  <c r="G25" i="10"/>
  <c r="G14" i="7"/>
  <c r="G24" i="10"/>
  <c r="G13" i="7"/>
  <c r="F27" i="10"/>
  <c r="F16" i="7"/>
  <c r="F26" i="10"/>
  <c r="F15" i="7"/>
  <c r="F25" i="10"/>
  <c r="F14" i="7"/>
  <c r="F24" i="10"/>
  <c r="F13" i="7"/>
  <c r="E27" i="10"/>
  <c r="E16" i="7"/>
  <c r="E26" i="10"/>
  <c r="E15" i="7"/>
  <c r="E25" i="10"/>
  <c r="E14" i="7"/>
  <c r="E24" i="10"/>
  <c r="E13" i="7"/>
  <c r="D27" i="10"/>
  <c r="D16" i="7"/>
  <c r="D26" i="10"/>
  <c r="D15" i="7"/>
  <c r="D25" i="10"/>
  <c r="D14" i="7"/>
  <c r="D24" i="10"/>
  <c r="D13" i="7"/>
  <c r="G12" i="6"/>
  <c r="G15" i="6"/>
  <c r="G18" i="6"/>
  <c r="G21" i="6"/>
  <c r="G27" i="6"/>
  <c r="G30" i="6"/>
  <c r="F110" i="7"/>
  <c r="G66" i="6"/>
  <c r="D66" i="7"/>
  <c r="E54" i="7"/>
  <c r="F54" i="7"/>
  <c r="E59" i="7"/>
  <c r="E96" i="7"/>
  <c r="F59" i="7"/>
  <c r="F96" i="7"/>
  <c r="D50" i="7"/>
  <c r="H71" i="10"/>
  <c r="H57" i="7"/>
  <c r="G57" i="7"/>
  <c r="D25" i="7"/>
  <c r="H70" i="10"/>
  <c r="H56" i="7"/>
  <c r="G56" i="7"/>
  <c r="D59" i="7"/>
  <c r="H72" i="10"/>
  <c r="H58" i="7"/>
  <c r="G58" i="7"/>
  <c r="G80" i="7"/>
  <c r="G110" i="7"/>
  <c r="H121" i="10"/>
  <c r="H72" i="7"/>
  <c r="G72" i="7"/>
  <c r="H39" i="10"/>
  <c r="H53" i="7"/>
  <c r="G53" i="7"/>
  <c r="G54" i="7"/>
  <c r="H75" i="10"/>
  <c r="H64" i="7"/>
  <c r="G64" i="7"/>
  <c r="D45" i="11"/>
  <c r="D46" i="11"/>
  <c r="F45" i="11"/>
  <c r="F46" i="11"/>
  <c r="E45" i="11"/>
  <c r="E127" i="10"/>
  <c r="G127" i="10"/>
  <c r="F127" i="10"/>
  <c r="D78" i="10"/>
  <c r="D27" i="7"/>
  <c r="D90" i="10"/>
  <c r="D146" i="10"/>
  <c r="D77" i="10"/>
  <c r="D26" i="7"/>
  <c r="F78" i="10"/>
  <c r="F27" i="7"/>
  <c r="F102" i="7"/>
  <c r="F74" i="10"/>
  <c r="F63" i="7"/>
  <c r="F77" i="10"/>
  <c r="F26" i="7"/>
  <c r="F101" i="7"/>
  <c r="G78" i="10"/>
  <c r="G27" i="7"/>
  <c r="G102" i="7"/>
  <c r="G48" i="10"/>
  <c r="G90" i="10"/>
  <c r="G146" i="10"/>
  <c r="G74" i="10"/>
  <c r="G116" i="10"/>
  <c r="G71" i="7"/>
  <c r="F48" i="10"/>
  <c r="G77" i="10"/>
  <c r="G26" i="7"/>
  <c r="G101" i="7"/>
  <c r="F90" i="10"/>
  <c r="F146" i="10"/>
  <c r="F116" i="10"/>
  <c r="F71" i="7"/>
  <c r="E90" i="10"/>
  <c r="E146" i="10"/>
  <c r="E116" i="10"/>
  <c r="E71" i="7"/>
  <c r="E78" i="10"/>
  <c r="E27" i="7"/>
  <c r="E77" i="10"/>
  <c r="E26" i="7"/>
  <c r="E48" i="10"/>
  <c r="E21" i="7"/>
  <c r="E74" i="10"/>
  <c r="E63" i="7"/>
  <c r="E112" i="10"/>
  <c r="E76" i="7"/>
  <c r="F112" i="10"/>
  <c r="F76" i="7"/>
  <c r="G112" i="10"/>
  <c r="D112" i="10"/>
  <c r="D76" i="7"/>
  <c r="D46" i="10"/>
  <c r="D52" i="7"/>
  <c r="D54" i="7"/>
  <c r="D110" i="10"/>
  <c r="D80" i="7"/>
  <c r="E110" i="7"/>
  <c r="E125" i="10"/>
  <c r="F125" i="10"/>
  <c r="G125" i="10"/>
  <c r="H123" i="10"/>
  <c r="H73" i="7"/>
  <c r="G62" i="10"/>
  <c r="G26" i="11"/>
  <c r="D62" i="10"/>
  <c r="D26" i="11"/>
  <c r="E62" i="10"/>
  <c r="E26" i="11"/>
  <c r="F62" i="10"/>
  <c r="F26" i="11"/>
  <c r="G87" i="6"/>
  <c r="G91" i="6"/>
  <c r="D48" i="12"/>
  <c r="F105" i="7"/>
  <c r="G105" i="7"/>
  <c r="F104" i="7"/>
  <c r="E30" i="11"/>
  <c r="F30" i="11"/>
  <c r="J37" i="17"/>
  <c r="I24" i="17"/>
  <c r="J24" i="17"/>
  <c r="D37" i="17"/>
  <c r="C37" i="17"/>
  <c r="C24" i="17"/>
  <c r="I37" i="17"/>
  <c r="D24" i="17"/>
  <c r="E102" i="7"/>
  <c r="D95" i="12"/>
  <c r="J95" i="12"/>
  <c r="E95" i="12"/>
  <c r="E101" i="7"/>
  <c r="E104" i="7"/>
  <c r="E105" i="7"/>
  <c r="E91" i="7"/>
  <c r="E18" i="11"/>
  <c r="G30" i="11"/>
  <c r="I70" i="10"/>
  <c r="I56" i="7"/>
  <c r="I71" i="10"/>
  <c r="I57" i="7"/>
  <c r="I75" i="10"/>
  <c r="I64" i="7"/>
  <c r="F30" i="7"/>
  <c r="F93" i="10"/>
  <c r="E30" i="7"/>
  <c r="E93" i="10"/>
  <c r="G30" i="7"/>
  <c r="G93" i="10"/>
  <c r="D30" i="7"/>
  <c r="D93" i="10"/>
  <c r="D61" i="7"/>
  <c r="G59" i="7"/>
  <c r="G96" i="7"/>
  <c r="I39" i="10"/>
  <c r="I53" i="7"/>
  <c r="H74" i="10"/>
  <c r="I74" i="10"/>
  <c r="I63" i="7"/>
  <c r="G63" i="7"/>
  <c r="G104" i="7"/>
  <c r="F25" i="7"/>
  <c r="F100" i="7"/>
  <c r="E25" i="7"/>
  <c r="H59" i="7"/>
  <c r="H96" i="7"/>
  <c r="G50" i="10"/>
  <c r="G52" i="10"/>
  <c r="G21" i="7"/>
  <c r="I121" i="10"/>
  <c r="I72" i="7"/>
  <c r="G25" i="7"/>
  <c r="G100" i="7"/>
  <c r="E66" i="7"/>
  <c r="F66" i="7"/>
  <c r="H112" i="10"/>
  <c r="H76" i="7"/>
  <c r="G76" i="7"/>
  <c r="I72" i="10"/>
  <c r="I58" i="7"/>
  <c r="F50" i="10"/>
  <c r="F52" i="10"/>
  <c r="F21" i="7"/>
  <c r="F91" i="7"/>
  <c r="F95" i="7"/>
  <c r="E46" i="11"/>
  <c r="G45" i="11"/>
  <c r="G59" i="10"/>
  <c r="G49" i="7"/>
  <c r="G50" i="7"/>
  <c r="G46" i="11"/>
  <c r="D129" i="10"/>
  <c r="F119" i="10"/>
  <c r="G119" i="10"/>
  <c r="E119" i="10"/>
  <c r="I123" i="10"/>
  <c r="I73" i="7"/>
  <c r="E50" i="10"/>
  <c r="E52" i="10"/>
  <c r="H62" i="10"/>
  <c r="E59" i="10"/>
  <c r="E49" i="7"/>
  <c r="E50" i="7"/>
  <c r="E94" i="7"/>
  <c r="F59" i="10"/>
  <c r="F49" i="7"/>
  <c r="F50" i="7"/>
  <c r="D28" i="10"/>
  <c r="D17" i="7"/>
  <c r="E28" i="10"/>
  <c r="E17" i="7"/>
  <c r="G28" i="10"/>
  <c r="G17" i="7"/>
  <c r="F28" i="10"/>
  <c r="F17" i="7"/>
  <c r="G91" i="7"/>
  <c r="G95" i="7"/>
  <c r="G17" i="11"/>
  <c r="J70" i="10"/>
  <c r="J56" i="7"/>
  <c r="E95" i="7"/>
  <c r="E17" i="11"/>
  <c r="E20" i="11"/>
  <c r="G94" i="7"/>
  <c r="F94" i="7"/>
  <c r="E100" i="7"/>
  <c r="I59" i="7"/>
  <c r="I96" i="7"/>
  <c r="D68" i="7"/>
  <c r="E19" i="12"/>
  <c r="J71" i="10"/>
  <c r="J57" i="7"/>
  <c r="G18" i="11"/>
  <c r="F17" i="11"/>
  <c r="F18" i="11"/>
  <c r="J75" i="10"/>
  <c r="J64" i="7"/>
  <c r="J121" i="10"/>
  <c r="J72" i="7"/>
  <c r="J39" i="10"/>
  <c r="J53" i="7"/>
  <c r="I112" i="10"/>
  <c r="I76" i="7"/>
  <c r="E61" i="7"/>
  <c r="J72" i="10"/>
  <c r="J58" i="7"/>
  <c r="H63" i="7"/>
  <c r="G61" i="7"/>
  <c r="H19" i="12"/>
  <c r="G150" i="12"/>
  <c r="F61" i="7"/>
  <c r="G19" i="12"/>
  <c r="G66" i="7"/>
  <c r="J74" i="10"/>
  <c r="J63" i="7"/>
  <c r="I66" i="7"/>
  <c r="F140" i="10"/>
  <c r="D140" i="10"/>
  <c r="I62" i="10"/>
  <c r="I26" i="11"/>
  <c r="H26" i="11"/>
  <c r="H30" i="11"/>
  <c r="K70" i="10"/>
  <c r="K56" i="7"/>
  <c r="J123" i="10"/>
  <c r="J73" i="7"/>
  <c r="H52" i="10"/>
  <c r="I52" i="10"/>
  <c r="J52" i="10"/>
  <c r="K52" i="10"/>
  <c r="L52" i="10"/>
  <c r="H42" i="10"/>
  <c r="J104" i="7"/>
  <c r="H104" i="7"/>
  <c r="I104" i="7"/>
  <c r="E21" i="11"/>
  <c r="I36" i="17"/>
  <c r="D23" i="17"/>
  <c r="C23" i="17"/>
  <c r="J36" i="17"/>
  <c r="C36" i="17"/>
  <c r="I23" i="17"/>
  <c r="J23" i="17"/>
  <c r="D36" i="17"/>
  <c r="D94" i="12"/>
  <c r="J94" i="12"/>
  <c r="E94" i="12"/>
  <c r="G22" i="12"/>
  <c r="G21" i="11"/>
  <c r="G20" i="11"/>
  <c r="E68" i="7"/>
  <c r="F19" i="12"/>
  <c r="E22" i="12"/>
  <c r="F21" i="11"/>
  <c r="F20" i="11"/>
  <c r="I30" i="11"/>
  <c r="G68" i="7"/>
  <c r="K71" i="10"/>
  <c r="K57" i="7"/>
  <c r="J59" i="7"/>
  <c r="J96" i="7"/>
  <c r="F68" i="7"/>
  <c r="K39" i="10"/>
  <c r="K53" i="7"/>
  <c r="K121" i="10"/>
  <c r="K72" i="7"/>
  <c r="K75" i="10"/>
  <c r="K64" i="7"/>
  <c r="F142" i="10"/>
  <c r="F41" i="18"/>
  <c r="F90" i="18"/>
  <c r="F92" i="18"/>
  <c r="D41" i="18"/>
  <c r="J112" i="10"/>
  <c r="J76" i="7"/>
  <c r="H66" i="7"/>
  <c r="K72" i="10"/>
  <c r="K58" i="7"/>
  <c r="J62" i="10"/>
  <c r="J26" i="11"/>
  <c r="J30" i="11"/>
  <c r="K74" i="10"/>
  <c r="K63" i="7"/>
  <c r="J66" i="7"/>
  <c r="G140" i="10"/>
  <c r="E140" i="10"/>
  <c r="L70" i="10"/>
  <c r="M70" i="10"/>
  <c r="K123" i="10"/>
  <c r="K73" i="7"/>
  <c r="D97" i="10"/>
  <c r="F97" i="10"/>
  <c r="K104" i="7"/>
  <c r="F101" i="10"/>
  <c r="K66" i="7"/>
  <c r="F22" i="12"/>
  <c r="L56" i="7"/>
  <c r="L75" i="10"/>
  <c r="M75" i="10"/>
  <c r="K59" i="7"/>
  <c r="K96" i="7"/>
  <c r="L71" i="10"/>
  <c r="M71" i="10"/>
  <c r="L39" i="10"/>
  <c r="M39" i="10"/>
  <c r="K62" i="10"/>
  <c r="L62" i="10"/>
  <c r="K112" i="10"/>
  <c r="K76" i="7"/>
  <c r="L121" i="10"/>
  <c r="M121" i="10"/>
  <c r="G142" i="10"/>
  <c r="G41" i="18"/>
  <c r="G90" i="18"/>
  <c r="G92" i="18"/>
  <c r="F41" i="7"/>
  <c r="F90" i="7"/>
  <c r="F147" i="10"/>
  <c r="D41" i="7"/>
  <c r="D147" i="10"/>
  <c r="F144" i="10"/>
  <c r="E142" i="10"/>
  <c r="E41" i="18"/>
  <c r="E90" i="18"/>
  <c r="D144" i="10"/>
  <c r="L72" i="10"/>
  <c r="M72" i="10"/>
  <c r="L74" i="10"/>
  <c r="M74" i="10"/>
  <c r="G97" i="10"/>
  <c r="M56" i="7"/>
  <c r="L123" i="10"/>
  <c r="M123" i="10"/>
  <c r="E97" i="10"/>
  <c r="E101" i="10"/>
  <c r="G101" i="10"/>
  <c r="L73" i="7"/>
  <c r="L63" i="7"/>
  <c r="M63" i="7"/>
  <c r="L64" i="7"/>
  <c r="M64" i="7"/>
  <c r="L58" i="7"/>
  <c r="M58" i="7"/>
  <c r="L53" i="7"/>
  <c r="M53" i="7"/>
  <c r="L72" i="7"/>
  <c r="L57" i="7"/>
  <c r="M57" i="7"/>
  <c r="K26" i="11"/>
  <c r="K30" i="11"/>
  <c r="M72" i="7"/>
  <c r="L112" i="10"/>
  <c r="M112" i="10"/>
  <c r="F42" i="7"/>
  <c r="F99" i="7"/>
  <c r="F42" i="18"/>
  <c r="F99" i="18"/>
  <c r="D42" i="7"/>
  <c r="D42" i="18"/>
  <c r="F38" i="7"/>
  <c r="D38" i="18"/>
  <c r="D39" i="18"/>
  <c r="D38" i="7"/>
  <c r="D20" i="12"/>
  <c r="F38" i="18"/>
  <c r="E41" i="7"/>
  <c r="E90" i="7"/>
  <c r="E147" i="10"/>
  <c r="G41" i="7"/>
  <c r="G90" i="7"/>
  <c r="G147" i="10"/>
  <c r="E144" i="10"/>
  <c r="G144" i="10"/>
  <c r="D108" i="10"/>
  <c r="D77" i="7"/>
  <c r="M73" i="7"/>
  <c r="L26" i="11"/>
  <c r="M104" i="7"/>
  <c r="L104" i="7"/>
  <c r="F50" i="11"/>
  <c r="F20" i="12"/>
  <c r="F21" i="12"/>
  <c r="F23" i="12"/>
  <c r="F24" i="12"/>
  <c r="M66" i="7"/>
  <c r="L30" i="11"/>
  <c r="M59" i="7"/>
  <c r="L59" i="7"/>
  <c r="L96" i="7"/>
  <c r="L66" i="7"/>
  <c r="L76" i="7"/>
  <c r="D78" i="7"/>
  <c r="M76" i="7"/>
  <c r="E42" i="7"/>
  <c r="E42" i="18"/>
  <c r="E99" i="18"/>
  <c r="G42" i="7"/>
  <c r="G99" i="7"/>
  <c r="G42" i="18"/>
  <c r="G99" i="18"/>
  <c r="F39" i="18"/>
  <c r="F97" i="18"/>
  <c r="F106" i="18"/>
  <c r="F112" i="18"/>
  <c r="F113" i="18"/>
  <c r="G38" i="7"/>
  <c r="G38" i="18"/>
  <c r="E38" i="18"/>
  <c r="E38" i="7"/>
  <c r="G50" i="11"/>
  <c r="E50" i="11"/>
  <c r="D81" i="7"/>
  <c r="E69" i="12"/>
  <c r="M96" i="7"/>
  <c r="E99" i="7"/>
  <c r="E20" i="12"/>
  <c r="E21" i="12"/>
  <c r="E23" i="12"/>
  <c r="G20" i="12"/>
  <c r="G21" i="12"/>
  <c r="E92" i="18"/>
  <c r="E97" i="18"/>
  <c r="E106" i="18"/>
  <c r="E112" i="18"/>
  <c r="E39" i="18"/>
  <c r="G97" i="18"/>
  <c r="G106" i="18"/>
  <c r="G112" i="18"/>
  <c r="G113" i="18"/>
  <c r="G39" i="18"/>
  <c r="F108" i="10"/>
  <c r="F77" i="7"/>
  <c r="E108" i="10"/>
  <c r="E77" i="7"/>
  <c r="G108" i="10"/>
  <c r="H101" i="10"/>
  <c r="G23" i="12"/>
  <c r="G24" i="12"/>
  <c r="E24" i="12"/>
  <c r="F78" i="7"/>
  <c r="E78" i="7"/>
  <c r="F69" i="12"/>
  <c r="E113" i="18"/>
  <c r="H104" i="10"/>
  <c r="G77" i="7"/>
  <c r="I101" i="10"/>
  <c r="G69" i="12"/>
  <c r="F81" i="7"/>
  <c r="E81" i="7"/>
  <c r="E72" i="12"/>
  <c r="G78" i="7"/>
  <c r="E74" i="18"/>
  <c r="E83" i="18"/>
  <c r="E85" i="18"/>
  <c r="J101" i="10"/>
  <c r="H69" i="12"/>
  <c r="F72" i="12"/>
  <c r="G81" i="7"/>
  <c r="F74" i="18"/>
  <c r="F83" i="18"/>
  <c r="F85" i="18"/>
  <c r="K101" i="10"/>
  <c r="G72" i="12"/>
  <c r="G74" i="18"/>
  <c r="E48" i="12"/>
  <c r="L101" i="10"/>
  <c r="G83" i="18"/>
  <c r="G85" i="18"/>
  <c r="F48" i="12"/>
  <c r="F49" i="12"/>
  <c r="E49" i="12"/>
  <c r="E129" i="10"/>
  <c r="F129" i="10"/>
  <c r="F130" i="10"/>
  <c r="E130" i="10"/>
  <c r="G48" i="12"/>
  <c r="G49" i="12"/>
  <c r="G129" i="10"/>
  <c r="G130" i="10"/>
  <c r="H130" i="10"/>
  <c r="I130" i="10"/>
  <c r="J130" i="10"/>
  <c r="K130" i="10"/>
  <c r="L130" i="10"/>
  <c r="M130" i="10"/>
  <c r="E10" i="7"/>
  <c r="E55" i="11"/>
  <c r="G10" i="7"/>
  <c r="G55" i="11"/>
  <c r="E18" i="7"/>
  <c r="E39" i="7"/>
  <c r="G18" i="7"/>
  <c r="G39" i="7"/>
  <c r="G118" i="10"/>
  <c r="H118" i="10"/>
  <c r="I118" i="10"/>
  <c r="E118" i="10"/>
  <c r="G63" i="10"/>
  <c r="G27" i="11"/>
  <c r="G61" i="10"/>
  <c r="G25" i="11"/>
  <c r="G64" i="10"/>
  <c r="E64" i="10"/>
  <c r="E63" i="10"/>
  <c r="E27" i="11"/>
  <c r="E61" i="10"/>
  <c r="E25" i="11"/>
  <c r="E34" i="10"/>
  <c r="E32" i="10"/>
  <c r="E33" i="10"/>
  <c r="E31" i="10"/>
  <c r="E51" i="10"/>
  <c r="E35" i="10"/>
  <c r="G32" i="10"/>
  <c r="G33" i="10"/>
  <c r="G31" i="10"/>
  <c r="G34" i="10"/>
  <c r="G51" i="10"/>
  <c r="G35" i="10"/>
  <c r="F10" i="7"/>
  <c r="G11" i="7"/>
  <c r="G10" i="11"/>
  <c r="F55" i="11"/>
  <c r="D18" i="17"/>
  <c r="D20" i="17"/>
  <c r="C18" i="17"/>
  <c r="C20" i="17"/>
  <c r="F11" i="7"/>
  <c r="F10" i="11"/>
  <c r="F18" i="7"/>
  <c r="F39" i="7"/>
  <c r="E20" i="10"/>
  <c r="D10" i="7"/>
  <c r="E11" i="7"/>
  <c r="E10" i="11"/>
  <c r="E22" i="7"/>
  <c r="E19" i="7"/>
  <c r="E11" i="11"/>
  <c r="G22" i="7"/>
  <c r="G19" i="7"/>
  <c r="G11" i="11"/>
  <c r="F20" i="10"/>
  <c r="H116" i="10"/>
  <c r="H20" i="10"/>
  <c r="G20" i="10"/>
  <c r="F118" i="10"/>
  <c r="H10" i="7"/>
  <c r="D118" i="10"/>
  <c r="J118" i="10"/>
  <c r="K118" i="10"/>
  <c r="D64" i="10"/>
  <c r="D63" i="10"/>
  <c r="D27" i="11"/>
  <c r="E31" i="11"/>
  <c r="D61" i="10"/>
  <c r="D25" i="11"/>
  <c r="E29" i="11"/>
  <c r="F64" i="10"/>
  <c r="H64" i="10"/>
  <c r="H59" i="10"/>
  <c r="H49" i="7"/>
  <c r="F63" i="10"/>
  <c r="F61" i="10"/>
  <c r="D34" i="10"/>
  <c r="D32" i="10"/>
  <c r="D33" i="10"/>
  <c r="D31" i="10"/>
  <c r="D35" i="10"/>
  <c r="F34" i="10"/>
  <c r="F32" i="10"/>
  <c r="F33" i="10"/>
  <c r="F31" i="10"/>
  <c r="F51" i="10"/>
  <c r="H51" i="10"/>
  <c r="F35" i="10"/>
  <c r="G39" i="11"/>
  <c r="G89" i="7"/>
  <c r="G92" i="7"/>
  <c r="G97" i="7"/>
  <c r="E39" i="11"/>
  <c r="E89" i="7"/>
  <c r="E92" i="7"/>
  <c r="E97" i="7"/>
  <c r="H11" i="7"/>
  <c r="H10" i="11"/>
  <c r="H55" i="11"/>
  <c r="G23" i="7"/>
  <c r="G28" i="7"/>
  <c r="G31" i="7"/>
  <c r="E28" i="7"/>
  <c r="E31" i="7"/>
  <c r="E58" i="11"/>
  <c r="E23" i="7"/>
  <c r="F22" i="7"/>
  <c r="F19" i="7"/>
  <c r="F11" i="11"/>
  <c r="D18" i="7"/>
  <c r="D39" i="7"/>
  <c r="H71" i="7"/>
  <c r="H105" i="7"/>
  <c r="H119" i="10"/>
  <c r="H61" i="10"/>
  <c r="H25" i="11"/>
  <c r="H29" i="11"/>
  <c r="F25" i="11"/>
  <c r="H63" i="10"/>
  <c r="H27" i="11"/>
  <c r="H31" i="11"/>
  <c r="F27" i="11"/>
  <c r="L118" i="10"/>
  <c r="M118" i="10"/>
  <c r="H33" i="10"/>
  <c r="I33" i="10"/>
  <c r="J33" i="10"/>
  <c r="K33" i="10"/>
  <c r="L33" i="10"/>
  <c r="M33" i="10"/>
  <c r="H34" i="10"/>
  <c r="I34" i="10"/>
  <c r="J34" i="10"/>
  <c r="K34" i="10"/>
  <c r="L34" i="10"/>
  <c r="M34" i="10"/>
  <c r="H35" i="10"/>
  <c r="I51" i="10"/>
  <c r="H50" i="10"/>
  <c r="H31" i="10"/>
  <c r="I20" i="10"/>
  <c r="H32" i="10"/>
  <c r="F39" i="11"/>
  <c r="F89" i="7"/>
  <c r="F92" i="7"/>
  <c r="F97" i="7"/>
  <c r="E106" i="7"/>
  <c r="E77" i="12"/>
  <c r="E27" i="12"/>
  <c r="E41" i="11"/>
  <c r="G106" i="7"/>
  <c r="G77" i="12"/>
  <c r="G27" i="12"/>
  <c r="G41" i="11"/>
  <c r="G58" i="11"/>
  <c r="G109" i="7"/>
  <c r="G112" i="7"/>
  <c r="D30" i="17"/>
  <c r="D33" i="17"/>
  <c r="D42" i="19"/>
  <c r="C30" i="17"/>
  <c r="C33" i="17"/>
  <c r="D43" i="19"/>
  <c r="E35" i="7"/>
  <c r="E109" i="7"/>
  <c r="G35" i="7"/>
  <c r="E70" i="12"/>
  <c r="E71" i="12"/>
  <c r="E73" i="12"/>
  <c r="E74" i="12"/>
  <c r="G70" i="12"/>
  <c r="G71" i="12"/>
  <c r="G73" i="12"/>
  <c r="G74" i="12"/>
  <c r="F29" i="11"/>
  <c r="G29" i="11"/>
  <c r="F31" i="11"/>
  <c r="G31" i="11"/>
  <c r="G54" i="11"/>
  <c r="G56" i="11"/>
  <c r="G12" i="11"/>
  <c r="E54" i="11"/>
  <c r="E56" i="11"/>
  <c r="E12" i="11"/>
  <c r="E32" i="7"/>
  <c r="E13" i="11"/>
  <c r="G32" i="7"/>
  <c r="G13" i="11"/>
  <c r="H56" i="10"/>
  <c r="H46" i="7"/>
  <c r="D22" i="7"/>
  <c r="D39" i="11"/>
  <c r="D19" i="7"/>
  <c r="D11" i="11"/>
  <c r="F23" i="7"/>
  <c r="F28" i="7"/>
  <c r="F31" i="7"/>
  <c r="I63" i="10"/>
  <c r="I27" i="11"/>
  <c r="I31" i="11"/>
  <c r="I61" i="10"/>
  <c r="I25" i="11"/>
  <c r="I29" i="11"/>
  <c r="J20" i="10"/>
  <c r="J116" i="10"/>
  <c r="J71" i="7"/>
  <c r="J10" i="7"/>
  <c r="H58" i="10"/>
  <c r="H48" i="7"/>
  <c r="I116" i="10"/>
  <c r="I10" i="7"/>
  <c r="I11" i="7"/>
  <c r="H26" i="10"/>
  <c r="H15" i="7"/>
  <c r="I64" i="10"/>
  <c r="I59" i="10"/>
  <c r="I49" i="7"/>
  <c r="J26" i="10"/>
  <c r="J15" i="7"/>
  <c r="J27" i="10"/>
  <c r="H27" i="10"/>
  <c r="H48" i="10"/>
  <c r="H43" i="10"/>
  <c r="I31" i="10"/>
  <c r="J31" i="10"/>
  <c r="K31" i="10"/>
  <c r="L31" i="10"/>
  <c r="M31" i="10"/>
  <c r="H24" i="10"/>
  <c r="I27" i="10"/>
  <c r="I26" i="10"/>
  <c r="I15" i="7"/>
  <c r="I32" i="10"/>
  <c r="J32" i="10"/>
  <c r="K32" i="10"/>
  <c r="L32" i="10"/>
  <c r="M32" i="10"/>
  <c r="H25" i="10"/>
  <c r="H14" i="7"/>
  <c r="J51" i="10"/>
  <c r="I50" i="10"/>
  <c r="I35" i="10"/>
  <c r="J35" i="10"/>
  <c r="K35" i="10"/>
  <c r="L35" i="10"/>
  <c r="M35" i="10"/>
  <c r="H28" i="10"/>
  <c r="H17" i="7"/>
  <c r="E112" i="7"/>
  <c r="F106" i="7"/>
  <c r="F77" i="12"/>
  <c r="F27" i="12"/>
  <c r="F41" i="11"/>
  <c r="G42" i="12"/>
  <c r="G25" i="12"/>
  <c r="E42" i="12"/>
  <c r="E25" i="12"/>
  <c r="F58" i="11"/>
  <c r="F109" i="7"/>
  <c r="F112" i="7"/>
  <c r="D44" i="19"/>
  <c r="F35" i="7"/>
  <c r="G134" i="10"/>
  <c r="F70" i="12"/>
  <c r="F71" i="12"/>
  <c r="F73" i="12"/>
  <c r="F74" i="12"/>
  <c r="E134" i="10"/>
  <c r="F12" i="11"/>
  <c r="F54" i="11"/>
  <c r="F56" i="11"/>
  <c r="F32" i="7"/>
  <c r="F13" i="11"/>
  <c r="I58" i="10"/>
  <c r="I48" i="7"/>
  <c r="D23" i="7"/>
  <c r="D12" i="11"/>
  <c r="D28" i="7"/>
  <c r="D31" i="7"/>
  <c r="I56" i="10"/>
  <c r="I46" i="7"/>
  <c r="J61" i="10"/>
  <c r="J25" i="11"/>
  <c r="J29" i="11"/>
  <c r="J63" i="10"/>
  <c r="J27" i="11"/>
  <c r="J31" i="11"/>
  <c r="I71" i="7"/>
  <c r="I105" i="7"/>
  <c r="J11" i="7"/>
  <c r="J10" i="11"/>
  <c r="J16" i="7"/>
  <c r="J119" i="10"/>
  <c r="I16" i="7"/>
  <c r="I119" i="10"/>
  <c r="I10" i="11"/>
  <c r="H16" i="7"/>
  <c r="H57" i="10"/>
  <c r="H47" i="7"/>
  <c r="H50" i="7"/>
  <c r="H94" i="7"/>
  <c r="H13" i="7"/>
  <c r="H44" i="10"/>
  <c r="H46" i="10"/>
  <c r="H52" i="7"/>
  <c r="H54" i="7"/>
  <c r="H21" i="7"/>
  <c r="H91" i="7"/>
  <c r="K20" i="10"/>
  <c r="J50" i="10"/>
  <c r="J43" i="10"/>
  <c r="K51" i="10"/>
  <c r="J64" i="10"/>
  <c r="I24" i="10"/>
  <c r="I48" i="10"/>
  <c r="I43" i="10"/>
  <c r="J25" i="10"/>
  <c r="J14" i="7"/>
  <c r="I28" i="10"/>
  <c r="I17" i="7"/>
  <c r="J28" i="10"/>
  <c r="J17" i="7"/>
  <c r="I25" i="10"/>
  <c r="I14" i="7"/>
  <c r="J24" i="10"/>
  <c r="F42" i="12"/>
  <c r="F25" i="12"/>
  <c r="J105" i="7"/>
  <c r="D35" i="7"/>
  <c r="F134" i="10"/>
  <c r="H95" i="7"/>
  <c r="H17" i="11"/>
  <c r="D32" i="7"/>
  <c r="D13" i="11"/>
  <c r="K61" i="10"/>
  <c r="K25" i="11"/>
  <c r="K29" i="11"/>
  <c r="J56" i="10"/>
  <c r="J46" i="7"/>
  <c r="K63" i="10"/>
  <c r="K27" i="11"/>
  <c r="K31" i="11"/>
  <c r="J58" i="10"/>
  <c r="J48" i="7"/>
  <c r="H61" i="7"/>
  <c r="I19" i="12"/>
  <c r="H22" i="12"/>
  <c r="L20" i="10"/>
  <c r="K10" i="7"/>
  <c r="L10" i="7"/>
  <c r="J57" i="10"/>
  <c r="J47" i="7"/>
  <c r="J13" i="7"/>
  <c r="J18" i="7"/>
  <c r="J19" i="7"/>
  <c r="J11" i="11"/>
  <c r="I57" i="10"/>
  <c r="I47" i="7"/>
  <c r="I50" i="7"/>
  <c r="I94" i="7"/>
  <c r="I13" i="7"/>
  <c r="I18" i="7"/>
  <c r="I19" i="7"/>
  <c r="I11" i="11"/>
  <c r="I44" i="10"/>
  <c r="I21" i="7"/>
  <c r="I91" i="7"/>
  <c r="H18" i="7"/>
  <c r="J48" i="10"/>
  <c r="L26" i="10"/>
  <c r="L15" i="7"/>
  <c r="L28" i="10"/>
  <c r="L17" i="7"/>
  <c r="L27" i="10"/>
  <c r="L24" i="10"/>
  <c r="L25" i="10"/>
  <c r="L14" i="7"/>
  <c r="L116" i="10"/>
  <c r="M116" i="10"/>
  <c r="L51" i="10"/>
  <c r="K50" i="10"/>
  <c r="J59" i="10"/>
  <c r="J49" i="7"/>
  <c r="K64" i="10"/>
  <c r="K25" i="10"/>
  <c r="K14" i="7"/>
  <c r="K28" i="10"/>
  <c r="K17" i="7"/>
  <c r="K27" i="10"/>
  <c r="K26" i="10"/>
  <c r="K15" i="7"/>
  <c r="K24" i="10"/>
  <c r="K116" i="10"/>
  <c r="K71" i="7"/>
  <c r="K105" i="7"/>
  <c r="I42" i="10"/>
  <c r="H18" i="11"/>
  <c r="H20" i="11"/>
  <c r="I18" i="17"/>
  <c r="I20" i="17"/>
  <c r="J18" i="17"/>
  <c r="J20" i="17"/>
  <c r="L71" i="7"/>
  <c r="L105" i="7"/>
  <c r="L63" i="10"/>
  <c r="K11" i="7"/>
  <c r="K10" i="11"/>
  <c r="H68" i="7"/>
  <c r="I55" i="11"/>
  <c r="D70" i="7"/>
  <c r="D74" i="7"/>
  <c r="K56" i="10"/>
  <c r="K46" i="7"/>
  <c r="L61" i="10"/>
  <c r="L56" i="10"/>
  <c r="M56" i="10"/>
  <c r="K58" i="10"/>
  <c r="K48" i="7"/>
  <c r="J50" i="7"/>
  <c r="J94" i="7"/>
  <c r="I46" i="10"/>
  <c r="I52" i="7"/>
  <c r="I54" i="7"/>
  <c r="H21" i="11"/>
  <c r="L11" i="7"/>
  <c r="L10" i="11"/>
  <c r="L50" i="10"/>
  <c r="L43" i="10"/>
  <c r="K57" i="10"/>
  <c r="K47" i="7"/>
  <c r="K13" i="7"/>
  <c r="L57" i="10"/>
  <c r="L13" i="7"/>
  <c r="L16" i="7"/>
  <c r="K16" i="7"/>
  <c r="K119" i="10"/>
  <c r="J44" i="10"/>
  <c r="J21" i="7"/>
  <c r="J91" i="7"/>
  <c r="I22" i="7"/>
  <c r="I89" i="7"/>
  <c r="H19" i="7"/>
  <c r="H11" i="11"/>
  <c r="H22" i="7"/>
  <c r="H89" i="7"/>
  <c r="L119" i="10"/>
  <c r="L64" i="10"/>
  <c r="K59" i="10"/>
  <c r="K49" i="7"/>
  <c r="K43" i="10"/>
  <c r="K48" i="10"/>
  <c r="I95" i="7"/>
  <c r="I17" i="11"/>
  <c r="I18" i="11"/>
  <c r="L47" i="7"/>
  <c r="M57" i="10"/>
  <c r="L58" i="10"/>
  <c r="L27" i="11"/>
  <c r="L31" i="11"/>
  <c r="D38" i="11"/>
  <c r="D35" i="11"/>
  <c r="D83" i="7"/>
  <c r="D85" i="7"/>
  <c r="L46" i="7"/>
  <c r="L25" i="11"/>
  <c r="L29" i="11"/>
  <c r="H140" i="10"/>
  <c r="H86" i="10"/>
  <c r="I140" i="10"/>
  <c r="I86" i="10"/>
  <c r="J42" i="10"/>
  <c r="J46" i="10"/>
  <c r="J52" i="7"/>
  <c r="J54" i="7"/>
  <c r="J95" i="7"/>
  <c r="K50" i="7"/>
  <c r="K94" i="7"/>
  <c r="I61" i="7"/>
  <c r="L48" i="10"/>
  <c r="L44" i="10"/>
  <c r="L59" i="10"/>
  <c r="L18" i="7"/>
  <c r="L19" i="7"/>
  <c r="L11" i="11"/>
  <c r="K18" i="7"/>
  <c r="K19" i="7"/>
  <c r="K11" i="11"/>
  <c r="K44" i="10"/>
  <c r="K21" i="7"/>
  <c r="K91" i="7"/>
  <c r="J18" i="11"/>
  <c r="J22" i="7"/>
  <c r="J89" i="7"/>
  <c r="I23" i="7"/>
  <c r="I54" i="11"/>
  <c r="I56" i="11"/>
  <c r="H23" i="7"/>
  <c r="I20" i="11"/>
  <c r="L49" i="7"/>
  <c r="M59" i="10"/>
  <c r="L48" i="7"/>
  <c r="M58" i="10"/>
  <c r="J19" i="12"/>
  <c r="I22" i="12"/>
  <c r="I68" i="7"/>
  <c r="J55" i="11"/>
  <c r="H12" i="11"/>
  <c r="H54" i="11"/>
  <c r="H56" i="11"/>
  <c r="D36" i="11"/>
  <c r="I142" i="10"/>
  <c r="H142" i="10"/>
  <c r="J140" i="10"/>
  <c r="J86" i="10"/>
  <c r="I88" i="10"/>
  <c r="H88" i="10"/>
  <c r="L21" i="7"/>
  <c r="L91" i="7"/>
  <c r="J61" i="7"/>
  <c r="J17" i="11"/>
  <c r="J20" i="11"/>
  <c r="I12" i="11"/>
  <c r="I21" i="11"/>
  <c r="K42" i="10"/>
  <c r="K46" i="10"/>
  <c r="J23" i="7"/>
  <c r="J54" i="11"/>
  <c r="J56" i="11"/>
  <c r="K18" i="11"/>
  <c r="K22" i="7"/>
  <c r="K89" i="7"/>
  <c r="L50" i="7"/>
  <c r="L94" i="7"/>
  <c r="K19" i="12"/>
  <c r="J22" i="12"/>
  <c r="J68" i="7"/>
  <c r="K55" i="11"/>
  <c r="H144" i="10"/>
  <c r="H41" i="7"/>
  <c r="H90" i="7"/>
  <c r="H92" i="7"/>
  <c r="I144" i="10"/>
  <c r="I41" i="7"/>
  <c r="I90" i="7"/>
  <c r="I92" i="7"/>
  <c r="J142" i="10"/>
  <c r="K140" i="10"/>
  <c r="K86" i="10"/>
  <c r="J88" i="10"/>
  <c r="L22" i="7"/>
  <c r="L89" i="7"/>
  <c r="L42" i="10"/>
  <c r="L46" i="10"/>
  <c r="M42" i="10"/>
  <c r="K52" i="7"/>
  <c r="K54" i="7"/>
  <c r="K95" i="7"/>
  <c r="L18" i="11"/>
  <c r="J21" i="11"/>
  <c r="J12" i="11"/>
  <c r="K23" i="7"/>
  <c r="K54" i="11"/>
  <c r="K56" i="11"/>
  <c r="L52" i="7"/>
  <c r="L54" i="7"/>
  <c r="J144" i="10"/>
  <c r="J41" i="7"/>
  <c r="J90" i="7"/>
  <c r="J92" i="7"/>
  <c r="K142" i="10"/>
  <c r="L140" i="10"/>
  <c r="L86" i="10"/>
  <c r="L23" i="7"/>
  <c r="K88" i="10"/>
  <c r="K61" i="7"/>
  <c r="K17" i="11"/>
  <c r="K12" i="11"/>
  <c r="L61" i="7"/>
  <c r="M19" i="12"/>
  <c r="L95" i="7"/>
  <c r="L17" i="11"/>
  <c r="L20" i="11"/>
  <c r="K21" i="11"/>
  <c r="K20" i="11"/>
  <c r="L12" i="11"/>
  <c r="L54" i="11"/>
  <c r="K68" i="7"/>
  <c r="L55" i="11"/>
  <c r="K144" i="10"/>
  <c r="K41" i="7"/>
  <c r="K90" i="7"/>
  <c r="K92" i="7"/>
  <c r="L142" i="10"/>
  <c r="L41" i="7"/>
  <c r="L90" i="7"/>
  <c r="L92" i="7"/>
  <c r="L88" i="10"/>
  <c r="L19" i="12"/>
  <c r="L56" i="11"/>
  <c r="L68" i="7"/>
  <c r="K22" i="12"/>
  <c r="L22" i="12"/>
  <c r="L144" i="10"/>
  <c r="L21" i="11"/>
  <c r="K21" i="16"/>
  <c r="K23" i="16"/>
  <c r="M128" i="12"/>
  <c r="N128" i="12" s="1"/>
  <c r="K27" i="16"/>
  <c r="I80" i="12"/>
  <c r="L80" i="12"/>
  <c r="K80" i="12"/>
  <c r="J80" i="12"/>
  <c r="H80" i="12"/>
  <c r="M110" i="12"/>
  <c r="N110" i="12" s="1"/>
  <c r="G144" i="12"/>
  <c r="H30" i="12"/>
  <c r="H31" i="12" s="1"/>
  <c r="I147" i="12"/>
  <c r="J147" i="12"/>
  <c r="J30" i="12"/>
  <c r="J31" i="12" s="1"/>
  <c r="K30" i="12"/>
  <c r="K31" i="12" s="1"/>
  <c r="L147" i="12"/>
  <c r="L30" i="12"/>
  <c r="E144" i="12"/>
  <c r="H147" i="12"/>
  <c r="F144" i="12"/>
  <c r="K147" i="12"/>
  <c r="I30" i="12"/>
  <c r="I31" i="12" s="1"/>
  <c r="H38" i="7"/>
  <c r="I38" i="7"/>
  <c r="J38" i="7"/>
  <c r="K38" i="7"/>
  <c r="L38" i="7"/>
  <c r="I50" i="11"/>
  <c r="L50" i="11"/>
  <c r="H50" i="11"/>
  <c r="K50" i="11"/>
  <c r="J50" i="11"/>
  <c r="H20" i="12"/>
  <c r="H21" i="12"/>
  <c r="K20" i="12"/>
  <c r="K21" i="12"/>
  <c r="K23" i="12"/>
  <c r="I20" i="12"/>
  <c r="I21" i="12"/>
  <c r="J20" i="12"/>
  <c r="J21" i="12"/>
  <c r="J144" i="12"/>
  <c r="J148" i="12" s="1"/>
  <c r="L20" i="12"/>
  <c r="L21" i="12"/>
  <c r="L23" i="12"/>
  <c r="L24" i="12"/>
  <c r="I39" i="7"/>
  <c r="K39" i="7"/>
  <c r="H39" i="7"/>
  <c r="L39" i="7"/>
  <c r="J39" i="7"/>
  <c r="K97" i="7"/>
  <c r="J97" i="7"/>
  <c r="H97" i="7"/>
  <c r="L97" i="7"/>
  <c r="H144" i="12"/>
  <c r="J23" i="12"/>
  <c r="J24" i="12"/>
  <c r="K144" i="12"/>
  <c r="H23" i="12"/>
  <c r="H24" i="12"/>
  <c r="I144" i="12"/>
  <c r="I23" i="12"/>
  <c r="I24" i="12"/>
  <c r="K24" i="12"/>
  <c r="L144" i="12"/>
  <c r="I97" i="7"/>
  <c r="I27" i="12"/>
  <c r="I42" i="12"/>
  <c r="L27" i="12"/>
  <c r="L25" i="12"/>
  <c r="J27" i="12"/>
  <c r="J25" i="12"/>
  <c r="H27" i="12"/>
  <c r="H25" i="12"/>
  <c r="K27" i="12"/>
  <c r="K25" i="12"/>
  <c r="I25" i="12"/>
  <c r="K42" i="12"/>
  <c r="H42" i="12"/>
  <c r="H46" i="12"/>
  <c r="L42" i="12"/>
  <c r="L46" i="12"/>
  <c r="L31" i="12"/>
  <c r="J42" i="12"/>
  <c r="E136" i="10"/>
  <c r="F133" i="10"/>
  <c r="E70" i="7"/>
  <c r="F136" i="10"/>
  <c r="G133" i="10"/>
  <c r="G136" i="10"/>
  <c r="E113" i="7"/>
  <c r="E74" i="7"/>
  <c r="E83" i="7"/>
  <c r="F70" i="7"/>
  <c r="F113" i="7"/>
  <c r="G70" i="7"/>
  <c r="H133" i="10"/>
  <c r="G113" i="7"/>
  <c r="E75" i="12"/>
  <c r="E59" i="11"/>
  <c r="E35" i="11"/>
  <c r="E38" i="11"/>
  <c r="E85" i="7"/>
  <c r="E36" i="11"/>
  <c r="F74" i="7"/>
  <c r="G74" i="7"/>
  <c r="F75" i="12"/>
  <c r="D35" i="17"/>
  <c r="D38" i="17"/>
  <c r="C22" i="17"/>
  <c r="C26" i="17"/>
  <c r="F42" i="19"/>
  <c r="C35" i="17"/>
  <c r="C38" i="17"/>
  <c r="I35" i="17"/>
  <c r="D22" i="17"/>
  <c r="D26" i="17"/>
  <c r="F43" i="19"/>
  <c r="J22" i="17"/>
  <c r="J26" i="17"/>
  <c r="E42" i="19"/>
  <c r="J35" i="17"/>
  <c r="I22" i="17"/>
  <c r="I26" i="17"/>
  <c r="E43" i="19"/>
  <c r="D93" i="12"/>
  <c r="E93" i="12"/>
  <c r="J93" i="12"/>
  <c r="G75" i="12"/>
  <c r="G83" i="7"/>
  <c r="G85" i="7"/>
  <c r="G38" i="11"/>
  <c r="G35" i="11"/>
  <c r="F83" i="7"/>
  <c r="F85" i="7"/>
  <c r="G59" i="11"/>
  <c r="F38" i="11"/>
  <c r="F35" i="11"/>
  <c r="F59" i="11"/>
  <c r="F44" i="19"/>
  <c r="E44" i="19"/>
  <c r="F36" i="11"/>
  <c r="G36" i="11"/>
  <c r="M46" i="7"/>
  <c r="M47" i="7"/>
  <c r="M48" i="7"/>
  <c r="M49" i="7"/>
  <c r="M50" i="7"/>
  <c r="M94" i="7"/>
  <c r="M119" i="10"/>
  <c r="M71" i="7"/>
  <c r="M105" i="7"/>
  <c r="H80" i="7"/>
  <c r="H110" i="7"/>
  <c r="I80" i="7"/>
  <c r="J80" i="7"/>
  <c r="K80" i="7"/>
  <c r="L80" i="7"/>
  <c r="M80" i="7"/>
  <c r="M110" i="7"/>
  <c r="I110" i="7"/>
  <c r="K110" i="7"/>
  <c r="L110" i="7"/>
  <c r="J110" i="7"/>
  <c r="L148" i="12" l="1"/>
  <c r="I148" i="12"/>
  <c r="G44" i="19"/>
  <c r="I44" i="19"/>
  <c r="K148" i="12"/>
  <c r="G33" i="12"/>
  <c r="H148" i="12"/>
  <c r="G55" i="12"/>
  <c r="H44" i="19"/>
  <c r="G151" i="12" l="1"/>
  <c r="M38" i="11"/>
  <c r="M48" i="12"/>
  <c r="M35" i="11"/>
  <c r="M129" i="10"/>
  <c r="M36" i="11"/>
  <c r="J98" i="12"/>
  <c r="J96" i="12"/>
  <c r="G127" i="12"/>
  <c r="N129" i="12"/>
  <c r="I36" i="11"/>
  <c r="I35" i="11"/>
  <c r="I38" i="11"/>
  <c r="J35" i="11"/>
  <c r="J36" i="11"/>
  <c r="J38" i="11"/>
  <c r="K35" i="11"/>
  <c r="K36" i="11"/>
  <c r="K38" i="11"/>
  <c r="J58" i="11"/>
  <c r="J35" i="7"/>
  <c r="G109" i="12"/>
  <c r="D98" i="12"/>
  <c r="N111" i="12"/>
  <c r="H41" i="11"/>
  <c r="I113" i="7"/>
  <c r="I134" i="10"/>
  <c r="I53" i="12"/>
  <c r="J93" i="10"/>
  <c r="J30" i="7"/>
  <c r="H100" i="7"/>
  <c r="H59" i="11"/>
  <c r="H39" i="11"/>
  <c r="M90" i="7"/>
  <c r="C43" i="19"/>
  <c r="I38" i="17"/>
  <c r="E98" i="12"/>
  <c r="G118" i="12"/>
  <c r="N120" i="12"/>
  <c r="K58" i="11"/>
  <c r="K35" i="7"/>
  <c r="J109" i="7"/>
  <c r="L134" i="10"/>
  <c r="L113" i="7"/>
  <c r="I106" i="10"/>
  <c r="M64" i="10"/>
  <c r="K59" i="11"/>
  <c r="K39" i="11"/>
  <c r="G58" i="12"/>
  <c r="L58" i="11"/>
  <c r="L35" i="7"/>
  <c r="I58" i="11"/>
  <c r="I35" i="7"/>
  <c r="H58" i="11"/>
  <c r="H35" i="7"/>
  <c r="M41" i="11"/>
  <c r="L38" i="11"/>
  <c r="L36" i="11"/>
  <c r="L35" i="11"/>
  <c r="K108" i="7"/>
  <c r="C44" i="19"/>
  <c r="M71" i="12"/>
  <c r="G83" i="12"/>
  <c r="M105" i="10"/>
  <c r="H109" i="7"/>
  <c r="J108" i="7"/>
  <c r="I85" i="7"/>
  <c r="M99" i="7"/>
  <c r="I83" i="7"/>
  <c r="L32" i="7"/>
  <c r="L13" i="11"/>
  <c r="J134" i="10"/>
  <c r="J113" i="7"/>
  <c r="J39" i="11"/>
  <c r="J59" i="11"/>
  <c r="H106" i="10"/>
  <c r="K93" i="10"/>
  <c r="K30" i="7"/>
  <c r="M12" i="11"/>
  <c r="M54" i="11"/>
  <c r="M108" i="7"/>
  <c r="I71" i="12"/>
  <c r="L30" i="7"/>
  <c r="L93" i="10"/>
  <c r="M106" i="10"/>
  <c r="M99" i="10"/>
  <c r="M34" i="7"/>
  <c r="L109" i="7"/>
  <c r="J71" i="12"/>
  <c r="K105" i="10"/>
  <c r="K71" i="12"/>
  <c r="L39" i="11"/>
  <c r="L59" i="11"/>
  <c r="L81" i="12"/>
  <c r="M31" i="11"/>
  <c r="I39" i="11"/>
  <c r="I59" i="11"/>
  <c r="M13" i="7"/>
  <c r="D96" i="12"/>
  <c r="N109" i="12"/>
  <c r="M109" i="12"/>
  <c r="L108" i="7"/>
  <c r="J92" i="10"/>
  <c r="M35" i="7"/>
  <c r="M58" i="11"/>
  <c r="M97" i="10"/>
  <c r="M50" i="11"/>
  <c r="M39" i="7"/>
  <c r="J38" i="17"/>
  <c r="C42" i="19"/>
  <c r="K81" i="12"/>
  <c r="H38" i="11"/>
  <c r="H36" i="11"/>
  <c r="H35" i="11"/>
  <c r="M134" i="10"/>
  <c r="M113" i="7"/>
  <c r="H32" i="7"/>
  <c r="H13" i="11"/>
  <c r="I112" i="7"/>
  <c r="K109" i="7"/>
  <c r="K100" i="7"/>
  <c r="K41" i="11"/>
  <c r="G155" i="12"/>
  <c r="M39" i="11"/>
  <c r="M23" i="7"/>
  <c r="M100" i="7"/>
  <c r="M59" i="11"/>
  <c r="M74" i="12"/>
  <c r="M75" i="12"/>
  <c r="L112" i="7"/>
  <c r="L77" i="12"/>
  <c r="I49" i="12"/>
  <c r="M21" i="11"/>
  <c r="M95" i="7"/>
  <c r="M17" i="11"/>
  <c r="M20" i="11"/>
  <c r="H34" i="7"/>
  <c r="H108" i="7"/>
  <c r="M44" i="10"/>
  <c r="M52" i="10"/>
  <c r="K53" i="12"/>
  <c r="M26" i="10"/>
  <c r="M15" i="7"/>
  <c r="J112" i="7"/>
  <c r="K77" i="12"/>
  <c r="M72" i="12"/>
  <c r="M73" i="12"/>
  <c r="J30" i="17"/>
  <c r="J33" i="17"/>
  <c r="I34" i="7"/>
  <c r="I108" i="7"/>
  <c r="M68" i="7"/>
  <c r="G159" i="12"/>
  <c r="H159" i="12"/>
  <c r="M84" i="10"/>
  <c r="M82" i="10"/>
  <c r="M92" i="10"/>
  <c r="H92" i="10"/>
  <c r="K134" i="10"/>
  <c r="K106" i="7"/>
  <c r="K112" i="7"/>
  <c r="K113" i="7"/>
  <c r="M83" i="7"/>
  <c r="M85" i="7"/>
  <c r="K32" i="7"/>
  <c r="K13" i="11"/>
  <c r="I92" i="10"/>
  <c r="M109" i="7"/>
  <c r="N69" i="12"/>
  <c r="M81" i="7"/>
  <c r="K70" i="12"/>
  <c r="K74" i="12"/>
  <c r="K75" i="12"/>
  <c r="I109" i="7"/>
  <c r="I81" i="7"/>
  <c r="M18" i="11"/>
  <c r="L106" i="10"/>
  <c r="L34" i="7"/>
  <c r="M11" i="7"/>
  <c r="M10" i="11"/>
  <c r="M25" i="7"/>
  <c r="M112" i="7"/>
  <c r="M30" i="7"/>
  <c r="M93" i="10"/>
  <c r="M55" i="11"/>
  <c r="M56" i="11"/>
  <c r="M69" i="12"/>
  <c r="L72" i="12"/>
  <c r="L73" i="12"/>
  <c r="M32" i="7"/>
  <c r="M13" i="11"/>
  <c r="J32" i="7"/>
  <c r="J13" i="11"/>
  <c r="H48" i="12"/>
  <c r="H49" i="12"/>
  <c r="H53" i="12"/>
  <c r="G60" i="12"/>
  <c r="L81" i="7"/>
  <c r="L83" i="7"/>
  <c r="L85" i="7"/>
  <c r="K48" i="12"/>
  <c r="L49" i="12"/>
  <c r="L53" i="12"/>
  <c r="K106" i="10"/>
  <c r="K97" i="10"/>
  <c r="K99" i="10"/>
  <c r="K34" i="7"/>
  <c r="M23" i="12"/>
  <c r="M42" i="7"/>
  <c r="H93" i="10"/>
  <c r="H30" i="7"/>
  <c r="H77" i="12"/>
  <c r="H81" i="12"/>
  <c r="J105" i="10"/>
  <c r="L100" i="7"/>
  <c r="L41" i="11"/>
  <c r="M74" i="7"/>
  <c r="M28" i="7"/>
  <c r="M31" i="7"/>
  <c r="M70" i="12"/>
  <c r="G160" i="12"/>
  <c r="H160" i="12"/>
  <c r="G87" i="12"/>
  <c r="J92" i="12"/>
  <c r="M28" i="10"/>
  <c r="M17" i="7"/>
  <c r="K85" i="7"/>
  <c r="I70" i="12"/>
  <c r="I74" i="12"/>
  <c r="I75" i="12"/>
  <c r="M41" i="7"/>
  <c r="M146" i="10"/>
  <c r="M147" i="10"/>
  <c r="G153" i="12"/>
  <c r="L106" i="7"/>
  <c r="K31" i="7"/>
  <c r="J73" i="12"/>
  <c r="M142" i="10"/>
  <c r="I93" i="10"/>
  <c r="I30" i="7"/>
  <c r="M90" i="10"/>
  <c r="H113" i="7"/>
  <c r="L69" i="12"/>
  <c r="K72" i="12"/>
  <c r="K73" i="12"/>
  <c r="I105" i="10"/>
  <c r="I97" i="10"/>
  <c r="I99" i="10"/>
  <c r="J77" i="12"/>
  <c r="J81" i="12"/>
  <c r="J34" i="7"/>
  <c r="J97" i="10"/>
  <c r="J99" i="10"/>
  <c r="J106" i="10"/>
  <c r="E92" i="12"/>
  <c r="E96" i="12"/>
  <c r="G63" i="12"/>
  <c r="G65" i="12"/>
  <c r="I106" i="7"/>
  <c r="I77" i="12"/>
  <c r="I81" i="12"/>
  <c r="M27" i="10"/>
  <c r="M16" i="7"/>
  <c r="M24" i="12"/>
  <c r="M25" i="12"/>
  <c r="H71" i="12"/>
  <c r="I30" i="17"/>
  <c r="I33" i="17"/>
  <c r="L92" i="10"/>
  <c r="M42" i="12"/>
  <c r="G56" i="12"/>
  <c r="G57" i="12"/>
  <c r="L99" i="10"/>
  <c r="L97" i="10"/>
  <c r="L105" i="10"/>
  <c r="H73" i="12"/>
  <c r="M78" i="7"/>
  <c r="J48" i="12"/>
  <c r="K49" i="12"/>
  <c r="K92" i="10"/>
  <c r="M140" i="10"/>
  <c r="M144" i="10"/>
  <c r="M38" i="7"/>
  <c r="M20" i="12"/>
  <c r="M21" i="12"/>
  <c r="M144" i="12"/>
  <c r="G152" i="12"/>
  <c r="K69" i="12"/>
  <c r="J72" i="12"/>
  <c r="H99" i="10"/>
  <c r="J100" i="7"/>
  <c r="J41" i="11"/>
  <c r="L71" i="12"/>
  <c r="J81" i="7"/>
  <c r="J83" i="7"/>
  <c r="J85" i="7"/>
  <c r="I31" i="7"/>
  <c r="I32" i="7"/>
  <c r="I13" i="11"/>
  <c r="M43" i="10"/>
  <c r="M46" i="10"/>
  <c r="M52" i="7"/>
  <c r="M54" i="7"/>
  <c r="M61" i="7"/>
  <c r="N19" i="12"/>
  <c r="M22" i="12"/>
  <c r="M63" i="10"/>
  <c r="M27" i="11"/>
  <c r="I100" i="7"/>
  <c r="I41" i="11"/>
  <c r="M24" i="10"/>
  <c r="M62" i="10"/>
  <c r="M26" i="11"/>
  <c r="M30" i="11"/>
  <c r="I77" i="7"/>
  <c r="I78" i="7"/>
  <c r="J69" i="12"/>
  <c r="I72" i="12"/>
  <c r="I73" i="12"/>
  <c r="L129" i="10"/>
  <c r="M127" i="10"/>
  <c r="M50" i="10"/>
  <c r="M48" i="10"/>
  <c r="M21" i="7"/>
  <c r="M91" i="7"/>
  <c r="J99" i="7"/>
  <c r="J106" i="7"/>
  <c r="H70" i="12"/>
  <c r="H74" i="12"/>
  <c r="H75" i="12"/>
  <c r="J146" i="10"/>
  <c r="J147" i="10"/>
  <c r="J42" i="7"/>
  <c r="M19" i="7"/>
  <c r="M11" i="11"/>
  <c r="M127" i="12"/>
  <c r="N127" i="12"/>
  <c r="I48" i="12"/>
  <c r="J49" i="12"/>
  <c r="J53" i="12"/>
  <c r="M61" i="10"/>
  <c r="M25" i="11"/>
  <c r="M29" i="11"/>
  <c r="H81" i="7"/>
  <c r="H83" i="7"/>
  <c r="H85" i="7"/>
  <c r="K25" i="7"/>
  <c r="K28" i="7"/>
  <c r="K82" i="10"/>
  <c r="K84" i="10"/>
  <c r="K90" i="10"/>
  <c r="K146" i="10"/>
  <c r="K147" i="10"/>
  <c r="K42" i="7"/>
  <c r="K99" i="7"/>
  <c r="J31" i="7"/>
  <c r="J70" i="12"/>
  <c r="J74" i="12"/>
  <c r="J75" i="12"/>
  <c r="M133" i="10"/>
  <c r="M136" i="10"/>
  <c r="M70" i="7"/>
  <c r="M106" i="7"/>
  <c r="M77" i="12"/>
  <c r="G84" i="12"/>
  <c r="G85" i="12"/>
  <c r="K77" i="7"/>
  <c r="K78" i="7"/>
  <c r="K81" i="7"/>
  <c r="K83" i="7"/>
  <c r="D92" i="12"/>
  <c r="M89" i="7"/>
  <c r="M92" i="7"/>
  <c r="M97" i="7"/>
  <c r="M27" i="12"/>
  <c r="G34" i="12"/>
  <c r="G35" i="12"/>
  <c r="G37" i="12"/>
  <c r="L82" i="10"/>
  <c r="L84" i="10"/>
  <c r="L90" i="10"/>
  <c r="L146" i="10"/>
  <c r="L147" i="10"/>
  <c r="L42" i="7"/>
  <c r="L99" i="7"/>
  <c r="L77" i="7"/>
  <c r="L78" i="7"/>
  <c r="H77" i="7"/>
  <c r="H78" i="7"/>
  <c r="I69" i="12"/>
  <c r="H72" i="12"/>
  <c r="K104" i="10"/>
  <c r="K108" i="10"/>
  <c r="L104" i="10"/>
  <c r="L108" i="10"/>
  <c r="M104" i="10"/>
  <c r="M108" i="10"/>
  <c r="M77" i="7"/>
  <c r="M25" i="10"/>
  <c r="M14" i="7"/>
  <c r="J129" i="10"/>
  <c r="K127" i="10"/>
  <c r="J70" i="7"/>
  <c r="J74" i="7"/>
  <c r="K129" i="10"/>
  <c r="L127" i="10"/>
  <c r="L25" i="7"/>
  <c r="L28" i="7"/>
  <c r="L31" i="7"/>
  <c r="L70" i="12"/>
  <c r="L74" i="12"/>
  <c r="L75" i="12"/>
  <c r="L70" i="7"/>
  <c r="L74" i="7"/>
  <c r="L48" i="12"/>
  <c r="M49" i="12"/>
  <c r="G61" i="12"/>
  <c r="G62" i="12"/>
  <c r="I127" i="10"/>
  <c r="I25" i="7"/>
  <c r="I28" i="7"/>
  <c r="I82" i="10"/>
  <c r="I84" i="10"/>
  <c r="I90" i="10"/>
  <c r="I146" i="10"/>
  <c r="I147" i="10"/>
  <c r="I42" i="7"/>
  <c r="I99" i="7"/>
  <c r="K70" i="7"/>
  <c r="K74" i="7"/>
  <c r="H31" i="7"/>
  <c r="H97" i="10"/>
  <c r="H105" i="10"/>
  <c r="H108" i="10"/>
  <c r="I104" i="10"/>
  <c r="I108" i="10"/>
  <c r="J104" i="10"/>
  <c r="J108" i="10"/>
  <c r="J77" i="7"/>
  <c r="J78" i="7"/>
  <c r="J133" i="10"/>
  <c r="J136" i="10"/>
  <c r="K133" i="10"/>
  <c r="K136" i="10"/>
  <c r="L133" i="10"/>
  <c r="L136" i="10"/>
  <c r="G10" i="12"/>
  <c r="M20" i="10"/>
  <c r="M19" i="10"/>
  <c r="M10" i="7"/>
  <c r="M18" i="7"/>
  <c r="M22" i="7"/>
  <c r="M86" i="10"/>
  <c r="M88" i="10"/>
  <c r="I133" i="10"/>
  <c r="I136" i="10"/>
  <c r="I70" i="7"/>
  <c r="I74" i="7"/>
  <c r="I129" i="10"/>
  <c r="J127" i="10"/>
  <c r="J25" i="7"/>
  <c r="J28" i="7"/>
  <c r="J82" i="10"/>
  <c r="J84" i="10"/>
  <c r="J90" i="10"/>
  <c r="H112" i="7"/>
  <c r="H134" i="10"/>
  <c r="H136" i="10"/>
  <c r="H70" i="7"/>
  <c r="H74" i="7"/>
  <c r="H129" i="10"/>
  <c r="H127" i="10"/>
  <c r="H25" i="7"/>
  <c r="H28" i="7"/>
  <c r="H82" i="10"/>
  <c r="H84" i="10"/>
  <c r="H90" i="10"/>
  <c r="H146" i="10"/>
  <c r="H147" i="10"/>
  <c r="H42" i="7"/>
  <c r="H99" i="7"/>
  <c r="H106" i="7"/>
</calcChain>
</file>

<file path=xl/comments1.xml><?xml version="1.0" encoding="utf-8"?>
<comments xmlns="http://schemas.openxmlformats.org/spreadsheetml/2006/main">
  <authors>
    <author>Gruppo Esperia</author>
  </authors>
  <commentList>
    <comment ref="G159" authorId="0" shapeId="0">
      <text>
        <r>
          <rPr>
            <sz val="8"/>
            <color indexed="81"/>
            <rFont val="Tahoma"/>
            <family val="2"/>
          </rPr>
          <t>Note: in the Key Value Driver Formula, the growth rate in the numerator is that of cell M18 because the formula requires the implied growth in invested capital during the steady state year.
The denominator (a Gordon perpetual discounting factor) uses the perpetual growth rate chosen as assumption (cell G9).</t>
        </r>
        <r>
          <rPr>
            <b/>
            <sz val="8"/>
            <color indexed="81"/>
            <rFont val="Tahoma"/>
            <family val="2"/>
          </rPr>
          <t xml:space="preserve">
</t>
        </r>
      </text>
    </comment>
    <comment ref="G160" authorId="0" shapeId="0">
      <text>
        <r>
          <rPr>
            <sz val="8"/>
            <color indexed="81"/>
            <rFont val="Tahoma"/>
            <family val="2"/>
          </rPr>
          <t xml:space="preserve">Note: in the Key Value Driver Formula, the growth rate in the numerator is that of cell M27 because the formula requires the implied growth in equity during the steady state year.
The denominator (a Gordon perpetual discounting factor) uses the perpetual growth rate chosen as assumption (cell G9).
</t>
        </r>
      </text>
    </comment>
  </commentList>
</comments>
</file>

<file path=xl/sharedStrings.xml><?xml version="1.0" encoding="utf-8"?>
<sst xmlns="http://schemas.openxmlformats.org/spreadsheetml/2006/main" count="674" uniqueCount="358">
  <si>
    <t>Margin</t>
  </si>
  <si>
    <t>Check</t>
  </si>
  <si>
    <t>(EUR m)</t>
  </si>
  <si>
    <t>Net sales</t>
  </si>
  <si>
    <t>Advertising and promotion</t>
  </si>
  <si>
    <t>EBIT before one-off's</t>
  </si>
  <si>
    <t>One-off's</t>
  </si>
  <si>
    <t>Net financial income (expenses)</t>
  </si>
  <si>
    <t>One-off's finacial expenses</t>
  </si>
  <si>
    <t>Income from associates</t>
  </si>
  <si>
    <t>Put options costs</t>
  </si>
  <si>
    <t>Taxes</t>
  </si>
  <si>
    <t>Net profit</t>
  </si>
  <si>
    <t>EBITDA</t>
  </si>
  <si>
    <t xml:space="preserve"> </t>
  </si>
  <si>
    <t>Share capital</t>
  </si>
  <si>
    <t>Reserves</t>
  </si>
  <si>
    <t>Group's shareholders' equity</t>
  </si>
  <si>
    <t>Minorty interests</t>
  </si>
  <si>
    <t>Total shareholders' equity</t>
  </si>
  <si>
    <t>Bonds</t>
  </si>
  <si>
    <t>Other non-current financial payables</t>
  </si>
  <si>
    <t>Staff severance fund</t>
  </si>
  <si>
    <t>Risks fund</t>
  </si>
  <si>
    <t>Deferred tax</t>
  </si>
  <si>
    <t>Total non-current liabilities</t>
  </si>
  <si>
    <t>Banks loan</t>
  </si>
  <si>
    <t>Other financial payables</t>
  </si>
  <si>
    <t>Trade payables</t>
  </si>
  <si>
    <t>Payables for taxes</t>
  </si>
  <si>
    <t>Other current liabilities</t>
  </si>
  <si>
    <t>Total current liabilities</t>
  </si>
  <si>
    <t>Net tangible fixed assets</t>
  </si>
  <si>
    <t>Biological assets</t>
  </si>
  <si>
    <t>Property</t>
  </si>
  <si>
    <t>Goodwill and trademarks</t>
  </si>
  <si>
    <t xml:space="preserve">Intangible assets </t>
  </si>
  <si>
    <t>Interests in associates</t>
  </si>
  <si>
    <t>Deferred tax assets</t>
  </si>
  <si>
    <t>Other non-current assets</t>
  </si>
  <si>
    <t>Total non-current assets</t>
  </si>
  <si>
    <t>Inventories</t>
  </si>
  <si>
    <t>Current biological assets</t>
  </si>
  <si>
    <t>Trade receivables</t>
  </si>
  <si>
    <t>Financial receivables</t>
  </si>
  <si>
    <t>Cash at cash equivalents</t>
  </si>
  <si>
    <t>Receivables for income taxes</t>
  </si>
  <si>
    <t>Other receivables</t>
  </si>
  <si>
    <t>Total current assets</t>
  </si>
  <si>
    <t>Non-current assets for sale</t>
  </si>
  <si>
    <t>Total assets</t>
  </si>
  <si>
    <t>Original Financial Statements</t>
  </si>
  <si>
    <t>Income statement</t>
  </si>
  <si>
    <t>Gross margin</t>
  </si>
  <si>
    <t>Cost of goods sold</t>
  </si>
  <si>
    <t>Contribution margin</t>
  </si>
  <si>
    <t>SG&amp;A</t>
  </si>
  <si>
    <t>Operating profit</t>
  </si>
  <si>
    <t>Pre-tax profits</t>
  </si>
  <si>
    <t>Balance sheet</t>
  </si>
  <si>
    <t>Total liabilities and equity</t>
  </si>
  <si>
    <t>Sales</t>
  </si>
  <si>
    <t>Raw materials</t>
  </si>
  <si>
    <t>Operating leases</t>
  </si>
  <si>
    <t>Employees</t>
  </si>
  <si>
    <t>D&amp;A</t>
  </si>
  <si>
    <t>EBIT</t>
  </si>
  <si>
    <t xml:space="preserve">Except. items </t>
  </si>
  <si>
    <t>Personnel costs</t>
  </si>
  <si>
    <t>Raw materials and finished goods</t>
  </si>
  <si>
    <t>Depreciation and amortisation</t>
  </si>
  <si>
    <t>Operating leases and rental expenses</t>
  </si>
  <si>
    <t>Growth</t>
  </si>
  <si>
    <t>Net interests</t>
  </si>
  <si>
    <t>EBT</t>
  </si>
  <si>
    <t>Income taxes</t>
  </si>
  <si>
    <t>Minorities</t>
  </si>
  <si>
    <t>Total net income</t>
  </si>
  <si>
    <t>ST financial debt</t>
  </si>
  <si>
    <t>Inventory</t>
  </si>
  <si>
    <t>Working capital</t>
  </si>
  <si>
    <t>Tangible assets</t>
  </si>
  <si>
    <t>Total equity</t>
  </si>
  <si>
    <t>Fixes assets</t>
  </si>
  <si>
    <t>Investments</t>
  </si>
  <si>
    <t>Long term provisions</t>
  </si>
  <si>
    <t>Employee severance</t>
  </si>
  <si>
    <t>Other non-operational assets</t>
  </si>
  <si>
    <t>Deferred taxes</t>
  </si>
  <si>
    <t>Other operating assets</t>
  </si>
  <si>
    <t>Bonds and securities</t>
  </si>
  <si>
    <t>Bank loans</t>
  </si>
  <si>
    <t>Excess cash &amp; equivalents</t>
  </si>
  <si>
    <t>Other current assets &amp; liabilities</t>
  </si>
  <si>
    <t>Cash flows</t>
  </si>
  <si>
    <t>Other operating revenues &amp; costs</t>
  </si>
  <si>
    <t>Sales breakdown</t>
  </si>
  <si>
    <t>Total sales</t>
  </si>
  <si>
    <t>Historicals</t>
  </si>
  <si>
    <t>Explicit forecast</t>
  </si>
  <si>
    <t>Calculations</t>
  </si>
  <si>
    <t>As a percentage of sales</t>
  </si>
  <si>
    <t>Sales forecast</t>
  </si>
  <si>
    <t>Operational forecasts</t>
  </si>
  <si>
    <t>Investment forecasts</t>
  </si>
  <si>
    <t>CAPEX</t>
  </si>
  <si>
    <t>Tangible CAPEX</t>
  </si>
  <si>
    <t>CAPEX as a % of sales</t>
  </si>
  <si>
    <t>D&amp;A as a % of CAPEX</t>
  </si>
  <si>
    <t>BOP tangible assets</t>
  </si>
  <si>
    <t>+ CAPEX</t>
  </si>
  <si>
    <t>- D&amp;A</t>
  </si>
  <si>
    <t>= EOP tangible assets</t>
  </si>
  <si>
    <t>Goodwill &amp; trademarks</t>
  </si>
  <si>
    <t>Working capital forecast</t>
  </si>
  <si>
    <t>VAT</t>
  </si>
  <si>
    <t>Days receivables (Sales)</t>
  </si>
  <si>
    <t>Days payables (Raw materials)</t>
  </si>
  <si>
    <t>Days inventory (Sales)</t>
  </si>
  <si>
    <t>Dividends paid</t>
  </si>
  <si>
    <t>Notes</t>
  </si>
  <si>
    <t>Debt forecast</t>
  </si>
  <si>
    <t>ST debt as a % of sales</t>
  </si>
  <si>
    <t>Change in WC</t>
  </si>
  <si>
    <t>Issuance (repayments)</t>
  </si>
  <si>
    <t>Evolution of tangible assets</t>
  </si>
  <si>
    <t>Equity forecast</t>
  </si>
  <si>
    <t>Payout ratio</t>
  </si>
  <si>
    <t>Other movements in group equity</t>
  </si>
  <si>
    <t>IS</t>
  </si>
  <si>
    <t>BS</t>
  </si>
  <si>
    <t>Dividends</t>
  </si>
  <si>
    <t>Interests</t>
  </si>
  <si>
    <t>Effective interest rate</t>
  </si>
  <si>
    <t>Other items forecast</t>
  </si>
  <si>
    <t>IRES tax rate</t>
  </si>
  <si>
    <t>IRES tax base = EBT</t>
  </si>
  <si>
    <t>IRES</t>
  </si>
  <si>
    <t>IRAP tax rate</t>
  </si>
  <si>
    <t>Gross cash flows</t>
  </si>
  <si>
    <t>FCFO</t>
  </si>
  <si>
    <t>Change in other operating assets</t>
  </si>
  <si>
    <t>+ change in cash</t>
  </si>
  <si>
    <t>Dividend distribution</t>
  </si>
  <si>
    <t>Retained portion</t>
  </si>
  <si>
    <t>Financial analysis</t>
  </si>
  <si>
    <t>NOPLAT</t>
  </si>
  <si>
    <t>Tax shields</t>
  </si>
  <si>
    <t>Operational taxes</t>
  </si>
  <si>
    <t>Tax shield</t>
  </si>
  <si>
    <t>Expanding or downsizing?</t>
  </si>
  <si>
    <t>Is the company divesting?</t>
  </si>
  <si>
    <t>Sales growth</t>
  </si>
  <si>
    <t>EBIT margin</t>
  </si>
  <si>
    <t>EBITDA margin</t>
  </si>
  <si>
    <t>Investment analysis - CAPEX</t>
  </si>
  <si>
    <t>DSO</t>
  </si>
  <si>
    <t>DPO</t>
  </si>
  <si>
    <t>Days inventory</t>
  </si>
  <si>
    <t>Clients are paying</t>
  </si>
  <si>
    <t>Campari is paying suppliers</t>
  </si>
  <si>
    <t>Products stay on stock</t>
  </si>
  <si>
    <t>Financing analysis</t>
  </si>
  <si>
    <t>Leverage D/E</t>
  </si>
  <si>
    <t>Leverage D/Sources</t>
  </si>
  <si>
    <t>Debt coverage</t>
  </si>
  <si>
    <t>Interest coverage</t>
  </si>
  <si>
    <t>DSCR</t>
  </si>
  <si>
    <t>Liquidity analysis</t>
  </si>
  <si>
    <t>Current ratio</t>
  </si>
  <si>
    <t>Acid test</t>
  </si>
  <si>
    <t>Profitability analysis</t>
  </si>
  <si>
    <t>Effective operating tax rate (NOPLAT / EBIT), i.e. (1-t)</t>
  </si>
  <si>
    <t>ROIC decomposition</t>
  </si>
  <si>
    <t>Asset turnover</t>
  </si>
  <si>
    <t>ROIC</t>
  </si>
  <si>
    <t>Change in gross debt</t>
  </si>
  <si>
    <t>Net debt</t>
  </si>
  <si>
    <t>Year</t>
  </si>
  <si>
    <t>WACC</t>
  </si>
  <si>
    <t>Present value of FCFO</t>
  </si>
  <si>
    <t>NOPLAT and operational taxes</t>
  </si>
  <si>
    <t>PV of FCFO</t>
  </si>
  <si>
    <t>Steady state</t>
  </si>
  <si>
    <t>Enterprise value</t>
  </si>
  <si>
    <t>Valuation</t>
  </si>
  <si>
    <t>(Net debt)</t>
  </si>
  <si>
    <t>(Minorities)</t>
  </si>
  <si>
    <t>Equity value</t>
  </si>
  <si>
    <t>Number of shares (NOSH) (m)</t>
  </si>
  <si>
    <t>Value per share (€)</t>
  </si>
  <si>
    <t>BOP invested capital</t>
  </si>
  <si>
    <t>Economic profit</t>
  </si>
  <si>
    <t>ROIC (@ BOP IC)</t>
  </si>
  <si>
    <t>Reinvestment rate</t>
  </si>
  <si>
    <t>Present value of economic profits</t>
  </si>
  <si>
    <t>PV of EP</t>
  </si>
  <si>
    <t>PC of CV</t>
  </si>
  <si>
    <t>Adjusted present value</t>
  </si>
  <si>
    <t>Forecast BOP IC</t>
  </si>
  <si>
    <t>Discount factor (WACC)</t>
  </si>
  <si>
    <r>
      <t>Discount factor (k</t>
    </r>
    <r>
      <rPr>
        <vertAlign val="subscript"/>
        <sz val="8.8000000000000007"/>
        <color theme="1"/>
        <rFont val="Arial"/>
        <family val="2"/>
      </rPr>
      <t>EU</t>
    </r>
    <r>
      <rPr>
        <sz val="8"/>
        <color theme="1"/>
        <rFont val="Arial"/>
        <family val="2"/>
      </rPr>
      <t>)</t>
    </r>
  </si>
  <si>
    <r>
      <t>Discount factor (k</t>
    </r>
    <r>
      <rPr>
        <vertAlign val="subscript"/>
        <sz val="8.8000000000000007"/>
        <color theme="1"/>
        <rFont val="Arial"/>
        <family val="2"/>
      </rPr>
      <t>D</t>
    </r>
    <r>
      <rPr>
        <sz val="8"/>
        <color theme="1"/>
        <rFont val="Arial"/>
        <family val="2"/>
      </rPr>
      <t>)</t>
    </r>
  </si>
  <si>
    <t>PV of TS</t>
  </si>
  <si>
    <t>Present value of TS</t>
  </si>
  <si>
    <t>Unlevered value</t>
  </si>
  <si>
    <t>Value of tax shields</t>
  </si>
  <si>
    <t>APV</t>
  </si>
  <si>
    <t>Assumptions</t>
  </si>
  <si>
    <t>Perpetual growth</t>
  </si>
  <si>
    <t>kEU</t>
  </si>
  <si>
    <t>kD</t>
  </si>
  <si>
    <t>Tax rate</t>
  </si>
  <si>
    <t>Campari SpA</t>
  </si>
  <si>
    <t>Financial model</t>
  </si>
  <si>
    <t>Instructions</t>
  </si>
  <si>
    <t>Originals</t>
  </si>
  <si>
    <t>Type in historical raw IS and BS</t>
  </si>
  <si>
    <t>Build historical CF</t>
  </si>
  <si>
    <t>Forecast sales</t>
  </si>
  <si>
    <t>Forecast operational costs</t>
  </si>
  <si>
    <t>Forecast D&amp;A and fixed assets</t>
  </si>
  <si>
    <t>Forecast working capital</t>
  </si>
  <si>
    <t>Forecast income taxes</t>
  </si>
  <si>
    <t>Forecast equity</t>
  </si>
  <si>
    <t>Drag CF structure in forecast years</t>
  </si>
  <si>
    <t>Build NOPLAT, operational taxes and tax shields calculations</t>
  </si>
  <si>
    <t>The model notices a circularity</t>
  </si>
  <si>
    <t>Diageo Plc</t>
  </si>
  <si>
    <t>Pernod Ricard SA</t>
  </si>
  <si>
    <t>Remy Cointreau SA</t>
  </si>
  <si>
    <t>Brown Forman Corp.</t>
  </si>
  <si>
    <t>Country</t>
  </si>
  <si>
    <t>France</t>
  </si>
  <si>
    <t>UK</t>
  </si>
  <si>
    <t>Weighted average cost of capital</t>
  </si>
  <si>
    <t>Market</t>
  </si>
  <si>
    <t>Raw beta</t>
  </si>
  <si>
    <t>Adj. Levered beta</t>
  </si>
  <si>
    <t>Leverage</t>
  </si>
  <si>
    <t>USA</t>
  </si>
  <si>
    <t>Unlevered beta</t>
  </si>
  <si>
    <t>Average</t>
  </si>
  <si>
    <t>Tax Rate</t>
  </si>
  <si>
    <t>Re-Levered Beta</t>
  </si>
  <si>
    <t>Cost of Debt</t>
  </si>
  <si>
    <t>Unlevered Beta (Industry average)</t>
  </si>
  <si>
    <t>Market Risk Premium (Source: Fernandez)</t>
  </si>
  <si>
    <t>Spread on debt (Source: Damodaran)</t>
  </si>
  <si>
    <t>EV / EBITDA 2014</t>
  </si>
  <si>
    <t>P / E 2014</t>
  </si>
  <si>
    <t>Multiples valuation</t>
  </si>
  <si>
    <t>Actual multiple EV / EBITDA</t>
  </si>
  <si>
    <t>Forward multiple EV / EBITDA</t>
  </si>
  <si>
    <t>Campari - EBITDA 2014</t>
  </si>
  <si>
    <t>Actual multiple P / E</t>
  </si>
  <si>
    <t>Cost of Equity (Levered)</t>
  </si>
  <si>
    <t>Unlevered cost of equity</t>
  </si>
  <si>
    <t>Market cap.</t>
  </si>
  <si>
    <t>Forward multiple P / E</t>
  </si>
  <si>
    <t>Campari - Net income 2014</t>
  </si>
  <si>
    <t>Evolution of retained earnings</t>
  </si>
  <si>
    <t>BOP retained earnings</t>
  </si>
  <si>
    <t>EOP retained earnings</t>
  </si>
  <si>
    <t>Net income</t>
  </si>
  <si>
    <t>EOP minorities</t>
  </si>
  <si>
    <t>Income before taxes</t>
  </si>
  <si>
    <t>Effective tax rate</t>
  </si>
  <si>
    <t>IRAP tax base = EBIT</t>
  </si>
  <si>
    <t>IRES + IRAP tax rate</t>
  </si>
  <si>
    <t>Total income taxes</t>
  </si>
  <si>
    <t>Cash</t>
  </si>
  <si>
    <t>BOP cash</t>
  </si>
  <si>
    <t>= EOP cash</t>
  </si>
  <si>
    <t>Total funds invested</t>
  </si>
  <si>
    <t>Change in minorities</t>
  </si>
  <si>
    <t>Group equity</t>
  </si>
  <si>
    <t>Change in cash</t>
  </si>
  <si>
    <t>Net income margin</t>
  </si>
  <si>
    <t>Days for other current A&amp;L (Sales)</t>
  </si>
  <si>
    <t>Investment analysis - WC</t>
  </si>
  <si>
    <t>Retained earnings</t>
  </si>
  <si>
    <t>Liabilities held for sale</t>
  </si>
  <si>
    <t>Top brands (Campari, Aperol, SKYY…)</t>
  </si>
  <si>
    <t>Regional priorities</t>
  </si>
  <si>
    <t>Other brands</t>
  </si>
  <si>
    <t>Organic growth rates</t>
  </si>
  <si>
    <t>Bonds issuance and (maturity) schedule</t>
  </si>
  <si>
    <t>Reorganize historical IS and BS</t>
  </si>
  <si>
    <t>Restatements</t>
  </si>
  <si>
    <t>Forecast other items</t>
  </si>
  <si>
    <t>Linking cell</t>
  </si>
  <si>
    <t>Fill forecast outputs from totals in Calculations</t>
  </si>
  <si>
    <t>Calculations, Output</t>
  </si>
  <si>
    <t>Forecast net debt</t>
  </si>
  <si>
    <t>Output</t>
  </si>
  <si>
    <t>Value creation and profitability analysis</t>
  </si>
  <si>
    <t>Growth in IC</t>
  </si>
  <si>
    <t>Continuing value (hp RONIC = ROIC)</t>
  </si>
  <si>
    <t>APV equity value sensitivity: kEU and kD</t>
  </si>
  <si>
    <t>Summary</t>
  </si>
  <si>
    <t>Lower bound</t>
  </si>
  <si>
    <t>Median</t>
  </si>
  <si>
    <t>Upper bound</t>
  </si>
  <si>
    <t>Valuation summary</t>
  </si>
  <si>
    <t>Currency</t>
  </si>
  <si>
    <t>GBPm</t>
  </si>
  <si>
    <t>EURm</t>
  </si>
  <si>
    <t>USDm</t>
  </si>
  <si>
    <t>EBITDA 2014A</t>
  </si>
  <si>
    <t>Net income 2014A</t>
  </si>
  <si>
    <t>EBITDA 2015E</t>
  </si>
  <si>
    <t>Net income 2015E</t>
  </si>
  <si>
    <t>EV / EBITDA 2014A</t>
  </si>
  <si>
    <t>P / E 2014A</t>
  </si>
  <si>
    <t>EV / EBITDA 2015E</t>
  </si>
  <si>
    <t>P / E 2015E</t>
  </si>
  <si>
    <t>Preferred shares</t>
  </si>
  <si>
    <t>Campari - EBITDA 2015</t>
  </si>
  <si>
    <t>EV / EBITDA 2015</t>
  </si>
  <si>
    <t>P / E 2015</t>
  </si>
  <si>
    <r>
      <t xml:space="preserve">Size discount </t>
    </r>
    <r>
      <rPr>
        <i/>
        <sz val="8"/>
        <color theme="1"/>
        <rFont val="Arial"/>
        <family val="2"/>
      </rPr>
      <t>(applied because of the greater size of comparable companies)</t>
    </r>
  </si>
  <si>
    <t>FCFE</t>
  </si>
  <si>
    <t>Discount factor (kEL)</t>
  </si>
  <si>
    <t>kEL</t>
  </si>
  <si>
    <t>Present value of FCFE</t>
  </si>
  <si>
    <t>PV of FCFE</t>
  </si>
  <si>
    <t>ROE (@ BOP E)</t>
  </si>
  <si>
    <t>Growth in E</t>
  </si>
  <si>
    <t>BOP E</t>
  </si>
  <si>
    <t>"Reinvestment rate" of net income</t>
  </si>
  <si>
    <t>DCF equity side (FCFE)</t>
  </si>
  <si>
    <t>DCF asset side (FCFO)</t>
  </si>
  <si>
    <t>FCFO = NOPLAT * (1 - IR)</t>
  </si>
  <si>
    <t xml:space="preserve">Check: </t>
  </si>
  <si>
    <t>FCFE = NI * (1 - IR)</t>
  </si>
  <si>
    <t>DCF equity</t>
  </si>
  <si>
    <t>DCF asset</t>
  </si>
  <si>
    <t>Equity value per share (€)</t>
  </si>
  <si>
    <t>DCF asset side: equity value sensitivity: WACC and perpetual growth</t>
  </si>
  <si>
    <t>DCF equity side: equity value sensitivity: kEL and perpetual growth</t>
  </si>
  <si>
    <t>Effective interest rate (with average ND)</t>
  </si>
  <si>
    <t>Number of shares</t>
  </si>
  <si>
    <t>+ Total net income</t>
  </si>
  <si>
    <t>- Dividends</t>
  </si>
  <si>
    <t>Risk Free Rate (Average in 2014 of 10Y Italian Bonds BTP)</t>
  </si>
  <si>
    <t>Surplus assets</t>
  </si>
  <si>
    <t>Core invested capital</t>
  </si>
  <si>
    <t>Net invested capital</t>
  </si>
  <si>
    <t>Change in surplus assets</t>
  </si>
  <si>
    <t>(Surplus assets)</t>
  </si>
  <si>
    <t>ROE</t>
  </si>
  <si>
    <t>Terminal value</t>
  </si>
  <si>
    <t>PV of TV</t>
  </si>
  <si>
    <t>KVDF equity</t>
  </si>
  <si>
    <t>KVDF asset</t>
  </si>
  <si>
    <t>(Operational taxes</t>
  </si>
  <si>
    <t>Campari - Net income 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</si>
</sst>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164" formatCode="#,##0.0_)_);\(#,##0.0\)_);\-_)_);@_)_)"/>
    <numFmt numFmtId="165" formatCode="yyyy"/>
    <numFmt numFmtId="166" formatCode="0.0%_)_);\(0.0%\)_);\-_)_);@_)_)"/>
    <numFmt numFmtId="167" formatCode="0%_)_);\(0%\)_);\-_)_);@_)_)"/>
    <numFmt numFmtId="168" formatCode="#,##0_)_);\(#,##0\)_);\-_)_);@_)_)"/>
    <numFmt numFmtId="169" formatCode="#,##0.0_)_);\(#,##0.0\)_);@_)_)"/>
    <numFmt numFmtId="170" formatCode="0.0%_)_);\(0.0%\)_);@_)_)"/>
    <numFmt numFmtId="171" formatCode="0.0&quot;x&quot;_)_);\(0.0&quot;x&quot;\)_);\-_)_);@_)_)"/>
    <numFmt numFmtId="172" formatCode="#,##0.000_)_);\(#,##0.000\)_);@_)_)"/>
    <numFmt numFmtId="173" formatCode="#,##0.0000_)_);\(#,##0.0000\)_);\-_)_);@_)_)"/>
    <numFmt numFmtId="174" formatCode="#,##0.0"/>
    <numFmt numFmtId="175" formatCode="0.00%;\(0.00%\)"/>
    <numFmt numFmtId="176" formatCode="#,##0.000;\(#,##0.000\)"/>
    <numFmt numFmtId="177" formatCode="0.0%;\(0.0%\)"/>
  </numFmts>
  <fonts count="40" x14ac:knownFonts="1">
    <font>
      <sz val="8"/>
      <color theme="1"/>
      <name val="Arial"/>
      <family val="2"/>
    </font>
    <font>
      <sz val="11"/>
      <color theme="1"/>
      <name val="Calibri"/>
      <family val="2"/>
      <scheme val="minor"/>
    </font>
    <font>
      <sz val="11"/>
      <color theme="1"/>
      <name val="Calibri"/>
      <family val="2"/>
      <scheme val="minor"/>
    </font>
    <font>
      <b/>
      <sz val="8"/>
      <color theme="0"/>
      <name val="Arial"/>
      <family val="2"/>
    </font>
    <font>
      <b/>
      <sz val="8"/>
      <color theme="1"/>
      <name val="Arial"/>
      <family val="2"/>
    </font>
    <font>
      <i/>
      <sz val="8"/>
      <color theme="1"/>
      <name val="Arial"/>
      <family val="2"/>
    </font>
    <font>
      <i/>
      <sz val="8"/>
      <color theme="0" tint="-0.499984740745262"/>
      <name val="Arial"/>
      <family val="2"/>
    </font>
    <font>
      <b/>
      <sz val="14"/>
      <color theme="5"/>
      <name val="Arial"/>
      <family val="2"/>
    </font>
    <font>
      <b/>
      <sz val="8"/>
      <name val="Arial"/>
      <family val="2"/>
    </font>
    <font>
      <sz val="10"/>
      <name val="Arial"/>
      <family val="2"/>
    </font>
    <font>
      <sz val="8"/>
      <color theme="0"/>
      <name val="Arial"/>
      <family val="2"/>
    </font>
    <font>
      <sz val="8"/>
      <color rgb="FF3333CC"/>
      <name val="Arial"/>
      <family val="2"/>
    </font>
    <font>
      <sz val="8"/>
      <name val="Arial"/>
      <family val="2"/>
    </font>
    <font>
      <b/>
      <sz val="8"/>
      <color rgb="FFFF0000"/>
      <name val="Arial"/>
      <family val="2"/>
    </font>
    <font>
      <b/>
      <u/>
      <sz val="8"/>
      <color theme="1"/>
      <name val="Arial"/>
      <family val="2"/>
    </font>
    <font>
      <i/>
      <sz val="8"/>
      <name val="Arial"/>
      <family val="2"/>
    </font>
    <font>
      <vertAlign val="subscript"/>
      <sz val="8.8000000000000007"/>
      <color theme="1"/>
      <name val="Arial"/>
      <family val="2"/>
    </font>
    <font>
      <b/>
      <sz val="18"/>
      <color rgb="FF3333CC"/>
      <name val="Arial"/>
      <family val="2"/>
    </font>
    <font>
      <sz val="18"/>
      <color theme="1"/>
      <name val="Arial"/>
      <family val="2"/>
    </font>
    <font>
      <b/>
      <sz val="22"/>
      <name val="Arial"/>
      <family val="2"/>
    </font>
    <font>
      <sz val="10"/>
      <color theme="1"/>
      <name val="Arial"/>
      <family val="2"/>
    </font>
    <font>
      <b/>
      <sz val="10"/>
      <name val="Arial"/>
      <family val="2"/>
    </font>
    <font>
      <b/>
      <u/>
      <sz val="10"/>
      <color rgb="FFC00000"/>
      <name val="Arial"/>
      <family val="2"/>
    </font>
    <font>
      <b/>
      <sz val="8"/>
      <color rgb="FFC00000"/>
      <name val="Arial"/>
      <family val="2"/>
    </font>
    <font>
      <b/>
      <sz val="10"/>
      <color theme="5"/>
      <name val="Arial"/>
      <family val="2"/>
    </font>
    <font>
      <sz val="8"/>
      <color indexed="81"/>
      <name val="Tahoma"/>
      <family val="2"/>
    </font>
    <font>
      <b/>
      <sz val="8"/>
      <color indexed="81"/>
      <name val="Tahoma"/>
      <family val="2"/>
    </font>
    <font>
      <sz val="8"/>
      <color rgb="FFFF0000"/>
      <name val="Arial"/>
      <family val="2"/>
    </font>
    <font>
      <i/>
      <sz val="8"/>
      <color rgb="FFFF0000"/>
      <name val="Arial"/>
      <family val="2"/>
    </font>
    <font>
      <b/>
      <sz val="11"/>
      <color theme="0"/>
      <name val="Calibri"/>
      <family val="2"/>
      <scheme val="minor"/>
    </font>
    <font>
      <b/>
      <sz val="11"/>
      <color theme="1"/>
      <name val="Calibri"/>
      <family val="2"/>
      <scheme val="minor"/>
    </font>
    <font>
      <sz val="11"/>
      <color theme="0"/>
      <name val="Calibri"/>
      <family val="2"/>
      <scheme val="minor"/>
    </font>
    <font>
      <b/>
      <sz val="11"/>
      <color theme="5"/>
      <name val="Calibri"/>
      <family val="2"/>
      <scheme val="minor"/>
    </font>
    <font>
      <sz val="11"/>
      <name val="Calibri"/>
      <family val="2"/>
      <scheme val="minor"/>
    </font>
    <font>
      <sz val="11"/>
      <color rgb="FF3333CC"/>
      <name val="Calibri"/>
      <family val="2"/>
      <scheme val="minor"/>
    </font>
    <font>
      <b/>
      <sz val="11"/>
      <color rgb="FFFF0000"/>
      <name val="Calibri"/>
      <family val="2"/>
      <scheme val="minor"/>
    </font>
    <font>
      <b/>
      <sz val="11"/>
      <name val="Calibri"/>
      <family val="2"/>
      <scheme val="minor"/>
    </font>
    <font>
      <i/>
      <sz val="11"/>
      <color theme="1"/>
      <name val="Calibri"/>
      <family val="2"/>
      <scheme val="minor"/>
    </font>
    <font>
      <i/>
      <sz val="11"/>
      <name val="Calibri"/>
      <family val="2"/>
      <scheme val="minor"/>
    </font>
    <font>
      <b/>
      <sz val="11"/>
      <color rgb="FF3333CC"/>
      <name val="Calibri"/>
      <family val="2"/>
      <scheme val="minor"/>
    </font>
  </fonts>
  <fills count="10">
    <fill>
      <patternFill patternType="none"/>
    </fill>
    <fill>
      <patternFill patternType="gray125"/>
    </fill>
    <fill>
      <patternFill patternType="solid">
        <fgColor rgb="FF002776"/>
        <bgColor indexed="64"/>
      </patternFill>
    </fill>
    <fill>
      <patternFill patternType="solid">
        <fgColor theme="8" tint="0.79998168889431442"/>
        <bgColor indexed="64"/>
      </patternFill>
    </fill>
    <fill>
      <patternFill patternType="solid">
        <fgColor theme="4"/>
        <bgColor indexed="64"/>
      </patternFill>
    </fill>
    <fill>
      <patternFill patternType="solid">
        <fgColor theme="3"/>
        <bgColor indexed="64"/>
      </patternFill>
    </fill>
    <fill>
      <patternFill patternType="solid">
        <fgColor theme="0" tint="-0.499984740745262"/>
        <bgColor indexed="64"/>
      </patternFill>
    </fill>
    <fill>
      <patternFill patternType="solid">
        <fgColor rgb="FF3333CC"/>
        <bgColor indexed="64"/>
      </patternFill>
    </fill>
    <fill>
      <patternFill patternType="solid">
        <fgColor theme="7"/>
        <bgColor indexed="64"/>
      </patternFill>
    </fill>
    <fill>
      <patternFill patternType="solid">
        <fgColor theme="8" tint="0.39997558519241921"/>
        <bgColor indexed="64"/>
      </patternFill>
    </fill>
  </fills>
  <borders count="43">
    <border>
      <left/>
      <right/>
      <top/>
      <bottom/>
      <diagonal/>
    </border>
    <border>
      <left/>
      <right/>
      <top style="thin">
        <color indexed="64"/>
      </top>
      <bottom/>
      <diagonal/>
    </border>
    <border>
      <left/>
      <right/>
      <top/>
      <bottom style="thin">
        <color indexed="64"/>
      </bottom>
      <diagonal/>
    </border>
    <border>
      <left style="thick">
        <color theme="0"/>
      </left>
      <right/>
      <top/>
      <bottom/>
      <diagonal/>
    </border>
    <border>
      <left style="thick">
        <color theme="0"/>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rgb="FF3333CC"/>
      </top>
      <bottom style="thin">
        <color rgb="FF3333CC"/>
      </bottom>
      <diagonal/>
    </border>
    <border>
      <left/>
      <right style="thick">
        <color theme="0"/>
      </right>
      <top/>
      <bottom/>
      <diagonal/>
    </border>
    <border>
      <left/>
      <right style="thick">
        <color theme="0"/>
      </right>
      <top/>
      <bottom style="thin">
        <color indexed="64"/>
      </bottom>
      <diagonal/>
    </border>
    <border>
      <left style="thick">
        <color theme="0"/>
      </left>
      <right/>
      <top style="thin">
        <color indexed="64"/>
      </top>
      <bottom/>
      <diagonal/>
    </border>
    <border>
      <left/>
      <right style="thick">
        <color theme="0"/>
      </right>
      <top style="thin">
        <color indexed="64"/>
      </top>
      <bottom/>
      <diagonal/>
    </border>
    <border>
      <left style="thick">
        <color theme="2"/>
      </left>
      <right/>
      <top/>
      <bottom/>
      <diagonal/>
    </border>
    <border>
      <left/>
      <right style="thick">
        <color theme="2"/>
      </right>
      <top/>
      <bottom/>
      <diagonal/>
    </border>
    <border>
      <left style="thick">
        <color theme="2"/>
      </left>
      <right/>
      <top style="thin">
        <color indexed="64"/>
      </top>
      <bottom/>
      <diagonal/>
    </border>
    <border>
      <left/>
      <right style="thick">
        <color theme="2"/>
      </right>
      <top style="thin">
        <color indexed="64"/>
      </top>
      <bottom/>
      <diagonal/>
    </border>
    <border>
      <left style="thick">
        <color theme="0"/>
      </left>
      <right style="thick">
        <color theme="0"/>
      </right>
      <top/>
      <bottom/>
      <diagonal/>
    </border>
    <border>
      <left style="thick">
        <color theme="0"/>
      </left>
      <right style="thick">
        <color theme="0"/>
      </right>
      <top style="thick">
        <color theme="0"/>
      </top>
      <bottom style="thick">
        <color theme="0"/>
      </bottom>
      <diagonal/>
    </border>
    <border>
      <left style="thick">
        <color theme="0"/>
      </left>
      <right/>
      <top style="thick">
        <color theme="0"/>
      </top>
      <bottom/>
      <diagonal/>
    </border>
    <border>
      <left/>
      <right/>
      <top style="thick">
        <color theme="0"/>
      </top>
      <bottom/>
      <diagonal/>
    </border>
    <border>
      <left/>
      <right style="thin">
        <color theme="1"/>
      </right>
      <top style="thick">
        <color theme="0"/>
      </top>
      <bottom/>
      <diagonal/>
    </border>
    <border>
      <left/>
      <right style="thin">
        <color theme="1"/>
      </right>
      <top/>
      <bottom/>
      <diagonal/>
    </border>
    <border>
      <left style="thick">
        <color theme="0"/>
      </left>
      <right/>
      <top/>
      <bottom style="thin">
        <color theme="1"/>
      </bottom>
      <diagonal/>
    </border>
    <border>
      <left/>
      <right/>
      <top/>
      <bottom style="thin">
        <color theme="1"/>
      </bottom>
      <diagonal/>
    </border>
    <border>
      <left/>
      <right style="thin">
        <color theme="1"/>
      </right>
      <top/>
      <bottom style="thin">
        <color theme="1"/>
      </bottom>
      <diagonal/>
    </border>
    <border>
      <left style="dashed">
        <color theme="0" tint="-0.24994659260841701"/>
      </left>
      <right/>
      <top style="dashed">
        <color theme="0" tint="-0.24994659260841701"/>
      </top>
      <bottom/>
      <diagonal/>
    </border>
    <border>
      <left/>
      <right/>
      <top style="dashed">
        <color theme="0" tint="-0.24994659260841701"/>
      </top>
      <bottom/>
      <diagonal/>
    </border>
    <border>
      <left/>
      <right style="dashed">
        <color theme="0" tint="-0.24994659260841701"/>
      </right>
      <top style="dashed">
        <color theme="0" tint="-0.24994659260841701"/>
      </top>
      <bottom/>
      <diagonal/>
    </border>
    <border>
      <left style="dashed">
        <color theme="0" tint="-0.24994659260841701"/>
      </left>
      <right/>
      <top/>
      <bottom/>
      <diagonal/>
    </border>
    <border>
      <left/>
      <right style="dashed">
        <color theme="0" tint="-0.24994659260841701"/>
      </right>
      <top/>
      <bottom/>
      <diagonal/>
    </border>
    <border>
      <left style="dashed">
        <color theme="0" tint="-0.24994659260841701"/>
      </left>
      <right/>
      <top/>
      <bottom style="dashed">
        <color theme="0" tint="-0.24994659260841701"/>
      </bottom>
      <diagonal/>
    </border>
    <border>
      <left/>
      <right/>
      <top/>
      <bottom style="dashed">
        <color theme="0" tint="-0.24994659260841701"/>
      </bottom>
      <diagonal/>
    </border>
    <border>
      <left/>
      <right style="dashed">
        <color theme="0" tint="-0.24994659260841701"/>
      </right>
      <top/>
      <bottom style="dashed">
        <color theme="0" tint="-0.24994659260841701"/>
      </bottom>
      <diagonal/>
    </border>
    <border>
      <left/>
      <right/>
      <top style="dashed">
        <color auto="1"/>
      </top>
      <bottom/>
      <diagonal/>
    </border>
    <border>
      <left style="thick">
        <color theme="0"/>
      </left>
      <right/>
      <top style="dashed">
        <color auto="1"/>
      </top>
      <bottom/>
      <diagonal/>
    </border>
    <border>
      <left/>
      <right style="thick">
        <color theme="0"/>
      </right>
      <top style="dashed">
        <color auto="1"/>
      </top>
      <bottom/>
      <diagonal/>
    </border>
  </borders>
  <cellStyleXfs count="3">
    <xf numFmtId="0" fontId="0" fillId="0" borderId="0"/>
    <xf numFmtId="0" fontId="9" fillId="0" borderId="0"/>
    <xf numFmtId="0" fontId="9" fillId="0" borderId="0"/>
  </cellStyleXfs>
  <cellXfs count="493">
    <xf numFmtId="0" fontId="0" fillId="0" borderId="0" xfId="0"/>
    <xf numFmtId="0" fontId="3" fillId="2" borderId="0" xfId="0" applyFont="1" applyFill="1" applyAlignment="1">
      <alignment horizontal="left" vertical="center" indent="1"/>
    </xf>
    <xf numFmtId="165" fontId="3" fillId="2" borderId="0" xfId="0" applyNumberFormat="1" applyFont="1" applyFill="1" applyAlignment="1">
      <alignment horizontal="right" vertical="center" indent="1"/>
    </xf>
    <xf numFmtId="0" fontId="0" fillId="0" borderId="0" xfId="0" applyAlignment="1">
      <alignment horizontal="left" indent="1"/>
    </xf>
    <xf numFmtId="164" fontId="0" fillId="0" borderId="0" xfId="0" applyNumberFormat="1"/>
    <xf numFmtId="0" fontId="4" fillId="0" borderId="1" xfId="0" applyFont="1" applyBorder="1" applyAlignment="1">
      <alignment horizontal="left" indent="1"/>
    </xf>
    <xf numFmtId="164" fontId="4" fillId="0" borderId="1" xfId="0" applyNumberFormat="1" applyFont="1" applyBorder="1"/>
    <xf numFmtId="0" fontId="7" fillId="0" borderId="0" xfId="0" applyFont="1" applyBorder="1"/>
    <xf numFmtId="0" fontId="0" fillId="0" borderId="0" xfId="0" applyAlignment="1">
      <alignment vertical="center"/>
    </xf>
    <xf numFmtId="0" fontId="7" fillId="0" borderId="0" xfId="0" applyFont="1" applyBorder="1" applyAlignment="1">
      <alignment horizontal="left" vertical="center" indent="1"/>
    </xf>
    <xf numFmtId="0" fontId="0" fillId="0" borderId="0" xfId="0" applyAlignment="1">
      <alignment horizontal="left" vertical="center" indent="1"/>
    </xf>
    <xf numFmtId="0" fontId="8" fillId="3" borderId="0" xfId="0" applyFont="1" applyFill="1" applyBorder="1" applyAlignment="1">
      <alignment horizontal="left" indent="1"/>
    </xf>
    <xf numFmtId="164" fontId="8" fillId="3" borderId="0" xfId="0" applyNumberFormat="1" applyFont="1" applyFill="1" applyBorder="1"/>
    <xf numFmtId="165" fontId="10" fillId="2" borderId="0" xfId="0" applyNumberFormat="1" applyFont="1" applyFill="1" applyAlignment="1">
      <alignment horizontal="right" vertical="center" indent="1"/>
    </xf>
    <xf numFmtId="0" fontId="4" fillId="0" borderId="0" xfId="0" applyFont="1" applyBorder="1" applyAlignment="1">
      <alignment horizontal="left" indent="1"/>
    </xf>
    <xf numFmtId="0" fontId="4" fillId="0" borderId="0" xfId="0" applyFont="1" applyAlignment="1">
      <alignment horizontal="left" indent="1"/>
    </xf>
    <xf numFmtId="0" fontId="4" fillId="0" borderId="0" xfId="0" applyFont="1" applyAlignment="1">
      <alignment horizontal="left" vertical="center" indent="1"/>
    </xf>
    <xf numFmtId="168" fontId="4" fillId="0" borderId="0" xfId="0" applyNumberFormat="1" applyFont="1" applyAlignment="1">
      <alignment vertical="center"/>
    </xf>
    <xf numFmtId="0" fontId="0" fillId="0" borderId="0" xfId="0" applyFont="1" applyAlignment="1">
      <alignment horizontal="left" vertical="center" indent="1"/>
    </xf>
    <xf numFmtId="168" fontId="0" fillId="0" borderId="0" xfId="0" applyNumberFormat="1" applyFont="1" applyAlignment="1">
      <alignment vertical="center"/>
    </xf>
    <xf numFmtId="0" fontId="4" fillId="0" borderId="1" xfId="0" applyFont="1" applyBorder="1" applyAlignment="1">
      <alignment horizontal="left" vertical="center" indent="1"/>
    </xf>
    <xf numFmtId="168" fontId="4" fillId="0" borderId="1" xfId="0" applyNumberFormat="1" applyFont="1" applyBorder="1" applyAlignment="1">
      <alignment vertical="center"/>
    </xf>
    <xf numFmtId="0" fontId="5" fillId="0" borderId="0" xfId="0" applyFont="1" applyAlignment="1">
      <alignment horizontal="left" vertical="center" indent="1"/>
    </xf>
    <xf numFmtId="167" fontId="5" fillId="0" borderId="0" xfId="0" applyNumberFormat="1" applyFont="1" applyAlignment="1">
      <alignment vertical="center"/>
    </xf>
    <xf numFmtId="0" fontId="4" fillId="3" borderId="0" xfId="0" applyFont="1" applyFill="1" applyAlignment="1">
      <alignment horizontal="left" vertical="center" indent="1"/>
    </xf>
    <xf numFmtId="168" fontId="4" fillId="3" borderId="0" xfId="0" applyNumberFormat="1" applyFont="1" applyFill="1" applyAlignment="1">
      <alignment vertical="center"/>
    </xf>
    <xf numFmtId="49" fontId="0" fillId="0" borderId="0" xfId="0" applyNumberFormat="1"/>
    <xf numFmtId="0" fontId="0" fillId="0" borderId="0" xfId="0" applyFont="1" applyFill="1" applyAlignment="1">
      <alignment horizontal="left" vertical="center" indent="1"/>
    </xf>
    <xf numFmtId="168" fontId="0" fillId="0" borderId="0" xfId="0" applyNumberFormat="1" applyFont="1" applyFill="1" applyAlignment="1">
      <alignment vertical="center"/>
    </xf>
    <xf numFmtId="0" fontId="4" fillId="0" borderId="1" xfId="0" applyFont="1" applyFill="1" applyBorder="1" applyAlignment="1">
      <alignment horizontal="left" vertical="center" indent="1"/>
    </xf>
    <xf numFmtId="168" fontId="4" fillId="0" borderId="1" xfId="0" applyNumberFormat="1" applyFont="1" applyFill="1" applyBorder="1" applyAlignment="1">
      <alignment vertical="center"/>
    </xf>
    <xf numFmtId="164" fontId="0" fillId="0" borderId="0" xfId="0" applyNumberFormat="1" applyFont="1" applyFill="1" applyAlignment="1">
      <alignment vertical="center"/>
    </xf>
    <xf numFmtId="164" fontId="4" fillId="0" borderId="1" xfId="0" applyNumberFormat="1" applyFont="1" applyFill="1" applyBorder="1" applyAlignment="1">
      <alignment vertical="center"/>
    </xf>
    <xf numFmtId="0" fontId="0" fillId="0" borderId="0" xfId="0" applyFont="1" applyAlignment="1">
      <alignment horizontal="left" indent="1"/>
    </xf>
    <xf numFmtId="164" fontId="6" fillId="0" borderId="0" xfId="0" applyNumberFormat="1" applyFont="1"/>
    <xf numFmtId="166" fontId="0" fillId="0" borderId="0" xfId="0" applyNumberFormat="1"/>
    <xf numFmtId="164" fontId="0" fillId="0" borderId="0" xfId="0" applyNumberFormat="1" applyBorder="1"/>
    <xf numFmtId="165" fontId="3" fillId="4" borderId="3" xfId="0" applyNumberFormat="1" applyFont="1" applyFill="1" applyBorder="1" applyAlignment="1">
      <alignment horizontal="right" vertical="center" indent="1"/>
    </xf>
    <xf numFmtId="0" fontId="4" fillId="0" borderId="2" xfId="0" applyFont="1" applyBorder="1" applyAlignment="1">
      <alignment horizontal="centerContinuous" vertical="center"/>
    </xf>
    <xf numFmtId="0" fontId="0" fillId="0" borderId="2" xfId="0" applyBorder="1" applyAlignment="1">
      <alignment horizontal="centerContinuous" vertical="center"/>
    </xf>
    <xf numFmtId="0" fontId="4" fillId="0" borderId="4" xfId="0" applyFont="1" applyBorder="1" applyAlignment="1">
      <alignment horizontal="centerContinuous" vertical="center"/>
    </xf>
    <xf numFmtId="165" fontId="3" fillId="6" borderId="3" xfId="0" applyNumberFormat="1" applyFont="1" applyFill="1" applyBorder="1" applyAlignment="1">
      <alignment horizontal="right" vertical="center" indent="1"/>
    </xf>
    <xf numFmtId="165" fontId="3" fillId="6" borderId="0" xfId="0" applyNumberFormat="1" applyFont="1" applyFill="1" applyAlignment="1">
      <alignment horizontal="right" vertical="center" indent="1"/>
    </xf>
    <xf numFmtId="0" fontId="0" fillId="0" borderId="3" xfId="0" applyBorder="1"/>
    <xf numFmtId="0" fontId="0" fillId="0" borderId="3" xfId="0" applyBorder="1" applyAlignment="1">
      <alignment vertical="center"/>
    </xf>
    <xf numFmtId="0" fontId="0" fillId="0" borderId="0" xfId="0" applyBorder="1"/>
    <xf numFmtId="0" fontId="3" fillId="2" borderId="0" xfId="0" applyFont="1" applyFill="1" applyBorder="1" applyAlignment="1">
      <alignment horizontal="left" vertical="center" indent="1"/>
    </xf>
    <xf numFmtId="164" fontId="0" fillId="0" borderId="0" xfId="0" applyNumberFormat="1" applyFont="1"/>
    <xf numFmtId="164" fontId="6" fillId="0" borderId="0" xfId="0" applyNumberFormat="1" applyFont="1" applyAlignment="1">
      <alignment horizontal="left" indent="1"/>
    </xf>
    <xf numFmtId="169" fontId="0" fillId="0" borderId="0" xfId="0" applyNumberFormat="1"/>
    <xf numFmtId="169" fontId="8" fillId="3" borderId="0" xfId="0" applyNumberFormat="1" applyFont="1" applyFill="1" applyBorder="1"/>
    <xf numFmtId="169" fontId="0" fillId="0" borderId="0" xfId="0" applyNumberFormat="1" applyBorder="1"/>
    <xf numFmtId="169" fontId="12" fillId="0" borderId="0" xfId="0" applyNumberFormat="1" applyFont="1" applyAlignment="1">
      <alignment horizontal="right"/>
    </xf>
    <xf numFmtId="169" fontId="12" fillId="0" borderId="0" xfId="0" applyNumberFormat="1" applyFont="1" applyBorder="1"/>
    <xf numFmtId="169" fontId="6" fillId="0" borderId="0" xfId="0" applyNumberFormat="1" applyFont="1"/>
    <xf numFmtId="169" fontId="0" fillId="0" borderId="0" xfId="0" applyNumberFormat="1" applyFont="1" applyBorder="1"/>
    <xf numFmtId="169" fontId="0" fillId="0" borderId="0" xfId="0" applyNumberFormat="1" applyFont="1" applyAlignment="1">
      <alignment vertical="center"/>
    </xf>
    <xf numFmtId="169" fontId="4" fillId="0" borderId="1" xfId="0" applyNumberFormat="1" applyFont="1" applyBorder="1" applyAlignment="1">
      <alignment vertical="center"/>
    </xf>
    <xf numFmtId="169" fontId="4" fillId="3" borderId="0" xfId="0" applyNumberFormat="1" applyFont="1" applyFill="1" applyAlignment="1">
      <alignment vertical="center"/>
    </xf>
    <xf numFmtId="169" fontId="0" fillId="0" borderId="0" xfId="0" applyNumberFormat="1" applyFont="1"/>
    <xf numFmtId="169" fontId="4" fillId="0" borderId="0" xfId="0" applyNumberFormat="1" applyFont="1" applyAlignment="1">
      <alignment vertical="center"/>
    </xf>
    <xf numFmtId="169" fontId="0" fillId="0" borderId="0" xfId="0" applyNumberFormat="1" applyFont="1" applyFill="1" applyAlignment="1">
      <alignment vertical="center"/>
    </xf>
    <xf numFmtId="169" fontId="4" fillId="0" borderId="1" xfId="0" applyNumberFormat="1" applyFont="1" applyFill="1" applyBorder="1" applyAlignment="1">
      <alignment vertical="center"/>
    </xf>
    <xf numFmtId="170" fontId="4" fillId="0" borderId="0" xfId="0" applyNumberFormat="1" applyFont="1"/>
    <xf numFmtId="170" fontId="5" fillId="0" borderId="0" xfId="0" applyNumberFormat="1" applyFont="1"/>
    <xf numFmtId="170" fontId="5" fillId="0" borderId="0" xfId="0" applyNumberFormat="1" applyFont="1" applyAlignment="1">
      <alignment vertical="center"/>
    </xf>
    <xf numFmtId="0" fontId="4" fillId="0" borderId="1" xfId="0" applyFont="1" applyBorder="1"/>
    <xf numFmtId="169" fontId="4" fillId="3" borderId="0" xfId="0" applyNumberFormat="1" applyFont="1" applyFill="1" applyAlignment="1">
      <alignment horizontal="right" vertical="center"/>
    </xf>
    <xf numFmtId="170" fontId="12" fillId="0" borderId="0" xfId="0" applyNumberFormat="1" applyFont="1" applyAlignment="1">
      <alignment horizontal="right"/>
    </xf>
    <xf numFmtId="166" fontId="12" fillId="0" borderId="0" xfId="0" applyNumberFormat="1" applyFont="1" applyAlignment="1">
      <alignment horizontal="right"/>
    </xf>
    <xf numFmtId="171" fontId="12" fillId="0" borderId="0" xfId="0" applyNumberFormat="1" applyFont="1" applyAlignment="1">
      <alignment horizontal="right"/>
    </xf>
    <xf numFmtId="0" fontId="5" fillId="0" borderId="0" xfId="0" applyFont="1" applyAlignment="1">
      <alignment horizontal="left" vertical="center" indent="2"/>
    </xf>
    <xf numFmtId="0" fontId="5" fillId="0" borderId="0" xfId="0" applyFont="1"/>
    <xf numFmtId="166" fontId="15" fillId="0" borderId="0" xfId="0" applyNumberFormat="1" applyFont="1" applyAlignment="1">
      <alignment horizontal="right"/>
    </xf>
    <xf numFmtId="0" fontId="14" fillId="0" borderId="0" xfId="0" applyFont="1" applyAlignment="1">
      <alignment horizontal="left" vertical="center" indent="1"/>
    </xf>
    <xf numFmtId="166" fontId="8" fillId="0" borderId="1" xfId="0" applyNumberFormat="1" applyFont="1" applyBorder="1" applyAlignment="1">
      <alignment horizontal="right"/>
    </xf>
    <xf numFmtId="169" fontId="0" fillId="0" borderId="1" xfId="0" applyNumberFormat="1" applyFont="1" applyFill="1" applyBorder="1" applyAlignment="1">
      <alignment vertical="center"/>
    </xf>
    <xf numFmtId="169" fontId="4" fillId="0" borderId="0" xfId="0" applyNumberFormat="1" applyFont="1" applyFill="1" applyBorder="1" applyAlignment="1">
      <alignment vertical="center"/>
    </xf>
    <xf numFmtId="172" fontId="0" fillId="0" borderId="0" xfId="0" applyNumberFormat="1" applyFont="1" applyFill="1" applyAlignment="1">
      <alignment vertical="center"/>
    </xf>
    <xf numFmtId="169" fontId="0" fillId="0" borderId="2" xfId="0" applyNumberFormat="1" applyFont="1" applyFill="1" applyBorder="1" applyAlignment="1">
      <alignment vertical="center"/>
    </xf>
    <xf numFmtId="168" fontId="0" fillId="0" borderId="0" xfId="0" applyNumberFormat="1"/>
    <xf numFmtId="169" fontId="4" fillId="0" borderId="0" xfId="0" applyNumberFormat="1" applyFont="1"/>
    <xf numFmtId="0" fontId="4" fillId="0" borderId="0" xfId="0" applyFont="1" applyFill="1" applyAlignment="1">
      <alignment horizontal="left" vertical="center" indent="1"/>
    </xf>
    <xf numFmtId="168" fontId="4" fillId="0" borderId="0" xfId="0" applyNumberFormat="1" applyFont="1" applyFill="1" applyAlignment="1">
      <alignment vertical="center"/>
    </xf>
    <xf numFmtId="169" fontId="4" fillId="0" borderId="0" xfId="0" applyNumberFormat="1" applyFont="1" applyFill="1" applyAlignment="1">
      <alignment vertical="center"/>
    </xf>
    <xf numFmtId="165" fontId="3" fillId="5" borderId="3" xfId="0" applyNumberFormat="1" applyFont="1" applyFill="1" applyBorder="1" applyAlignment="1">
      <alignment horizontal="center" vertical="center"/>
    </xf>
    <xf numFmtId="166" fontId="0" fillId="0" borderId="0" xfId="0" applyNumberFormat="1" applyFont="1" applyFill="1" applyAlignment="1">
      <alignment vertical="center"/>
    </xf>
    <xf numFmtId="168" fontId="4" fillId="0" borderId="2" xfId="0" applyNumberFormat="1" applyFont="1" applyFill="1" applyBorder="1" applyAlignment="1">
      <alignment vertical="center"/>
    </xf>
    <xf numFmtId="169" fontId="4" fillId="0" borderId="2" xfId="0" applyNumberFormat="1" applyFont="1" applyFill="1" applyBorder="1" applyAlignment="1">
      <alignment vertical="center"/>
    </xf>
    <xf numFmtId="0" fontId="4" fillId="0" borderId="0" xfId="0" applyFont="1" applyFill="1" applyBorder="1" applyAlignment="1">
      <alignment horizontal="left" vertical="center" indent="1"/>
    </xf>
    <xf numFmtId="168" fontId="4" fillId="0" borderId="0" xfId="0" applyNumberFormat="1" applyFont="1" applyFill="1" applyBorder="1" applyAlignment="1">
      <alignment vertical="center"/>
    </xf>
    <xf numFmtId="0" fontId="4" fillId="0" borderId="5" xfId="0" applyFont="1" applyBorder="1" applyAlignment="1">
      <alignment horizontal="left" indent="1"/>
    </xf>
    <xf numFmtId="169" fontId="4" fillId="0" borderId="6" xfId="0" applyNumberFormat="1" applyFont="1" applyBorder="1"/>
    <xf numFmtId="0" fontId="0" fillId="0" borderId="7" xfId="0" applyFont="1" applyFill="1" applyBorder="1" applyAlignment="1">
      <alignment horizontal="left" vertical="center" indent="1"/>
    </xf>
    <xf numFmtId="168" fontId="0" fillId="0" borderId="0" xfId="0" applyNumberFormat="1" applyFont="1" applyFill="1" applyBorder="1" applyAlignment="1">
      <alignment vertical="center"/>
    </xf>
    <xf numFmtId="169" fontId="0" fillId="0" borderId="0" xfId="0" applyNumberFormat="1" applyFont="1" applyFill="1" applyBorder="1" applyAlignment="1">
      <alignment vertical="center"/>
    </xf>
    <xf numFmtId="169" fontId="0" fillId="0" borderId="8" xfId="0" applyNumberFormat="1" applyFont="1" applyFill="1" applyBorder="1" applyAlignment="1">
      <alignment vertical="center"/>
    </xf>
    <xf numFmtId="0" fontId="4" fillId="0" borderId="9" xfId="0" applyFont="1" applyFill="1" applyBorder="1" applyAlignment="1">
      <alignment horizontal="left" vertical="center" indent="1"/>
    </xf>
    <xf numFmtId="169" fontId="4" fillId="0" borderId="10" xfId="0" applyNumberFormat="1" applyFont="1" applyFill="1" applyBorder="1" applyAlignment="1">
      <alignment vertical="center"/>
    </xf>
    <xf numFmtId="0" fontId="4" fillId="0" borderId="5" xfId="0" applyFont="1" applyFill="1" applyBorder="1" applyAlignment="1">
      <alignment horizontal="left" vertical="center" indent="1"/>
    </xf>
    <xf numFmtId="169" fontId="4" fillId="0" borderId="6" xfId="0" applyNumberFormat="1" applyFont="1" applyFill="1" applyBorder="1" applyAlignment="1">
      <alignment vertical="center"/>
    </xf>
    <xf numFmtId="0" fontId="4" fillId="0" borderId="7" xfId="0" applyFont="1" applyFill="1" applyBorder="1" applyAlignment="1">
      <alignment horizontal="left" vertical="center" indent="1"/>
    </xf>
    <xf numFmtId="169" fontId="4" fillId="0" borderId="8" xfId="0" applyNumberFormat="1" applyFont="1" applyFill="1" applyBorder="1" applyAlignment="1">
      <alignment vertical="center"/>
    </xf>
    <xf numFmtId="0" fontId="4" fillId="0" borderId="11" xfId="0" applyFont="1" applyFill="1" applyBorder="1" applyAlignment="1">
      <alignment horizontal="left" vertical="center" indent="1"/>
    </xf>
    <xf numFmtId="168" fontId="4" fillId="0" borderId="12" xfId="0" applyNumberFormat="1" applyFont="1" applyFill="1" applyBorder="1" applyAlignment="1">
      <alignment vertical="center"/>
    </xf>
    <xf numFmtId="169" fontId="4" fillId="0" borderId="12" xfId="0" applyNumberFormat="1" applyFont="1" applyFill="1" applyBorder="1" applyAlignment="1">
      <alignment vertical="center"/>
    </xf>
    <xf numFmtId="169" fontId="4" fillId="0" borderId="13" xfId="0" applyNumberFormat="1" applyFont="1" applyFill="1" applyBorder="1" applyAlignment="1">
      <alignment vertical="center"/>
    </xf>
    <xf numFmtId="0" fontId="0" fillId="0" borderId="5" xfId="0" applyFont="1" applyFill="1" applyBorder="1" applyAlignment="1">
      <alignment horizontal="left" vertical="center" indent="1"/>
    </xf>
    <xf numFmtId="0" fontId="0" fillId="0" borderId="1" xfId="0" applyBorder="1"/>
    <xf numFmtId="166" fontId="0" fillId="0" borderId="6" xfId="0" applyNumberFormat="1" applyBorder="1"/>
    <xf numFmtId="0" fontId="0" fillId="0" borderId="9" xfId="0" applyFont="1" applyFill="1" applyBorder="1" applyAlignment="1">
      <alignment horizontal="left" vertical="center" indent="1"/>
    </xf>
    <xf numFmtId="0" fontId="0" fillId="0" borderId="2" xfId="0" applyBorder="1"/>
    <xf numFmtId="166" fontId="0" fillId="0" borderId="10" xfId="0" applyNumberFormat="1" applyBorder="1"/>
    <xf numFmtId="0" fontId="0" fillId="7" borderId="0" xfId="0" applyFill="1"/>
    <xf numFmtId="0" fontId="17" fillId="0" borderId="0" xfId="0" quotePrefix="1" applyFont="1"/>
    <xf numFmtId="0" fontId="18" fillId="0" borderId="0" xfId="0" applyFont="1"/>
    <xf numFmtId="0" fontId="19" fillId="0" borderId="0" xfId="0" quotePrefix="1" applyFont="1"/>
    <xf numFmtId="0" fontId="20" fillId="0" borderId="0" xfId="0" applyFont="1" applyAlignment="1">
      <alignment vertical="top"/>
    </xf>
    <xf numFmtId="0" fontId="21" fillId="0" borderId="14" xfId="0" applyFont="1" applyBorder="1" applyAlignment="1">
      <alignment horizontal="center" vertical="center"/>
    </xf>
    <xf numFmtId="0" fontId="9" fillId="0" borderId="14" xfId="0" applyFont="1" applyBorder="1" applyAlignment="1">
      <alignment vertical="center"/>
    </xf>
    <xf numFmtId="0" fontId="9" fillId="0" borderId="14" xfId="0" applyFont="1" applyBorder="1" applyAlignment="1">
      <alignment vertical="center" wrapText="1"/>
    </xf>
    <xf numFmtId="0" fontId="22" fillId="0" borderId="14" xfId="0" applyFont="1" applyBorder="1" applyAlignment="1">
      <alignment vertical="center"/>
    </xf>
    <xf numFmtId="173" fontId="0" fillId="0" borderId="0" xfId="0" applyNumberFormat="1"/>
    <xf numFmtId="174" fontId="0" fillId="0" borderId="0" xfId="0" applyNumberFormat="1"/>
    <xf numFmtId="164" fontId="12" fillId="0" borderId="0" xfId="0" applyNumberFormat="1" applyFont="1"/>
    <xf numFmtId="164" fontId="11" fillId="0" borderId="0" xfId="0" applyNumberFormat="1" applyFont="1"/>
    <xf numFmtId="173" fontId="11" fillId="0" borderId="0" xfId="0" applyNumberFormat="1" applyFont="1"/>
    <xf numFmtId="0" fontId="3" fillId="2" borderId="0" xfId="0" applyFont="1" applyFill="1" applyBorder="1" applyAlignment="1">
      <alignment horizontal="left" vertical="center" wrapText="1" indent="1"/>
    </xf>
    <xf numFmtId="165" fontId="10" fillId="2" borderId="0" xfId="0" applyNumberFormat="1" applyFont="1" applyFill="1" applyAlignment="1">
      <alignment horizontal="right" vertical="center" wrapText="1" indent="1"/>
    </xf>
    <xf numFmtId="0" fontId="3" fillId="2" borderId="0" xfId="0" applyFont="1" applyFill="1" applyBorder="1" applyAlignment="1">
      <alignment horizontal="right" vertical="center" wrapText="1" indent="1"/>
    </xf>
    <xf numFmtId="172" fontId="12" fillId="0" borderId="0" xfId="0" applyNumberFormat="1" applyFont="1" applyAlignment="1">
      <alignment horizontal="right"/>
    </xf>
    <xf numFmtId="172" fontId="4" fillId="0" borderId="1" xfId="0" applyNumberFormat="1" applyFont="1" applyBorder="1"/>
    <xf numFmtId="175" fontId="8" fillId="0" borderId="0" xfId="0" applyNumberFormat="1" applyFont="1" applyAlignment="1">
      <alignment horizontal="right" vertical="center" indent="1"/>
    </xf>
    <xf numFmtId="0" fontId="8" fillId="0" borderId="0" xfId="0" applyFont="1" applyAlignment="1">
      <alignment horizontal="left" vertical="center" wrapText="1" indent="1"/>
    </xf>
    <xf numFmtId="175" fontId="12" fillId="0" borderId="2" xfId="0" applyNumberFormat="1" applyFont="1" applyBorder="1" applyAlignment="1">
      <alignment horizontal="right" vertical="center" indent="1"/>
    </xf>
    <xf numFmtId="175" fontId="12" fillId="0" borderId="0" xfId="0" applyNumberFormat="1" applyFont="1" applyAlignment="1">
      <alignment horizontal="right" vertical="center" indent="1"/>
    </xf>
    <xf numFmtId="176" fontId="12" fillId="0" borderId="0" xfId="0" applyNumberFormat="1" applyFont="1" applyAlignment="1">
      <alignment horizontal="right" vertical="center" indent="1"/>
    </xf>
    <xf numFmtId="0" fontId="12" fillId="0" borderId="0" xfId="0" applyFont="1" applyAlignment="1">
      <alignment horizontal="left" vertical="center" indent="1"/>
    </xf>
    <xf numFmtId="0" fontId="12" fillId="0" borderId="2" xfId="0" applyFont="1" applyBorder="1" applyAlignment="1">
      <alignment horizontal="left" vertical="center" indent="1"/>
    </xf>
    <xf numFmtId="166" fontId="4" fillId="0" borderId="1" xfId="0" applyNumberFormat="1" applyFont="1" applyBorder="1"/>
    <xf numFmtId="0" fontId="8" fillId="0" borderId="1" xfId="0" applyFont="1" applyBorder="1" applyAlignment="1">
      <alignment horizontal="left" vertical="center" indent="1"/>
    </xf>
    <xf numFmtId="175" fontId="8" fillId="0" borderId="1" xfId="0" applyNumberFormat="1" applyFont="1" applyBorder="1" applyAlignment="1">
      <alignment horizontal="right" vertical="center" indent="1"/>
    </xf>
    <xf numFmtId="175" fontId="23" fillId="0" borderId="0" xfId="0" quotePrefix="1" applyNumberFormat="1" applyFont="1" applyAlignment="1">
      <alignment horizontal="left" vertical="center" indent="1"/>
    </xf>
    <xf numFmtId="0" fontId="12" fillId="0" borderId="0" xfId="0" applyFont="1" applyBorder="1" applyAlignment="1">
      <alignment horizontal="left" vertical="center" indent="1"/>
    </xf>
    <xf numFmtId="175" fontId="12" fillId="0" borderId="0" xfId="0" applyNumberFormat="1" applyFont="1" applyBorder="1" applyAlignment="1">
      <alignment horizontal="right" vertical="center" indent="1"/>
    </xf>
    <xf numFmtId="166" fontId="8" fillId="3" borderId="0" xfId="0" applyNumberFormat="1" applyFont="1" applyFill="1" applyBorder="1"/>
    <xf numFmtId="171" fontId="12" fillId="0" borderId="0" xfId="0" applyNumberFormat="1" applyFont="1"/>
    <xf numFmtId="171" fontId="4" fillId="0" borderId="1" xfId="0" applyNumberFormat="1" applyFont="1" applyBorder="1"/>
    <xf numFmtId="171" fontId="0" fillId="0" borderId="0" xfId="0" applyNumberFormat="1"/>
    <xf numFmtId="177" fontId="11" fillId="0" borderId="0" xfId="0" applyNumberFormat="1" applyFont="1" applyAlignment="1">
      <alignment horizontal="right" vertical="center" indent="1"/>
    </xf>
    <xf numFmtId="177" fontId="11" fillId="0" borderId="2" xfId="0" applyNumberFormat="1" applyFont="1" applyBorder="1" applyAlignment="1">
      <alignment horizontal="right" vertical="center" indent="1"/>
    </xf>
    <xf numFmtId="177" fontId="8" fillId="0" borderId="0" xfId="0" applyNumberFormat="1" applyFont="1" applyAlignment="1">
      <alignment horizontal="right" vertical="center" indent="1"/>
    </xf>
    <xf numFmtId="177" fontId="12" fillId="0" borderId="0" xfId="0" applyNumberFormat="1" applyFont="1" applyAlignment="1">
      <alignment horizontal="right" vertical="center" indent="1"/>
    </xf>
    <xf numFmtId="177" fontId="8" fillId="0" borderId="1" xfId="0" applyNumberFormat="1" applyFont="1" applyBorder="1" applyAlignment="1">
      <alignment horizontal="right" vertical="center" indent="1"/>
    </xf>
    <xf numFmtId="177" fontId="12" fillId="0" borderId="0" xfId="0" applyNumberFormat="1" applyFont="1" applyBorder="1" applyAlignment="1">
      <alignment horizontal="right" vertical="center" indent="1"/>
    </xf>
    <xf numFmtId="166" fontId="12" fillId="0" borderId="8" xfId="0" applyNumberFormat="1" applyFont="1" applyBorder="1"/>
    <xf numFmtId="169" fontId="13" fillId="0" borderId="0" xfId="0" applyNumberFormat="1" applyFont="1" applyFill="1" applyAlignment="1">
      <alignment vertical="center"/>
    </xf>
    <xf numFmtId="169" fontId="13" fillId="0" borderId="0" xfId="0" applyNumberFormat="1" applyFont="1" applyFill="1" applyAlignment="1">
      <alignment horizontal="right" vertical="center"/>
    </xf>
    <xf numFmtId="166" fontId="11" fillId="0" borderId="0" xfId="0" applyNumberFormat="1" applyFont="1"/>
    <xf numFmtId="0" fontId="0" fillId="0" borderId="0" xfId="0" applyFont="1"/>
    <xf numFmtId="166" fontId="4" fillId="0" borderId="0" xfId="0" applyNumberFormat="1" applyFont="1" applyFill="1" applyBorder="1" applyAlignment="1">
      <alignment vertical="center"/>
    </xf>
    <xf numFmtId="169" fontId="12" fillId="0" borderId="3" xfId="0" applyNumberFormat="1" applyFont="1" applyBorder="1" applyAlignment="1">
      <alignment horizontal="right"/>
    </xf>
    <xf numFmtId="169" fontId="12" fillId="0" borderId="0" xfId="0" applyNumberFormat="1" applyFont="1" applyBorder="1" applyAlignment="1">
      <alignment horizontal="right"/>
    </xf>
    <xf numFmtId="169" fontId="12" fillId="0" borderId="15" xfId="0" applyNumberFormat="1" applyFont="1" applyBorder="1" applyAlignment="1">
      <alignment horizontal="right"/>
    </xf>
    <xf numFmtId="0" fontId="0" fillId="0" borderId="15" xfId="0" applyBorder="1"/>
    <xf numFmtId="169" fontId="12" fillId="0" borderId="3" xfId="0" applyNumberFormat="1" applyFont="1" applyBorder="1"/>
    <xf numFmtId="169" fontId="12" fillId="0" borderId="15" xfId="0" applyNumberFormat="1" applyFont="1" applyBorder="1"/>
    <xf numFmtId="169" fontId="0" fillId="0" borderId="15" xfId="0" applyNumberFormat="1" applyBorder="1"/>
    <xf numFmtId="169" fontId="0" fillId="0" borderId="3" xfId="0" applyNumberFormat="1" applyBorder="1"/>
    <xf numFmtId="169" fontId="0" fillId="0" borderId="3" xfId="0" applyNumberFormat="1" applyFont="1" applyBorder="1"/>
    <xf numFmtId="169" fontId="0" fillId="0" borderId="15" xfId="0" applyNumberFormat="1" applyFont="1" applyBorder="1"/>
    <xf numFmtId="169" fontId="0" fillId="0" borderId="3" xfId="0" applyNumberFormat="1" applyFont="1" applyFill="1" applyBorder="1" applyAlignment="1">
      <alignment vertical="center"/>
    </xf>
    <xf numFmtId="169" fontId="0" fillId="0" borderId="15" xfId="0" applyNumberFormat="1" applyFont="1" applyFill="1" applyBorder="1" applyAlignment="1">
      <alignment vertical="center"/>
    </xf>
    <xf numFmtId="169" fontId="4" fillId="3" borderId="3" xfId="0" applyNumberFormat="1" applyFont="1" applyFill="1" applyBorder="1" applyAlignment="1">
      <alignment vertical="center"/>
    </xf>
    <xf numFmtId="169" fontId="4" fillId="3" borderId="0" xfId="0" applyNumberFormat="1" applyFont="1" applyFill="1" applyBorder="1" applyAlignment="1">
      <alignment vertical="center"/>
    </xf>
    <xf numFmtId="169" fontId="4" fillId="3" borderId="15" xfId="0" applyNumberFormat="1" applyFont="1" applyFill="1" applyBorder="1" applyAlignment="1">
      <alignment vertical="center"/>
    </xf>
    <xf numFmtId="0" fontId="3" fillId="6" borderId="3" xfId="0" applyFont="1" applyFill="1" applyBorder="1" applyAlignment="1">
      <alignment horizontal="left" vertical="center" indent="1"/>
    </xf>
    <xf numFmtId="0" fontId="3" fillId="6" borderId="0" xfId="0" applyFont="1" applyFill="1" applyBorder="1" applyAlignment="1">
      <alignment horizontal="left" vertical="center" indent="1"/>
    </xf>
    <xf numFmtId="0" fontId="3" fillId="6" borderId="15" xfId="0" applyFont="1" applyFill="1" applyBorder="1" applyAlignment="1">
      <alignment horizontal="left" vertical="center" indent="1"/>
    </xf>
    <xf numFmtId="169" fontId="4" fillId="0" borderId="3" xfId="0" applyNumberFormat="1" applyFont="1" applyBorder="1" applyAlignment="1">
      <alignment vertical="center"/>
    </xf>
    <xf numFmtId="169" fontId="4" fillId="0" borderId="0" xfId="0" applyNumberFormat="1" applyFont="1" applyBorder="1" applyAlignment="1">
      <alignment vertical="center"/>
    </xf>
    <xf numFmtId="169" fontId="4" fillId="0" borderId="15" xfId="0" applyNumberFormat="1" applyFont="1" applyBorder="1" applyAlignment="1">
      <alignment vertical="center"/>
    </xf>
    <xf numFmtId="166" fontId="5" fillId="0" borderId="3" xfId="0" applyNumberFormat="1" applyFont="1" applyBorder="1"/>
    <xf numFmtId="170" fontId="5" fillId="0" borderId="0" xfId="0" applyNumberFormat="1" applyFont="1" applyBorder="1"/>
    <xf numFmtId="170" fontId="5" fillId="0" borderId="15" xfId="0" applyNumberFormat="1" applyFont="1" applyBorder="1"/>
    <xf numFmtId="169" fontId="0" fillId="0" borderId="3" xfId="0" applyNumberFormat="1" applyFont="1" applyBorder="1" applyAlignment="1">
      <alignment vertical="center"/>
    </xf>
    <xf numFmtId="169" fontId="0" fillId="0" borderId="0" xfId="0" applyNumberFormat="1" applyFont="1" applyBorder="1" applyAlignment="1">
      <alignment vertical="center"/>
    </xf>
    <xf numFmtId="169" fontId="0" fillId="0" borderId="15" xfId="0" applyNumberFormat="1" applyFont="1" applyBorder="1" applyAlignment="1">
      <alignment vertical="center"/>
    </xf>
    <xf numFmtId="169" fontId="4" fillId="0" borderId="17" xfId="0" applyNumberFormat="1" applyFont="1" applyBorder="1" applyAlignment="1">
      <alignment vertical="center"/>
    </xf>
    <xf numFmtId="169" fontId="4" fillId="0" borderId="18" xfId="0" applyNumberFormat="1" applyFont="1" applyBorder="1" applyAlignment="1">
      <alignment vertical="center"/>
    </xf>
    <xf numFmtId="170" fontId="5" fillId="0" borderId="3" xfId="0" applyNumberFormat="1" applyFont="1" applyBorder="1" applyAlignment="1">
      <alignment vertical="center"/>
    </xf>
    <xf numFmtId="170" fontId="5" fillId="0" borderId="0" xfId="0" applyNumberFormat="1" applyFont="1" applyBorder="1" applyAlignment="1">
      <alignment vertical="center"/>
    </xf>
    <xf numFmtId="170" fontId="5" fillId="0" borderId="15" xfId="0" applyNumberFormat="1" applyFont="1" applyBorder="1" applyAlignment="1">
      <alignment vertical="center"/>
    </xf>
    <xf numFmtId="169" fontId="8" fillId="3" borderId="3" xfId="0" applyNumberFormat="1" applyFont="1" applyFill="1" applyBorder="1" applyAlignment="1">
      <alignment vertical="center"/>
    </xf>
    <xf numFmtId="169" fontId="8" fillId="3" borderId="0" xfId="0" applyNumberFormat="1" applyFont="1" applyFill="1" applyBorder="1" applyAlignment="1">
      <alignment vertical="center"/>
    </xf>
    <xf numFmtId="169" fontId="8" fillId="3" borderId="15" xfId="0" applyNumberFormat="1" applyFont="1" applyFill="1" applyBorder="1" applyAlignment="1">
      <alignment vertical="center"/>
    </xf>
    <xf numFmtId="170" fontId="15" fillId="0" borderId="3" xfId="0" applyNumberFormat="1" applyFont="1" applyBorder="1" applyAlignment="1">
      <alignment vertical="center"/>
    </xf>
    <xf numFmtId="170" fontId="15" fillId="0" borderId="0" xfId="0" applyNumberFormat="1" applyFont="1" applyBorder="1" applyAlignment="1">
      <alignment vertical="center"/>
    </xf>
    <xf numFmtId="170" fontId="15" fillId="0" borderId="15" xfId="0" applyNumberFormat="1" applyFont="1" applyBorder="1" applyAlignment="1">
      <alignment vertical="center"/>
    </xf>
    <xf numFmtId="164" fontId="0" fillId="0" borderId="3" xfId="0" applyNumberFormat="1" applyBorder="1"/>
    <xf numFmtId="164" fontId="0" fillId="0" borderId="15" xfId="0" applyNumberFormat="1" applyBorder="1"/>
    <xf numFmtId="169" fontId="4" fillId="0" borderId="17" xfId="0" applyNumberFormat="1" applyFont="1" applyFill="1" applyBorder="1" applyAlignment="1">
      <alignment vertical="center"/>
    </xf>
    <xf numFmtId="169" fontId="4" fillId="0" borderId="18" xfId="0" applyNumberFormat="1" applyFont="1" applyFill="1" applyBorder="1" applyAlignment="1">
      <alignment vertical="center"/>
    </xf>
    <xf numFmtId="169" fontId="6" fillId="0" borderId="3" xfId="0" applyNumberFormat="1" applyFont="1" applyBorder="1"/>
    <xf numFmtId="169" fontId="6" fillId="0" borderId="0" xfId="0" applyNumberFormat="1" applyFont="1" applyBorder="1"/>
    <xf numFmtId="169" fontId="6" fillId="0" borderId="15" xfId="0" applyNumberFormat="1" applyFont="1" applyBorder="1"/>
    <xf numFmtId="170" fontId="5" fillId="0" borderId="3" xfId="0" applyNumberFormat="1" applyFont="1" applyBorder="1"/>
    <xf numFmtId="170" fontId="12" fillId="0" borderId="0" xfId="0" applyNumberFormat="1" applyFont="1" applyBorder="1" applyAlignment="1">
      <alignment horizontal="right"/>
    </xf>
    <xf numFmtId="170" fontId="12" fillId="0" borderId="15" xfId="0" applyNumberFormat="1" applyFont="1" applyBorder="1" applyAlignment="1">
      <alignment horizontal="right"/>
    </xf>
    <xf numFmtId="170" fontId="12" fillId="0" borderId="3" xfId="0" applyNumberFormat="1" applyFont="1" applyBorder="1" applyAlignment="1">
      <alignment horizontal="right"/>
    </xf>
    <xf numFmtId="166" fontId="8" fillId="0" borderId="3" xfId="0" applyNumberFormat="1" applyFont="1" applyBorder="1"/>
    <xf numFmtId="170" fontId="8" fillId="0" borderId="0" xfId="0" applyNumberFormat="1" applyFont="1" applyBorder="1"/>
    <xf numFmtId="170" fontId="8" fillId="0" borderId="15" xfId="0" applyNumberFormat="1" applyFont="1" applyBorder="1"/>
    <xf numFmtId="169" fontId="4" fillId="3" borderId="0" xfId="0" applyNumberFormat="1" applyFont="1" applyFill="1" applyBorder="1" applyAlignment="1">
      <alignment horizontal="right" vertical="center"/>
    </xf>
    <xf numFmtId="169" fontId="4" fillId="3" borderId="15" xfId="0" applyNumberFormat="1" applyFont="1" applyFill="1" applyBorder="1" applyAlignment="1">
      <alignment horizontal="right" vertical="center"/>
    </xf>
    <xf numFmtId="171" fontId="12" fillId="0" borderId="3" xfId="0" applyNumberFormat="1" applyFont="1" applyBorder="1" applyAlignment="1">
      <alignment horizontal="right"/>
    </xf>
    <xf numFmtId="171" fontId="12" fillId="0" borderId="0" xfId="0" applyNumberFormat="1" applyFont="1" applyBorder="1" applyAlignment="1">
      <alignment horizontal="right"/>
    </xf>
    <xf numFmtId="171" fontId="12" fillId="0" borderId="15" xfId="0" applyNumberFormat="1" applyFont="1" applyBorder="1" applyAlignment="1">
      <alignment horizontal="right"/>
    </xf>
    <xf numFmtId="166" fontId="12" fillId="0" borderId="3" xfId="0" applyNumberFormat="1" applyFont="1" applyBorder="1" applyAlignment="1">
      <alignment horizontal="right"/>
    </xf>
    <xf numFmtId="166" fontId="12" fillId="0" borderId="0" xfId="0" applyNumberFormat="1" applyFont="1" applyBorder="1" applyAlignment="1">
      <alignment horizontal="right"/>
    </xf>
    <xf numFmtId="166" fontId="12" fillId="0" borderId="15" xfId="0" applyNumberFormat="1" applyFont="1" applyBorder="1" applyAlignment="1">
      <alignment horizontal="right"/>
    </xf>
    <xf numFmtId="169" fontId="15" fillId="0" borderId="3" xfId="0" applyNumberFormat="1" applyFont="1" applyBorder="1" applyAlignment="1">
      <alignment horizontal="right"/>
    </xf>
    <xf numFmtId="166" fontId="15" fillId="0" borderId="0" xfId="0" applyNumberFormat="1" applyFont="1" applyBorder="1" applyAlignment="1">
      <alignment horizontal="right"/>
    </xf>
    <xf numFmtId="166" fontId="15" fillId="0" borderId="15" xfId="0" applyNumberFormat="1" applyFont="1" applyBorder="1" applyAlignment="1">
      <alignment horizontal="right"/>
    </xf>
    <xf numFmtId="169" fontId="8" fillId="0" borderId="17" xfId="0" applyNumberFormat="1" applyFont="1" applyBorder="1" applyAlignment="1">
      <alignment horizontal="right"/>
    </xf>
    <xf numFmtId="166" fontId="8" fillId="0" borderId="18" xfId="0" applyNumberFormat="1" applyFont="1" applyBorder="1" applyAlignment="1">
      <alignment horizontal="right"/>
    </xf>
    <xf numFmtId="168" fontId="5" fillId="0" borderId="0" xfId="0" applyNumberFormat="1" applyFont="1" applyFill="1" applyBorder="1" applyAlignment="1">
      <alignment vertical="center"/>
    </xf>
    <xf numFmtId="169" fontId="5" fillId="0" borderId="0" xfId="0" applyNumberFormat="1" applyFont="1" applyFill="1" applyBorder="1" applyAlignment="1">
      <alignment vertical="center"/>
    </xf>
    <xf numFmtId="0" fontId="5" fillId="0" borderId="0" xfId="0" applyFont="1" applyFill="1" applyBorder="1" applyAlignment="1">
      <alignment horizontal="left" vertical="center" indent="1"/>
    </xf>
    <xf numFmtId="166" fontId="3" fillId="4" borderId="24" xfId="0" applyNumberFormat="1" applyFont="1" applyFill="1" applyBorder="1" applyAlignment="1">
      <alignment vertical="center"/>
    </xf>
    <xf numFmtId="166" fontId="3" fillId="4" borderId="24" xfId="0" applyNumberFormat="1" applyFont="1" applyFill="1" applyBorder="1"/>
    <xf numFmtId="169" fontId="10" fillId="0" borderId="0" xfId="0" applyNumberFormat="1" applyFont="1" applyFill="1" applyAlignment="1">
      <alignment vertical="center"/>
    </xf>
    <xf numFmtId="0" fontId="24" fillId="0" borderId="0" xfId="0" applyFont="1" applyBorder="1" applyAlignment="1">
      <alignment horizontal="left" vertical="center" indent="1"/>
    </xf>
    <xf numFmtId="164" fontId="8" fillId="3" borderId="24" xfId="0" applyNumberFormat="1" applyFont="1" applyFill="1" applyBorder="1"/>
    <xf numFmtId="164" fontId="8" fillId="9" borderId="24" xfId="0" applyNumberFormat="1" applyFont="1" applyFill="1" applyBorder="1"/>
    <xf numFmtId="164" fontId="0" fillId="0" borderId="25" xfId="0" applyNumberFormat="1" applyFont="1" applyFill="1" applyBorder="1" applyAlignment="1">
      <alignment vertical="center"/>
    </xf>
    <xf numFmtId="164" fontId="0" fillId="0" borderId="26" xfId="0" applyNumberFormat="1" applyFont="1" applyFill="1" applyBorder="1" applyAlignment="1">
      <alignment vertical="center"/>
    </xf>
    <xf numFmtId="164" fontId="0" fillId="0" borderId="27" xfId="0" applyNumberFormat="1" applyFont="1" applyFill="1" applyBorder="1" applyAlignment="1">
      <alignment vertical="center"/>
    </xf>
    <xf numFmtId="164" fontId="0" fillId="0" borderId="3" xfId="0" applyNumberFormat="1" applyFont="1" applyFill="1" applyBorder="1" applyAlignment="1">
      <alignment vertical="center"/>
    </xf>
    <xf numFmtId="164" fontId="12" fillId="0" borderId="28" xfId="0" applyNumberFormat="1" applyFont="1" applyFill="1" applyBorder="1" applyAlignment="1">
      <alignment vertical="center"/>
    </xf>
    <xf numFmtId="164" fontId="12" fillId="0" borderId="28" xfId="0" applyNumberFormat="1" applyFont="1" applyBorder="1"/>
    <xf numFmtId="164" fontId="0" fillId="0" borderId="29" xfId="0" applyNumberFormat="1" applyBorder="1"/>
    <xf numFmtId="164" fontId="12" fillId="0" borderId="30" xfId="0" applyNumberFormat="1" applyFont="1" applyBorder="1"/>
    <xf numFmtId="164" fontId="12" fillId="0" borderId="31" xfId="0" applyNumberFormat="1" applyFont="1" applyBorder="1"/>
    <xf numFmtId="169" fontId="0" fillId="0" borderId="0" xfId="0" applyNumberFormat="1" applyFont="1" applyFill="1" applyAlignment="1"/>
    <xf numFmtId="0" fontId="0" fillId="0" borderId="0" xfId="0" applyFont="1" applyFill="1" applyBorder="1" applyAlignment="1">
      <alignment horizontal="left" vertical="center" indent="1"/>
    </xf>
    <xf numFmtId="164" fontId="0" fillId="0" borderId="0" xfId="0" applyNumberFormat="1" applyBorder="1" applyAlignment="1"/>
    <xf numFmtId="164" fontId="4" fillId="0" borderId="1" xfId="0" applyNumberFormat="1" applyFont="1" applyBorder="1" applyAlignment="1"/>
    <xf numFmtId="0" fontId="11" fillId="0" borderId="0" xfId="0" applyFont="1" applyAlignment="1">
      <alignment horizontal="left" indent="1"/>
    </xf>
    <xf numFmtId="171" fontId="4" fillId="0" borderId="0" xfId="0" applyNumberFormat="1" applyFont="1"/>
    <xf numFmtId="171" fontId="4" fillId="0" borderId="0" xfId="0" applyNumberFormat="1" applyFont="1" applyBorder="1"/>
    <xf numFmtId="164" fontId="3" fillId="2" borderId="0" xfId="0" applyNumberFormat="1" applyFont="1" applyFill="1" applyAlignment="1">
      <alignment horizontal="right" vertical="center"/>
    </xf>
    <xf numFmtId="169" fontId="6" fillId="0" borderId="19" xfId="0" applyNumberFormat="1" applyFont="1" applyBorder="1"/>
    <xf numFmtId="169" fontId="0" fillId="0" borderId="19" xfId="0" applyNumberFormat="1" applyFont="1" applyFill="1" applyBorder="1" applyAlignment="1">
      <alignment vertical="center"/>
    </xf>
    <xf numFmtId="164" fontId="4" fillId="0" borderId="0" xfId="0" applyNumberFormat="1" applyFont="1" applyBorder="1" applyAlignment="1"/>
    <xf numFmtId="166" fontId="5" fillId="0" borderId="0" xfId="0" applyNumberFormat="1" applyFont="1" applyFill="1" applyAlignment="1">
      <alignment vertical="center"/>
    </xf>
    <xf numFmtId="166" fontId="5" fillId="0" borderId="0" xfId="0" applyNumberFormat="1" applyFont="1"/>
    <xf numFmtId="164" fontId="5" fillId="0" borderId="0" xfId="0" applyNumberFormat="1" applyFont="1"/>
    <xf numFmtId="169" fontId="12" fillId="0" borderId="0" xfId="0" applyNumberFormat="1" applyFont="1" applyFill="1" applyAlignment="1">
      <alignment vertical="center"/>
    </xf>
    <xf numFmtId="0" fontId="0" fillId="0" borderId="40" xfId="0" applyBorder="1"/>
    <xf numFmtId="169" fontId="0" fillId="0" borderId="41" xfId="0" applyNumberFormat="1" applyBorder="1"/>
    <xf numFmtId="169" fontId="0" fillId="0" borderId="40" xfId="0" applyNumberFormat="1" applyBorder="1"/>
    <xf numFmtId="169" fontId="0" fillId="0" borderId="42" xfId="0" applyNumberFormat="1" applyBorder="1"/>
    <xf numFmtId="0" fontId="5" fillId="0" borderId="0" xfId="0" applyFont="1" applyAlignment="1">
      <alignment horizontal="left" indent="1"/>
    </xf>
    <xf numFmtId="169" fontId="5" fillId="0" borderId="0" xfId="0" applyNumberFormat="1" applyFont="1" applyFill="1" applyAlignment="1">
      <alignment vertical="center"/>
    </xf>
    <xf numFmtId="0" fontId="5" fillId="0" borderId="0" xfId="0" applyFont="1" applyFill="1" applyAlignment="1">
      <alignment horizontal="left" vertical="center" indent="1"/>
    </xf>
    <xf numFmtId="168" fontId="5" fillId="0" borderId="0" xfId="0" applyNumberFormat="1" applyFont="1" applyFill="1" applyAlignment="1">
      <alignment vertical="center"/>
    </xf>
    <xf numFmtId="0" fontId="27" fillId="0" borderId="0" xfId="0" applyFont="1"/>
    <xf numFmtId="164" fontId="28" fillId="0" borderId="32" xfId="0" applyNumberFormat="1" applyFont="1" applyBorder="1" applyAlignment="1">
      <alignment horizontal="right"/>
    </xf>
    <xf numFmtId="164" fontId="28" fillId="0" borderId="33" xfId="0" applyNumberFormat="1" applyFont="1" applyBorder="1" applyAlignment="1">
      <alignment horizontal="right"/>
    </xf>
    <xf numFmtId="164" fontId="28" fillId="0" borderId="34" xfId="0" applyNumberFormat="1" applyFont="1" applyBorder="1" applyAlignment="1">
      <alignment horizontal="right"/>
    </xf>
    <xf numFmtId="164" fontId="28" fillId="0" borderId="35" xfId="0" applyNumberFormat="1" applyFont="1" applyBorder="1" applyAlignment="1">
      <alignment horizontal="right"/>
    </xf>
    <xf numFmtId="164" fontId="28" fillId="0" borderId="0" xfId="0" applyNumberFormat="1" applyFont="1" applyBorder="1" applyAlignment="1">
      <alignment horizontal="right"/>
    </xf>
    <xf numFmtId="164" fontId="28" fillId="0" borderId="36" xfId="0" applyNumberFormat="1" applyFont="1" applyBorder="1" applyAlignment="1">
      <alignment horizontal="right"/>
    </xf>
    <xf numFmtId="164" fontId="28" fillId="0" borderId="37" xfId="0" applyNumberFormat="1" applyFont="1" applyBorder="1" applyAlignment="1">
      <alignment horizontal="right"/>
    </xf>
    <xf numFmtId="164" fontId="28" fillId="0" borderId="38" xfId="0" applyNumberFormat="1" applyFont="1" applyBorder="1" applyAlignment="1">
      <alignment horizontal="right"/>
    </xf>
    <xf numFmtId="164" fontId="28" fillId="0" borderId="39" xfId="0" applyNumberFormat="1" applyFont="1" applyBorder="1" applyAlignment="1">
      <alignment horizontal="right"/>
    </xf>
    <xf numFmtId="0" fontId="14" fillId="0" borderId="1" xfId="0" applyFont="1" applyBorder="1" applyAlignment="1">
      <alignment horizontal="left" indent="1"/>
    </xf>
    <xf numFmtId="0" fontId="2" fillId="0" borderId="0" xfId="0" applyFont="1"/>
    <xf numFmtId="0" fontId="32" fillId="0" borderId="0" xfId="0" applyFont="1" applyBorder="1"/>
    <xf numFmtId="0" fontId="2" fillId="0" borderId="3" xfId="0" applyFont="1" applyBorder="1"/>
    <xf numFmtId="166" fontId="2" fillId="0" borderId="0" xfId="0" applyNumberFormat="1" applyFont="1"/>
    <xf numFmtId="0" fontId="32" fillId="0" borderId="0" xfId="0" applyFont="1" applyBorder="1" applyAlignment="1">
      <alignment horizontal="left" vertical="center" indent="1"/>
    </xf>
    <xf numFmtId="0" fontId="2" fillId="0" borderId="0" xfId="0" applyFont="1" applyAlignment="1">
      <alignment vertical="center"/>
    </xf>
    <xf numFmtId="0" fontId="2" fillId="0" borderId="3" xfId="0" applyFont="1" applyBorder="1" applyAlignment="1">
      <alignment vertical="center"/>
    </xf>
    <xf numFmtId="0" fontId="2" fillId="0" borderId="0" xfId="0" applyFont="1" applyAlignment="1">
      <alignment horizontal="left" vertical="center" indent="1"/>
    </xf>
    <xf numFmtId="0" fontId="30" fillId="0" borderId="4" xfId="0" applyFont="1" applyBorder="1" applyAlignment="1">
      <alignment horizontal="centerContinuous" vertical="center"/>
    </xf>
    <xf numFmtId="0" fontId="2" fillId="0" borderId="2" xfId="0" applyFont="1" applyBorder="1" applyAlignment="1">
      <alignment horizontal="centerContinuous" vertical="center"/>
    </xf>
    <xf numFmtId="0" fontId="30" fillId="0" borderId="2" xfId="0" applyFont="1" applyBorder="1" applyAlignment="1">
      <alignment horizontal="centerContinuous" vertical="center"/>
    </xf>
    <xf numFmtId="0" fontId="29" fillId="2" borderId="0" xfId="0" applyFont="1" applyFill="1" applyAlignment="1">
      <alignment horizontal="left" vertical="center" indent="1"/>
    </xf>
    <xf numFmtId="165" fontId="31" fillId="2" borderId="0" xfId="0" applyNumberFormat="1" applyFont="1" applyFill="1" applyAlignment="1">
      <alignment horizontal="right" vertical="center" indent="1"/>
    </xf>
    <xf numFmtId="165" fontId="29" fillId="6" borderId="3" xfId="0" applyNumberFormat="1" applyFont="1" applyFill="1" applyBorder="1" applyAlignment="1">
      <alignment horizontal="right" vertical="center" indent="1"/>
    </xf>
    <xf numFmtId="165" fontId="29" fillId="6" borderId="0" xfId="0" applyNumberFormat="1" applyFont="1" applyFill="1" applyAlignment="1">
      <alignment horizontal="right" vertical="center" indent="1"/>
    </xf>
    <xf numFmtId="165" fontId="29" fillId="4" borderId="3" xfId="0" applyNumberFormat="1" applyFont="1" applyFill="1" applyBorder="1" applyAlignment="1">
      <alignment horizontal="right" vertical="center" indent="1"/>
    </xf>
    <xf numFmtId="165" fontId="29" fillId="2" borderId="0" xfId="0" applyNumberFormat="1" applyFont="1" applyFill="1" applyAlignment="1">
      <alignment horizontal="right" vertical="center" indent="1"/>
    </xf>
    <xf numFmtId="165" fontId="29" fillId="5" borderId="3" xfId="0" applyNumberFormat="1" applyFont="1" applyFill="1" applyBorder="1" applyAlignment="1">
      <alignment horizontal="center" vertical="center"/>
    </xf>
    <xf numFmtId="0" fontId="2" fillId="0" borderId="0" xfId="0" applyFont="1" applyBorder="1"/>
    <xf numFmtId="0" fontId="29" fillId="2" borderId="0" xfId="0" applyFont="1" applyFill="1" applyBorder="1" applyAlignment="1">
      <alignment horizontal="left" vertical="center" indent="1"/>
    </xf>
    <xf numFmtId="0" fontId="29" fillId="6" borderId="3" xfId="0" applyFont="1" applyFill="1" applyBorder="1" applyAlignment="1">
      <alignment horizontal="left" vertical="center" indent="1"/>
    </xf>
    <xf numFmtId="0" fontId="29" fillId="6" borderId="0" xfId="0" applyFont="1" applyFill="1" applyBorder="1" applyAlignment="1">
      <alignment horizontal="left" vertical="center" indent="1"/>
    </xf>
    <xf numFmtId="0" fontId="29" fillId="6" borderId="15" xfId="0" applyFont="1" applyFill="1" applyBorder="1" applyAlignment="1">
      <alignment horizontal="left" vertical="center" indent="1"/>
    </xf>
    <xf numFmtId="0" fontId="29" fillId="2" borderId="3" xfId="0" applyFont="1" applyFill="1" applyBorder="1" applyAlignment="1">
      <alignment horizontal="left" vertical="center" indent="1"/>
    </xf>
    <xf numFmtId="0" fontId="2" fillId="0" borderId="0" xfId="0" applyFont="1" applyAlignment="1">
      <alignment horizontal="right" indent="1"/>
    </xf>
    <xf numFmtId="0" fontId="2" fillId="0" borderId="0" xfId="0" applyFont="1" applyAlignment="1">
      <alignment horizontal="left"/>
    </xf>
    <xf numFmtId="49" fontId="2" fillId="0" borderId="0" xfId="0" applyNumberFormat="1" applyFont="1"/>
    <xf numFmtId="169" fontId="33" fillId="0" borderId="3" xfId="0" applyNumberFormat="1" applyFont="1" applyBorder="1" applyAlignment="1">
      <alignment horizontal="right"/>
    </xf>
    <xf numFmtId="169" fontId="33" fillId="0" borderId="0" xfId="0" applyNumberFormat="1" applyFont="1" applyBorder="1" applyAlignment="1">
      <alignment horizontal="right"/>
    </xf>
    <xf numFmtId="169" fontId="33" fillId="0" borderId="15" xfId="0" applyNumberFormat="1" applyFont="1" applyBorder="1" applyAlignment="1">
      <alignment horizontal="right"/>
    </xf>
    <xf numFmtId="169" fontId="33" fillId="0" borderId="0" xfId="0" applyNumberFormat="1" applyFont="1" applyAlignment="1">
      <alignment horizontal="right"/>
    </xf>
    <xf numFmtId="0" fontId="30" fillId="0" borderId="2" xfId="0" applyFont="1" applyBorder="1" applyAlignment="1">
      <alignment horizontal="left" indent="1"/>
    </xf>
    <xf numFmtId="49" fontId="2" fillId="0" borderId="2" xfId="0" applyNumberFormat="1" applyFont="1" applyBorder="1"/>
    <xf numFmtId="169" fontId="33" fillId="0" borderId="4" xfId="0" applyNumberFormat="1" applyFont="1" applyBorder="1" applyAlignment="1">
      <alignment horizontal="right"/>
    </xf>
    <xf numFmtId="169" fontId="33" fillId="0" borderId="2" xfId="0" applyNumberFormat="1" applyFont="1" applyBorder="1" applyAlignment="1">
      <alignment horizontal="right"/>
    </xf>
    <xf numFmtId="169" fontId="33" fillId="0" borderId="16" xfId="0" applyNumberFormat="1" applyFont="1" applyBorder="1" applyAlignment="1">
      <alignment horizontal="right"/>
    </xf>
    <xf numFmtId="0" fontId="2" fillId="0" borderId="0" xfId="0" applyFont="1" applyBorder="1" applyAlignment="1">
      <alignment horizontal="left" indent="1"/>
    </xf>
    <xf numFmtId="166" fontId="33" fillId="0" borderId="15" xfId="0" applyNumberFormat="1" applyFont="1" applyBorder="1" applyAlignment="1">
      <alignment horizontal="right"/>
    </xf>
    <xf numFmtId="166" fontId="34" fillId="0" borderId="0" xfId="0" applyNumberFormat="1" applyFont="1" applyAlignment="1">
      <alignment horizontal="right"/>
    </xf>
    <xf numFmtId="166" fontId="2" fillId="0" borderId="0" xfId="0" applyNumberFormat="1" applyFont="1" applyAlignment="1">
      <alignment horizontal="right" indent="1"/>
    </xf>
    <xf numFmtId="170" fontId="34" fillId="0" borderId="0" xfId="0" applyNumberFormat="1" applyFont="1"/>
    <xf numFmtId="0" fontId="2" fillId="0" borderId="15" xfId="0" applyFont="1" applyBorder="1"/>
    <xf numFmtId="169" fontId="33" fillId="0" borderId="3" xfId="0" applyNumberFormat="1" applyFont="1" applyBorder="1"/>
    <xf numFmtId="169" fontId="33" fillId="0" borderId="0" xfId="0" applyNumberFormat="1" applyFont="1" applyBorder="1"/>
    <xf numFmtId="169" fontId="33" fillId="0" borderId="15" xfId="0" applyNumberFormat="1" applyFont="1" applyBorder="1"/>
    <xf numFmtId="169" fontId="2" fillId="0" borderId="0" xfId="0" applyNumberFormat="1" applyFont="1"/>
    <xf numFmtId="169" fontId="2" fillId="0" borderId="3" xfId="0" applyNumberFormat="1" applyFont="1" applyBorder="1"/>
    <xf numFmtId="0" fontId="35" fillId="0" borderId="0" xfId="0" applyFont="1" applyAlignment="1">
      <alignment horizontal="right" indent="1"/>
    </xf>
    <xf numFmtId="0" fontId="36" fillId="3" borderId="0" xfId="0" applyFont="1" applyFill="1" applyBorder="1" applyAlignment="1">
      <alignment horizontal="left" indent="1"/>
    </xf>
    <xf numFmtId="164" fontId="36" fillId="3" borderId="0" xfId="0" applyNumberFormat="1" applyFont="1" applyFill="1" applyBorder="1"/>
    <xf numFmtId="169" fontId="36" fillId="3" borderId="3" xfId="0" applyNumberFormat="1" applyFont="1" applyFill="1" applyBorder="1"/>
    <xf numFmtId="169" fontId="36" fillId="3" borderId="0" xfId="0" applyNumberFormat="1" applyFont="1" applyFill="1" applyBorder="1"/>
    <xf numFmtId="169" fontId="36" fillId="3" borderId="15" xfId="0" applyNumberFormat="1" applyFont="1" applyFill="1" applyBorder="1"/>
    <xf numFmtId="0" fontId="37" fillId="0" borderId="0" xfId="0" applyFont="1" applyBorder="1" applyAlignment="1">
      <alignment horizontal="left" indent="2"/>
    </xf>
    <xf numFmtId="49" fontId="37" fillId="0" borderId="0" xfId="0" applyNumberFormat="1" applyFont="1" applyBorder="1"/>
    <xf numFmtId="169" fontId="38" fillId="0" borderId="3" xfId="0" applyNumberFormat="1" applyFont="1" applyBorder="1"/>
    <xf numFmtId="166" fontId="38" fillId="0" borderId="0" xfId="0" applyNumberFormat="1" applyFont="1" applyBorder="1"/>
    <xf numFmtId="166" fontId="38" fillId="0" borderId="15" xfId="0" applyNumberFormat="1" applyFont="1" applyBorder="1"/>
    <xf numFmtId="166" fontId="35" fillId="0" borderId="3" xfId="0" applyNumberFormat="1" applyFont="1" applyBorder="1"/>
    <xf numFmtId="0" fontId="2" fillId="0" borderId="0" xfId="0" applyFont="1" applyAlignment="1">
      <alignment horizontal="left" indent="1"/>
    </xf>
    <xf numFmtId="2" fontId="33" fillId="0" borderId="3" xfId="0" applyNumberFormat="1" applyFont="1" applyBorder="1"/>
    <xf numFmtId="2" fontId="33" fillId="0" borderId="0" xfId="0" applyNumberFormat="1" applyFont="1" applyBorder="1"/>
    <xf numFmtId="2" fontId="33" fillId="0" borderId="15" xfId="0" applyNumberFormat="1" applyFont="1" applyBorder="1"/>
    <xf numFmtId="2" fontId="2" fillId="0" borderId="0" xfId="0" applyNumberFormat="1" applyFont="1"/>
    <xf numFmtId="2" fontId="2" fillId="0" borderId="3" xfId="0" applyNumberFormat="1" applyFont="1" applyBorder="1"/>
    <xf numFmtId="0" fontId="33" fillId="0" borderId="3" xfId="0" applyFont="1" applyBorder="1"/>
    <xf numFmtId="0" fontId="33" fillId="0" borderId="0" xfId="0" applyFont="1" applyBorder="1"/>
    <xf numFmtId="0" fontId="33" fillId="0" borderId="15" xfId="0" applyFont="1" applyBorder="1"/>
    <xf numFmtId="2" fontId="33" fillId="0" borderId="4" xfId="0" applyNumberFormat="1" applyFont="1" applyBorder="1"/>
    <xf numFmtId="2" fontId="33" fillId="0" borderId="2" xfId="0" applyNumberFormat="1" applyFont="1" applyBorder="1"/>
    <xf numFmtId="2" fontId="33" fillId="0" borderId="16" xfId="0" applyNumberFormat="1" applyFont="1" applyBorder="1"/>
    <xf numFmtId="2" fontId="2" fillId="0" borderId="2" xfId="0" applyNumberFormat="1" applyFont="1" applyBorder="1"/>
    <xf numFmtId="2" fontId="2" fillId="0" borderId="4" xfId="0" applyNumberFormat="1" applyFont="1" applyBorder="1"/>
    <xf numFmtId="170" fontId="33" fillId="0" borderId="3" xfId="0" applyNumberFormat="1" applyFont="1" applyBorder="1"/>
    <xf numFmtId="170" fontId="33" fillId="0" borderId="0" xfId="0" applyNumberFormat="1" applyFont="1" applyBorder="1"/>
    <xf numFmtId="170" fontId="33" fillId="0" borderId="15" xfId="0" applyNumberFormat="1" applyFont="1" applyBorder="1"/>
    <xf numFmtId="170" fontId="34" fillId="0" borderId="3" xfId="0" applyNumberFormat="1" applyFont="1" applyBorder="1"/>
    <xf numFmtId="0" fontId="30" fillId="3" borderId="0" xfId="0" applyFont="1" applyFill="1" applyBorder="1" applyAlignment="1">
      <alignment horizontal="left" indent="1"/>
    </xf>
    <xf numFmtId="49" fontId="30" fillId="3" borderId="0" xfId="0" applyNumberFormat="1" applyFont="1" applyFill="1" applyBorder="1"/>
    <xf numFmtId="169" fontId="39" fillId="3" borderId="0" xfId="0" applyNumberFormat="1" applyFont="1" applyFill="1" applyBorder="1"/>
    <xf numFmtId="169" fontId="39" fillId="3" borderId="3" xfId="0" applyNumberFormat="1" applyFont="1" applyFill="1" applyBorder="1"/>
    <xf numFmtId="0" fontId="30" fillId="0" borderId="0" xfId="0" applyFont="1" applyBorder="1" applyAlignment="1">
      <alignment horizontal="left" indent="1"/>
    </xf>
    <xf numFmtId="49" fontId="2" fillId="0" borderId="0" xfId="0" applyNumberFormat="1" applyFont="1" applyBorder="1"/>
    <xf numFmtId="164" fontId="33" fillId="0" borderId="3" xfId="0" applyNumberFormat="1" applyFont="1" applyBorder="1"/>
    <xf numFmtId="164" fontId="33" fillId="0" borderId="0" xfId="0" applyNumberFormat="1" applyFont="1" applyBorder="1"/>
    <xf numFmtId="164" fontId="33" fillId="0" borderId="15" xfId="0" applyNumberFormat="1" applyFont="1" applyBorder="1"/>
    <xf numFmtId="0" fontId="2" fillId="0" borderId="1" xfId="0" applyFont="1" applyBorder="1" applyAlignment="1">
      <alignment horizontal="left" indent="1"/>
    </xf>
    <xf numFmtId="49" fontId="2" fillId="0" borderId="1" xfId="0" applyNumberFormat="1" applyFont="1" applyBorder="1"/>
    <xf numFmtId="169" fontId="33" fillId="0" borderId="17" xfId="0" applyNumberFormat="1" applyFont="1" applyBorder="1"/>
    <xf numFmtId="169" fontId="33" fillId="0" borderId="1" xfId="0" applyNumberFormat="1" applyFont="1" applyBorder="1"/>
    <xf numFmtId="169" fontId="33" fillId="0" borderId="18" xfId="0" applyNumberFormat="1" applyFont="1" applyBorder="1"/>
    <xf numFmtId="0" fontId="2" fillId="0" borderId="0" xfId="0" quotePrefix="1" applyFont="1" applyBorder="1" applyAlignment="1">
      <alignment horizontal="left" indent="1"/>
    </xf>
    <xf numFmtId="169" fontId="35" fillId="3" borderId="3" xfId="0" applyNumberFormat="1" applyFont="1" applyFill="1" applyBorder="1"/>
    <xf numFmtId="170" fontId="34" fillId="0" borderId="0" xfId="0" applyNumberFormat="1" applyFont="1" applyBorder="1"/>
    <xf numFmtId="170" fontId="35" fillId="0" borderId="3" xfId="0" applyNumberFormat="1" applyFont="1" applyBorder="1"/>
    <xf numFmtId="0" fontId="2" fillId="0" borderId="0" xfId="0" applyFont="1" applyFill="1" applyAlignment="1">
      <alignment horizontal="left" vertical="center" indent="1"/>
    </xf>
    <xf numFmtId="169" fontId="34" fillId="0" borderId="0" xfId="0" applyNumberFormat="1" applyFont="1" applyBorder="1"/>
    <xf numFmtId="169" fontId="33" fillId="0" borderId="23" xfId="0" applyNumberFormat="1" applyFont="1" applyBorder="1"/>
    <xf numFmtId="170" fontId="34" fillId="0" borderId="15" xfId="0" applyNumberFormat="1" applyFont="1" applyBorder="1"/>
    <xf numFmtId="166" fontId="34" fillId="0" borderId="3" xfId="0" applyNumberFormat="1" applyFont="1" applyBorder="1"/>
    <xf numFmtId="166" fontId="34" fillId="0" borderId="0" xfId="0" applyNumberFormat="1" applyFont="1" applyBorder="1"/>
    <xf numFmtId="166" fontId="34" fillId="0" borderId="15" xfId="0" applyNumberFormat="1" applyFont="1" applyBorder="1"/>
    <xf numFmtId="164" fontId="2" fillId="0" borderId="3" xfId="0" applyNumberFormat="1" applyFont="1" applyBorder="1"/>
    <xf numFmtId="164" fontId="2" fillId="0" borderId="0" xfId="0" applyNumberFormat="1" applyFont="1" applyBorder="1"/>
    <xf numFmtId="164" fontId="2" fillId="0" borderId="15" xfId="0" applyNumberFormat="1" applyFont="1" applyBorder="1"/>
    <xf numFmtId="169" fontId="2" fillId="0" borderId="0" xfId="0" applyNumberFormat="1" applyFont="1" applyBorder="1"/>
    <xf numFmtId="0" fontId="30" fillId="0" borderId="1" xfId="0" applyFont="1" applyBorder="1" applyAlignment="1">
      <alignment horizontal="left" indent="1"/>
    </xf>
    <xf numFmtId="49" fontId="30" fillId="0" borderId="1" xfId="0" applyNumberFormat="1" applyFont="1" applyBorder="1"/>
    <xf numFmtId="164" fontId="39" fillId="0" borderId="17" xfId="0" applyNumberFormat="1" applyFont="1" applyBorder="1"/>
    <xf numFmtId="164" fontId="39" fillId="0" borderId="1" xfId="0" applyNumberFormat="1" applyFont="1" applyBorder="1"/>
    <xf numFmtId="164" fontId="39" fillId="0" borderId="18" xfId="0" applyNumberFormat="1" applyFont="1" applyBorder="1"/>
    <xf numFmtId="169" fontId="36" fillId="0" borderId="1" xfId="0" applyNumberFormat="1" applyFont="1" applyBorder="1"/>
    <xf numFmtId="169" fontId="36" fillId="0" borderId="17" xfId="0" applyNumberFormat="1" applyFont="1" applyBorder="1"/>
    <xf numFmtId="0" fontId="2" fillId="0" borderId="0" xfId="0" applyFont="1" applyBorder="1" applyAlignment="1">
      <alignment horizontal="right" indent="1"/>
    </xf>
    <xf numFmtId="164" fontId="36" fillId="0" borderId="1" xfId="0" applyNumberFormat="1" applyFont="1" applyBorder="1"/>
    <xf numFmtId="164" fontId="36" fillId="0" borderId="17" xfId="0" applyNumberFormat="1" applyFont="1" applyBorder="1"/>
    <xf numFmtId="166" fontId="33" fillId="0" borderId="3" xfId="0" applyNumberFormat="1" applyFont="1" applyBorder="1"/>
    <xf numFmtId="166" fontId="33" fillId="0" borderId="0" xfId="0" applyNumberFormat="1" applyFont="1" applyBorder="1"/>
    <xf numFmtId="166" fontId="33" fillId="0" borderId="15" xfId="0" applyNumberFormat="1" applyFont="1" applyBorder="1"/>
    <xf numFmtId="0" fontId="30" fillId="0" borderId="2" xfId="0" applyFont="1" applyFill="1" applyBorder="1" applyAlignment="1">
      <alignment horizontal="left" vertical="center" indent="1"/>
    </xf>
    <xf numFmtId="169" fontId="33" fillId="0" borderId="4" xfId="0" applyNumberFormat="1" applyFont="1" applyBorder="1"/>
    <xf numFmtId="169" fontId="33" fillId="0" borderId="2" xfId="0" applyNumberFormat="1" applyFont="1" applyBorder="1"/>
    <xf numFmtId="169" fontId="33" fillId="0" borderId="16" xfId="0" applyNumberFormat="1" applyFont="1" applyBorder="1"/>
    <xf numFmtId="0" fontId="2" fillId="0" borderId="0" xfId="0" quotePrefix="1" applyFont="1" applyFill="1" applyAlignment="1">
      <alignment horizontal="left" vertical="center" indent="1"/>
    </xf>
    <xf numFmtId="0" fontId="29" fillId="8" borderId="0" xfId="0" quotePrefix="1" applyFont="1" applyFill="1" applyAlignment="1">
      <alignment horizontal="left" vertical="center" indent="1"/>
    </xf>
    <xf numFmtId="168" fontId="29" fillId="8" borderId="0" xfId="0" applyNumberFormat="1" applyFont="1" applyFill="1" applyAlignment="1">
      <alignment vertical="center"/>
    </xf>
    <xf numFmtId="169" fontId="29" fillId="6" borderId="3" xfId="0" applyNumberFormat="1" applyFont="1" applyFill="1" applyBorder="1" applyAlignment="1">
      <alignment vertical="center"/>
    </xf>
    <xf numFmtId="169" fontId="29" fillId="6" borderId="0" xfId="0" applyNumberFormat="1" applyFont="1" applyFill="1" applyBorder="1" applyAlignment="1">
      <alignment vertical="center"/>
    </xf>
    <xf numFmtId="169" fontId="29" fillId="6" borderId="15" xfId="0" applyNumberFormat="1" applyFont="1" applyFill="1" applyBorder="1" applyAlignment="1">
      <alignment vertical="center"/>
    </xf>
    <xf numFmtId="169" fontId="29" fillId="8" borderId="0" xfId="0" applyNumberFormat="1" applyFont="1" applyFill="1" applyAlignment="1">
      <alignment vertical="center"/>
    </xf>
    <xf numFmtId="169" fontId="29" fillId="8" borderId="3" xfId="0" applyNumberFormat="1" applyFont="1" applyFill="1" applyBorder="1" applyAlignment="1">
      <alignment vertical="center"/>
    </xf>
    <xf numFmtId="169" fontId="2" fillId="0" borderId="15" xfId="0" applyNumberFormat="1" applyFont="1" applyBorder="1"/>
    <xf numFmtId="169" fontId="33" fillId="0" borderId="0" xfId="0" applyNumberFormat="1" applyFont="1"/>
    <xf numFmtId="169" fontId="34" fillId="0" borderId="3" xfId="0" applyNumberFormat="1" applyFont="1" applyBorder="1"/>
    <xf numFmtId="170" fontId="2" fillId="0" borderId="3" xfId="0" applyNumberFormat="1" applyFont="1" applyBorder="1"/>
    <xf numFmtId="170" fontId="2" fillId="0" borderId="0" xfId="0" applyNumberFormat="1" applyFont="1" applyBorder="1"/>
    <xf numFmtId="170" fontId="2" fillId="0" borderId="15" xfId="0" applyNumberFormat="1" applyFont="1" applyBorder="1"/>
    <xf numFmtId="0" fontId="2" fillId="0" borderId="1" xfId="0" applyFont="1" applyFill="1" applyBorder="1" applyAlignment="1">
      <alignment horizontal="left" vertical="center" indent="1"/>
    </xf>
    <xf numFmtId="168" fontId="2" fillId="0" borderId="1" xfId="0" applyNumberFormat="1" applyFont="1" applyFill="1" applyBorder="1" applyAlignment="1">
      <alignment vertical="center"/>
    </xf>
    <xf numFmtId="169" fontId="2" fillId="0" borderId="17" xfId="0" applyNumberFormat="1" applyFont="1" applyFill="1" applyBorder="1" applyAlignment="1">
      <alignment vertical="center"/>
    </xf>
    <xf numFmtId="169" fontId="2" fillId="0" borderId="1" xfId="0" applyNumberFormat="1" applyFont="1" applyFill="1" applyBorder="1" applyAlignment="1">
      <alignment vertical="center"/>
    </xf>
    <xf numFmtId="169" fontId="2" fillId="0" borderId="18" xfId="0" applyNumberFormat="1" applyFont="1" applyFill="1" applyBorder="1" applyAlignment="1">
      <alignment vertical="center"/>
    </xf>
    <xf numFmtId="168" fontId="2" fillId="0" borderId="0" xfId="0" applyNumberFormat="1" applyFont="1" applyFill="1" applyAlignment="1">
      <alignment vertical="center"/>
    </xf>
    <xf numFmtId="169" fontId="2" fillId="0" borderId="3" xfId="0" applyNumberFormat="1" applyFont="1" applyFill="1" applyBorder="1" applyAlignment="1">
      <alignment vertical="center"/>
    </xf>
    <xf numFmtId="169" fontId="2" fillId="0" borderId="0" xfId="0" applyNumberFormat="1" applyFont="1" applyFill="1" applyBorder="1" applyAlignment="1">
      <alignment vertical="center"/>
    </xf>
    <xf numFmtId="169" fontId="2" fillId="0" borderId="15" xfId="0" applyNumberFormat="1" applyFont="1" applyFill="1" applyBorder="1" applyAlignment="1">
      <alignment vertical="center"/>
    </xf>
    <xf numFmtId="169" fontId="2" fillId="0" borderId="0" xfId="0" applyNumberFormat="1" applyFont="1" applyFill="1" applyAlignment="1">
      <alignment vertical="center"/>
    </xf>
    <xf numFmtId="0" fontId="29" fillId="8" borderId="0" xfId="0" applyFont="1" applyFill="1" applyAlignment="1">
      <alignment horizontal="left" vertical="center" indent="1"/>
    </xf>
    <xf numFmtId="164" fontId="34" fillId="0" borderId="0" xfId="0" applyNumberFormat="1" applyFont="1" applyBorder="1"/>
    <xf numFmtId="164" fontId="34" fillId="0" borderId="3" xfId="0" applyNumberFormat="1" applyFont="1" applyBorder="1"/>
    <xf numFmtId="170" fontId="2" fillId="0" borderId="0" xfId="0" applyNumberFormat="1" applyFont="1"/>
    <xf numFmtId="0" fontId="30" fillId="3" borderId="0" xfId="0" applyFont="1" applyFill="1" applyAlignment="1">
      <alignment horizontal="left" vertical="center" indent="1"/>
    </xf>
    <xf numFmtId="168" fontId="30" fillId="3" borderId="0" xfId="0" applyNumberFormat="1" applyFont="1" applyFill="1" applyAlignment="1">
      <alignment vertical="center"/>
    </xf>
    <xf numFmtId="169" fontId="30" fillId="3" borderId="3" xfId="0" applyNumberFormat="1" applyFont="1" applyFill="1" applyBorder="1" applyAlignment="1">
      <alignment vertical="center"/>
    </xf>
    <xf numFmtId="169" fontId="30" fillId="3" borderId="0" xfId="0" applyNumberFormat="1" applyFont="1" applyFill="1" applyBorder="1" applyAlignment="1">
      <alignment vertical="center"/>
    </xf>
    <xf numFmtId="169" fontId="30" fillId="3" borderId="15" xfId="0" applyNumberFormat="1" applyFont="1" applyFill="1" applyBorder="1" applyAlignment="1">
      <alignment vertical="center"/>
    </xf>
    <xf numFmtId="169" fontId="30" fillId="3" borderId="0" xfId="0" applyNumberFormat="1" applyFont="1" applyFill="1" applyAlignment="1">
      <alignment vertical="center"/>
    </xf>
    <xf numFmtId="164" fontId="2" fillId="0" borderId="0" xfId="0" applyNumberFormat="1" applyFont="1"/>
    <xf numFmtId="164" fontId="33" fillId="0" borderId="0" xfId="0" applyNumberFormat="1" applyFont="1" applyFill="1" applyBorder="1"/>
    <xf numFmtId="0" fontId="33" fillId="0" borderId="0" xfId="0" applyFont="1"/>
    <xf numFmtId="0" fontId="1" fillId="0" borderId="0" xfId="0" applyFont="1"/>
    <xf numFmtId="0" fontId="1" fillId="0" borderId="3" xfId="0" applyFont="1" applyBorder="1"/>
    <xf numFmtId="0" fontId="1" fillId="0" borderId="0" xfId="0" applyFont="1" applyAlignment="1">
      <alignment vertical="center"/>
    </xf>
    <xf numFmtId="0" fontId="1" fillId="0" borderId="0" xfId="0" applyFont="1" applyAlignment="1">
      <alignment horizontal="left" vertical="center" indent="1"/>
    </xf>
    <xf numFmtId="0" fontId="1" fillId="0" borderId="2" xfId="0" applyFont="1" applyBorder="1" applyAlignment="1">
      <alignment horizontal="centerContinuous" vertical="center"/>
    </xf>
    <xf numFmtId="0" fontId="1" fillId="0" borderId="0" xfId="0" applyFont="1" applyBorder="1"/>
    <xf numFmtId="0" fontId="29" fillId="6" borderId="19" xfId="0" applyFont="1" applyFill="1" applyBorder="1" applyAlignment="1">
      <alignment horizontal="left" vertical="center" indent="1"/>
    </xf>
    <xf numFmtId="0" fontId="29" fillId="6" borderId="20" xfId="0" applyFont="1" applyFill="1" applyBorder="1" applyAlignment="1">
      <alignment horizontal="left" vertical="center" indent="1"/>
    </xf>
    <xf numFmtId="0" fontId="1" fillId="0" borderId="19" xfId="0" applyFont="1" applyBorder="1"/>
    <xf numFmtId="0" fontId="1" fillId="0" borderId="20" xfId="0" applyFont="1" applyBorder="1"/>
    <xf numFmtId="0" fontId="1" fillId="0" borderId="0" xfId="0" applyFont="1" applyAlignment="1">
      <alignment horizontal="left" indent="1"/>
    </xf>
    <xf numFmtId="164" fontId="1" fillId="0" borderId="0" xfId="0" applyNumberFormat="1" applyFont="1"/>
    <xf numFmtId="169" fontId="34" fillId="0" borderId="19" xfId="0" applyNumberFormat="1" applyFont="1" applyBorder="1"/>
    <xf numFmtId="169" fontId="34" fillId="0" borderId="20" xfId="0" applyNumberFormat="1" applyFont="1" applyBorder="1"/>
    <xf numFmtId="169" fontId="34" fillId="0" borderId="0" xfId="0" applyNumberFormat="1" applyFont="1"/>
    <xf numFmtId="164" fontId="30" fillId="0" borderId="1" xfId="0" applyNumberFormat="1" applyFont="1" applyBorder="1"/>
    <xf numFmtId="169" fontId="30" fillId="0" borderId="21" xfId="0" applyNumberFormat="1" applyFont="1" applyBorder="1"/>
    <xf numFmtId="169" fontId="30" fillId="0" borderId="1" xfId="0" applyNumberFormat="1" applyFont="1" applyBorder="1"/>
    <xf numFmtId="169" fontId="30" fillId="0" borderId="22" xfId="0" applyNumberFormat="1" applyFont="1" applyBorder="1"/>
    <xf numFmtId="169" fontId="1" fillId="0" borderId="19" xfId="0" applyNumberFormat="1" applyFont="1" applyBorder="1"/>
    <xf numFmtId="169" fontId="1" fillId="0" borderId="0" xfId="0" applyNumberFormat="1" applyFont="1" applyBorder="1"/>
    <xf numFmtId="169" fontId="1" fillId="0" borderId="20" xfId="0" applyNumberFormat="1" applyFont="1" applyBorder="1"/>
    <xf numFmtId="169" fontId="1" fillId="0" borderId="0" xfId="0" applyNumberFormat="1" applyFont="1"/>
    <xf numFmtId="169" fontId="30" fillId="0" borderId="19" xfId="0" applyNumberFormat="1" applyFont="1" applyBorder="1"/>
    <xf numFmtId="169" fontId="30" fillId="0" borderId="0" xfId="0" applyNumberFormat="1" applyFont="1" applyBorder="1"/>
    <xf numFmtId="169" fontId="30" fillId="0" borderId="20" xfId="0" applyNumberFormat="1" applyFont="1" applyBorder="1"/>
    <xf numFmtId="169" fontId="29" fillId="6" borderId="19" xfId="0" applyNumberFormat="1" applyFont="1" applyFill="1" applyBorder="1" applyAlignment="1">
      <alignment horizontal="left" vertical="center" indent="1"/>
    </xf>
    <xf numFmtId="169" fontId="29" fillId="6" borderId="0" xfId="0" applyNumberFormat="1" applyFont="1" applyFill="1" applyBorder="1" applyAlignment="1">
      <alignment horizontal="left" vertical="center" indent="1"/>
    </xf>
    <xf numFmtId="169" fontId="29" fillId="6" borderId="20" xfId="0" applyNumberFormat="1" applyFont="1" applyFill="1" applyBorder="1" applyAlignment="1">
      <alignment horizontal="left" vertical="center" indent="1"/>
    </xf>
    <xf numFmtId="169" fontId="29" fillId="2" borderId="0" xfId="0" applyNumberFormat="1" applyFont="1" applyFill="1" applyBorder="1" applyAlignment="1">
      <alignment horizontal="left" vertical="center" indent="1"/>
    </xf>
    <xf numFmtId="169" fontId="34" fillId="0" borderId="0" xfId="0" applyNumberFormat="1" applyFont="1" applyFill="1" applyAlignment="1">
      <alignment vertical="center"/>
    </xf>
    <xf numFmtId="169" fontId="36" fillId="0" borderId="21" xfId="0" applyNumberFormat="1" applyFont="1" applyBorder="1"/>
    <xf numFmtId="169" fontId="36" fillId="0" borderId="22" xfId="0" applyNumberFormat="1" applyFont="1" applyBorder="1"/>
    <xf numFmtId="0" fontId="30" fillId="0" borderId="0" xfId="0" applyFont="1" applyAlignment="1">
      <alignment horizontal="left" indent="1"/>
    </xf>
    <xf numFmtId="164" fontId="30" fillId="0" borderId="0" xfId="0" applyNumberFormat="1" applyFont="1"/>
    <xf numFmtId="169" fontId="39" fillId="0" borderId="19" xfId="0" applyNumberFormat="1" applyFont="1" applyBorder="1"/>
    <xf numFmtId="169" fontId="39" fillId="0" borderId="0" xfId="0" applyNumberFormat="1" applyFont="1" applyBorder="1"/>
    <xf numFmtId="169" fontId="39" fillId="0" borderId="20" xfId="0" applyNumberFormat="1" applyFont="1" applyBorder="1"/>
    <xf numFmtId="169" fontId="39" fillId="0" borderId="0" xfId="0" applyNumberFormat="1" applyFont="1"/>
    <xf numFmtId="169" fontId="36" fillId="3" borderId="19" xfId="0" applyNumberFormat="1" applyFont="1" applyFill="1" applyBorder="1"/>
    <xf numFmtId="169" fontId="36" fillId="3" borderId="20" xfId="0" applyNumberFormat="1" applyFont="1" applyFill="1" applyBorder="1"/>
    <xf numFmtId="164" fontId="30" fillId="0" borderId="0" xfId="0" applyNumberFormat="1" applyFont="1" applyBorder="1"/>
    <xf numFmtId="169" fontId="36" fillId="0" borderId="19" xfId="0" applyNumberFormat="1" applyFont="1" applyBorder="1"/>
    <xf numFmtId="169" fontId="36" fillId="0" borderId="0" xfId="0" applyNumberFormat="1" applyFont="1" applyBorder="1"/>
    <xf numFmtId="169" fontId="36" fillId="0" borderId="20" xfId="0" applyNumberFormat="1" applyFont="1" applyBorder="1"/>
    <xf numFmtId="169" fontId="29" fillId="2" borderId="0" xfId="0" applyNumberFormat="1" applyFont="1" applyFill="1" applyAlignment="1">
      <alignment horizontal="left" vertical="center" indent="1"/>
    </xf>
    <xf numFmtId="0" fontId="1" fillId="0" borderId="0" xfId="0" applyFont="1" applyBorder="1" applyAlignment="1">
      <alignment horizontal="left" indent="1"/>
    </xf>
    <xf numFmtId="49" fontId="1" fillId="0" borderId="0" xfId="0" applyNumberFormat="1" applyFont="1" applyBorder="1"/>
    <xf numFmtId="166" fontId="34" fillId="0" borderId="20" xfId="0" applyNumberFormat="1" applyFont="1" applyBorder="1"/>
    <xf numFmtId="166" fontId="1" fillId="0" borderId="19" xfId="0" applyNumberFormat="1" applyFont="1" applyBorder="1"/>
    <xf numFmtId="166" fontId="1" fillId="0" borderId="0" xfId="0" applyNumberFormat="1" applyFont="1" applyBorder="1"/>
    <xf numFmtId="166" fontId="1" fillId="0" borderId="20" xfId="0" applyNumberFormat="1" applyFont="1" applyBorder="1"/>
    <xf numFmtId="164" fontId="1" fillId="0" borderId="0" xfId="0" applyNumberFormat="1" applyFont="1" applyBorder="1"/>
    <xf numFmtId="164" fontId="1" fillId="0" borderId="20" xfId="0" applyNumberFormat="1" applyFont="1" applyBorder="1"/>
    <xf numFmtId="0" fontId="1" fillId="0" borderId="0" xfId="0" applyFont="1" applyBorder="1" applyAlignment="1">
      <alignment horizontal="left" indent="2"/>
    </xf>
  </cellXfs>
  <cellStyles count="3">
    <cellStyle name="=C:\WINNT35\SYSTEM32\COMMAND.COM 2" xfId="2"/>
    <cellStyle name="Normal 2" xfId="1"/>
    <cellStyle name="Normale" xfId="0" builtinId="0"/>
  </cellStyles>
  <dxfs count="0"/>
  <tableStyles count="0" defaultTableStyle="TableStyleMedium2" defaultPivotStyle="PivotStyleLight16"/>
  <colors>
    <mruColors>
      <color rgb="FF3333CC"/>
      <color rgb="FFE2F3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6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b="1"/>
              <a:t>Valuation Football Field</a:t>
            </a:r>
          </a:p>
        </c:rich>
      </c:tx>
      <c:layout>
        <c:manualLayout>
          <c:xMode val="edge"/>
          <c:yMode val="edge"/>
          <c:x val="6.5085387691024607E-2"/>
          <c:y val="4.5766590389016017E-2"/>
        </c:manualLayout>
      </c:layout>
      <c:overlay val="0"/>
      <c:spPr>
        <a:noFill/>
        <a:ln>
          <a:noFill/>
        </a:ln>
        <a:effectLst/>
      </c:spPr>
      <c:txPr>
        <a:bodyPr rot="0" spcFirstLastPara="1" vertOverflow="ellipsis" vert="horz" wrap="square" anchor="ctr" anchorCtr="1"/>
        <a:lstStyle/>
        <a:p>
          <a:pPr>
            <a:defRPr sz="96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it-IT"/>
        </a:p>
      </c:txPr>
    </c:title>
    <c:autoTitleDeleted val="0"/>
    <c:plotArea>
      <c:layout>
        <c:manualLayout>
          <c:layoutTarget val="inner"/>
          <c:xMode val="edge"/>
          <c:yMode val="edge"/>
          <c:x val="0.23335513830002019"/>
          <c:y val="0.15759259259259256"/>
          <c:w val="0.72220041725553541"/>
          <c:h val="0.7473994126020288"/>
        </c:manualLayout>
      </c:layout>
      <c:barChart>
        <c:barDir val="bar"/>
        <c:grouping val="stacked"/>
        <c:varyColors val="0"/>
        <c:ser>
          <c:idx val="0"/>
          <c:order val="0"/>
          <c:spPr>
            <a:noFill/>
            <a:ln>
              <a:noFill/>
            </a:ln>
            <a:effectLst/>
          </c:spPr>
          <c:invertIfNegative val="0"/>
          <c:dLbls>
            <c:dLbl>
              <c:idx val="4"/>
              <c:layout>
                <c:manualLayout>
                  <c:x val="0.13411603518738466"/>
                  <c:y val="1.5430955935363858E-3"/>
                </c:manualLayout>
              </c:layout>
              <c:dLblPos val="ct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0-AF73-47F0-8E89-057F2332E960}"/>
                </c:ext>
                <c:ext xmlns:c15="http://schemas.microsoft.com/office/drawing/2012/chart" uri="{CE6537A1-D6FC-4f65-9D91-7224C49458BB}">
                  <c15:layout>
                    <c:manualLayout>
                      <c:w val="0.11350205265262558"/>
                      <c:h val="4.0294789540196357E-2"/>
                    </c:manualLayout>
                  </c15:layout>
                </c:ext>
              </c:extLst>
            </c:dLbl>
            <c:numFmt formatCode="#,##0.0" sourceLinked="0"/>
            <c:spPr>
              <a:noFill/>
              <a:ln>
                <a:noFill/>
              </a:ln>
              <a:effectLst/>
            </c:spPr>
            <c:txPr>
              <a:bodyPr rot="0" spcFirstLastPara="1" vertOverflow="ellipsis" vert="horz" wrap="square" anchor="ctr" anchorCtr="1"/>
              <a:lstStyle/>
              <a:p>
                <a:pPr>
                  <a:defRPr sz="8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it-IT"/>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Summary!$C$41:$I$41</c:f>
              <c:strCache>
                <c:ptCount val="7"/>
                <c:pt idx="0">
                  <c:v>P / E 2015</c:v>
                </c:pt>
                <c:pt idx="1">
                  <c:v>P / E 2014</c:v>
                </c:pt>
                <c:pt idx="2">
                  <c:v>EV / EBITDA 2015</c:v>
                </c:pt>
                <c:pt idx="3">
                  <c:v>EV / EBITDA 2014</c:v>
                </c:pt>
                <c:pt idx="4">
                  <c:v>DCF equity</c:v>
                </c:pt>
                <c:pt idx="5">
                  <c:v>APV</c:v>
                </c:pt>
                <c:pt idx="6">
                  <c:v>DCF asset</c:v>
                </c:pt>
              </c:strCache>
            </c:strRef>
          </c:cat>
          <c:val>
            <c:numRef>
              <c:f>Summary!$C$43:$I$43</c:f>
              <c:numCache>
                <c:formatCode>#,##0.0_)_);\(#,##0.0\)_);\-_)_);@_)_)</c:formatCode>
                <c:ptCount val="7"/>
                <c:pt idx="0">
                  <c:v>4038.9220750424606</c:v>
                </c:pt>
                <c:pt idx="1">
                  <c:v>3060.9395658182543</c:v>
                </c:pt>
                <c:pt idx="2">
                  <c:v>4803.9446327170162</c:v>
                </c:pt>
                <c:pt idx="3">
                  <c:v>4513.9459616157701</c:v>
                </c:pt>
                <c:pt idx="4">
                  <c:v>4042.0285760648308</c:v>
                </c:pt>
                <c:pt idx="5">
                  <c:v>4191.2859112811911</c:v>
                </c:pt>
                <c:pt idx="6">
                  <c:v>3318.0863746239816</c:v>
                </c:pt>
              </c:numCache>
            </c:numRef>
          </c:val>
          <c:extLst xmlns:c16r2="http://schemas.microsoft.com/office/drawing/2015/06/chart">
            <c:ext xmlns:c16="http://schemas.microsoft.com/office/drawing/2014/chart" uri="{C3380CC4-5D6E-409C-BE32-E72D297353CC}">
              <c16:uniqueId val="{00000001-AF73-47F0-8E89-057F2332E960}"/>
            </c:ext>
          </c:extLst>
        </c:ser>
        <c:ser>
          <c:idx val="1"/>
          <c:order val="1"/>
          <c:spPr>
            <a:solidFill>
              <a:schemeClr val="accent1"/>
            </a:solidFill>
            <a:ln>
              <a:solidFill>
                <a:schemeClr val="bg1"/>
              </a:solidFill>
            </a:ln>
            <a:effectLst/>
          </c:spPr>
          <c:invertIfNegative val="0"/>
          <c:dPt>
            <c:idx val="0"/>
            <c:invertIfNegative val="0"/>
            <c:bubble3D val="0"/>
            <c:spPr>
              <a:solidFill>
                <a:schemeClr val="accent3"/>
              </a:solidFill>
              <a:ln>
                <a:solidFill>
                  <a:schemeClr val="bg1"/>
                </a:solidFill>
              </a:ln>
              <a:effectLst/>
            </c:spPr>
            <c:extLst xmlns:c16r2="http://schemas.microsoft.com/office/drawing/2015/06/chart">
              <c:ext xmlns:c16="http://schemas.microsoft.com/office/drawing/2014/chart" uri="{C3380CC4-5D6E-409C-BE32-E72D297353CC}">
                <c16:uniqueId val="{00000003-AF73-47F0-8E89-057F2332E960}"/>
              </c:ext>
            </c:extLst>
          </c:dPt>
          <c:dPt>
            <c:idx val="1"/>
            <c:invertIfNegative val="0"/>
            <c:bubble3D val="0"/>
            <c:spPr>
              <a:solidFill>
                <a:schemeClr val="accent3"/>
              </a:solidFill>
              <a:ln>
                <a:solidFill>
                  <a:schemeClr val="bg1"/>
                </a:solidFill>
              </a:ln>
              <a:effectLst/>
            </c:spPr>
            <c:extLst xmlns:c16r2="http://schemas.microsoft.com/office/drawing/2015/06/chart">
              <c:ext xmlns:c16="http://schemas.microsoft.com/office/drawing/2014/chart" uri="{C3380CC4-5D6E-409C-BE32-E72D297353CC}">
                <c16:uniqueId val="{00000005-AF73-47F0-8E89-057F2332E960}"/>
              </c:ext>
            </c:extLst>
          </c:dPt>
          <c:dPt>
            <c:idx val="2"/>
            <c:invertIfNegative val="0"/>
            <c:bubble3D val="0"/>
            <c:spPr>
              <a:solidFill>
                <a:schemeClr val="accent3"/>
              </a:solidFill>
              <a:ln>
                <a:solidFill>
                  <a:schemeClr val="bg1"/>
                </a:solidFill>
              </a:ln>
              <a:effectLst/>
            </c:spPr>
            <c:extLst xmlns:c16r2="http://schemas.microsoft.com/office/drawing/2015/06/chart">
              <c:ext xmlns:c16="http://schemas.microsoft.com/office/drawing/2014/chart" uri="{C3380CC4-5D6E-409C-BE32-E72D297353CC}">
                <c16:uniqueId val="{00000007-AF73-47F0-8E89-057F2332E960}"/>
              </c:ext>
            </c:extLst>
          </c:dPt>
          <c:dPt>
            <c:idx val="3"/>
            <c:invertIfNegative val="0"/>
            <c:bubble3D val="0"/>
            <c:spPr>
              <a:solidFill>
                <a:schemeClr val="accent3"/>
              </a:solidFill>
              <a:ln>
                <a:solidFill>
                  <a:schemeClr val="bg1"/>
                </a:solidFill>
              </a:ln>
              <a:effectLst/>
            </c:spPr>
            <c:extLst xmlns:c16r2="http://schemas.microsoft.com/office/drawing/2015/06/chart">
              <c:ext xmlns:c16="http://schemas.microsoft.com/office/drawing/2014/chart" uri="{C3380CC4-5D6E-409C-BE32-E72D297353CC}">
                <c16:uniqueId val="{00000009-AF73-47F0-8E89-057F2332E960}"/>
              </c:ext>
            </c:extLst>
          </c:dPt>
          <c:cat>
            <c:strRef>
              <c:f>Summary!$C$41:$I$41</c:f>
              <c:strCache>
                <c:ptCount val="7"/>
                <c:pt idx="0">
                  <c:v>P / E 2015</c:v>
                </c:pt>
                <c:pt idx="1">
                  <c:v>P / E 2014</c:v>
                </c:pt>
                <c:pt idx="2">
                  <c:v>EV / EBITDA 2015</c:v>
                </c:pt>
                <c:pt idx="3">
                  <c:v>EV / EBITDA 2014</c:v>
                </c:pt>
                <c:pt idx="4">
                  <c:v>DCF equity</c:v>
                </c:pt>
                <c:pt idx="5">
                  <c:v>APV</c:v>
                </c:pt>
                <c:pt idx="6">
                  <c:v>DCF asset</c:v>
                </c:pt>
              </c:strCache>
            </c:strRef>
          </c:cat>
          <c:val>
            <c:numRef>
              <c:f>Summary!$C$44:$I$44</c:f>
              <c:numCache>
                <c:formatCode>#,##0.0_)_);\(#,##0.0\)_);\-_)_);@_)_)</c:formatCode>
                <c:ptCount val="7"/>
                <c:pt idx="0">
                  <c:v>159.86243440206954</c:v>
                </c:pt>
                <c:pt idx="1">
                  <c:v>189.44644858322636</c:v>
                </c:pt>
                <c:pt idx="2">
                  <c:v>213.87524093777301</c:v>
                </c:pt>
                <c:pt idx="3">
                  <c:v>31.832279294293585</c:v>
                </c:pt>
                <c:pt idx="4">
                  <c:v>0</c:v>
                </c:pt>
                <c:pt idx="5">
                  <c:v>0</c:v>
                </c:pt>
                <c:pt idx="6">
                  <c:v>1771.6228993237387</c:v>
                </c:pt>
              </c:numCache>
            </c:numRef>
          </c:val>
          <c:extLst xmlns:c16r2="http://schemas.microsoft.com/office/drawing/2015/06/chart">
            <c:ext xmlns:c16="http://schemas.microsoft.com/office/drawing/2014/chart" uri="{C3380CC4-5D6E-409C-BE32-E72D297353CC}">
              <c16:uniqueId val="{0000000A-AF73-47F0-8E89-057F2332E960}"/>
            </c:ext>
          </c:extLst>
        </c:ser>
        <c:ser>
          <c:idx val="2"/>
          <c:order val="2"/>
          <c:spPr>
            <a:no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it-IT"/>
              </a:p>
            </c:txPr>
            <c:dLblPos val="inBase"/>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Summary!$C$42:$I$42</c:f>
              <c:numCache>
                <c:formatCode>#,##0.0_)_);\(#,##0.0\)_);\-_)_);@_)_)</c:formatCode>
                <c:ptCount val="7"/>
                <c:pt idx="0">
                  <c:v>4198.7845094445302</c:v>
                </c:pt>
                <c:pt idx="1">
                  <c:v>3250.3860144014807</c:v>
                </c:pt>
                <c:pt idx="2">
                  <c:v>5017.8198736547893</c:v>
                </c:pt>
                <c:pt idx="3">
                  <c:v>4545.7782409100637</c:v>
                </c:pt>
                <c:pt idx="4">
                  <c:v>4042.0285760648308</c:v>
                </c:pt>
                <c:pt idx="5">
                  <c:v>4191.2859112811911</c:v>
                </c:pt>
                <c:pt idx="6">
                  <c:v>5089.7092739477202</c:v>
                </c:pt>
              </c:numCache>
            </c:numRef>
          </c:val>
          <c:extLst xmlns:c16r2="http://schemas.microsoft.com/office/drawing/2015/06/chart">
            <c:ext xmlns:c16="http://schemas.microsoft.com/office/drawing/2014/chart" uri="{C3380CC4-5D6E-409C-BE32-E72D297353CC}">
              <c16:uniqueId val="{0000000B-AF73-47F0-8E89-057F2332E960}"/>
            </c:ext>
          </c:extLst>
        </c:ser>
        <c:dLbls>
          <c:showLegendKey val="0"/>
          <c:showVal val="0"/>
          <c:showCatName val="0"/>
          <c:showSerName val="0"/>
          <c:showPercent val="0"/>
          <c:showBubbleSize val="0"/>
        </c:dLbls>
        <c:gapWidth val="55"/>
        <c:overlap val="100"/>
        <c:axId val="1015061568"/>
        <c:axId val="1015062112"/>
      </c:barChart>
      <c:catAx>
        <c:axId val="1015061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1"/>
                </a:solidFill>
                <a:latin typeface="Arial" panose="020B0604020202020204" pitchFamily="34" charset="0"/>
                <a:ea typeface="+mn-ea"/>
                <a:cs typeface="Arial" panose="020B0604020202020204" pitchFamily="34" charset="0"/>
              </a:defRPr>
            </a:pPr>
            <a:endParaRPr lang="it-IT"/>
          </a:p>
        </c:txPr>
        <c:crossAx val="1015062112"/>
        <c:crosses val="autoZero"/>
        <c:auto val="1"/>
        <c:lblAlgn val="ctr"/>
        <c:lblOffset val="100"/>
        <c:noMultiLvlLbl val="0"/>
      </c:catAx>
      <c:valAx>
        <c:axId val="1015062112"/>
        <c:scaling>
          <c:orientation val="minMax"/>
          <c:max val="6000"/>
          <c:min val="500"/>
        </c:scaling>
        <c:delete val="1"/>
        <c:axPos val="b"/>
        <c:numFmt formatCode="#,##0.0_)_);\(#,##0.0\)_);\-_)_);@_)_)" sourceLinked="1"/>
        <c:majorTickMark val="out"/>
        <c:minorTickMark val="none"/>
        <c:tickLblPos val="nextTo"/>
        <c:crossAx val="1015061568"/>
        <c:crosses val="autoZero"/>
        <c:crossBetween val="between"/>
      </c:valAx>
      <c:spPr>
        <a:noFill/>
        <a:ln>
          <a:noFill/>
        </a:ln>
        <a:effectLst/>
      </c:spPr>
    </c:plotArea>
    <c:plotVisOnly val="1"/>
    <c:dispBlanksAs val="gap"/>
    <c:showDLblsOverMax val="0"/>
  </c:chart>
  <c:spPr>
    <a:noFill/>
    <a:ln w="9525" cap="flat" cmpd="sng" algn="ctr">
      <a:solidFill>
        <a:schemeClr val="tx1"/>
      </a:solidFill>
      <a:round/>
    </a:ln>
    <a:effectLst/>
  </c:spPr>
  <c:txPr>
    <a:bodyPr/>
    <a:lstStyle/>
    <a:p>
      <a:pPr>
        <a:defRPr sz="800">
          <a:solidFill>
            <a:sysClr val="windowText" lastClr="000000"/>
          </a:solidFill>
          <a:latin typeface="Arial" panose="020B0604020202020204" pitchFamily="34" charset="0"/>
          <a:cs typeface="Arial" panose="020B0604020202020204" pitchFamily="34" charset="0"/>
        </a:defRPr>
      </a:pPr>
      <a:endParaRPr lang="it-I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190500</xdr:colOff>
      <xdr:row>1</xdr:row>
      <xdr:rowOff>0</xdr:rowOff>
    </xdr:from>
    <xdr:to>
      <xdr:col>9</xdr:col>
      <xdr:colOff>66675</xdr:colOff>
      <xdr:row>8</xdr:row>
      <xdr:rowOff>202073</xdr:rowOff>
    </xdr:to>
    <xdr:sp macro="" textlink="">
      <xdr:nvSpPr>
        <xdr:cNvPr id="2" name="TextBox 1">
          <a:extLst>
            <a:ext uri="{FF2B5EF4-FFF2-40B4-BE49-F238E27FC236}">
              <a16:creationId xmlns="" xmlns:a16="http://schemas.microsoft.com/office/drawing/2014/main" id="{00000000-0008-0000-0100-000002000000}"/>
            </a:ext>
          </a:extLst>
        </xdr:cNvPr>
        <xdr:cNvSpPr txBox="1"/>
      </xdr:nvSpPr>
      <xdr:spPr>
        <a:xfrm>
          <a:off x="7981950" y="161925"/>
          <a:ext cx="3038475" cy="1411748"/>
        </a:xfrm>
        <a:prstGeom prst="rect">
          <a:avLst/>
        </a:prstGeom>
        <a:solidFill>
          <a:schemeClr val="lt1"/>
        </a:solidFill>
        <a:ln w="9525" cmpd="sng">
          <a:solidFill>
            <a:srgbClr val="3333CC"/>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050" b="1">
              <a:solidFill>
                <a:srgbClr val="3333CC"/>
              </a:solidFill>
              <a:latin typeface="Arial" panose="020B0604020202020204" pitchFamily="34" charset="0"/>
              <a:cs typeface="Arial" panose="020B0604020202020204" pitchFamily="34" charset="0"/>
            </a:rPr>
            <a:t>Important warning</a:t>
          </a:r>
        </a:p>
        <a:p>
          <a:r>
            <a:rPr lang="it-IT" sz="1050" b="0" baseline="0">
              <a:solidFill>
                <a:srgbClr val="3333CC"/>
              </a:solidFill>
              <a:latin typeface="Arial" panose="020B0604020202020204" pitchFamily="34" charset="0"/>
              <a:cs typeface="Arial" panose="020B0604020202020204" pitchFamily="34" charset="0"/>
            </a:rPr>
            <a:t>File &gt; Options &gt; Formulas: make sure that "Workbook calculation" is set on "Automatic" and that the option "Enable iterative calculation" is ON.</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152399</xdr:colOff>
      <xdr:row>7</xdr:row>
      <xdr:rowOff>57150</xdr:rowOff>
    </xdr:from>
    <xdr:to>
      <xdr:col>16</xdr:col>
      <xdr:colOff>28574</xdr:colOff>
      <xdr:row>18</xdr:row>
      <xdr:rowOff>2048</xdr:rowOff>
    </xdr:to>
    <xdr:sp macro="" textlink="">
      <xdr:nvSpPr>
        <xdr:cNvPr id="2" name="TextBox 1">
          <a:extLst>
            <a:ext uri="{FF2B5EF4-FFF2-40B4-BE49-F238E27FC236}">
              <a16:creationId xmlns="" xmlns:a16="http://schemas.microsoft.com/office/drawing/2014/main" id="{00000000-0008-0000-0200-000002000000}"/>
            </a:ext>
          </a:extLst>
        </xdr:cNvPr>
        <xdr:cNvSpPr txBox="1"/>
      </xdr:nvSpPr>
      <xdr:spPr>
        <a:xfrm>
          <a:off x="11506199" y="990600"/>
          <a:ext cx="3038475" cy="1411748"/>
        </a:xfrm>
        <a:prstGeom prst="rect">
          <a:avLst/>
        </a:prstGeom>
        <a:solidFill>
          <a:schemeClr val="lt1"/>
        </a:solidFill>
        <a:ln w="9525" cmpd="sng">
          <a:solidFill>
            <a:srgbClr val="3333CC"/>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050" b="1">
              <a:solidFill>
                <a:srgbClr val="3333CC"/>
              </a:solidFill>
              <a:latin typeface="Arial" panose="020B0604020202020204" pitchFamily="34" charset="0"/>
              <a:cs typeface="Arial" panose="020B0604020202020204" pitchFamily="34" charset="0"/>
            </a:rPr>
            <a:t>Step 1</a:t>
          </a:r>
        </a:p>
        <a:p>
          <a:r>
            <a:rPr lang="it-IT" sz="1050" b="0" baseline="0">
              <a:solidFill>
                <a:srgbClr val="3333CC"/>
              </a:solidFill>
              <a:latin typeface="Arial" panose="020B0604020202020204" pitchFamily="34" charset="0"/>
              <a:cs typeface="Arial" panose="020B0604020202020204" pitchFamily="34" charset="0"/>
            </a:rPr>
            <a:t>Type historical consolidated financial statements, IS and BS.</a:t>
          </a:r>
        </a:p>
        <a:p>
          <a:r>
            <a:rPr lang="it-IT" sz="1050" b="0" baseline="0">
              <a:solidFill>
                <a:srgbClr val="3333CC"/>
              </a:solidFill>
              <a:latin typeface="Arial" panose="020B0604020202020204" pitchFamily="34" charset="0"/>
              <a:cs typeface="Arial" panose="020B0604020202020204" pitchFamily="34" charset="0"/>
            </a:rPr>
            <a:t>Ignore historical cash flows. You will build a new cash flow statement.</a:t>
          </a:r>
        </a:p>
        <a:p>
          <a:r>
            <a:rPr lang="it-IT" sz="1050" b="0" baseline="0">
              <a:solidFill>
                <a:srgbClr val="3333CC"/>
              </a:solidFill>
              <a:latin typeface="Arial" panose="020B0604020202020204" pitchFamily="34" charset="0"/>
              <a:cs typeface="Arial" panose="020B0604020202020204" pitchFamily="34" charset="0"/>
            </a:rPr>
            <a:t>Add relevant details from notes (debt schedule, sales breakdown, costs breakdown...)</a:t>
          </a:r>
        </a:p>
        <a:p>
          <a:endParaRPr lang="it-IT" sz="1050" b="0" baseline="0">
            <a:solidFill>
              <a:srgbClr val="3333CC"/>
            </a:solidFill>
            <a:latin typeface="Arial" panose="020B0604020202020204" pitchFamily="34" charset="0"/>
            <a:cs typeface="Arial" panose="020B06040202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13</xdr:col>
      <xdr:colOff>200025</xdr:colOff>
      <xdr:row>7</xdr:row>
      <xdr:rowOff>0</xdr:rowOff>
    </xdr:from>
    <xdr:to>
      <xdr:col>16</xdr:col>
      <xdr:colOff>123825</xdr:colOff>
      <xdr:row>17</xdr:row>
      <xdr:rowOff>2048</xdr:rowOff>
    </xdr:to>
    <xdr:sp macro="" textlink="">
      <xdr:nvSpPr>
        <xdr:cNvPr id="3" name="TextBox 2">
          <a:extLst>
            <a:ext uri="{FF2B5EF4-FFF2-40B4-BE49-F238E27FC236}">
              <a16:creationId xmlns="" xmlns:a16="http://schemas.microsoft.com/office/drawing/2014/main" id="{00000000-0008-0000-0300-000003000000}"/>
            </a:ext>
          </a:extLst>
        </xdr:cNvPr>
        <xdr:cNvSpPr txBox="1"/>
      </xdr:nvSpPr>
      <xdr:spPr>
        <a:xfrm>
          <a:off x="12344400" y="876300"/>
          <a:ext cx="2295525" cy="1411748"/>
        </a:xfrm>
        <a:prstGeom prst="rect">
          <a:avLst/>
        </a:prstGeom>
        <a:solidFill>
          <a:schemeClr val="lt1"/>
        </a:solidFill>
        <a:ln w="9525" cmpd="sng">
          <a:solidFill>
            <a:srgbClr val="3333CC"/>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050" b="1">
              <a:solidFill>
                <a:srgbClr val="3333CC"/>
              </a:solidFill>
              <a:latin typeface="Arial" panose="020B0604020202020204" pitchFamily="34" charset="0"/>
              <a:cs typeface="Arial" panose="020B0604020202020204" pitchFamily="34" charset="0"/>
            </a:rPr>
            <a:t>Step 2</a:t>
          </a:r>
        </a:p>
        <a:p>
          <a:r>
            <a:rPr lang="it-IT" sz="1050" b="0" baseline="0">
              <a:solidFill>
                <a:srgbClr val="3333CC"/>
              </a:solidFill>
              <a:latin typeface="Arial" panose="020B0604020202020204" pitchFamily="34" charset="0"/>
              <a:cs typeface="Arial" panose="020B0604020202020204" pitchFamily="34" charset="0"/>
            </a:rPr>
            <a:t>Reorganize historical IS and BS according to the structure intended to be used in the forecasting phase.</a:t>
          </a:r>
        </a:p>
        <a:p>
          <a:r>
            <a:rPr lang="it-IT" sz="1050" b="0" baseline="0">
              <a:solidFill>
                <a:srgbClr val="3333CC"/>
              </a:solidFill>
              <a:latin typeface="Arial" panose="020B0604020202020204" pitchFamily="34" charset="0"/>
              <a:cs typeface="Arial" panose="020B0604020202020204" pitchFamily="34" charset="0"/>
            </a:rPr>
            <a:t>Check that total funds invested balance in the two sides of the BS and that the reorganized net income is equal to the original.</a:t>
          </a:r>
        </a:p>
      </xdr:txBody>
    </xdr:sp>
    <xdr:clientData/>
  </xdr:twoCellAnchor>
  <xdr:twoCellAnchor>
    <xdr:from>
      <xdr:col>13</xdr:col>
      <xdr:colOff>200025</xdr:colOff>
      <xdr:row>35</xdr:row>
      <xdr:rowOff>142875</xdr:rowOff>
    </xdr:from>
    <xdr:to>
      <xdr:col>16</xdr:col>
      <xdr:colOff>123825</xdr:colOff>
      <xdr:row>46</xdr:row>
      <xdr:rowOff>144923</xdr:rowOff>
    </xdr:to>
    <xdr:sp macro="" textlink="">
      <xdr:nvSpPr>
        <xdr:cNvPr id="4" name="TextBox 3">
          <a:extLst>
            <a:ext uri="{FF2B5EF4-FFF2-40B4-BE49-F238E27FC236}">
              <a16:creationId xmlns="" xmlns:a16="http://schemas.microsoft.com/office/drawing/2014/main" id="{00000000-0008-0000-0300-000004000000}"/>
            </a:ext>
          </a:extLst>
        </xdr:cNvPr>
        <xdr:cNvSpPr txBox="1"/>
      </xdr:nvSpPr>
      <xdr:spPr>
        <a:xfrm>
          <a:off x="12344400" y="5305425"/>
          <a:ext cx="2295525" cy="1411748"/>
        </a:xfrm>
        <a:prstGeom prst="rect">
          <a:avLst/>
        </a:prstGeom>
        <a:solidFill>
          <a:schemeClr val="lt1"/>
        </a:solidFill>
        <a:ln w="9525" cmpd="sng">
          <a:solidFill>
            <a:srgbClr val="3333CC"/>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050" b="1">
              <a:solidFill>
                <a:srgbClr val="3333CC"/>
              </a:solidFill>
              <a:latin typeface="Arial" panose="020B0604020202020204" pitchFamily="34" charset="0"/>
              <a:cs typeface="Arial" panose="020B0604020202020204" pitchFamily="34" charset="0"/>
            </a:rPr>
            <a:t>Step 2</a:t>
          </a:r>
        </a:p>
        <a:p>
          <a:r>
            <a:rPr lang="it-IT" sz="1050" b="0" baseline="0">
              <a:solidFill>
                <a:srgbClr val="3333CC"/>
              </a:solidFill>
              <a:latin typeface="Arial" panose="020B0604020202020204" pitchFamily="34" charset="0"/>
              <a:cs typeface="Arial" panose="020B0604020202020204" pitchFamily="34" charset="0"/>
            </a:rPr>
            <a:t>NOPLAT calculation will generate from subsequent calculation, hence the formulas linked to the Calculations sheet.</a:t>
          </a:r>
        </a:p>
      </xdr:txBody>
    </xdr:sp>
    <xdr:clientData/>
  </xdr:twoCellAnchor>
  <xdr:twoCellAnchor>
    <xdr:from>
      <xdr:col>13</xdr:col>
      <xdr:colOff>200025</xdr:colOff>
      <xdr:row>88</xdr:row>
      <xdr:rowOff>38100</xdr:rowOff>
    </xdr:from>
    <xdr:to>
      <xdr:col>16</xdr:col>
      <xdr:colOff>123825</xdr:colOff>
      <xdr:row>98</xdr:row>
      <xdr:rowOff>144923</xdr:rowOff>
    </xdr:to>
    <xdr:sp macro="" textlink="">
      <xdr:nvSpPr>
        <xdr:cNvPr id="5" name="TextBox 4">
          <a:extLst>
            <a:ext uri="{FF2B5EF4-FFF2-40B4-BE49-F238E27FC236}">
              <a16:creationId xmlns="" xmlns:a16="http://schemas.microsoft.com/office/drawing/2014/main" id="{00000000-0008-0000-0300-000005000000}"/>
            </a:ext>
          </a:extLst>
        </xdr:cNvPr>
        <xdr:cNvSpPr txBox="1"/>
      </xdr:nvSpPr>
      <xdr:spPr>
        <a:xfrm>
          <a:off x="12344400" y="12258675"/>
          <a:ext cx="2295525" cy="1411748"/>
        </a:xfrm>
        <a:prstGeom prst="rect">
          <a:avLst/>
        </a:prstGeom>
        <a:solidFill>
          <a:schemeClr val="lt1"/>
        </a:solidFill>
        <a:ln w="9525" cmpd="sng">
          <a:solidFill>
            <a:srgbClr val="3333CC"/>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050" b="1">
              <a:solidFill>
                <a:srgbClr val="3333CC"/>
              </a:solidFill>
              <a:latin typeface="Arial" panose="020B0604020202020204" pitchFamily="34" charset="0"/>
              <a:cs typeface="Arial" panose="020B0604020202020204" pitchFamily="34" charset="0"/>
            </a:rPr>
            <a:t>Step 3</a:t>
          </a:r>
        </a:p>
        <a:p>
          <a:r>
            <a:rPr lang="it-IT" sz="1050" b="0" baseline="0">
              <a:solidFill>
                <a:srgbClr val="3333CC"/>
              </a:solidFill>
              <a:latin typeface="Arial" panose="020B0604020202020204" pitchFamily="34" charset="0"/>
              <a:cs typeface="Arial" panose="020B0604020202020204" pitchFamily="34" charset="0"/>
            </a:rPr>
            <a:t>Build cash flows.</a:t>
          </a:r>
        </a:p>
        <a:p>
          <a:r>
            <a:rPr lang="it-IT" sz="1050" b="0" baseline="0">
              <a:solidFill>
                <a:srgbClr val="3333CC"/>
              </a:solidFill>
              <a:latin typeface="Arial" panose="020B0604020202020204" pitchFamily="34" charset="0"/>
              <a:cs typeface="Arial" panose="020B0604020202020204" pitchFamily="34" charset="0"/>
            </a:rPr>
            <a:t>Check that the cash value at year end in the BS matches the end value in the previous year + the CF generated in the year (row 114 check).</a:t>
          </a:r>
        </a:p>
      </xdr:txBody>
    </xdr:sp>
    <xdr:clientData/>
  </xdr:twoCellAnchor>
  <xdr:twoCellAnchor>
    <xdr:from>
      <xdr:col>13</xdr:col>
      <xdr:colOff>200025</xdr:colOff>
      <xdr:row>53</xdr:row>
      <xdr:rowOff>139564</xdr:rowOff>
    </xdr:from>
    <xdr:to>
      <xdr:col>16</xdr:col>
      <xdr:colOff>123825</xdr:colOff>
      <xdr:row>68</xdr:row>
      <xdr:rowOff>138708</xdr:rowOff>
    </xdr:to>
    <xdr:sp macro="" textlink="">
      <xdr:nvSpPr>
        <xdr:cNvPr id="6" name="TextBox 3">
          <a:extLst>
            <a:ext uri="{FF2B5EF4-FFF2-40B4-BE49-F238E27FC236}">
              <a16:creationId xmlns="" xmlns:a16="http://schemas.microsoft.com/office/drawing/2014/main" id="{00000000-0008-0000-0300-000006000000}"/>
            </a:ext>
          </a:extLst>
        </xdr:cNvPr>
        <xdr:cNvSpPr txBox="1"/>
      </xdr:nvSpPr>
      <xdr:spPr>
        <a:xfrm>
          <a:off x="12344400" y="7578589"/>
          <a:ext cx="2295525" cy="1904144"/>
        </a:xfrm>
        <a:prstGeom prst="rect">
          <a:avLst/>
        </a:prstGeom>
        <a:solidFill>
          <a:schemeClr val="lt1"/>
        </a:solidFill>
        <a:ln w="9525" cmpd="sng">
          <a:solidFill>
            <a:srgbClr val="3333CC"/>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050" b="1">
              <a:solidFill>
                <a:srgbClr val="3333CC"/>
              </a:solidFill>
              <a:latin typeface="Arial" panose="020B0604020202020204" pitchFamily="34" charset="0"/>
              <a:cs typeface="Arial" panose="020B0604020202020204" pitchFamily="34" charset="0"/>
            </a:rPr>
            <a:t>Step 2</a:t>
          </a:r>
        </a:p>
        <a:p>
          <a:r>
            <a:rPr lang="it-IT" sz="1050" b="0" baseline="0">
              <a:solidFill>
                <a:srgbClr val="3333CC"/>
              </a:solidFill>
              <a:latin typeface="Arial" panose="020B0604020202020204" pitchFamily="34" charset="0"/>
              <a:cs typeface="Arial" panose="020B0604020202020204" pitchFamily="34" charset="0"/>
            </a:rPr>
            <a:t>To accomodate Campari's balance sheet, in this restatement an additional category of "other operating assets" is defined: it represents elements that are not so quicky and daily changing to be working capital, but that are part of core activities to they did not deserve to be surplus assets &amp; liabilities.</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13</xdr:col>
      <xdr:colOff>200025</xdr:colOff>
      <xdr:row>6</xdr:row>
      <xdr:rowOff>57149</xdr:rowOff>
    </xdr:from>
    <xdr:to>
      <xdr:col>16</xdr:col>
      <xdr:colOff>123825</xdr:colOff>
      <xdr:row>20</xdr:row>
      <xdr:rowOff>0</xdr:rowOff>
    </xdr:to>
    <xdr:sp macro="" textlink="">
      <xdr:nvSpPr>
        <xdr:cNvPr id="6" name="TextBox 5">
          <a:extLst>
            <a:ext uri="{FF2B5EF4-FFF2-40B4-BE49-F238E27FC236}">
              <a16:creationId xmlns="" xmlns:a16="http://schemas.microsoft.com/office/drawing/2014/main" id="{00000000-0008-0000-0400-000006000000}"/>
            </a:ext>
          </a:extLst>
        </xdr:cNvPr>
        <xdr:cNvSpPr txBox="1"/>
      </xdr:nvSpPr>
      <xdr:spPr>
        <a:xfrm>
          <a:off x="12344400" y="933449"/>
          <a:ext cx="2295525" cy="1685925"/>
        </a:xfrm>
        <a:prstGeom prst="rect">
          <a:avLst/>
        </a:prstGeom>
        <a:solidFill>
          <a:schemeClr val="lt1"/>
        </a:solidFill>
        <a:ln w="9525" cmpd="sng">
          <a:solidFill>
            <a:srgbClr val="3333CC"/>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050" b="1">
              <a:solidFill>
                <a:srgbClr val="3333CC"/>
              </a:solidFill>
              <a:latin typeface="Arial" panose="020B0604020202020204" pitchFamily="34" charset="0"/>
              <a:cs typeface="Arial" panose="020B0604020202020204" pitchFamily="34" charset="0"/>
            </a:rPr>
            <a:t>Step 4</a:t>
          </a:r>
        </a:p>
        <a:p>
          <a:r>
            <a:rPr lang="it-IT" sz="1050" b="0" baseline="0">
              <a:solidFill>
                <a:srgbClr val="3333CC"/>
              </a:solidFill>
              <a:latin typeface="Arial" panose="020B0604020202020204" pitchFamily="34" charset="0"/>
              <a:cs typeface="Arial" panose="020B0604020202020204" pitchFamily="34" charset="0"/>
            </a:rPr>
            <a:t>Forecast sales.</a:t>
          </a:r>
        </a:p>
        <a:p>
          <a:r>
            <a:rPr lang="it-IT" sz="1050" b="0" baseline="0">
              <a:solidFill>
                <a:srgbClr val="3333CC"/>
              </a:solidFill>
              <a:latin typeface="Arial" panose="020B0604020202020204" pitchFamily="34" charset="0"/>
              <a:cs typeface="Arial" panose="020B0604020202020204" pitchFamily="34" charset="0"/>
            </a:rPr>
            <a:t>Campari considers sales by brands. The organic growth (i.e. growth excluding the growth generated by acquiring new brands through M&amp;A) is given for 2014 and 2015 (3 quarters). Specific assumptions are made for each brand class.</a:t>
          </a:r>
        </a:p>
      </xdr:txBody>
    </xdr:sp>
    <xdr:clientData/>
  </xdr:twoCellAnchor>
  <xdr:twoCellAnchor>
    <xdr:from>
      <xdr:col>13</xdr:col>
      <xdr:colOff>200025</xdr:colOff>
      <xdr:row>21</xdr:row>
      <xdr:rowOff>66675</xdr:rowOff>
    </xdr:from>
    <xdr:to>
      <xdr:col>16</xdr:col>
      <xdr:colOff>123825</xdr:colOff>
      <xdr:row>27</xdr:row>
      <xdr:rowOff>95250</xdr:rowOff>
    </xdr:to>
    <xdr:sp macro="" textlink="">
      <xdr:nvSpPr>
        <xdr:cNvPr id="7" name="TextBox 6">
          <a:extLst>
            <a:ext uri="{FF2B5EF4-FFF2-40B4-BE49-F238E27FC236}">
              <a16:creationId xmlns="" xmlns:a16="http://schemas.microsoft.com/office/drawing/2014/main" id="{00000000-0008-0000-0400-000007000000}"/>
            </a:ext>
          </a:extLst>
        </xdr:cNvPr>
        <xdr:cNvSpPr txBox="1"/>
      </xdr:nvSpPr>
      <xdr:spPr>
        <a:xfrm>
          <a:off x="12344400" y="2952750"/>
          <a:ext cx="2295525" cy="895350"/>
        </a:xfrm>
        <a:prstGeom prst="rect">
          <a:avLst/>
        </a:prstGeom>
        <a:solidFill>
          <a:schemeClr val="lt1"/>
        </a:solidFill>
        <a:ln w="9525" cmpd="sng">
          <a:solidFill>
            <a:srgbClr val="3333CC"/>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050" b="1">
              <a:solidFill>
                <a:srgbClr val="3333CC"/>
              </a:solidFill>
              <a:latin typeface="Arial" panose="020B0604020202020204" pitchFamily="34" charset="0"/>
              <a:cs typeface="Arial" panose="020B0604020202020204" pitchFamily="34" charset="0"/>
            </a:rPr>
            <a:t>Step 5</a:t>
          </a:r>
        </a:p>
        <a:p>
          <a:r>
            <a:rPr lang="it-IT" sz="1050" b="0" baseline="0">
              <a:solidFill>
                <a:srgbClr val="3333CC"/>
              </a:solidFill>
              <a:latin typeface="Arial" panose="020B0604020202020204" pitchFamily="34" charset="0"/>
              <a:cs typeface="Arial" panose="020B0604020202020204" pitchFamily="34" charset="0"/>
            </a:rPr>
            <a:t>Forecast operational costs</a:t>
          </a:r>
        </a:p>
      </xdr:txBody>
    </xdr:sp>
    <xdr:clientData/>
  </xdr:twoCellAnchor>
  <xdr:twoCellAnchor>
    <xdr:from>
      <xdr:col>13</xdr:col>
      <xdr:colOff>200025</xdr:colOff>
      <xdr:row>36</xdr:row>
      <xdr:rowOff>142875</xdr:rowOff>
    </xdr:from>
    <xdr:to>
      <xdr:col>16</xdr:col>
      <xdr:colOff>123825</xdr:colOff>
      <xdr:row>43</xdr:row>
      <xdr:rowOff>114300</xdr:rowOff>
    </xdr:to>
    <xdr:sp macro="" textlink="">
      <xdr:nvSpPr>
        <xdr:cNvPr id="8" name="TextBox 7">
          <a:extLst>
            <a:ext uri="{FF2B5EF4-FFF2-40B4-BE49-F238E27FC236}">
              <a16:creationId xmlns="" xmlns:a16="http://schemas.microsoft.com/office/drawing/2014/main" id="{00000000-0008-0000-0400-000008000000}"/>
            </a:ext>
          </a:extLst>
        </xdr:cNvPr>
        <xdr:cNvSpPr txBox="1"/>
      </xdr:nvSpPr>
      <xdr:spPr>
        <a:xfrm>
          <a:off x="12344400" y="5248275"/>
          <a:ext cx="2295525" cy="895350"/>
        </a:xfrm>
        <a:prstGeom prst="rect">
          <a:avLst/>
        </a:prstGeom>
        <a:solidFill>
          <a:schemeClr val="lt1"/>
        </a:solidFill>
        <a:ln w="9525" cmpd="sng">
          <a:solidFill>
            <a:srgbClr val="3333CC"/>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050" b="1">
              <a:solidFill>
                <a:srgbClr val="3333CC"/>
              </a:solidFill>
              <a:latin typeface="Arial" panose="020B0604020202020204" pitchFamily="34" charset="0"/>
              <a:cs typeface="Arial" panose="020B0604020202020204" pitchFamily="34" charset="0"/>
            </a:rPr>
            <a:t>Step 6</a:t>
          </a:r>
        </a:p>
        <a:p>
          <a:r>
            <a:rPr lang="it-IT" sz="1050" b="0" baseline="0">
              <a:solidFill>
                <a:srgbClr val="3333CC"/>
              </a:solidFill>
              <a:latin typeface="Arial" panose="020B0604020202020204" pitchFamily="34" charset="0"/>
              <a:cs typeface="Arial" panose="020B0604020202020204" pitchFamily="34" charset="0"/>
            </a:rPr>
            <a:t>Forecast CAPEX and D&amp;A for fixed assets</a:t>
          </a:r>
        </a:p>
      </xdr:txBody>
    </xdr:sp>
    <xdr:clientData/>
  </xdr:twoCellAnchor>
  <xdr:twoCellAnchor>
    <xdr:from>
      <xdr:col>13</xdr:col>
      <xdr:colOff>200025</xdr:colOff>
      <xdr:row>54</xdr:row>
      <xdr:rowOff>47625</xdr:rowOff>
    </xdr:from>
    <xdr:to>
      <xdr:col>16</xdr:col>
      <xdr:colOff>123825</xdr:colOff>
      <xdr:row>61</xdr:row>
      <xdr:rowOff>19050</xdr:rowOff>
    </xdr:to>
    <xdr:sp macro="" textlink="">
      <xdr:nvSpPr>
        <xdr:cNvPr id="9" name="TextBox 8">
          <a:extLst>
            <a:ext uri="{FF2B5EF4-FFF2-40B4-BE49-F238E27FC236}">
              <a16:creationId xmlns="" xmlns:a16="http://schemas.microsoft.com/office/drawing/2014/main" id="{00000000-0008-0000-0400-000009000000}"/>
            </a:ext>
          </a:extLst>
        </xdr:cNvPr>
        <xdr:cNvSpPr txBox="1"/>
      </xdr:nvSpPr>
      <xdr:spPr>
        <a:xfrm>
          <a:off x="12344400" y="7543800"/>
          <a:ext cx="2295525" cy="895350"/>
        </a:xfrm>
        <a:prstGeom prst="rect">
          <a:avLst/>
        </a:prstGeom>
        <a:solidFill>
          <a:schemeClr val="lt1"/>
        </a:solidFill>
        <a:ln w="9525" cmpd="sng">
          <a:solidFill>
            <a:srgbClr val="3333CC"/>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050" b="1">
              <a:solidFill>
                <a:srgbClr val="3333CC"/>
              </a:solidFill>
              <a:latin typeface="Arial" panose="020B0604020202020204" pitchFamily="34" charset="0"/>
              <a:cs typeface="Arial" panose="020B0604020202020204" pitchFamily="34" charset="0"/>
            </a:rPr>
            <a:t>Step 7</a:t>
          </a:r>
        </a:p>
        <a:p>
          <a:r>
            <a:rPr lang="it-IT" sz="1050" b="0" baseline="0">
              <a:solidFill>
                <a:srgbClr val="3333CC"/>
              </a:solidFill>
              <a:latin typeface="Arial" panose="020B0604020202020204" pitchFamily="34" charset="0"/>
              <a:cs typeface="Arial" panose="020B0604020202020204" pitchFamily="34" charset="0"/>
            </a:rPr>
            <a:t>Forecast working capital</a:t>
          </a:r>
        </a:p>
      </xdr:txBody>
    </xdr:sp>
    <xdr:clientData/>
  </xdr:twoCellAnchor>
  <xdr:twoCellAnchor>
    <xdr:from>
      <xdr:col>13</xdr:col>
      <xdr:colOff>200025</xdr:colOff>
      <xdr:row>67</xdr:row>
      <xdr:rowOff>85725</xdr:rowOff>
    </xdr:from>
    <xdr:to>
      <xdr:col>16</xdr:col>
      <xdr:colOff>123825</xdr:colOff>
      <xdr:row>74</xdr:row>
      <xdr:rowOff>57150</xdr:rowOff>
    </xdr:to>
    <xdr:sp macro="" textlink="">
      <xdr:nvSpPr>
        <xdr:cNvPr id="10" name="TextBox 9">
          <a:extLst>
            <a:ext uri="{FF2B5EF4-FFF2-40B4-BE49-F238E27FC236}">
              <a16:creationId xmlns="" xmlns:a16="http://schemas.microsoft.com/office/drawing/2014/main" id="{00000000-0008-0000-0400-00000A000000}"/>
            </a:ext>
          </a:extLst>
        </xdr:cNvPr>
        <xdr:cNvSpPr txBox="1"/>
      </xdr:nvSpPr>
      <xdr:spPr>
        <a:xfrm>
          <a:off x="12344400" y="9372600"/>
          <a:ext cx="2295525" cy="895350"/>
        </a:xfrm>
        <a:prstGeom prst="rect">
          <a:avLst/>
        </a:prstGeom>
        <a:solidFill>
          <a:schemeClr val="lt1"/>
        </a:solidFill>
        <a:ln w="9525" cmpd="sng">
          <a:solidFill>
            <a:srgbClr val="3333CC"/>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050" b="1">
              <a:solidFill>
                <a:srgbClr val="3333CC"/>
              </a:solidFill>
              <a:latin typeface="Arial" panose="020B0604020202020204" pitchFamily="34" charset="0"/>
              <a:cs typeface="Arial" panose="020B0604020202020204" pitchFamily="34" charset="0"/>
            </a:rPr>
            <a:t>Step 8</a:t>
          </a:r>
        </a:p>
        <a:p>
          <a:r>
            <a:rPr lang="it-IT" sz="1050" b="0" baseline="0">
              <a:solidFill>
                <a:srgbClr val="3333CC"/>
              </a:solidFill>
              <a:latin typeface="Arial" panose="020B0604020202020204" pitchFamily="34" charset="0"/>
              <a:cs typeface="Arial" panose="020B0604020202020204" pitchFamily="34" charset="0"/>
            </a:rPr>
            <a:t>Forecast other items</a:t>
          </a:r>
        </a:p>
      </xdr:txBody>
    </xdr:sp>
    <xdr:clientData/>
  </xdr:twoCellAnchor>
  <xdr:twoCellAnchor>
    <xdr:from>
      <xdr:col>13</xdr:col>
      <xdr:colOff>200025</xdr:colOff>
      <xdr:row>79</xdr:row>
      <xdr:rowOff>79826</xdr:rowOff>
    </xdr:from>
    <xdr:to>
      <xdr:col>16</xdr:col>
      <xdr:colOff>123825</xdr:colOff>
      <xdr:row>93</xdr:row>
      <xdr:rowOff>124105</xdr:rowOff>
    </xdr:to>
    <xdr:sp macro="" textlink="">
      <xdr:nvSpPr>
        <xdr:cNvPr id="11" name="TextBox 10">
          <a:extLst>
            <a:ext uri="{FF2B5EF4-FFF2-40B4-BE49-F238E27FC236}">
              <a16:creationId xmlns="" xmlns:a16="http://schemas.microsoft.com/office/drawing/2014/main" id="{00000000-0008-0000-0400-00000B000000}"/>
            </a:ext>
          </a:extLst>
        </xdr:cNvPr>
        <xdr:cNvSpPr txBox="1"/>
      </xdr:nvSpPr>
      <xdr:spPr>
        <a:xfrm>
          <a:off x="12344400" y="10995476"/>
          <a:ext cx="2295525" cy="1892129"/>
        </a:xfrm>
        <a:prstGeom prst="rect">
          <a:avLst/>
        </a:prstGeom>
        <a:solidFill>
          <a:schemeClr val="lt1"/>
        </a:solidFill>
        <a:ln w="9525" cmpd="sng">
          <a:solidFill>
            <a:srgbClr val="3333CC"/>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050" b="1">
              <a:solidFill>
                <a:srgbClr val="3333CC"/>
              </a:solidFill>
              <a:latin typeface="Arial" panose="020B0604020202020204" pitchFamily="34" charset="0"/>
              <a:cs typeface="Arial" panose="020B0604020202020204" pitchFamily="34" charset="0"/>
            </a:rPr>
            <a:t>Step 9</a:t>
          </a:r>
        </a:p>
        <a:p>
          <a:r>
            <a:rPr lang="it-IT" sz="1050" b="0" baseline="0">
              <a:solidFill>
                <a:srgbClr val="3333CC"/>
              </a:solidFill>
              <a:latin typeface="Arial" panose="020B0604020202020204" pitchFamily="34" charset="0"/>
              <a:cs typeface="Arial" panose="020B0604020202020204" pitchFamily="34" charset="0"/>
            </a:rPr>
            <a:t>Forecast income taxes.</a:t>
          </a:r>
        </a:p>
        <a:p>
          <a:r>
            <a:rPr lang="it-IT" sz="1050" b="0" baseline="0">
              <a:solidFill>
                <a:srgbClr val="3333CC"/>
              </a:solidFill>
              <a:latin typeface="Arial" panose="020B0604020202020204" pitchFamily="34" charset="0"/>
              <a:cs typeface="Arial" panose="020B0604020202020204" pitchFamily="34" charset="0"/>
            </a:rPr>
            <a:t>Setting up income taxes calculations requires re-calling earnings before taxes and EBIT from the Output sheet. </a:t>
          </a:r>
        </a:p>
        <a:p>
          <a:r>
            <a:rPr lang="it-IT" sz="1050" b="0" baseline="0">
              <a:solidFill>
                <a:srgbClr val="3333CC"/>
              </a:solidFill>
              <a:latin typeface="Arial" panose="020B0604020202020204" pitchFamily="34" charset="0"/>
              <a:cs typeface="Arial" panose="020B0604020202020204" pitchFamily="34" charset="0"/>
            </a:rPr>
            <a:t>EBT is incomplete because as of now it misses interests.</a:t>
          </a:r>
        </a:p>
        <a:p>
          <a:r>
            <a:rPr lang="it-IT" sz="1050" b="0" baseline="0">
              <a:solidFill>
                <a:srgbClr val="3333CC"/>
              </a:solidFill>
              <a:latin typeface="Arial" panose="020B0604020202020204" pitchFamily="34" charset="0"/>
              <a:cs typeface="Arial" panose="020B0604020202020204" pitchFamily="34" charset="0"/>
            </a:rPr>
            <a:t>Using Italian taxes as an estimate is consistent with international taxation standards.</a:t>
          </a:r>
        </a:p>
      </xdr:txBody>
    </xdr:sp>
    <xdr:clientData/>
  </xdr:twoCellAnchor>
  <xdr:twoCellAnchor>
    <xdr:from>
      <xdr:col>13</xdr:col>
      <xdr:colOff>200025</xdr:colOff>
      <xdr:row>95</xdr:row>
      <xdr:rowOff>13433</xdr:rowOff>
    </xdr:from>
    <xdr:to>
      <xdr:col>16</xdr:col>
      <xdr:colOff>123825</xdr:colOff>
      <xdr:row>102</xdr:row>
      <xdr:rowOff>0</xdr:rowOff>
    </xdr:to>
    <xdr:sp macro="" textlink="">
      <xdr:nvSpPr>
        <xdr:cNvPr id="12" name="TextBox 11">
          <a:extLst>
            <a:ext uri="{FF2B5EF4-FFF2-40B4-BE49-F238E27FC236}">
              <a16:creationId xmlns="" xmlns:a16="http://schemas.microsoft.com/office/drawing/2014/main" id="{00000000-0008-0000-0400-00000C000000}"/>
            </a:ext>
          </a:extLst>
        </xdr:cNvPr>
        <xdr:cNvSpPr txBox="1"/>
      </xdr:nvSpPr>
      <xdr:spPr>
        <a:xfrm>
          <a:off x="12344400" y="13100783"/>
          <a:ext cx="2295525" cy="929542"/>
        </a:xfrm>
        <a:prstGeom prst="rect">
          <a:avLst/>
        </a:prstGeom>
        <a:solidFill>
          <a:schemeClr val="lt1"/>
        </a:solidFill>
        <a:ln w="9525" cmpd="sng">
          <a:solidFill>
            <a:srgbClr val="3333CC"/>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050" b="1">
              <a:solidFill>
                <a:srgbClr val="3333CC"/>
              </a:solidFill>
              <a:latin typeface="Arial" panose="020B0604020202020204" pitchFamily="34" charset="0"/>
              <a:cs typeface="Arial" panose="020B0604020202020204" pitchFamily="34" charset="0"/>
            </a:rPr>
            <a:t>Step 10</a:t>
          </a:r>
        </a:p>
        <a:p>
          <a:r>
            <a:rPr lang="it-IT" sz="1050" b="0" baseline="0">
              <a:solidFill>
                <a:srgbClr val="3333CC"/>
              </a:solidFill>
              <a:latin typeface="Arial" panose="020B0604020202020204" pitchFamily="34" charset="0"/>
              <a:cs typeface="Arial" panose="020B0604020202020204" pitchFamily="34" charset="0"/>
            </a:rPr>
            <a:t>Forecast equity items.</a:t>
          </a:r>
        </a:p>
        <a:p>
          <a:r>
            <a:rPr lang="it-IT" sz="1050" b="0" baseline="0">
              <a:solidFill>
                <a:srgbClr val="3333CC"/>
              </a:solidFill>
              <a:latin typeface="Arial" panose="020B0604020202020204" pitchFamily="34" charset="0"/>
              <a:cs typeface="Arial" panose="020B0604020202020204" pitchFamily="34" charset="0"/>
            </a:rPr>
            <a:t>It requires net income, which is incomplete, missing interests and completed income taxes.</a:t>
          </a:r>
        </a:p>
      </xdr:txBody>
    </xdr:sp>
    <xdr:clientData/>
  </xdr:twoCellAnchor>
  <xdr:twoCellAnchor>
    <xdr:from>
      <xdr:col>13</xdr:col>
      <xdr:colOff>200025</xdr:colOff>
      <xdr:row>112</xdr:row>
      <xdr:rowOff>71368</xdr:rowOff>
    </xdr:from>
    <xdr:to>
      <xdr:col>16</xdr:col>
      <xdr:colOff>123825</xdr:colOff>
      <xdr:row>130</xdr:row>
      <xdr:rowOff>132566</xdr:rowOff>
    </xdr:to>
    <xdr:sp macro="" textlink="">
      <xdr:nvSpPr>
        <xdr:cNvPr id="13" name="TextBox 12">
          <a:extLst>
            <a:ext uri="{FF2B5EF4-FFF2-40B4-BE49-F238E27FC236}">
              <a16:creationId xmlns="" xmlns:a16="http://schemas.microsoft.com/office/drawing/2014/main" id="{00000000-0008-0000-0400-00000D000000}"/>
            </a:ext>
          </a:extLst>
        </xdr:cNvPr>
        <xdr:cNvSpPr txBox="1"/>
      </xdr:nvSpPr>
      <xdr:spPr>
        <a:xfrm>
          <a:off x="12344400" y="16578193"/>
          <a:ext cx="2295525" cy="2242423"/>
        </a:xfrm>
        <a:prstGeom prst="rect">
          <a:avLst/>
        </a:prstGeom>
        <a:solidFill>
          <a:schemeClr val="lt1"/>
        </a:solidFill>
        <a:ln w="9525" cmpd="sng">
          <a:solidFill>
            <a:srgbClr val="3333CC"/>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050" b="1">
              <a:solidFill>
                <a:srgbClr val="3333CC"/>
              </a:solidFill>
              <a:latin typeface="Arial" panose="020B0604020202020204" pitchFamily="34" charset="0"/>
              <a:cs typeface="Arial" panose="020B0604020202020204" pitchFamily="34" charset="0"/>
            </a:rPr>
            <a:t>Step 11</a:t>
          </a:r>
        </a:p>
        <a:p>
          <a:r>
            <a:rPr lang="it-IT" sz="1050" b="0" baseline="0">
              <a:solidFill>
                <a:srgbClr val="3333CC"/>
              </a:solidFill>
              <a:latin typeface="Arial" panose="020B0604020202020204" pitchFamily="34" charset="0"/>
              <a:cs typeface="Arial" panose="020B0604020202020204" pitchFamily="34" charset="0"/>
            </a:rPr>
            <a:t>Forecast debt.</a:t>
          </a:r>
        </a:p>
        <a:p>
          <a:r>
            <a:rPr lang="it-IT" sz="1050" b="0" baseline="0">
              <a:solidFill>
                <a:srgbClr val="3333CC"/>
              </a:solidFill>
              <a:latin typeface="Arial" panose="020B0604020202020204" pitchFamily="34" charset="0"/>
              <a:cs typeface="Arial" panose="020B0604020202020204" pitchFamily="34" charset="0"/>
            </a:rPr>
            <a:t>Interests on net debt imply a portion of interest on cash. Cash at the end of the year also includes interests itself, so the calculation is circular.</a:t>
          </a:r>
        </a:p>
        <a:p>
          <a:r>
            <a:rPr lang="it-IT" sz="1050" b="0" baseline="0">
              <a:solidFill>
                <a:srgbClr val="3333CC"/>
              </a:solidFill>
              <a:latin typeface="Arial" panose="020B0604020202020204" pitchFamily="34" charset="0"/>
              <a:cs typeface="Arial" panose="020B0604020202020204" pitchFamily="34" charset="0"/>
            </a:rPr>
            <a:t>(If interests were calculated on ND BOP only (i.e. end value the previous year), the model would not be circular).</a:t>
          </a:r>
        </a:p>
        <a:p>
          <a:endParaRPr lang="it-IT" sz="1050" b="0" baseline="0">
            <a:solidFill>
              <a:srgbClr val="3333CC"/>
            </a:solidFill>
            <a:latin typeface="Arial" panose="020B0604020202020204" pitchFamily="34" charset="0"/>
            <a:cs typeface="Arial" panose="020B0604020202020204" pitchFamily="34" charset="0"/>
          </a:endParaRPr>
        </a:p>
        <a:p>
          <a:r>
            <a:rPr lang="it-IT" sz="1050" b="0" baseline="0">
              <a:solidFill>
                <a:srgbClr val="3333CC"/>
              </a:solidFill>
              <a:latin typeface="Arial" panose="020B0604020202020204" pitchFamily="34" charset="0"/>
              <a:cs typeface="Arial" panose="020B0604020202020204" pitchFamily="34" charset="0"/>
            </a:rPr>
            <a:t>Afterwards, previous incomplete calculations (EBT, taxes, NI) will recalculate themselves.</a:t>
          </a:r>
        </a:p>
      </xdr:txBody>
    </xdr:sp>
    <xdr:clientData/>
  </xdr:twoCellAnchor>
  <xdr:twoCellAnchor>
    <xdr:from>
      <xdr:col>13</xdr:col>
      <xdr:colOff>200025</xdr:colOff>
      <xdr:row>104</xdr:row>
      <xdr:rowOff>80108</xdr:rowOff>
    </xdr:from>
    <xdr:to>
      <xdr:col>16</xdr:col>
      <xdr:colOff>123825</xdr:colOff>
      <xdr:row>109</xdr:row>
      <xdr:rowOff>0</xdr:rowOff>
    </xdr:to>
    <xdr:sp macro="" textlink="">
      <xdr:nvSpPr>
        <xdr:cNvPr id="25" name="TextBox 24">
          <a:extLst>
            <a:ext uri="{FF2B5EF4-FFF2-40B4-BE49-F238E27FC236}">
              <a16:creationId xmlns="" xmlns:a16="http://schemas.microsoft.com/office/drawing/2014/main" id="{00000000-0008-0000-0400-000019000000}"/>
            </a:ext>
          </a:extLst>
        </xdr:cNvPr>
        <xdr:cNvSpPr txBox="1"/>
      </xdr:nvSpPr>
      <xdr:spPr>
        <a:xfrm>
          <a:off x="12344400" y="14853383"/>
          <a:ext cx="2295525" cy="929542"/>
        </a:xfrm>
        <a:prstGeom prst="rect">
          <a:avLst/>
        </a:prstGeom>
        <a:solidFill>
          <a:schemeClr val="lt1"/>
        </a:solidFill>
        <a:ln w="9525" cmpd="sng">
          <a:solidFill>
            <a:schemeClr val="accent4"/>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050" b="1">
              <a:solidFill>
                <a:schemeClr val="accent4"/>
              </a:solidFill>
              <a:latin typeface="Arial" panose="020B0604020202020204" pitchFamily="34" charset="0"/>
              <a:cs typeface="Arial" panose="020B0604020202020204" pitchFamily="34" charset="0"/>
            </a:rPr>
            <a:t>Net income goes</a:t>
          </a:r>
          <a:r>
            <a:rPr lang="it-IT" sz="1050" b="1" baseline="0">
              <a:solidFill>
                <a:schemeClr val="accent4"/>
              </a:solidFill>
              <a:latin typeface="Arial" panose="020B0604020202020204" pitchFamily="34" charset="0"/>
              <a:cs typeface="Arial" panose="020B0604020202020204" pitchFamily="34" charset="0"/>
            </a:rPr>
            <a:t> from the end of the income statement into the balance sheet in this step: this is the link between the IS and the BS.</a:t>
          </a:r>
          <a:endParaRPr lang="it-IT" sz="1050" b="0" baseline="0">
            <a:solidFill>
              <a:schemeClr val="accent4"/>
            </a:solidFill>
            <a:latin typeface="Arial" panose="020B0604020202020204" pitchFamily="34" charset="0"/>
            <a:cs typeface="Arial" panose="020B0604020202020204" pitchFamily="34" charset="0"/>
          </a:endParaRPr>
        </a:p>
      </xdr:txBody>
    </xdr:sp>
    <xdr:clientData/>
  </xdr:twoCellAnchor>
  <xdr:twoCellAnchor>
    <xdr:from>
      <xdr:col>13</xdr:col>
      <xdr:colOff>200025</xdr:colOff>
      <xdr:row>131</xdr:row>
      <xdr:rowOff>100440</xdr:rowOff>
    </xdr:from>
    <xdr:to>
      <xdr:col>16</xdr:col>
      <xdr:colOff>123825</xdr:colOff>
      <xdr:row>136</xdr:row>
      <xdr:rowOff>93968</xdr:rowOff>
    </xdr:to>
    <xdr:sp macro="" textlink="">
      <xdr:nvSpPr>
        <xdr:cNvPr id="26" name="TextBox 25">
          <a:extLst>
            <a:ext uri="{FF2B5EF4-FFF2-40B4-BE49-F238E27FC236}">
              <a16:creationId xmlns="" xmlns:a16="http://schemas.microsoft.com/office/drawing/2014/main" id="{00000000-0008-0000-0400-00001A000000}"/>
            </a:ext>
          </a:extLst>
        </xdr:cNvPr>
        <xdr:cNvSpPr txBox="1"/>
      </xdr:nvSpPr>
      <xdr:spPr>
        <a:xfrm>
          <a:off x="12344400" y="18950415"/>
          <a:ext cx="2295525" cy="698378"/>
        </a:xfrm>
        <a:prstGeom prst="rect">
          <a:avLst/>
        </a:prstGeom>
        <a:solidFill>
          <a:schemeClr val="lt1"/>
        </a:solidFill>
        <a:ln w="9525" cmpd="sng">
          <a:solidFill>
            <a:schemeClr val="accent4"/>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050" b="1">
              <a:solidFill>
                <a:schemeClr val="accent4"/>
              </a:solidFill>
              <a:latin typeface="Arial" panose="020B0604020202020204" pitchFamily="34" charset="0"/>
              <a:cs typeface="Arial" panose="020B0604020202020204" pitchFamily="34" charset="0"/>
            </a:rPr>
            <a:t>Cash goes</a:t>
          </a:r>
          <a:r>
            <a:rPr lang="it-IT" sz="1050" b="1" baseline="0">
              <a:solidFill>
                <a:schemeClr val="accent4"/>
              </a:solidFill>
              <a:latin typeface="Arial" panose="020B0604020202020204" pitchFamily="34" charset="0"/>
              <a:cs typeface="Arial" panose="020B0604020202020204" pitchFamily="34" charset="0"/>
            </a:rPr>
            <a:t> from the CF statement into the BS in this step, linking the two statements.</a:t>
          </a:r>
          <a:endParaRPr lang="it-IT" sz="1050" b="0" baseline="0">
            <a:solidFill>
              <a:schemeClr val="accent4"/>
            </a:solidFill>
            <a:latin typeface="Arial" panose="020B0604020202020204" pitchFamily="34" charset="0"/>
            <a:cs typeface="Arial" panose="020B0604020202020204" pitchFamily="34" charset="0"/>
          </a:endParaRPr>
        </a:p>
      </xdr:txBody>
    </xdr:sp>
    <xdr:clientData/>
  </xdr:twoCellAnchor>
  <xdr:twoCellAnchor>
    <xdr:from>
      <xdr:col>13</xdr:col>
      <xdr:colOff>200025</xdr:colOff>
      <xdr:row>137</xdr:row>
      <xdr:rowOff>22958</xdr:rowOff>
    </xdr:from>
    <xdr:to>
      <xdr:col>16</xdr:col>
      <xdr:colOff>123825</xdr:colOff>
      <xdr:row>148</xdr:row>
      <xdr:rowOff>47625</xdr:rowOff>
    </xdr:to>
    <xdr:sp macro="" textlink="">
      <xdr:nvSpPr>
        <xdr:cNvPr id="27" name="TextBox 26">
          <a:extLst>
            <a:ext uri="{FF2B5EF4-FFF2-40B4-BE49-F238E27FC236}">
              <a16:creationId xmlns="" xmlns:a16="http://schemas.microsoft.com/office/drawing/2014/main" id="{00000000-0008-0000-0400-00001B000000}"/>
            </a:ext>
          </a:extLst>
        </xdr:cNvPr>
        <xdr:cNvSpPr txBox="1"/>
      </xdr:nvSpPr>
      <xdr:spPr>
        <a:xfrm>
          <a:off x="12344400" y="19739708"/>
          <a:ext cx="2295525" cy="1596292"/>
        </a:xfrm>
        <a:prstGeom prst="rect">
          <a:avLst/>
        </a:prstGeom>
        <a:solidFill>
          <a:schemeClr val="lt1"/>
        </a:solidFill>
        <a:ln w="9525" cmpd="sng">
          <a:solidFill>
            <a:srgbClr val="3333CC"/>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050" b="1">
              <a:solidFill>
                <a:srgbClr val="3333CC"/>
              </a:solidFill>
              <a:latin typeface="Arial" panose="020B0604020202020204" pitchFamily="34" charset="0"/>
              <a:cs typeface="Arial" panose="020B0604020202020204" pitchFamily="34" charset="0"/>
            </a:rPr>
            <a:t>Step 12</a:t>
          </a:r>
        </a:p>
        <a:p>
          <a:r>
            <a:rPr lang="it-IT" sz="1050" b="0" baseline="0">
              <a:solidFill>
                <a:srgbClr val="3333CC"/>
              </a:solidFill>
              <a:latin typeface="Arial" panose="020B0604020202020204" pitchFamily="34" charset="0"/>
              <a:cs typeface="Arial" panose="020B0604020202020204" pitchFamily="34" charset="0"/>
            </a:rPr>
            <a:t>Calculate NOPLAT starting from EBIT. </a:t>
          </a:r>
        </a:p>
        <a:p>
          <a:r>
            <a:rPr lang="it-IT" sz="1050" b="0" baseline="0">
              <a:solidFill>
                <a:srgbClr val="3333CC"/>
              </a:solidFill>
              <a:latin typeface="Arial" panose="020B0604020202020204" pitchFamily="34" charset="0"/>
              <a:cs typeface="Arial" panose="020B0604020202020204" pitchFamily="34" charset="0"/>
            </a:rPr>
            <a:t>In this model the actual Italian taxes are used, rather than the effective tax rate, in order to best represent the fact that IRAP does not generate tax shields because it is not applied to items below EBIT.</a:t>
          </a:r>
        </a:p>
      </xdr:txBody>
    </xdr:sp>
    <xdr:clientData/>
  </xdr:twoCellAnchor>
  <xdr:twoCellAnchor>
    <xdr:from>
      <xdr:col>0</xdr:col>
      <xdr:colOff>56849</xdr:colOff>
      <xdr:row>7</xdr:row>
      <xdr:rowOff>19049</xdr:rowOff>
    </xdr:from>
    <xdr:to>
      <xdr:col>0</xdr:col>
      <xdr:colOff>666750</xdr:colOff>
      <xdr:row>15</xdr:row>
      <xdr:rowOff>47624</xdr:rowOff>
    </xdr:to>
    <xdr:sp macro="" textlink="">
      <xdr:nvSpPr>
        <xdr:cNvPr id="28" name="TextBox 27">
          <a:extLst>
            <a:ext uri="{FF2B5EF4-FFF2-40B4-BE49-F238E27FC236}">
              <a16:creationId xmlns="" xmlns:a16="http://schemas.microsoft.com/office/drawing/2014/main" id="{00000000-0008-0000-0400-00001C000000}"/>
            </a:ext>
          </a:extLst>
        </xdr:cNvPr>
        <xdr:cNvSpPr txBox="1"/>
      </xdr:nvSpPr>
      <xdr:spPr>
        <a:xfrm>
          <a:off x="56849" y="952499"/>
          <a:ext cx="609901" cy="1114425"/>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800" b="0">
              <a:solidFill>
                <a:srgbClr val="FF0000"/>
              </a:solidFill>
              <a:latin typeface="Arial" panose="020B0604020202020204" pitchFamily="34" charset="0"/>
              <a:cs typeface="Arial" panose="020B0604020202020204" pitchFamily="34" charset="0"/>
            </a:rPr>
            <a:t>Red IS and BS labels</a:t>
          </a:r>
          <a:r>
            <a:rPr lang="it-IT" sz="800" b="0" baseline="0">
              <a:solidFill>
                <a:srgbClr val="FF0000"/>
              </a:solidFill>
              <a:latin typeface="Arial" panose="020B0604020202020204" pitchFamily="34" charset="0"/>
              <a:cs typeface="Arial" panose="020B0604020202020204" pitchFamily="34" charset="0"/>
            </a:rPr>
            <a:t>: lines linked to the Output sheet.</a:t>
          </a:r>
        </a:p>
      </xdr:txBody>
    </xdr:sp>
    <xdr:clientData/>
  </xdr:twoCellAnchor>
  <xdr:twoCellAnchor>
    <xdr:from>
      <xdr:col>13</xdr:col>
      <xdr:colOff>199724</xdr:colOff>
      <xdr:row>1</xdr:row>
      <xdr:rowOff>228599</xdr:rowOff>
    </xdr:from>
    <xdr:to>
      <xdr:col>16</xdr:col>
      <xdr:colOff>123825</xdr:colOff>
      <xdr:row>4</xdr:row>
      <xdr:rowOff>142875</xdr:rowOff>
    </xdr:to>
    <xdr:sp macro="" textlink="">
      <xdr:nvSpPr>
        <xdr:cNvPr id="14" name="TextBox 13">
          <a:extLst>
            <a:ext uri="{FF2B5EF4-FFF2-40B4-BE49-F238E27FC236}">
              <a16:creationId xmlns="" xmlns:a16="http://schemas.microsoft.com/office/drawing/2014/main" id="{00000000-0008-0000-0400-00000E000000}"/>
            </a:ext>
          </a:extLst>
        </xdr:cNvPr>
        <xdr:cNvSpPr txBox="1"/>
      </xdr:nvSpPr>
      <xdr:spPr>
        <a:xfrm>
          <a:off x="12344099" y="390524"/>
          <a:ext cx="2295826" cy="381001"/>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800" b="0">
              <a:solidFill>
                <a:srgbClr val="FF0000"/>
              </a:solidFill>
              <a:latin typeface="Arial" panose="020B0604020202020204" pitchFamily="34" charset="0"/>
              <a:cs typeface="Arial" panose="020B0604020202020204" pitchFamily="34" charset="0"/>
            </a:rPr>
            <a:t>Red inputs: CV-specific</a:t>
          </a:r>
          <a:r>
            <a:rPr lang="it-IT" sz="800" b="0" baseline="0">
              <a:solidFill>
                <a:srgbClr val="FF0000"/>
              </a:solidFill>
              <a:latin typeface="Arial" panose="020B0604020202020204" pitchFamily="34" charset="0"/>
              <a:cs typeface="Arial" panose="020B0604020202020204" pitchFamily="34" charset="0"/>
            </a:rPr>
            <a:t> assumptions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13</xdr:col>
      <xdr:colOff>171450</xdr:colOff>
      <xdr:row>8</xdr:row>
      <xdr:rowOff>0</xdr:rowOff>
    </xdr:from>
    <xdr:to>
      <xdr:col>16</xdr:col>
      <xdr:colOff>95250</xdr:colOff>
      <xdr:row>19</xdr:row>
      <xdr:rowOff>24667</xdr:rowOff>
    </xdr:to>
    <xdr:sp macro="" textlink="">
      <xdr:nvSpPr>
        <xdr:cNvPr id="2" name="TextBox 1">
          <a:extLst>
            <a:ext uri="{FF2B5EF4-FFF2-40B4-BE49-F238E27FC236}">
              <a16:creationId xmlns="" xmlns:a16="http://schemas.microsoft.com/office/drawing/2014/main" id="{00000000-0008-0000-0500-000002000000}"/>
            </a:ext>
          </a:extLst>
        </xdr:cNvPr>
        <xdr:cNvSpPr txBox="1"/>
      </xdr:nvSpPr>
      <xdr:spPr>
        <a:xfrm>
          <a:off x="12315825" y="1038225"/>
          <a:ext cx="2295525" cy="1596292"/>
        </a:xfrm>
        <a:prstGeom prst="rect">
          <a:avLst/>
        </a:prstGeom>
        <a:solidFill>
          <a:schemeClr val="lt1"/>
        </a:solidFill>
        <a:ln w="9525" cmpd="sng">
          <a:solidFill>
            <a:srgbClr val="3333CC"/>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050" b="1">
              <a:solidFill>
                <a:srgbClr val="3333CC"/>
              </a:solidFill>
              <a:latin typeface="Arial" panose="020B0604020202020204" pitchFamily="34" charset="0"/>
              <a:cs typeface="Arial" panose="020B0604020202020204" pitchFamily="34" charset="0"/>
            </a:rPr>
            <a:t>Step 13</a:t>
          </a:r>
        </a:p>
        <a:p>
          <a:r>
            <a:rPr lang="it-IT" sz="1050" b="0" baseline="0">
              <a:solidFill>
                <a:srgbClr val="3333CC"/>
              </a:solidFill>
              <a:latin typeface="Arial" panose="020B0604020202020204" pitchFamily="34" charset="0"/>
              <a:cs typeface="Arial" panose="020B0604020202020204" pitchFamily="34" charset="0"/>
            </a:rPr>
            <a:t>Link all output lines from Calculations</a:t>
          </a:r>
        </a:p>
      </xdr:txBody>
    </xdr:sp>
    <xdr:clientData/>
  </xdr:twoCellAnchor>
  <xdr:twoCellAnchor>
    <xdr:from>
      <xdr:col>13</xdr:col>
      <xdr:colOff>209550</xdr:colOff>
      <xdr:row>87</xdr:row>
      <xdr:rowOff>38099</xdr:rowOff>
    </xdr:from>
    <xdr:to>
      <xdr:col>16</xdr:col>
      <xdr:colOff>133350</xdr:colOff>
      <xdr:row>112</xdr:row>
      <xdr:rowOff>152399</xdr:rowOff>
    </xdr:to>
    <xdr:sp macro="" textlink="">
      <xdr:nvSpPr>
        <xdr:cNvPr id="3" name="TextBox 2">
          <a:extLst>
            <a:ext uri="{FF2B5EF4-FFF2-40B4-BE49-F238E27FC236}">
              <a16:creationId xmlns="" xmlns:a16="http://schemas.microsoft.com/office/drawing/2014/main" id="{00000000-0008-0000-0500-000003000000}"/>
            </a:ext>
          </a:extLst>
        </xdr:cNvPr>
        <xdr:cNvSpPr txBox="1"/>
      </xdr:nvSpPr>
      <xdr:spPr>
        <a:xfrm>
          <a:off x="12353925" y="12201524"/>
          <a:ext cx="2295525" cy="3324225"/>
        </a:xfrm>
        <a:prstGeom prst="rect">
          <a:avLst/>
        </a:prstGeom>
        <a:solidFill>
          <a:schemeClr val="lt1"/>
        </a:solidFill>
        <a:ln w="9525" cmpd="sng">
          <a:solidFill>
            <a:srgbClr val="3333CC"/>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050" b="1">
              <a:solidFill>
                <a:srgbClr val="3333CC"/>
              </a:solidFill>
              <a:latin typeface="Arial" panose="020B0604020202020204" pitchFamily="34" charset="0"/>
              <a:cs typeface="Arial" panose="020B0604020202020204" pitchFamily="34" charset="0"/>
            </a:rPr>
            <a:t>Step 14</a:t>
          </a:r>
        </a:p>
        <a:p>
          <a:r>
            <a:rPr lang="it-IT" sz="1050" b="0" baseline="0">
              <a:solidFill>
                <a:srgbClr val="3333CC"/>
              </a:solidFill>
              <a:latin typeface="Arial" panose="020B0604020202020204" pitchFamily="34" charset="0"/>
              <a:cs typeface="Arial" panose="020B0604020202020204" pitchFamily="34" charset="0"/>
            </a:rPr>
            <a:t>Drag CF calculations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313728</xdr:colOff>
      <xdr:row>9</xdr:row>
      <xdr:rowOff>142875</xdr:rowOff>
    </xdr:from>
    <xdr:to>
      <xdr:col>3</xdr:col>
      <xdr:colOff>540405</xdr:colOff>
      <xdr:row>32</xdr:row>
      <xdr:rowOff>76200</xdr:rowOff>
    </xdr:to>
    <xdr:sp macro="" textlink="">
      <xdr:nvSpPr>
        <xdr:cNvPr id="21" name="Rectangle 20">
          <a:extLst>
            <a:ext uri="{FF2B5EF4-FFF2-40B4-BE49-F238E27FC236}">
              <a16:creationId xmlns="" xmlns:a16="http://schemas.microsoft.com/office/drawing/2014/main" id="{00000000-0008-0000-0A00-000015000000}"/>
            </a:ext>
          </a:extLst>
        </xdr:cNvPr>
        <xdr:cNvSpPr/>
      </xdr:nvSpPr>
      <xdr:spPr>
        <a:xfrm>
          <a:off x="4619028" y="1504950"/>
          <a:ext cx="226677" cy="3657600"/>
        </a:xfrm>
        <a:prstGeom prst="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twoCellAnchor>
    <xdr:from>
      <xdr:col>1</xdr:col>
      <xdr:colOff>19050</xdr:colOff>
      <xdr:row>7</xdr:row>
      <xdr:rowOff>47624</xdr:rowOff>
    </xdr:from>
    <xdr:to>
      <xdr:col>5</xdr:col>
      <xdr:colOff>371475</xdr:colOff>
      <xdr:row>32</xdr:row>
      <xdr:rowOff>161924</xdr:rowOff>
    </xdr:to>
    <xdr:graphicFrame macro="">
      <xdr:nvGraphicFramePr>
        <xdr:cNvPr id="22" name="Chart 21">
          <a:extLst>
            <a:ext uri="{FF2B5EF4-FFF2-40B4-BE49-F238E27FC236}">
              <a16:creationId xmlns="" xmlns:a16="http://schemas.microsoft.com/office/drawing/2014/main" id="{00000000-0008-0000-0A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314325</xdr:colOff>
      <xdr:row>10</xdr:row>
      <xdr:rowOff>9525</xdr:rowOff>
    </xdr:from>
    <xdr:to>
      <xdr:col>3</xdr:col>
      <xdr:colOff>323850</xdr:colOff>
      <xdr:row>32</xdr:row>
      <xdr:rowOff>85725</xdr:rowOff>
    </xdr:to>
    <xdr:cxnSp macro="">
      <xdr:nvCxnSpPr>
        <xdr:cNvPr id="23" name="Straight Connector 22">
          <a:extLst>
            <a:ext uri="{FF2B5EF4-FFF2-40B4-BE49-F238E27FC236}">
              <a16:creationId xmlns="" xmlns:a16="http://schemas.microsoft.com/office/drawing/2014/main" id="{00000000-0008-0000-0A00-000017000000}"/>
            </a:ext>
          </a:extLst>
        </xdr:cNvPr>
        <xdr:cNvCxnSpPr/>
      </xdr:nvCxnSpPr>
      <xdr:spPr>
        <a:xfrm flipH="1">
          <a:off x="4619625" y="1533525"/>
          <a:ext cx="9525" cy="3638550"/>
        </a:xfrm>
        <a:prstGeom prst="line">
          <a:avLst/>
        </a:prstGeom>
        <a:ln w="19050">
          <a:solidFill>
            <a:schemeClr val="accent4"/>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542925</xdr:colOff>
      <xdr:row>10</xdr:row>
      <xdr:rowOff>0</xdr:rowOff>
    </xdr:from>
    <xdr:to>
      <xdr:col>3</xdr:col>
      <xdr:colOff>552450</xdr:colOff>
      <xdr:row>32</xdr:row>
      <xdr:rowOff>85725</xdr:rowOff>
    </xdr:to>
    <xdr:cxnSp macro="">
      <xdr:nvCxnSpPr>
        <xdr:cNvPr id="24" name="Straight Connector 23">
          <a:extLst>
            <a:ext uri="{FF2B5EF4-FFF2-40B4-BE49-F238E27FC236}">
              <a16:creationId xmlns="" xmlns:a16="http://schemas.microsoft.com/office/drawing/2014/main" id="{00000000-0008-0000-0A00-000018000000}"/>
            </a:ext>
          </a:extLst>
        </xdr:cNvPr>
        <xdr:cNvCxnSpPr/>
      </xdr:nvCxnSpPr>
      <xdr:spPr>
        <a:xfrm>
          <a:off x="4848225" y="1524000"/>
          <a:ext cx="9525" cy="3648075"/>
        </a:xfrm>
        <a:prstGeom prst="line">
          <a:avLst/>
        </a:prstGeom>
        <a:ln w="19050">
          <a:solidFill>
            <a:schemeClr val="accent4"/>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375047</xdr:colOff>
      <xdr:row>31</xdr:row>
      <xdr:rowOff>22403</xdr:rowOff>
    </xdr:from>
    <xdr:to>
      <xdr:col>3</xdr:col>
      <xdr:colOff>367904</xdr:colOff>
      <xdr:row>32</xdr:row>
      <xdr:rowOff>63322</xdr:rowOff>
    </xdr:to>
    <xdr:sp macro="" textlink="">
      <xdr:nvSpPr>
        <xdr:cNvPr id="25" name="Rectangle 24">
          <a:extLst>
            <a:ext uri="{FF2B5EF4-FFF2-40B4-BE49-F238E27FC236}">
              <a16:creationId xmlns="" xmlns:a16="http://schemas.microsoft.com/office/drawing/2014/main" id="{00000000-0008-0000-0A00-000019000000}"/>
            </a:ext>
          </a:extLst>
        </xdr:cNvPr>
        <xdr:cNvSpPr/>
      </xdr:nvSpPr>
      <xdr:spPr>
        <a:xfrm>
          <a:off x="3781187" y="4906823"/>
          <a:ext cx="602457" cy="2009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it-IT" sz="1000" b="1">
              <a:solidFill>
                <a:schemeClr val="accent4"/>
              </a:solidFill>
              <a:latin typeface="Arial" panose="020B0604020202020204" pitchFamily="34" charset="0"/>
              <a:cs typeface="Arial" panose="020B0604020202020204" pitchFamily="34" charset="0"/>
            </a:rPr>
            <a:t>4.000</a:t>
          </a:r>
        </a:p>
      </xdr:txBody>
    </xdr:sp>
    <xdr:clientData/>
  </xdr:twoCellAnchor>
  <xdr:twoCellAnchor>
    <xdr:from>
      <xdr:col>3</xdr:col>
      <xdr:colOff>498872</xdr:colOff>
      <xdr:row>31</xdr:row>
      <xdr:rowOff>22403</xdr:rowOff>
    </xdr:from>
    <xdr:to>
      <xdr:col>4</xdr:col>
      <xdr:colOff>491729</xdr:colOff>
      <xdr:row>32</xdr:row>
      <xdr:rowOff>63322</xdr:rowOff>
    </xdr:to>
    <xdr:sp macro="" textlink="">
      <xdr:nvSpPr>
        <xdr:cNvPr id="26" name="Rectangle 25">
          <a:extLst>
            <a:ext uri="{FF2B5EF4-FFF2-40B4-BE49-F238E27FC236}">
              <a16:creationId xmlns="" xmlns:a16="http://schemas.microsoft.com/office/drawing/2014/main" id="{00000000-0008-0000-0A00-00001A000000}"/>
            </a:ext>
          </a:extLst>
        </xdr:cNvPr>
        <xdr:cNvSpPr/>
      </xdr:nvSpPr>
      <xdr:spPr>
        <a:xfrm>
          <a:off x="4514612" y="4906823"/>
          <a:ext cx="602457" cy="2009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it-IT" sz="1000" b="1">
              <a:solidFill>
                <a:schemeClr val="accent4"/>
              </a:solidFill>
              <a:latin typeface="Arial" panose="020B0604020202020204" pitchFamily="34" charset="0"/>
              <a:cs typeface="Arial" panose="020B0604020202020204" pitchFamily="34" charset="0"/>
            </a:rPr>
            <a:t>4.200</a:t>
          </a:r>
        </a:p>
      </xdr:txBody>
    </xdr:sp>
    <xdr:clientData/>
  </xdr:twoCellAnchor>
  <xdr:twoCellAnchor>
    <xdr:from>
      <xdr:col>5</xdr:col>
      <xdr:colOff>828675</xdr:colOff>
      <xdr:row>7</xdr:row>
      <xdr:rowOff>47624</xdr:rowOff>
    </xdr:from>
    <xdr:to>
      <xdr:col>12</xdr:col>
      <xdr:colOff>0</xdr:colOff>
      <xdr:row>27</xdr:row>
      <xdr:rowOff>85725</xdr:rowOff>
    </xdr:to>
    <xdr:sp macro="" textlink="">
      <xdr:nvSpPr>
        <xdr:cNvPr id="29" name="TextBox 28">
          <a:extLst>
            <a:ext uri="{FF2B5EF4-FFF2-40B4-BE49-F238E27FC236}">
              <a16:creationId xmlns="" xmlns:a16="http://schemas.microsoft.com/office/drawing/2014/main" id="{00000000-0008-0000-0A00-00001D000000}"/>
            </a:ext>
          </a:extLst>
        </xdr:cNvPr>
        <xdr:cNvSpPr txBox="1"/>
      </xdr:nvSpPr>
      <xdr:spPr>
        <a:xfrm>
          <a:off x="6838950" y="1085849"/>
          <a:ext cx="4686300" cy="3276601"/>
        </a:xfrm>
        <a:prstGeom prst="rect">
          <a:avLst/>
        </a:prstGeom>
        <a:solidFill>
          <a:schemeClr val="lt1"/>
        </a:solidFill>
        <a:ln w="9525" cmpd="sng">
          <a:solidFill>
            <a:srgbClr val="3333CC"/>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050" b="1">
              <a:solidFill>
                <a:srgbClr val="3333CC"/>
              </a:solidFill>
              <a:latin typeface="Arial" panose="020B0604020202020204" pitchFamily="34" charset="0"/>
              <a:cs typeface="Arial" panose="020B0604020202020204" pitchFamily="34" charset="0"/>
            </a:rPr>
            <a:t>Summary of valuation methods</a:t>
          </a:r>
        </a:p>
        <a:p>
          <a:endParaRPr lang="it-IT" sz="1050" b="1" baseline="0">
            <a:solidFill>
              <a:srgbClr val="3333CC"/>
            </a:solidFill>
            <a:latin typeface="Arial" panose="020B0604020202020204" pitchFamily="34" charset="0"/>
            <a:cs typeface="Arial" panose="020B0604020202020204" pitchFamily="34" charset="0"/>
          </a:endParaRPr>
        </a:p>
        <a:p>
          <a:endParaRPr lang="it-IT" sz="1050" b="0" baseline="0">
            <a:solidFill>
              <a:srgbClr val="3333CC"/>
            </a:solidFill>
            <a:latin typeface="Arial" panose="020B0604020202020204" pitchFamily="34" charset="0"/>
            <a:cs typeface="Arial" panose="020B0604020202020204" pitchFamily="34" charset="0"/>
          </a:endParaRPr>
        </a:p>
        <a:p>
          <a:r>
            <a:rPr lang="it-IT" sz="1050" b="0" baseline="0">
              <a:solidFill>
                <a:srgbClr val="3333CC"/>
              </a:solidFill>
              <a:latin typeface="Arial" panose="020B0604020202020204" pitchFamily="34" charset="0"/>
              <a:cs typeface="Arial" panose="020B0604020202020204" pitchFamily="34" charset="0"/>
            </a:rPr>
            <a:t>Asset-side Multiples are very high in the spirits industry, due to their very high margins. EBITDA multiples around 18x are much higher compared to other industries' and compared to implied multiples obtained with the methods seen above.</a:t>
          </a:r>
        </a:p>
        <a:p>
          <a:endParaRPr lang="it-IT" sz="1050" b="0" baseline="0">
            <a:solidFill>
              <a:srgbClr val="3333CC"/>
            </a:solidFill>
            <a:latin typeface="Arial" panose="020B0604020202020204" pitchFamily="34" charset="0"/>
            <a:cs typeface="Arial" panose="020B0604020202020204" pitchFamily="34" charset="0"/>
          </a:endParaRPr>
        </a:p>
        <a:p>
          <a:r>
            <a:rPr lang="it-IT" sz="1050" b="0" baseline="0">
              <a:solidFill>
                <a:srgbClr val="3333CC"/>
              </a:solidFill>
              <a:latin typeface="Arial" panose="020B0604020202020204" pitchFamily="34" charset="0"/>
              <a:cs typeface="Arial" panose="020B0604020202020204" pitchFamily="34" charset="0"/>
            </a:rPr>
            <a:t>Nevertheless, such high values are coherent with Campari's market capitalization at the valuation date (market cap is none other than a proxy of equity value). </a:t>
          </a:r>
        </a:p>
        <a:p>
          <a:endParaRPr lang="it-IT" sz="1050" b="0" baseline="0">
            <a:solidFill>
              <a:srgbClr val="3333CC"/>
            </a:solidFill>
            <a:latin typeface="Arial" panose="020B0604020202020204" pitchFamily="34" charset="0"/>
            <a:cs typeface="Arial" panose="020B0604020202020204" pitchFamily="34" charset="0"/>
          </a:endParaRPr>
        </a:p>
        <a:p>
          <a:r>
            <a:rPr lang="it-IT" sz="1050" b="0" baseline="0">
              <a:solidFill>
                <a:srgbClr val="3333CC"/>
              </a:solidFill>
              <a:latin typeface="Arial" panose="020B0604020202020204" pitchFamily="34" charset="0"/>
              <a:cs typeface="Arial" panose="020B0604020202020204" pitchFamily="34" charset="0"/>
            </a:rPr>
            <a:t>Overall, a range of equity values for Campari is deemed reasonable between the DCF upper value and the forward P/E value, therefore in the range between </a:t>
          </a:r>
          <a:r>
            <a:rPr lang="it-IT" sz="1050" b="1" baseline="0">
              <a:solidFill>
                <a:srgbClr val="3333CC"/>
              </a:solidFill>
              <a:latin typeface="Arial" panose="020B0604020202020204" pitchFamily="34" charset="0"/>
              <a:cs typeface="Arial" panose="020B0604020202020204" pitchFamily="34" charset="0"/>
            </a:rPr>
            <a:t>4,0 bn and 4,2 bn of Euros</a:t>
          </a:r>
          <a:r>
            <a:rPr lang="it-IT" sz="1050" b="0" baseline="0">
              <a:solidFill>
                <a:srgbClr val="3333CC"/>
              </a:solidFill>
              <a:latin typeface="Arial" panose="020B0604020202020204" pitchFamily="34" charset="0"/>
              <a:cs typeface="Arial" panose="020B0604020202020204" pitchFamily="34" charset="0"/>
            </a:rPr>
            <a:t>.</a:t>
          </a:r>
        </a:p>
      </xdr:txBody>
    </xdr:sp>
    <xdr:clientData/>
  </xdr:twoCellAnchor>
  <xdr:twoCellAnchor>
    <xdr:from>
      <xdr:col>4</xdr:col>
      <xdr:colOff>676275</xdr:colOff>
      <xdr:row>10</xdr:row>
      <xdr:rowOff>0</xdr:rowOff>
    </xdr:from>
    <xdr:to>
      <xdr:col>4</xdr:col>
      <xdr:colOff>685800</xdr:colOff>
      <xdr:row>32</xdr:row>
      <xdr:rowOff>85725</xdr:rowOff>
    </xdr:to>
    <xdr:cxnSp macro="">
      <xdr:nvCxnSpPr>
        <xdr:cNvPr id="30" name="Straight Connector 29">
          <a:extLst>
            <a:ext uri="{FF2B5EF4-FFF2-40B4-BE49-F238E27FC236}">
              <a16:creationId xmlns="" xmlns:a16="http://schemas.microsoft.com/office/drawing/2014/main" id="{00000000-0008-0000-0A00-00001E000000}"/>
            </a:ext>
          </a:extLst>
        </xdr:cNvPr>
        <xdr:cNvCxnSpPr/>
      </xdr:nvCxnSpPr>
      <xdr:spPr>
        <a:xfrm>
          <a:off x="5301615" y="1524000"/>
          <a:ext cx="9525" cy="3606165"/>
        </a:xfrm>
        <a:prstGeom prst="line">
          <a:avLst/>
        </a:prstGeom>
        <a:ln w="19050">
          <a:solidFill>
            <a:srgbClr val="C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594177</xdr:colOff>
      <xdr:row>7</xdr:row>
      <xdr:rowOff>49914</xdr:rowOff>
    </xdr:from>
    <xdr:to>
      <xdr:col>5</xdr:col>
      <xdr:colOff>424997</xdr:colOff>
      <xdr:row>11</xdr:row>
      <xdr:rowOff>102487</xdr:rowOff>
    </xdr:to>
    <xdr:sp macro="" textlink="">
      <xdr:nvSpPr>
        <xdr:cNvPr id="31" name="Rectangle 30">
          <a:extLst>
            <a:ext uri="{FF2B5EF4-FFF2-40B4-BE49-F238E27FC236}">
              <a16:creationId xmlns="" xmlns:a16="http://schemas.microsoft.com/office/drawing/2014/main" id="{00000000-0008-0000-0A00-00001F000000}"/>
            </a:ext>
          </a:extLst>
        </xdr:cNvPr>
        <xdr:cNvSpPr/>
      </xdr:nvSpPr>
      <xdr:spPr>
        <a:xfrm>
          <a:off x="5556702" y="1088139"/>
          <a:ext cx="878570" cy="70027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it-IT" sz="800" b="1">
              <a:solidFill>
                <a:srgbClr val="C00000"/>
              </a:solidFill>
              <a:latin typeface="Arial" panose="020B0604020202020204" pitchFamily="34" charset="0"/>
              <a:cs typeface="Arial" panose="020B0604020202020204" pitchFamily="34" charset="0"/>
            </a:rPr>
            <a:t>4.972</a:t>
          </a:r>
        </a:p>
        <a:p>
          <a:pPr algn="ctr"/>
          <a:r>
            <a:rPr lang="it-IT" sz="800" b="1">
              <a:solidFill>
                <a:srgbClr val="C00000"/>
              </a:solidFill>
              <a:latin typeface="Arial" panose="020B0604020202020204" pitchFamily="34" charset="0"/>
              <a:cs typeface="Arial" panose="020B0604020202020204" pitchFamily="34" charset="0"/>
            </a:rPr>
            <a:t>Campari's market cap. Dec 14</a:t>
          </a:r>
        </a:p>
      </xdr:txBody>
    </xdr:sp>
    <xdr:clientData/>
  </xdr:twoCellAnchor>
</xdr:wsDr>
</file>

<file path=xl/theme/theme1.xml><?xml version="1.0" encoding="utf-8"?>
<a:theme xmlns:a="http://schemas.openxmlformats.org/drawingml/2006/main" name="Office Theme">
  <a:themeElements>
    <a:clrScheme name="Deloitte New">
      <a:dk1>
        <a:srgbClr val="000000"/>
      </a:dk1>
      <a:lt1>
        <a:sysClr val="window" lastClr="FFFFFF"/>
      </a:lt1>
      <a:dk2>
        <a:srgbClr val="002776"/>
      </a:dk2>
      <a:lt2>
        <a:srgbClr val="FFFFFF"/>
      </a:lt2>
      <a:accent1>
        <a:srgbClr val="002776"/>
      </a:accent1>
      <a:accent2>
        <a:srgbClr val="92D400"/>
      </a:accent2>
      <a:accent3>
        <a:srgbClr val="00A1DE"/>
      </a:accent3>
      <a:accent4>
        <a:srgbClr val="3C8A2E"/>
      </a:accent4>
      <a:accent5>
        <a:srgbClr val="72C7E7"/>
      </a:accent5>
      <a:accent6>
        <a:srgbClr val="C9DD03"/>
      </a:accent6>
      <a:hlink>
        <a:srgbClr val="7F7F7F"/>
      </a:hlink>
      <a:folHlink>
        <a:srgbClr val="1462FF"/>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4"/>
  <sheetViews>
    <sheetView showGridLines="0" tabSelected="1" topLeftCell="A17" workbookViewId="0">
      <selection activeCell="A17" sqref="A17"/>
    </sheetView>
  </sheetViews>
  <sheetFormatPr defaultColWidth="0" defaultRowHeight="11.25" zeroHeight="1" x14ac:dyDescent="0.2"/>
  <cols>
    <col min="1" max="14" width="9.33203125" customWidth="1"/>
    <col min="15" max="16" width="9.33203125" hidden="1" customWidth="1"/>
    <col min="17" max="16384" width="9.33203125" hidden="1"/>
  </cols>
  <sheetData>
    <row r="1" spans="1:16" x14ac:dyDescent="0.2">
      <c r="A1" s="113"/>
      <c r="B1" s="113"/>
      <c r="C1" s="113"/>
      <c r="D1" s="113"/>
      <c r="E1" s="113"/>
      <c r="F1" s="113"/>
      <c r="G1" s="113"/>
      <c r="H1" s="113"/>
      <c r="I1" s="113"/>
      <c r="J1" s="113"/>
      <c r="K1" s="113"/>
      <c r="L1" s="113"/>
      <c r="M1" s="113"/>
      <c r="N1" s="113"/>
      <c r="O1" s="113"/>
      <c r="P1" s="113"/>
    </row>
    <row r="2" spans="1:16" x14ac:dyDescent="0.2">
      <c r="A2" s="113"/>
      <c r="B2" s="113"/>
      <c r="C2" s="113"/>
      <c r="D2" s="113"/>
      <c r="E2" s="113"/>
      <c r="F2" s="113"/>
      <c r="G2" s="113"/>
      <c r="H2" s="113"/>
      <c r="I2" s="113"/>
      <c r="J2" s="113"/>
      <c r="K2" s="113"/>
      <c r="L2" s="113"/>
      <c r="M2" s="113"/>
      <c r="N2" s="113"/>
      <c r="O2" s="113"/>
      <c r="P2" s="113"/>
    </row>
    <row r="3" spans="1:16" x14ac:dyDescent="0.2">
      <c r="A3" s="113"/>
      <c r="B3" s="113"/>
      <c r="C3" s="113"/>
      <c r="D3" s="113"/>
      <c r="E3" s="113"/>
      <c r="F3" s="113"/>
      <c r="G3" s="113"/>
      <c r="H3" s="113"/>
      <c r="I3" s="113"/>
      <c r="J3" s="113"/>
      <c r="K3" s="113"/>
      <c r="L3" s="113"/>
      <c r="M3" s="113"/>
      <c r="N3" s="113"/>
      <c r="O3" s="113"/>
      <c r="P3" s="113"/>
    </row>
    <row r="4" spans="1:16" x14ac:dyDescent="0.2">
      <c r="A4" s="113"/>
      <c r="B4" s="113"/>
      <c r="C4" s="113"/>
      <c r="D4" s="113"/>
      <c r="E4" s="113"/>
      <c r="F4" s="113"/>
      <c r="G4" s="113"/>
      <c r="H4" s="113"/>
      <c r="I4" s="113"/>
      <c r="J4" s="113"/>
      <c r="K4" s="113"/>
      <c r="L4" s="113"/>
      <c r="M4" s="113"/>
      <c r="N4" s="113"/>
      <c r="O4" s="113"/>
      <c r="P4" s="113"/>
    </row>
    <row r="5" spans="1:16" x14ac:dyDescent="0.2">
      <c r="A5" s="113"/>
      <c r="B5" s="113"/>
      <c r="C5" s="113"/>
      <c r="D5" s="113"/>
      <c r="E5" s="113"/>
      <c r="F5" s="113"/>
      <c r="G5" s="113"/>
      <c r="H5" s="113"/>
      <c r="I5" s="113"/>
      <c r="J5" s="113"/>
      <c r="K5" s="113"/>
      <c r="L5" s="113"/>
      <c r="M5" s="113"/>
      <c r="N5" s="113"/>
      <c r="O5" s="113"/>
      <c r="P5" s="113"/>
    </row>
    <row r="6" spans="1:16" x14ac:dyDescent="0.2"/>
    <row r="7" spans="1:16" x14ac:dyDescent="0.2"/>
    <row r="8" spans="1:16" x14ac:dyDescent="0.2"/>
    <row r="9" spans="1:16" x14ac:dyDescent="0.2"/>
    <row r="10" spans="1:16" x14ac:dyDescent="0.2"/>
    <row r="11" spans="1:16" x14ac:dyDescent="0.2"/>
    <row r="12" spans="1:16" ht="23.25" x14ac:dyDescent="0.35">
      <c r="C12" s="114"/>
      <c r="D12" s="115"/>
      <c r="E12" s="114"/>
    </row>
    <row r="13" spans="1:16" ht="23.25" x14ac:dyDescent="0.35">
      <c r="C13" s="114"/>
      <c r="D13" s="115"/>
      <c r="E13" s="115"/>
    </row>
    <row r="14" spans="1:16" x14ac:dyDescent="0.2"/>
    <row r="15" spans="1:16" x14ac:dyDescent="0.2"/>
    <row r="16" spans="1:16" x14ac:dyDescent="0.2"/>
    <row r="17" spans="3:3" ht="27.75" x14ac:dyDescent="0.4">
      <c r="C17" s="116" t="s">
        <v>213</v>
      </c>
    </row>
    <row r="18" spans="3:3" ht="27.75" x14ac:dyDescent="0.4">
      <c r="C18" s="116" t="s">
        <v>214</v>
      </c>
    </row>
    <row r="19" spans="3:3" x14ac:dyDescent="0.2"/>
    <row r="20" spans="3:3" x14ac:dyDescent="0.2"/>
    <row r="21" spans="3:3" x14ac:dyDescent="0.2"/>
    <row r="22" spans="3:3" x14ac:dyDescent="0.2"/>
    <row r="23" spans="3:3" x14ac:dyDescent="0.2"/>
    <row r="24" spans="3:3" x14ac:dyDescent="0.2"/>
    <row r="25" spans="3:3" x14ac:dyDescent="0.2"/>
    <row r="26" spans="3:3" x14ac:dyDescent="0.2"/>
    <row r="27" spans="3:3" x14ac:dyDescent="0.2"/>
    <row r="28" spans="3:3" x14ac:dyDescent="0.2"/>
    <row r="29" spans="3:3" x14ac:dyDescent="0.2"/>
    <row r="30" spans="3:3" hidden="1" x14ac:dyDescent="0.2"/>
    <row r="31" spans="3:3" hidden="1" x14ac:dyDescent="0.2"/>
    <row r="32" spans="3:3" hidden="1" x14ac:dyDescent="0.2"/>
    <row r="33" hidden="1" x14ac:dyDescent="0.2"/>
    <row r="34" hidden="1" x14ac:dyDescent="0.2"/>
  </sheetData>
  <pageMargins left="0.7" right="0.7" top="0.75" bottom="0.75" header="0.3" footer="0.3"/>
  <pageSetup paperSize="9" orientation="portrait" horizontalDpi="360" verticalDpi="36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33CC"/>
  </sheetPr>
  <dimension ref="A1:Q38"/>
  <sheetViews>
    <sheetView showGridLines="0" topLeftCell="A10" workbookViewId="0">
      <selection activeCell="H24" sqref="H24"/>
    </sheetView>
  </sheetViews>
  <sheetFormatPr defaultColWidth="13.83203125" defaultRowHeight="12.95" customHeight="1" x14ac:dyDescent="0.2"/>
  <cols>
    <col min="1" max="1" width="9.33203125" customWidth="1"/>
    <col min="2" max="2" width="27.83203125" customWidth="1"/>
    <col min="3" max="10" width="12.5" customWidth="1"/>
    <col min="11" max="11" width="14.33203125" customWidth="1"/>
    <col min="12" max="12" width="12.5" customWidth="1"/>
    <col min="13" max="13" width="15.6640625" customWidth="1"/>
    <col min="14" max="14" width="13.6640625" bestFit="1" customWidth="1"/>
    <col min="15" max="15" width="12.5" customWidth="1"/>
    <col min="16" max="16" width="13.6640625" bestFit="1" customWidth="1"/>
    <col min="17" max="17" width="12.5" customWidth="1"/>
  </cols>
  <sheetData>
    <row r="1" spans="1:17" ht="12.95" customHeight="1" x14ac:dyDescent="0.25">
      <c r="B1" s="7"/>
      <c r="E1" s="43"/>
      <c r="H1" s="43"/>
      <c r="J1" s="43"/>
    </row>
    <row r="2" spans="1:17" ht="20.100000000000001" customHeight="1" x14ac:dyDescent="0.2">
      <c r="B2" s="9" t="s">
        <v>251</v>
      </c>
      <c r="C2" s="8"/>
      <c r="D2" s="8"/>
      <c r="E2" s="44"/>
      <c r="F2" s="8"/>
      <c r="G2" s="8"/>
      <c r="H2" s="43"/>
      <c r="J2" s="43"/>
    </row>
    <row r="3" spans="1:17" ht="12.95" customHeight="1" x14ac:dyDescent="0.2">
      <c r="B3" s="3"/>
      <c r="C3" s="26"/>
      <c r="D3" s="26"/>
      <c r="E3" s="52"/>
      <c r="F3" s="52"/>
      <c r="G3" s="52"/>
      <c r="H3" s="52"/>
      <c r="I3" s="52"/>
      <c r="J3" s="52"/>
      <c r="K3" s="52"/>
    </row>
    <row r="4" spans="1:17" s="45" customFormat="1" ht="22.5" customHeight="1" x14ac:dyDescent="0.2">
      <c r="B4" s="128" t="s">
        <v>2</v>
      </c>
      <c r="C4" s="127" t="s">
        <v>232</v>
      </c>
      <c r="D4" s="127" t="s">
        <v>305</v>
      </c>
      <c r="E4" s="129" t="s">
        <v>236</v>
      </c>
      <c r="F4" s="129" t="s">
        <v>317</v>
      </c>
      <c r="G4" s="129" t="s">
        <v>76</v>
      </c>
      <c r="H4" s="129" t="s">
        <v>177</v>
      </c>
      <c r="I4" s="129" t="s">
        <v>184</v>
      </c>
      <c r="J4" s="129" t="s">
        <v>309</v>
      </c>
      <c r="K4" s="129" t="s">
        <v>310</v>
      </c>
      <c r="L4" s="129" t="s">
        <v>311</v>
      </c>
      <c r="M4" s="129" t="s">
        <v>312</v>
      </c>
      <c r="N4" s="129" t="s">
        <v>313</v>
      </c>
      <c r="O4" s="129" t="s">
        <v>314</v>
      </c>
      <c r="P4" s="129" t="s">
        <v>315</v>
      </c>
      <c r="Q4" s="129" t="s">
        <v>316</v>
      </c>
    </row>
    <row r="5" spans="1:17" ht="5.0999999999999996" customHeight="1" x14ac:dyDescent="0.2"/>
    <row r="6" spans="1:17" ht="12.95" customHeight="1" x14ac:dyDescent="0.2">
      <c r="B6" s="3" t="s">
        <v>228</v>
      </c>
      <c r="C6" s="3" t="s">
        <v>234</v>
      </c>
      <c r="D6" s="3" t="str">
        <f>+WACC!D6</f>
        <v>GBPm</v>
      </c>
      <c r="E6" s="124">
        <f>+WACC!E6</f>
        <v>46465.4954</v>
      </c>
      <c r="F6" s="124">
        <f>+WACC!F6</f>
        <v>0</v>
      </c>
      <c r="G6" s="124">
        <f>+WACC!G6</f>
        <v>1485</v>
      </c>
      <c r="H6" s="124">
        <f>+WACC!H6</f>
        <v>9320</v>
      </c>
      <c r="I6" s="124">
        <f>+E6+H6+F6+G6</f>
        <v>57270.4954</v>
      </c>
      <c r="J6" s="125">
        <v>3209</v>
      </c>
      <c r="K6" s="125">
        <v>2381</v>
      </c>
      <c r="L6" s="125">
        <v>3439.174</v>
      </c>
      <c r="M6" s="125">
        <v>2225.92</v>
      </c>
      <c r="N6" s="146">
        <f>+$I6/J6</f>
        <v>17.846835587410407</v>
      </c>
      <c r="O6" s="146">
        <f>+($E6+F6+G6)/K6</f>
        <v>20.138805291894162</v>
      </c>
      <c r="P6" s="146">
        <f>+$I6/L6</f>
        <v>16.652398337507787</v>
      </c>
      <c r="Q6" s="146">
        <f>+($E6+F6+G6)/M6</f>
        <v>21.541877246262217</v>
      </c>
    </row>
    <row r="7" spans="1:17" ht="12.95" customHeight="1" x14ac:dyDescent="0.2">
      <c r="B7" s="3" t="s">
        <v>229</v>
      </c>
      <c r="C7" s="3" t="s">
        <v>233</v>
      </c>
      <c r="D7" s="3" t="str">
        <f>+WACC!D7</f>
        <v>EURm</v>
      </c>
      <c r="E7" s="124">
        <f>+WACC!E7</f>
        <v>24487.797399999999</v>
      </c>
      <c r="F7" s="124">
        <f>+WACC!F7</f>
        <v>0</v>
      </c>
      <c r="G7" s="124">
        <f>+WACC!G7</f>
        <v>167</v>
      </c>
      <c r="H7" s="124">
        <f>+WACC!H7</f>
        <v>8946</v>
      </c>
      <c r="I7" s="124">
        <f>+E7+H7+F7+G7</f>
        <v>33600.797399999996</v>
      </c>
      <c r="J7" s="125">
        <v>1804</v>
      </c>
      <c r="K7" s="125">
        <v>861</v>
      </c>
      <c r="L7" s="125">
        <v>2570.4580000000001</v>
      </c>
      <c r="M7" s="125">
        <v>1420.481</v>
      </c>
      <c r="N7" s="146">
        <f>+$I7/J7</f>
        <v>18.625719179600885</v>
      </c>
      <c r="O7" s="146">
        <f>+($E7+F7+G7)/K7</f>
        <v>28.635072473867595</v>
      </c>
      <c r="P7" s="146">
        <f>+$I7/L7</f>
        <v>13.071910686733647</v>
      </c>
      <c r="Q7" s="146">
        <f>+($E7+F7+G7)/M7</f>
        <v>17.356654119273681</v>
      </c>
    </row>
    <row r="8" spans="1:17" ht="12.95" customHeight="1" x14ac:dyDescent="0.2">
      <c r="B8" s="3" t="s">
        <v>230</v>
      </c>
      <c r="C8" s="3" t="s">
        <v>233</v>
      </c>
      <c r="D8" s="3" t="str">
        <f>+WACC!D8</f>
        <v>EURm</v>
      </c>
      <c r="E8" s="124">
        <f>+WACC!E8</f>
        <v>2696.5997000000002</v>
      </c>
      <c r="F8" s="124">
        <f>+WACC!F8</f>
        <v>0</v>
      </c>
      <c r="G8" s="124">
        <f>+WACC!G8</f>
        <v>1.4</v>
      </c>
      <c r="H8" s="124">
        <f>+WACC!H8</f>
        <v>466.6</v>
      </c>
      <c r="I8" s="124">
        <f>+E8+H8+F8+G8</f>
        <v>3164.5997000000002</v>
      </c>
      <c r="J8" s="125">
        <v>175.1</v>
      </c>
      <c r="K8" s="125">
        <v>92.6</v>
      </c>
      <c r="L8" s="125">
        <v>195.78900000000002</v>
      </c>
      <c r="M8" s="125">
        <v>105.26300000000001</v>
      </c>
      <c r="N8" s="146">
        <f>+$I8/J8</f>
        <v>18.073099371787553</v>
      </c>
      <c r="O8" s="146">
        <f>+($E8+F8+G8)/K8</f>
        <v>29.136065874730026</v>
      </c>
      <c r="P8" s="146">
        <f>+$I8/L8</f>
        <v>16.163317142433947</v>
      </c>
      <c r="Q8" s="146">
        <f>+($E8+F8+G8)/M8</f>
        <v>25.631035596553396</v>
      </c>
    </row>
    <row r="9" spans="1:17" ht="12.95" customHeight="1" x14ac:dyDescent="0.2">
      <c r="B9" s="3" t="s">
        <v>231</v>
      </c>
      <c r="C9" s="3" t="s">
        <v>240</v>
      </c>
      <c r="D9" s="3" t="str">
        <f>+WACC!D9</f>
        <v>USDm</v>
      </c>
      <c r="E9" s="124">
        <f>+WACC!E9</f>
        <v>18564.859400000001</v>
      </c>
      <c r="F9" s="124">
        <f>+WACC!F9</f>
        <v>0</v>
      </c>
      <c r="G9" s="124">
        <f>+WACC!G9</f>
        <v>0</v>
      </c>
      <c r="H9" s="124">
        <f>+WACC!H9</f>
        <v>818</v>
      </c>
      <c r="I9" s="124">
        <f>+E9+H9+F9+G9</f>
        <v>19382.859400000001</v>
      </c>
      <c r="J9" s="125">
        <v>1078</v>
      </c>
      <c r="K9" s="125">
        <v>684</v>
      </c>
      <c r="L9" s="125">
        <v>1114.154</v>
      </c>
      <c r="M9" s="125">
        <v>707.92899999999997</v>
      </c>
      <c r="N9" s="146">
        <f>+$I9/J9</f>
        <v>17.980389053803339</v>
      </c>
      <c r="O9" s="146">
        <f>+($E9+F9+G9)/K9</f>
        <v>27.141607309941524</v>
      </c>
      <c r="P9" s="146">
        <f>+$I9/L9</f>
        <v>17.396930226880666</v>
      </c>
      <c r="Q9" s="146">
        <f>+($E9+F9+G9)/M9</f>
        <v>26.224182651085069</v>
      </c>
    </row>
    <row r="10" spans="1:17" s="45" customFormat="1" ht="12.95" customHeight="1" x14ac:dyDescent="0.2">
      <c r="B10" s="5" t="s">
        <v>242</v>
      </c>
      <c r="C10" s="66"/>
      <c r="D10" s="66"/>
      <c r="E10" s="66"/>
      <c r="F10" s="66"/>
      <c r="G10" s="108"/>
      <c r="H10" s="108"/>
      <c r="I10" s="66"/>
      <c r="J10" s="66"/>
      <c r="K10" s="66"/>
      <c r="L10" s="66"/>
      <c r="M10" s="66"/>
      <c r="N10" s="147">
        <f>+AVERAGE(N6:N9)</f>
        <v>18.131510798150543</v>
      </c>
      <c r="O10" s="147">
        <f>+AVERAGE(O6:O9)</f>
        <v>26.262887737608324</v>
      </c>
      <c r="P10" s="147">
        <f>+AVERAGE(P6:P9)</f>
        <v>15.821139098389011</v>
      </c>
      <c r="Q10" s="147">
        <f>+AVERAGE(Q6:Q9)</f>
        <v>22.688437403293591</v>
      </c>
    </row>
    <row r="11" spans="1:17" ht="12.95" customHeight="1" x14ac:dyDescent="0.2">
      <c r="A11" t="s">
        <v>14</v>
      </c>
      <c r="B11" s="15" t="s">
        <v>302</v>
      </c>
      <c r="N11" s="249">
        <f>+MEDIAN(N6:N9)</f>
        <v>18.026744212795446</v>
      </c>
      <c r="O11" s="249">
        <f>+MEDIAN(O6:O9)</f>
        <v>27.888339891904558</v>
      </c>
      <c r="P11" s="249">
        <f>+MEDIAN(P6:P9)</f>
        <v>16.407857739970865</v>
      </c>
      <c r="Q11" s="249">
        <f>+MEDIAN(Q6:Q9)</f>
        <v>23.586456421407807</v>
      </c>
    </row>
    <row r="12" spans="1:17" ht="12.95" customHeight="1" x14ac:dyDescent="0.2">
      <c r="B12" s="3" t="s">
        <v>321</v>
      </c>
      <c r="N12" s="158">
        <v>0.1</v>
      </c>
      <c r="O12" s="158">
        <v>0.1</v>
      </c>
      <c r="P12" s="158">
        <v>0.1</v>
      </c>
      <c r="Q12" s="158">
        <v>0.1</v>
      </c>
    </row>
    <row r="13" spans="1:17" s="45" customFormat="1" ht="12.95" customHeight="1" x14ac:dyDescent="0.2">
      <c r="B13" s="5" t="s">
        <v>242</v>
      </c>
      <c r="C13" s="66"/>
      <c r="D13" s="66"/>
      <c r="E13" s="66"/>
      <c r="F13" s="66"/>
      <c r="G13" s="108"/>
      <c r="H13" s="108"/>
      <c r="I13" s="66"/>
      <c r="J13" s="66"/>
      <c r="K13" s="66"/>
      <c r="L13" s="66"/>
      <c r="M13" s="66"/>
      <c r="N13" s="147">
        <f t="shared" ref="N13:Q14" si="0">+(1-N$12)*N10</f>
        <v>16.31835971833549</v>
      </c>
      <c r="O13" s="147">
        <f t="shared" si="0"/>
        <v>23.636598963847494</v>
      </c>
      <c r="P13" s="147">
        <f t="shared" si="0"/>
        <v>14.23902518855011</v>
      </c>
      <c r="Q13" s="147">
        <f t="shared" si="0"/>
        <v>20.419593662964232</v>
      </c>
    </row>
    <row r="14" spans="1:17" ht="12.95" customHeight="1" x14ac:dyDescent="0.2">
      <c r="A14" t="s">
        <v>14</v>
      </c>
      <c r="B14" s="15" t="s">
        <v>302</v>
      </c>
      <c r="N14" s="250">
        <f t="shared" si="0"/>
        <v>16.224069791515902</v>
      </c>
      <c r="O14" s="250">
        <f t="shared" si="0"/>
        <v>25.099505902714103</v>
      </c>
      <c r="P14" s="250">
        <f t="shared" si="0"/>
        <v>14.767071965973779</v>
      </c>
      <c r="Q14" s="250">
        <f t="shared" si="0"/>
        <v>21.227810779267028</v>
      </c>
    </row>
    <row r="16" spans="1:17" ht="15" customHeight="1" x14ac:dyDescent="0.2">
      <c r="B16" s="1" t="s">
        <v>252</v>
      </c>
      <c r="C16" s="251" t="s">
        <v>242</v>
      </c>
      <c r="D16" s="251" t="s">
        <v>302</v>
      </c>
      <c r="F16" s="1" t="s">
        <v>253</v>
      </c>
      <c r="G16" s="1"/>
      <c r="H16" s="1"/>
      <c r="I16" s="251" t="s">
        <v>242</v>
      </c>
      <c r="J16" s="251" t="s">
        <v>302</v>
      </c>
    </row>
    <row r="17" spans="2:10" ht="5.0999999999999996" customHeight="1" x14ac:dyDescent="0.2"/>
    <row r="18" spans="2:10" ht="12.95" customHeight="1" x14ac:dyDescent="0.2">
      <c r="B18" s="3" t="s">
        <v>254</v>
      </c>
      <c r="C18" s="4">
        <f>Output!$G$18</f>
        <v>337.60000000000014</v>
      </c>
      <c r="D18" s="4">
        <f>Output!$G$18</f>
        <v>337.60000000000014</v>
      </c>
      <c r="F18" s="3" t="s">
        <v>318</v>
      </c>
      <c r="G18" s="4"/>
      <c r="H18" s="4"/>
      <c r="I18" s="4">
        <f>Output!$H$18</f>
        <v>405.03086105603461</v>
      </c>
      <c r="J18" s="4">
        <f>Output!$H$18</f>
        <v>405.03086105603461</v>
      </c>
    </row>
    <row r="19" spans="2:10" ht="12.95" customHeight="1" x14ac:dyDescent="0.2">
      <c r="B19" s="3" t="s">
        <v>249</v>
      </c>
      <c r="C19" s="148">
        <f>+N13</f>
        <v>16.31835971833549</v>
      </c>
      <c r="D19" s="148">
        <f>+N14</f>
        <v>16.224069791515902</v>
      </c>
      <c r="F19" s="3" t="s">
        <v>319</v>
      </c>
      <c r="G19" s="148"/>
      <c r="H19" s="148"/>
      <c r="I19" s="148">
        <f>+P13</f>
        <v>14.23902518855011</v>
      </c>
      <c r="J19" s="148">
        <f>+P14</f>
        <v>14.767071965973779</v>
      </c>
    </row>
    <row r="20" spans="2:10" ht="12.95" customHeight="1" x14ac:dyDescent="0.2">
      <c r="B20" s="5" t="s">
        <v>184</v>
      </c>
      <c r="C20" s="6">
        <f>+C19*C18</f>
        <v>5509.0782409100639</v>
      </c>
      <c r="D20" s="6">
        <f>+D19*D18</f>
        <v>5477.2459616157703</v>
      </c>
      <c r="F20" s="5" t="s">
        <v>184</v>
      </c>
      <c r="G20" s="6"/>
      <c r="H20" s="6"/>
      <c r="I20" s="6">
        <f>+I19*I18</f>
        <v>5767.2446327170164</v>
      </c>
      <c r="J20" s="6">
        <f>+J19*J18</f>
        <v>5981.1198736547894</v>
      </c>
    </row>
    <row r="21" spans="2:10" ht="12.95" customHeight="1" x14ac:dyDescent="0.2">
      <c r="C21" s="4"/>
      <c r="D21" s="4"/>
      <c r="G21" s="4"/>
      <c r="H21" s="4"/>
      <c r="I21" s="4"/>
      <c r="J21" s="4"/>
    </row>
    <row r="22" spans="2:10" ht="12.95" customHeight="1" x14ac:dyDescent="0.2">
      <c r="B22" s="27" t="s">
        <v>186</v>
      </c>
      <c r="C22" s="61">
        <f>-Output!$G$74</f>
        <v>-1035.8999999999999</v>
      </c>
      <c r="D22" s="61">
        <f>-Output!$G$74</f>
        <v>-1035.8999999999999</v>
      </c>
      <c r="F22" s="27" t="s">
        <v>186</v>
      </c>
      <c r="G22" s="61"/>
      <c r="H22" s="61"/>
      <c r="I22" s="61">
        <f>-Output!$G$74</f>
        <v>-1035.8999999999999</v>
      </c>
      <c r="J22" s="61">
        <f>-Output!$G$74</f>
        <v>-1035.8999999999999</v>
      </c>
    </row>
    <row r="23" spans="2:10" ht="12.95" customHeight="1" x14ac:dyDescent="0.2">
      <c r="B23" s="27" t="s">
        <v>346</v>
      </c>
      <c r="C23" s="61">
        <f>+Output!$G$66</f>
        <v>77.7</v>
      </c>
      <c r="D23" s="61">
        <f>+Output!$G$66</f>
        <v>77.7</v>
      </c>
      <c r="F23" s="27" t="s">
        <v>346</v>
      </c>
      <c r="G23" s="61"/>
      <c r="H23" s="61"/>
      <c r="I23" s="61">
        <f>+Output!$G$66</f>
        <v>77.7</v>
      </c>
      <c r="J23" s="61">
        <f>+Output!$G$66</f>
        <v>77.7</v>
      </c>
    </row>
    <row r="24" spans="2:10" ht="12.95" customHeight="1" x14ac:dyDescent="0.2">
      <c r="B24" s="27" t="s">
        <v>187</v>
      </c>
      <c r="C24" s="61">
        <f>-Output!$G$80</f>
        <v>-5.0999999999999996</v>
      </c>
      <c r="D24" s="61">
        <f>-Output!$G$80</f>
        <v>-5.0999999999999996</v>
      </c>
      <c r="F24" s="27" t="s">
        <v>187</v>
      </c>
      <c r="G24" s="61"/>
      <c r="H24" s="61"/>
      <c r="I24" s="61">
        <f>-Output!$G$80</f>
        <v>-5.0999999999999996</v>
      </c>
      <c r="J24" s="61">
        <f>-Output!$G$80</f>
        <v>-5.0999999999999996</v>
      </c>
    </row>
    <row r="25" spans="2:10" ht="5.0999999999999996" customHeight="1" x14ac:dyDescent="0.2"/>
    <row r="26" spans="2:10" ht="12.95" customHeight="1" x14ac:dyDescent="0.2">
      <c r="B26" s="24" t="s">
        <v>188</v>
      </c>
      <c r="C26" s="58">
        <f>+SUM(C20:C24)</f>
        <v>4545.7782409100637</v>
      </c>
      <c r="D26" s="58">
        <f>+SUM(D20:D24)</f>
        <v>4513.9459616157701</v>
      </c>
      <c r="F26" s="24" t="s">
        <v>188</v>
      </c>
      <c r="G26" s="58"/>
      <c r="H26" s="58"/>
      <c r="I26" s="58">
        <f>+SUM(I20:I24)</f>
        <v>4803.9446327170162</v>
      </c>
      <c r="J26" s="58">
        <f>+SUM(J20:J24)</f>
        <v>5017.8198736547893</v>
      </c>
    </row>
    <row r="28" spans="2:10" ht="15" customHeight="1" x14ac:dyDescent="0.2">
      <c r="B28" s="1" t="s">
        <v>255</v>
      </c>
      <c r="C28" s="251" t="s">
        <v>242</v>
      </c>
      <c r="D28" s="251" t="s">
        <v>302</v>
      </c>
      <c r="F28" s="1" t="s">
        <v>259</v>
      </c>
      <c r="G28" s="1"/>
      <c r="H28" s="1"/>
      <c r="I28" s="251" t="s">
        <v>242</v>
      </c>
      <c r="J28" s="251" t="s">
        <v>302</v>
      </c>
    </row>
    <row r="29" spans="2:10" ht="5.0999999999999996" customHeight="1" x14ac:dyDescent="0.2"/>
    <row r="30" spans="2:10" ht="12.95" customHeight="1" x14ac:dyDescent="0.2">
      <c r="B30" s="3" t="s">
        <v>260</v>
      </c>
      <c r="C30" s="4">
        <f>+Output!$G$31</f>
        <v>129.50000000000017</v>
      </c>
      <c r="D30" s="4">
        <f>+Output!$G$31</f>
        <v>129.50000000000017</v>
      </c>
      <c r="F30" s="3" t="s">
        <v>357</v>
      </c>
      <c r="G30" s="4"/>
      <c r="H30" s="4"/>
      <c r="I30" s="4">
        <f ca="1">+Output!$H$31</f>
        <v>197.79639799434415</v>
      </c>
      <c r="J30" s="4">
        <f ca="1">+Output!$H$31</f>
        <v>197.79639799434415</v>
      </c>
    </row>
    <row r="31" spans="2:10" ht="12.95" customHeight="1" x14ac:dyDescent="0.2">
      <c r="B31" s="3" t="s">
        <v>250</v>
      </c>
      <c r="C31" s="148">
        <f>+O13</f>
        <v>23.636598963847494</v>
      </c>
      <c r="D31" s="148">
        <f>+O14</f>
        <v>25.099505902714103</v>
      </c>
      <c r="E31" s="4"/>
      <c r="F31" s="3" t="s">
        <v>320</v>
      </c>
      <c r="G31" s="148"/>
      <c r="H31" s="148"/>
      <c r="I31" s="148">
        <f>+Q13</f>
        <v>20.419593662964232</v>
      </c>
      <c r="J31" s="148">
        <f>+Q14</f>
        <v>21.227810779267028</v>
      </c>
    </row>
    <row r="32" spans="2:10" ht="5.0999999999999996" customHeight="1" x14ac:dyDescent="0.2"/>
    <row r="33" spans="2:10" ht="12.95" customHeight="1" x14ac:dyDescent="0.2">
      <c r="B33" s="24" t="s">
        <v>188</v>
      </c>
      <c r="C33" s="58">
        <f>+C31*C30</f>
        <v>3060.9395658182543</v>
      </c>
      <c r="D33" s="58">
        <f>+D31*D30</f>
        <v>3250.3860144014807</v>
      </c>
      <c r="F33" s="24" t="s">
        <v>188</v>
      </c>
      <c r="G33" s="58"/>
      <c r="H33" s="58"/>
      <c r="I33" s="58">
        <f ca="1">+I31*I30</f>
        <v>4038.9220750424606</v>
      </c>
      <c r="J33" s="58">
        <f ca="1">+J31*J30</f>
        <v>4198.7845094445302</v>
      </c>
    </row>
    <row r="34" spans="2:10" ht="12.95" customHeight="1" x14ac:dyDescent="0.2">
      <c r="C34" s="4"/>
      <c r="D34" s="4"/>
      <c r="E34" s="4"/>
      <c r="G34" s="4"/>
      <c r="H34" s="4"/>
      <c r="I34" s="4"/>
      <c r="J34" s="4"/>
    </row>
    <row r="35" spans="2:10" ht="12.95" customHeight="1" x14ac:dyDescent="0.2">
      <c r="B35" s="27" t="s">
        <v>186</v>
      </c>
      <c r="C35" s="61">
        <f>Output!$G$74</f>
        <v>1035.8999999999999</v>
      </c>
      <c r="D35" s="61">
        <f>Output!$G$74</f>
        <v>1035.8999999999999</v>
      </c>
      <c r="E35" s="61"/>
      <c r="F35" s="27" t="s">
        <v>186</v>
      </c>
      <c r="G35" s="61"/>
      <c r="H35" s="61"/>
      <c r="I35" s="61">
        <f>Output!$G$74</f>
        <v>1035.8999999999999</v>
      </c>
      <c r="J35" s="61">
        <f>Output!$G$74</f>
        <v>1035.8999999999999</v>
      </c>
    </row>
    <row r="36" spans="2:10" ht="12.95" customHeight="1" x14ac:dyDescent="0.2">
      <c r="B36" s="27" t="s">
        <v>346</v>
      </c>
      <c r="C36" s="61">
        <f>-Output!$G$66</f>
        <v>-77.7</v>
      </c>
      <c r="D36" s="61">
        <f>-Output!$G$66</f>
        <v>-77.7</v>
      </c>
      <c r="E36" s="61"/>
      <c r="F36" s="27" t="s">
        <v>346</v>
      </c>
      <c r="G36" s="61"/>
      <c r="H36" s="61"/>
      <c r="I36" s="61">
        <f>-Output!$G$66</f>
        <v>-77.7</v>
      </c>
      <c r="J36" s="61">
        <f>-Output!$G$66</f>
        <v>-77.7</v>
      </c>
    </row>
    <row r="37" spans="2:10" ht="12.95" customHeight="1" x14ac:dyDescent="0.2">
      <c r="B37" s="27" t="s">
        <v>187</v>
      </c>
      <c r="C37" s="61">
        <f>Output!$G$80</f>
        <v>5.0999999999999996</v>
      </c>
      <c r="D37" s="61">
        <f>Output!$G$80</f>
        <v>5.0999999999999996</v>
      </c>
      <c r="E37" s="61"/>
      <c r="F37" s="27" t="s">
        <v>187</v>
      </c>
      <c r="G37" s="61"/>
      <c r="H37" s="61"/>
      <c r="I37" s="61">
        <f>Output!$G$80</f>
        <v>5.0999999999999996</v>
      </c>
      <c r="J37" s="61">
        <f>Output!$G$80</f>
        <v>5.0999999999999996</v>
      </c>
    </row>
    <row r="38" spans="2:10" ht="12.95" customHeight="1" x14ac:dyDescent="0.2">
      <c r="B38" s="5" t="s">
        <v>184</v>
      </c>
      <c r="C38" s="6">
        <f>+C33+SUM(C35:C37)</f>
        <v>4024.2395658182541</v>
      </c>
      <c r="D38" s="6">
        <f>+D33+SUM(D35:D37)</f>
        <v>4213.6860144014809</v>
      </c>
      <c r="F38" s="277" t="s">
        <v>184</v>
      </c>
      <c r="G38" s="6"/>
      <c r="H38" s="6"/>
      <c r="I38" s="6">
        <f ca="1">+I33+SUM(I35:I37)</f>
        <v>5002.2220750424603</v>
      </c>
      <c r="J38" s="6">
        <f ca="1">+J33+SUM(J35:J37)</f>
        <v>5162.0845094445303</v>
      </c>
    </row>
  </sheetData>
  <pageMargins left="0.7" right="0.7" top="0.75" bottom="0.75" header="0.3" footer="0.3"/>
  <pageSetup paperSize="9" orientation="portrait" r:id="rId1"/>
  <ignoredErrors>
    <ignoredError sqref="O6:O9"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33CC"/>
  </sheetPr>
  <dimension ref="A1:L45"/>
  <sheetViews>
    <sheetView showGridLines="0" topLeftCell="A27" zoomScaleNormal="100" workbookViewId="0">
      <selection activeCell="F38" sqref="F38"/>
    </sheetView>
  </sheetViews>
  <sheetFormatPr defaultColWidth="13.83203125" defaultRowHeight="12.95" customHeight="1" x14ac:dyDescent="0.2"/>
  <cols>
    <col min="2" max="2" width="50" customWidth="1"/>
    <col min="3" max="4" width="11.5" bestFit="1" customWidth="1"/>
    <col min="5" max="6" width="18.33203125" bestFit="1" customWidth="1"/>
    <col min="7" max="7" width="18.33203125" customWidth="1"/>
    <col min="8" max="9" width="9.1640625" bestFit="1" customWidth="1"/>
  </cols>
  <sheetData>
    <row r="1" spans="1:12" ht="12.95" customHeight="1" x14ac:dyDescent="0.25">
      <c r="A1" s="7"/>
      <c r="B1" s="7"/>
    </row>
    <row r="2" spans="1:12" ht="20.100000000000001" customHeight="1" x14ac:dyDescent="0.2">
      <c r="B2" s="9" t="s">
        <v>304</v>
      </c>
      <c r="C2" s="8"/>
      <c r="D2" s="8"/>
      <c r="E2" s="8"/>
      <c r="F2" s="8"/>
      <c r="G2" s="8"/>
      <c r="H2" s="8"/>
    </row>
    <row r="3" spans="1:12" ht="12.95" customHeight="1" x14ac:dyDescent="0.2">
      <c r="B3" s="10"/>
      <c r="C3" s="10"/>
      <c r="D3" s="10"/>
      <c r="E3" s="10"/>
      <c r="F3" s="10"/>
      <c r="G3" s="10"/>
      <c r="H3" s="10"/>
      <c r="I3" s="10"/>
      <c r="J3" s="10"/>
      <c r="K3" s="10"/>
      <c r="L3" s="10"/>
    </row>
    <row r="4" spans="1:12" ht="5.0999999999999996" customHeight="1" x14ac:dyDescent="0.2"/>
    <row r="5" spans="1:12" ht="15" customHeight="1" x14ac:dyDescent="0.2">
      <c r="B5" s="1"/>
      <c r="C5" s="1"/>
      <c r="D5" s="1"/>
      <c r="E5" s="1"/>
      <c r="F5" s="1"/>
      <c r="G5" s="1"/>
      <c r="H5" s="1"/>
      <c r="I5" s="1"/>
      <c r="J5" s="1"/>
      <c r="K5" s="1"/>
      <c r="L5" s="1"/>
    </row>
    <row r="6" spans="1:12" s="45" customFormat="1" ht="5.0999999999999996" customHeight="1" x14ac:dyDescent="0.2"/>
    <row r="14" spans="1:12" ht="12.95" customHeight="1" x14ac:dyDescent="0.2">
      <c r="B14" s="27"/>
      <c r="C14" s="28"/>
    </row>
    <row r="20" spans="2:7" ht="12.95" customHeight="1" x14ac:dyDescent="0.2">
      <c r="B20" s="27"/>
      <c r="C20" s="28"/>
    </row>
    <row r="21" spans="2:7" ht="12.95" customHeight="1" x14ac:dyDescent="0.2">
      <c r="B21" s="27"/>
      <c r="C21" s="28"/>
    </row>
    <row r="22" spans="2:7" ht="12.95" customHeight="1" x14ac:dyDescent="0.2">
      <c r="B22" s="27"/>
      <c r="C22" s="28"/>
    </row>
    <row r="23" spans="2:7" ht="12.95" customHeight="1" x14ac:dyDescent="0.2">
      <c r="B23" s="27"/>
      <c r="C23" s="28"/>
    </row>
    <row r="24" spans="2:7" ht="12.95" customHeight="1" x14ac:dyDescent="0.2">
      <c r="B24" s="27"/>
      <c r="C24" s="28"/>
    </row>
    <row r="28" spans="2:7" ht="12.95" customHeight="1" x14ac:dyDescent="0.2">
      <c r="D28" s="4"/>
      <c r="E28" s="4"/>
      <c r="F28" s="4"/>
      <c r="G28" s="4"/>
    </row>
    <row r="29" spans="2:7" ht="12.95" customHeight="1" x14ac:dyDescent="0.2">
      <c r="B29" s="27"/>
      <c r="C29" s="28"/>
      <c r="D29" s="61"/>
      <c r="E29" s="61"/>
      <c r="F29" s="61"/>
      <c r="G29" s="61"/>
    </row>
    <row r="33" spans="1:9" ht="12.95" customHeight="1" x14ac:dyDescent="0.2">
      <c r="A33" s="45"/>
      <c r="B33" s="45"/>
      <c r="C33" s="45"/>
      <c r="D33" s="45"/>
      <c r="E33" s="45"/>
      <c r="F33" s="45"/>
      <c r="G33" s="45"/>
    </row>
    <row r="40" spans="1:9" ht="12.95" customHeight="1" x14ac:dyDescent="0.2">
      <c r="C40" s="267"/>
      <c r="D40" s="267"/>
      <c r="E40" s="267"/>
      <c r="F40" s="267"/>
      <c r="G40" s="267"/>
      <c r="H40" s="267"/>
      <c r="I40" s="267"/>
    </row>
    <row r="41" spans="1:9" ht="12.95" customHeight="1" x14ac:dyDescent="0.2">
      <c r="C41" s="268" t="s">
        <v>320</v>
      </c>
      <c r="D41" s="269" t="s">
        <v>250</v>
      </c>
      <c r="E41" s="269" t="s">
        <v>319</v>
      </c>
      <c r="F41" s="269" t="s">
        <v>249</v>
      </c>
      <c r="G41" s="269" t="s">
        <v>336</v>
      </c>
      <c r="H41" s="269" t="s">
        <v>207</v>
      </c>
      <c r="I41" s="270" t="s">
        <v>337</v>
      </c>
    </row>
    <row r="42" spans="1:9" ht="12.95" customHeight="1" x14ac:dyDescent="0.2">
      <c r="C42" s="271">
        <f ca="1">+'Valuation Multiples'!J33</f>
        <v>4198.7845094445302</v>
      </c>
      <c r="D42" s="272">
        <f>+'Valuation Multiples'!D33</f>
        <v>3250.3860144014807</v>
      </c>
      <c r="E42" s="272">
        <f>+'Valuation Multiples'!J26</f>
        <v>5017.8198736547893</v>
      </c>
      <c r="F42" s="272">
        <f>+'Valuation Multiples'!C26</f>
        <v>4545.7782409100637</v>
      </c>
      <c r="G42" s="272">
        <f>+'Valuation DCF EP APV'!J104</f>
        <v>4042.0285760648308</v>
      </c>
      <c r="H42" s="272">
        <f>+'Valuation DCF EP APV'!E104</f>
        <v>4191.2859112811911</v>
      </c>
      <c r="I42" s="273">
        <f>+'Valuation DCF EP APV'!D104</f>
        <v>5089.7092739477202</v>
      </c>
    </row>
    <row r="43" spans="1:9" ht="12.95" customHeight="1" x14ac:dyDescent="0.2">
      <c r="C43" s="271">
        <f ca="1">+'Valuation Multiples'!I33</f>
        <v>4038.9220750424606</v>
      </c>
      <c r="D43" s="272">
        <f>+'Valuation Multiples'!C33</f>
        <v>3060.9395658182543</v>
      </c>
      <c r="E43" s="272">
        <f>+'Valuation Multiples'!I26</f>
        <v>4803.9446327170162</v>
      </c>
      <c r="F43" s="272">
        <f>+'Valuation Multiples'!D26</f>
        <v>4513.9459616157701</v>
      </c>
      <c r="G43" s="272">
        <f>+'Valuation DCF EP APV'!J103</f>
        <v>4042.0285760648308</v>
      </c>
      <c r="H43" s="272">
        <f>+'Valuation DCF EP APV'!E103</f>
        <v>4191.2859112811911</v>
      </c>
      <c r="I43" s="273">
        <f>+'Valuation DCF EP APV'!D103</f>
        <v>3318.0863746239816</v>
      </c>
    </row>
    <row r="44" spans="1:9" ht="12.95" customHeight="1" x14ac:dyDescent="0.2">
      <c r="C44" s="274">
        <f ca="1">+C42-C43</f>
        <v>159.86243440206954</v>
      </c>
      <c r="D44" s="275">
        <f t="shared" ref="D44:H44" si="0">+D42-D43</f>
        <v>189.44644858322636</v>
      </c>
      <c r="E44" s="275">
        <f t="shared" si="0"/>
        <v>213.87524093777301</v>
      </c>
      <c r="F44" s="275">
        <f t="shared" si="0"/>
        <v>31.832279294293585</v>
      </c>
      <c r="G44" s="275">
        <f t="shared" si="0"/>
        <v>0</v>
      </c>
      <c r="H44" s="275">
        <f t="shared" si="0"/>
        <v>0</v>
      </c>
      <c r="I44" s="276">
        <f>+I42-I43</f>
        <v>1771.6228993237387</v>
      </c>
    </row>
    <row r="45" spans="1:9" ht="12.95" customHeight="1" x14ac:dyDescent="0.2">
      <c r="C45" s="267"/>
      <c r="D45" s="267"/>
      <c r="E45" s="267"/>
      <c r="F45" s="267"/>
      <c r="G45" s="267"/>
      <c r="H45" s="267"/>
      <c r="I45" s="267"/>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21"/>
  <sheetViews>
    <sheetView showGridLines="0" zoomScaleNormal="100" workbookViewId="0">
      <selection activeCell="C9" sqref="C9"/>
    </sheetView>
  </sheetViews>
  <sheetFormatPr defaultColWidth="13.83203125" defaultRowHeight="12.95" customHeight="1" x14ac:dyDescent="0.2"/>
  <cols>
    <col min="2" max="2" width="7.5" customWidth="1"/>
    <col min="3" max="3" width="70.83203125" customWidth="1"/>
    <col min="4" max="4" width="30.33203125" customWidth="1"/>
  </cols>
  <sheetData>
    <row r="1" spans="2:5" ht="12.95" customHeight="1" x14ac:dyDescent="0.25">
      <c r="B1" s="7"/>
      <c r="D1" s="43"/>
    </row>
    <row r="2" spans="2:5" ht="20.100000000000001" customHeight="1" x14ac:dyDescent="0.2">
      <c r="B2" s="9" t="s">
        <v>215</v>
      </c>
      <c r="C2" s="8"/>
    </row>
    <row r="3" spans="2:5" ht="12.95" customHeight="1" x14ac:dyDescent="0.2">
      <c r="B3" s="10"/>
      <c r="C3" s="8"/>
      <c r="D3" s="8"/>
      <c r="E3" s="8"/>
    </row>
    <row r="4" spans="2:5" ht="5.0999999999999996" customHeight="1" x14ac:dyDescent="0.2"/>
    <row r="5" spans="2:5" ht="15" customHeight="1" x14ac:dyDescent="0.2">
      <c r="B5" s="1"/>
      <c r="C5" s="1"/>
      <c r="D5" s="1"/>
    </row>
    <row r="6" spans="2:5" ht="5.0999999999999996" customHeight="1" x14ac:dyDescent="0.2"/>
    <row r="7" spans="2:5" s="117" customFormat="1" ht="20.100000000000001" customHeight="1" x14ac:dyDescent="0.2">
      <c r="B7" s="118">
        <v>1</v>
      </c>
      <c r="C7" s="119" t="s">
        <v>217</v>
      </c>
      <c r="D7" s="119" t="s">
        <v>216</v>
      </c>
    </row>
    <row r="8" spans="2:5" s="117" customFormat="1" ht="20.100000000000001" customHeight="1" x14ac:dyDescent="0.2">
      <c r="B8" s="118">
        <f>+B7+1</f>
        <v>2</v>
      </c>
      <c r="C8" s="119" t="s">
        <v>288</v>
      </c>
      <c r="D8" s="119" t="s">
        <v>289</v>
      </c>
    </row>
    <row r="9" spans="2:5" s="117" customFormat="1" ht="20.100000000000001" customHeight="1" x14ac:dyDescent="0.2">
      <c r="B9" s="118">
        <f t="shared" ref="B9:B21" si="0">+B8+1</f>
        <v>3</v>
      </c>
      <c r="C9" s="119" t="s">
        <v>218</v>
      </c>
      <c r="D9" s="119" t="s">
        <v>289</v>
      </c>
    </row>
    <row r="10" spans="2:5" s="117" customFormat="1" ht="20.100000000000001" customHeight="1" x14ac:dyDescent="0.2">
      <c r="B10" s="118">
        <f t="shared" si="0"/>
        <v>4</v>
      </c>
      <c r="C10" s="119" t="s">
        <v>219</v>
      </c>
      <c r="D10" s="119" t="s">
        <v>100</v>
      </c>
    </row>
    <row r="11" spans="2:5" s="117" customFormat="1" ht="20.100000000000001" customHeight="1" x14ac:dyDescent="0.2">
      <c r="B11" s="118">
        <f t="shared" si="0"/>
        <v>5</v>
      </c>
      <c r="C11" s="119" t="s">
        <v>220</v>
      </c>
      <c r="D11" s="119" t="s">
        <v>100</v>
      </c>
    </row>
    <row r="12" spans="2:5" s="117" customFormat="1" ht="20.100000000000001" customHeight="1" x14ac:dyDescent="0.2">
      <c r="B12" s="118">
        <f t="shared" si="0"/>
        <v>6</v>
      </c>
      <c r="C12" s="119" t="s">
        <v>221</v>
      </c>
      <c r="D12" s="119" t="s">
        <v>100</v>
      </c>
    </row>
    <row r="13" spans="2:5" s="117" customFormat="1" ht="20.100000000000001" customHeight="1" x14ac:dyDescent="0.2">
      <c r="B13" s="118">
        <f t="shared" si="0"/>
        <v>7</v>
      </c>
      <c r="C13" s="119" t="s">
        <v>222</v>
      </c>
      <c r="D13" s="119" t="s">
        <v>100</v>
      </c>
    </row>
    <row r="14" spans="2:5" s="117" customFormat="1" ht="20.100000000000001" customHeight="1" x14ac:dyDescent="0.2">
      <c r="B14" s="118">
        <f t="shared" si="0"/>
        <v>8</v>
      </c>
      <c r="C14" s="120" t="s">
        <v>290</v>
      </c>
      <c r="D14" s="119" t="s">
        <v>100</v>
      </c>
    </row>
    <row r="15" spans="2:5" s="117" customFormat="1" ht="20.100000000000001" customHeight="1" x14ac:dyDescent="0.2">
      <c r="B15" s="118">
        <f t="shared" si="0"/>
        <v>9</v>
      </c>
      <c r="C15" s="120" t="s">
        <v>223</v>
      </c>
      <c r="D15" s="119" t="s">
        <v>100</v>
      </c>
    </row>
    <row r="16" spans="2:5" s="117" customFormat="1" ht="20.100000000000001" customHeight="1" x14ac:dyDescent="0.2">
      <c r="B16" s="118">
        <f t="shared" si="0"/>
        <v>10</v>
      </c>
      <c r="C16" s="119" t="s">
        <v>224</v>
      </c>
      <c r="D16" s="119" t="s">
        <v>293</v>
      </c>
    </row>
    <row r="17" spans="2:4" s="117" customFormat="1" ht="20.100000000000001" customHeight="1" x14ac:dyDescent="0.2">
      <c r="B17" s="118">
        <f t="shared" si="0"/>
        <v>11</v>
      </c>
      <c r="C17" s="119" t="s">
        <v>294</v>
      </c>
      <c r="D17" s="119" t="s">
        <v>293</v>
      </c>
    </row>
    <row r="18" spans="2:4" s="117" customFormat="1" ht="20.100000000000001" customHeight="1" x14ac:dyDescent="0.2">
      <c r="B18" s="118"/>
      <c r="C18" s="121" t="s">
        <v>227</v>
      </c>
      <c r="D18" s="119"/>
    </row>
    <row r="19" spans="2:4" s="117" customFormat="1" ht="20.100000000000001" customHeight="1" x14ac:dyDescent="0.2">
      <c r="B19" s="118">
        <f>+B17+1</f>
        <v>12</v>
      </c>
      <c r="C19" s="119" t="s">
        <v>226</v>
      </c>
      <c r="D19" s="119" t="s">
        <v>100</v>
      </c>
    </row>
    <row r="20" spans="2:4" s="117" customFormat="1" ht="20.100000000000001" customHeight="1" x14ac:dyDescent="0.2">
      <c r="B20" s="118">
        <f t="shared" si="0"/>
        <v>13</v>
      </c>
      <c r="C20" s="119" t="s">
        <v>292</v>
      </c>
      <c r="D20" s="119" t="s">
        <v>295</v>
      </c>
    </row>
    <row r="21" spans="2:4" s="117" customFormat="1" ht="20.100000000000001" customHeight="1" x14ac:dyDescent="0.2">
      <c r="B21" s="118">
        <f t="shared" si="0"/>
        <v>14</v>
      </c>
      <c r="C21" s="119" t="s">
        <v>225</v>
      </c>
      <c r="D21" s="119" t="s">
        <v>295</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22"/>
  <sheetViews>
    <sheetView showGridLines="0" zoomScale="87" zoomScaleNormal="87" workbookViewId="0">
      <pane xSplit="3" ySplit="6" topLeftCell="D7" activePane="bottomRight" state="frozen"/>
      <selection activeCell="C1" sqref="C1"/>
      <selection pane="topRight" activeCell="C1" sqref="C1"/>
      <selection pane="bottomLeft" activeCell="C1" sqref="C1"/>
      <selection pane="bottomRight" activeCell="B76" sqref="B76"/>
    </sheetView>
  </sheetViews>
  <sheetFormatPr defaultColWidth="13.83203125" defaultRowHeight="12.95" customHeight="1" x14ac:dyDescent="0.25"/>
  <cols>
    <col min="1" max="1" width="13.83203125" style="438"/>
    <col min="2" max="2" width="50" style="438" customWidth="1"/>
    <col min="3" max="3" width="10.33203125" style="438" bestFit="1" customWidth="1"/>
    <col min="4" max="16384" width="13.83203125" style="438"/>
  </cols>
  <sheetData>
    <row r="1" spans="2:12" ht="12.95" customHeight="1" x14ac:dyDescent="0.25">
      <c r="B1" s="279"/>
      <c r="D1" s="439"/>
    </row>
    <row r="2" spans="2:12" ht="20.100000000000001" customHeight="1" x14ac:dyDescent="0.25">
      <c r="B2" s="282" t="s">
        <v>51</v>
      </c>
      <c r="C2" s="440"/>
    </row>
    <row r="3" spans="2:12" ht="12.95" customHeight="1" x14ac:dyDescent="0.25">
      <c r="B3" s="441"/>
      <c r="C3" s="440"/>
      <c r="D3" s="286" t="s">
        <v>98</v>
      </c>
      <c r="E3" s="442"/>
      <c r="F3" s="442"/>
      <c r="G3" s="442"/>
      <c r="H3" s="286" t="s">
        <v>99</v>
      </c>
      <c r="I3" s="288"/>
      <c r="J3" s="288"/>
      <c r="K3" s="288"/>
      <c r="L3" s="288"/>
    </row>
    <row r="4" spans="2:12" ht="5.0999999999999996" customHeight="1" x14ac:dyDescent="0.25">
      <c r="D4" s="439"/>
      <c r="H4" s="439"/>
    </row>
    <row r="5" spans="2:12" ht="15" customHeight="1" x14ac:dyDescent="0.25">
      <c r="B5" s="289"/>
      <c r="C5" s="290" t="s">
        <v>2</v>
      </c>
      <c r="D5" s="291">
        <v>40908</v>
      </c>
      <c r="E5" s="292">
        <f>+EOMONTH(D5,12)</f>
        <v>41274</v>
      </c>
      <c r="F5" s="292">
        <f>+EOMONTH(E5,12)</f>
        <v>41639</v>
      </c>
      <c r="G5" s="292">
        <f>+EOMONTH(F5,12)</f>
        <v>42004</v>
      </c>
      <c r="H5" s="293">
        <f t="shared" ref="H5:L5" si="0">+EOMONTH(G5,12)</f>
        <v>42369</v>
      </c>
      <c r="I5" s="294">
        <f t="shared" si="0"/>
        <v>42735</v>
      </c>
      <c r="J5" s="294">
        <f t="shared" si="0"/>
        <v>43100</v>
      </c>
      <c r="K5" s="294">
        <f t="shared" si="0"/>
        <v>43465</v>
      </c>
      <c r="L5" s="294">
        <f t="shared" si="0"/>
        <v>43830</v>
      </c>
    </row>
    <row r="6" spans="2:12" ht="5.0999999999999996" customHeight="1" x14ac:dyDescent="0.25">
      <c r="D6" s="439"/>
    </row>
    <row r="7" spans="2:12" ht="5.0999999999999996" customHeight="1" x14ac:dyDescent="0.25">
      <c r="C7" s="443"/>
      <c r="D7" s="443"/>
    </row>
    <row r="8" spans="2:12" s="443" customFormat="1" ht="12.95" customHeight="1" x14ac:dyDescent="0.25">
      <c r="B8" s="297" t="s">
        <v>52</v>
      </c>
      <c r="C8" s="297"/>
      <c r="D8" s="444"/>
      <c r="E8" s="299"/>
      <c r="F8" s="299"/>
      <c r="G8" s="445"/>
      <c r="H8" s="297"/>
      <c r="I8" s="297"/>
      <c r="J8" s="297"/>
      <c r="K8" s="297"/>
      <c r="L8" s="297"/>
    </row>
    <row r="9" spans="2:12" ht="5.0999999999999996" customHeight="1" x14ac:dyDescent="0.25">
      <c r="D9" s="446"/>
      <c r="E9" s="443"/>
      <c r="F9" s="443"/>
      <c r="G9" s="447"/>
    </row>
    <row r="10" spans="2:12" ht="12.95" customHeight="1" x14ac:dyDescent="0.25">
      <c r="B10" s="448" t="s">
        <v>3</v>
      </c>
      <c r="C10" s="449"/>
      <c r="D10" s="450">
        <v>1274.2</v>
      </c>
      <c r="E10" s="374">
        <v>1340.8</v>
      </c>
      <c r="F10" s="374">
        <v>1524.1</v>
      </c>
      <c r="G10" s="451">
        <v>1560</v>
      </c>
      <c r="H10" s="452"/>
      <c r="I10" s="452"/>
      <c r="J10" s="452"/>
      <c r="K10" s="452"/>
      <c r="L10" s="452"/>
    </row>
    <row r="11" spans="2:12" ht="12.95" customHeight="1" x14ac:dyDescent="0.25">
      <c r="B11" s="448" t="s">
        <v>54</v>
      </c>
      <c r="C11" s="449"/>
      <c r="D11" s="450">
        <v>-539.6</v>
      </c>
      <c r="E11" s="374">
        <v>-571.29999999999995</v>
      </c>
      <c r="F11" s="374">
        <v>-713.7</v>
      </c>
      <c r="G11" s="451">
        <v>-728.3</v>
      </c>
      <c r="H11" s="452"/>
      <c r="I11" s="452"/>
      <c r="J11" s="452"/>
      <c r="K11" s="452"/>
      <c r="L11" s="452"/>
    </row>
    <row r="12" spans="2:12" ht="12.95" customHeight="1" x14ac:dyDescent="0.25">
      <c r="B12" s="384" t="s">
        <v>53</v>
      </c>
      <c r="C12" s="453"/>
      <c r="D12" s="454">
        <f t="shared" ref="D12:F12" si="1">SUM(D10:D11)</f>
        <v>734.6</v>
      </c>
      <c r="E12" s="455">
        <f t="shared" si="1"/>
        <v>769.5</v>
      </c>
      <c r="F12" s="455">
        <f t="shared" si="1"/>
        <v>810.39999999999986</v>
      </c>
      <c r="G12" s="456">
        <f t="shared" ref="G12" si="2">SUM(G10:G11)</f>
        <v>831.7</v>
      </c>
      <c r="H12" s="455"/>
      <c r="I12" s="455"/>
      <c r="J12" s="455"/>
      <c r="K12" s="455"/>
      <c r="L12" s="455"/>
    </row>
    <row r="13" spans="2:12" ht="5.0999999999999996" customHeight="1" x14ac:dyDescent="0.25">
      <c r="D13" s="457"/>
      <c r="E13" s="458"/>
      <c r="F13" s="458"/>
      <c r="G13" s="459"/>
      <c r="H13" s="460"/>
      <c r="I13" s="460"/>
      <c r="J13" s="460"/>
      <c r="K13" s="460"/>
      <c r="L13" s="460"/>
    </row>
    <row r="14" spans="2:12" ht="12.95" customHeight="1" x14ac:dyDescent="0.25">
      <c r="B14" s="448" t="s">
        <v>4</v>
      </c>
      <c r="C14" s="449"/>
      <c r="D14" s="450">
        <v>-229.1</v>
      </c>
      <c r="E14" s="374">
        <v>-237.2</v>
      </c>
      <c r="F14" s="374">
        <v>-249.2</v>
      </c>
      <c r="G14" s="451">
        <v>-260.8</v>
      </c>
      <c r="H14" s="452"/>
      <c r="I14" s="452"/>
      <c r="J14" s="452"/>
      <c r="K14" s="452"/>
      <c r="L14" s="452"/>
    </row>
    <row r="15" spans="2:12" ht="12.95" customHeight="1" x14ac:dyDescent="0.25">
      <c r="B15" s="384" t="s">
        <v>55</v>
      </c>
      <c r="C15" s="453"/>
      <c r="D15" s="454">
        <f t="shared" ref="D15:F15" si="3">+SUM(D12:D14)</f>
        <v>505.5</v>
      </c>
      <c r="E15" s="455">
        <f t="shared" si="3"/>
        <v>532.29999999999995</v>
      </c>
      <c r="F15" s="455">
        <f t="shared" si="3"/>
        <v>561.19999999999982</v>
      </c>
      <c r="G15" s="456">
        <f t="shared" ref="G15" si="4">+SUM(G12:G14)</f>
        <v>570.90000000000009</v>
      </c>
      <c r="H15" s="455"/>
      <c r="I15" s="455"/>
      <c r="J15" s="455"/>
      <c r="K15" s="455"/>
      <c r="L15" s="455"/>
    </row>
    <row r="16" spans="2:12" ht="5.0999999999999996" customHeight="1" x14ac:dyDescent="0.25">
      <c r="D16" s="457"/>
      <c r="E16" s="458"/>
      <c r="F16" s="458"/>
      <c r="G16" s="459"/>
      <c r="H16" s="460"/>
      <c r="I16" s="460"/>
      <c r="J16" s="460"/>
      <c r="K16" s="460"/>
      <c r="L16" s="460"/>
    </row>
    <row r="17" spans="2:12" ht="12.95" customHeight="1" x14ac:dyDescent="0.25">
      <c r="B17" s="448" t="s">
        <v>56</v>
      </c>
      <c r="C17" s="449"/>
      <c r="D17" s="450">
        <v>-206.8</v>
      </c>
      <c r="E17" s="374">
        <v>-227.7</v>
      </c>
      <c r="F17" s="374">
        <v>-261.60000000000002</v>
      </c>
      <c r="G17" s="451">
        <f>-272.7</f>
        <v>-272.7</v>
      </c>
      <c r="H17" s="452"/>
      <c r="I17" s="452"/>
      <c r="J17" s="452"/>
      <c r="K17" s="452"/>
      <c r="L17" s="452"/>
    </row>
    <row r="18" spans="2:12" ht="12.95" customHeight="1" x14ac:dyDescent="0.25">
      <c r="B18" s="384" t="s">
        <v>5</v>
      </c>
      <c r="C18" s="453"/>
      <c r="D18" s="454">
        <f t="shared" ref="D18:F18" si="5">+SUM(D15:D17)</f>
        <v>298.7</v>
      </c>
      <c r="E18" s="455">
        <f t="shared" si="5"/>
        <v>304.59999999999997</v>
      </c>
      <c r="F18" s="455">
        <f t="shared" si="5"/>
        <v>299.5999999999998</v>
      </c>
      <c r="G18" s="456">
        <f t="shared" ref="G18" si="6">+SUM(G15:G17)</f>
        <v>298.2000000000001</v>
      </c>
      <c r="H18" s="455"/>
      <c r="I18" s="455"/>
      <c r="J18" s="455"/>
      <c r="K18" s="455"/>
      <c r="L18" s="455"/>
    </row>
    <row r="19" spans="2:12" ht="5.0999999999999996" customHeight="1" x14ac:dyDescent="0.25">
      <c r="D19" s="457"/>
      <c r="E19" s="458"/>
      <c r="F19" s="458"/>
      <c r="G19" s="459"/>
      <c r="H19" s="460"/>
      <c r="I19" s="460"/>
      <c r="J19" s="460"/>
      <c r="K19" s="460"/>
      <c r="L19" s="460"/>
    </row>
    <row r="20" spans="2:12" ht="12.95" customHeight="1" x14ac:dyDescent="0.25">
      <c r="B20" s="448" t="s">
        <v>6</v>
      </c>
      <c r="C20" s="449"/>
      <c r="D20" s="450">
        <v>-3.1</v>
      </c>
      <c r="E20" s="374">
        <v>-17.2</v>
      </c>
      <c r="F20" s="374">
        <v>-10.3</v>
      </c>
      <c r="G20" s="451">
        <v>-43.2</v>
      </c>
      <c r="H20" s="452"/>
      <c r="I20" s="452"/>
      <c r="J20" s="452"/>
      <c r="K20" s="452"/>
      <c r="L20" s="452"/>
    </row>
    <row r="21" spans="2:12" ht="12.95" customHeight="1" x14ac:dyDescent="0.25">
      <c r="B21" s="384" t="s">
        <v>57</v>
      </c>
      <c r="C21" s="453"/>
      <c r="D21" s="454">
        <f t="shared" ref="D21:F21" si="7">+SUM(D18:D20)</f>
        <v>295.59999999999997</v>
      </c>
      <c r="E21" s="455">
        <f t="shared" si="7"/>
        <v>287.39999999999998</v>
      </c>
      <c r="F21" s="455">
        <f t="shared" si="7"/>
        <v>289.29999999999978</v>
      </c>
      <c r="G21" s="456">
        <f t="shared" ref="G21" si="8">+SUM(G18:G20)</f>
        <v>255.00000000000011</v>
      </c>
      <c r="H21" s="455"/>
      <c r="I21" s="455"/>
      <c r="J21" s="455"/>
      <c r="K21" s="455"/>
      <c r="L21" s="455"/>
    </row>
    <row r="22" spans="2:12" ht="5.0999999999999996" customHeight="1" x14ac:dyDescent="0.25">
      <c r="D22" s="457"/>
      <c r="E22" s="458"/>
      <c r="F22" s="458"/>
      <c r="G22" s="459"/>
      <c r="H22" s="460"/>
      <c r="I22" s="460"/>
      <c r="J22" s="460"/>
      <c r="K22" s="460"/>
      <c r="L22" s="460"/>
    </row>
    <row r="23" spans="2:12" ht="12.95" customHeight="1" x14ac:dyDescent="0.25">
      <c r="B23" s="448" t="s">
        <v>7</v>
      </c>
      <c r="C23" s="449"/>
      <c r="D23" s="450">
        <v>-43.2</v>
      </c>
      <c r="E23" s="374">
        <v>-48.7</v>
      </c>
      <c r="F23" s="374">
        <v>-58.9</v>
      </c>
      <c r="G23" s="451">
        <v>-60.3</v>
      </c>
      <c r="H23" s="452"/>
      <c r="I23" s="452"/>
      <c r="J23" s="452"/>
      <c r="K23" s="452"/>
      <c r="L23" s="452"/>
    </row>
    <row r="24" spans="2:12" ht="12.95" customHeight="1" x14ac:dyDescent="0.25">
      <c r="B24" s="448" t="s">
        <v>8</v>
      </c>
      <c r="C24" s="449"/>
      <c r="D24" s="450">
        <v>-1.9</v>
      </c>
      <c r="E24" s="374">
        <v>-2.6</v>
      </c>
      <c r="F24" s="374">
        <v>-0.2</v>
      </c>
      <c r="G24" s="451">
        <v>-0.8</v>
      </c>
      <c r="H24" s="452"/>
      <c r="I24" s="452"/>
      <c r="J24" s="452"/>
      <c r="K24" s="452"/>
      <c r="L24" s="452"/>
    </row>
    <row r="25" spans="2:12" ht="12.95" customHeight="1" x14ac:dyDescent="0.25">
      <c r="B25" s="448" t="s">
        <v>9</v>
      </c>
      <c r="C25" s="449"/>
      <c r="D25" s="450">
        <v>-0.4</v>
      </c>
      <c r="E25" s="374">
        <v>0</v>
      </c>
      <c r="F25" s="374">
        <v>-0.2</v>
      </c>
      <c r="G25" s="451">
        <v>-0.2</v>
      </c>
      <c r="H25" s="452"/>
      <c r="I25" s="452"/>
      <c r="J25" s="452"/>
      <c r="K25" s="452"/>
      <c r="L25" s="452"/>
    </row>
    <row r="26" spans="2:12" ht="12.95" customHeight="1" x14ac:dyDescent="0.25">
      <c r="B26" s="448" t="s">
        <v>10</v>
      </c>
      <c r="C26" s="449"/>
      <c r="D26" s="450">
        <v>0.5</v>
      </c>
      <c r="E26" s="374">
        <v>-0.1</v>
      </c>
      <c r="F26" s="374">
        <v>0.2</v>
      </c>
      <c r="G26" s="451">
        <v>0.5</v>
      </c>
      <c r="H26" s="452"/>
      <c r="I26" s="452"/>
      <c r="J26" s="452"/>
      <c r="K26" s="452"/>
      <c r="L26" s="452"/>
    </row>
    <row r="27" spans="2:12" ht="12.95" customHeight="1" x14ac:dyDescent="0.25">
      <c r="B27" s="384" t="s">
        <v>58</v>
      </c>
      <c r="C27" s="453"/>
      <c r="D27" s="454">
        <f t="shared" ref="D27" si="9">+SUM(D21:D26)</f>
        <v>250.59999999999997</v>
      </c>
      <c r="E27" s="455">
        <f>+SUM(E21:E26)</f>
        <v>236</v>
      </c>
      <c r="F27" s="455">
        <f t="shared" ref="F27" si="10">+SUM(F21:F26)</f>
        <v>230.19999999999979</v>
      </c>
      <c r="G27" s="456">
        <f t="shared" ref="G27" si="11">+SUM(G21:G26)</f>
        <v>194.2000000000001</v>
      </c>
      <c r="H27" s="455"/>
      <c r="I27" s="455"/>
      <c r="J27" s="455"/>
      <c r="K27" s="455"/>
      <c r="L27" s="455"/>
    </row>
    <row r="28" spans="2:12" ht="5.0999999999999996" customHeight="1" x14ac:dyDescent="0.25">
      <c r="D28" s="457"/>
      <c r="E28" s="458"/>
      <c r="F28" s="458"/>
      <c r="G28" s="459"/>
      <c r="H28" s="460"/>
      <c r="I28" s="460"/>
      <c r="J28" s="460"/>
      <c r="K28" s="460"/>
      <c r="L28" s="460"/>
    </row>
    <row r="29" spans="2:12" ht="12.95" customHeight="1" x14ac:dyDescent="0.25">
      <c r="B29" s="448" t="s">
        <v>11</v>
      </c>
      <c r="C29" s="449"/>
      <c r="D29" s="450">
        <v>-90.9</v>
      </c>
      <c r="E29" s="374">
        <v>-79</v>
      </c>
      <c r="F29" s="374">
        <v>-79.8</v>
      </c>
      <c r="G29" s="451">
        <f>-64.6-0.1</f>
        <v>-64.699999999999989</v>
      </c>
      <c r="H29" s="452"/>
      <c r="I29" s="452"/>
      <c r="J29" s="452"/>
      <c r="K29" s="452"/>
      <c r="L29" s="452"/>
    </row>
    <row r="30" spans="2:12" ht="12.95" customHeight="1" x14ac:dyDescent="0.25">
      <c r="B30" s="384" t="s">
        <v>12</v>
      </c>
      <c r="C30" s="453"/>
      <c r="D30" s="454">
        <f>+SUM(D27:D29)</f>
        <v>159.69999999999996</v>
      </c>
      <c r="E30" s="455">
        <f>+SUM(E27:E29)</f>
        <v>157</v>
      </c>
      <c r="F30" s="455">
        <f>+SUM(F27:F29)</f>
        <v>150.39999999999981</v>
      </c>
      <c r="G30" s="456">
        <f>+SUM(G27:G29)</f>
        <v>129.50000000000011</v>
      </c>
      <c r="H30" s="455"/>
      <c r="I30" s="455"/>
      <c r="J30" s="455"/>
      <c r="K30" s="455"/>
      <c r="L30" s="455"/>
    </row>
    <row r="31" spans="2:12" ht="12.95" customHeight="1" x14ac:dyDescent="0.25">
      <c r="B31" s="448"/>
      <c r="C31" s="449"/>
      <c r="D31" s="461"/>
      <c r="E31" s="462"/>
      <c r="F31" s="462"/>
      <c r="G31" s="463"/>
      <c r="H31" s="462"/>
      <c r="I31" s="462"/>
      <c r="J31" s="462"/>
      <c r="K31" s="462"/>
      <c r="L31" s="462"/>
    </row>
    <row r="32" spans="2:12" s="443" customFormat="1" ht="12.95" customHeight="1" x14ac:dyDescent="0.25">
      <c r="B32" s="297" t="s">
        <v>120</v>
      </c>
      <c r="C32" s="297"/>
      <c r="D32" s="464"/>
      <c r="E32" s="465"/>
      <c r="F32" s="465"/>
      <c r="G32" s="466"/>
      <c r="H32" s="467"/>
      <c r="I32" s="467"/>
      <c r="J32" s="467"/>
      <c r="K32" s="467"/>
      <c r="L32" s="467"/>
    </row>
    <row r="33" spans="2:12" ht="5.0999999999999996" customHeight="1" x14ac:dyDescent="0.25">
      <c r="D33" s="457"/>
      <c r="E33" s="458"/>
      <c r="F33" s="458"/>
      <c r="G33" s="459"/>
      <c r="H33" s="460"/>
      <c r="I33" s="460"/>
      <c r="J33" s="460"/>
      <c r="K33" s="460"/>
      <c r="L33" s="460"/>
    </row>
    <row r="34" spans="2:12" ht="12.95" customHeight="1" x14ac:dyDescent="0.25">
      <c r="B34" s="448" t="s">
        <v>69</v>
      </c>
      <c r="C34" s="449"/>
      <c r="D34" s="450">
        <v>-386.5</v>
      </c>
      <c r="E34" s="374">
        <v>-401.5</v>
      </c>
      <c r="F34" s="374">
        <v>-489.1</v>
      </c>
      <c r="G34" s="451">
        <v>-485.8</v>
      </c>
      <c r="H34" s="452"/>
      <c r="I34" s="452"/>
      <c r="J34" s="452"/>
      <c r="K34" s="452"/>
      <c r="L34" s="452"/>
    </row>
    <row r="35" spans="2:12" ht="12.95" customHeight="1" x14ac:dyDescent="0.25">
      <c r="B35" s="448" t="s">
        <v>68</v>
      </c>
      <c r="C35" s="449"/>
      <c r="D35" s="450">
        <v>-149.4</v>
      </c>
      <c r="E35" s="374">
        <v>-160.4</v>
      </c>
      <c r="F35" s="374">
        <v>-200.4</v>
      </c>
      <c r="G35" s="451">
        <v>-215.5</v>
      </c>
      <c r="H35" s="452"/>
      <c r="I35" s="452"/>
      <c r="J35" s="452"/>
      <c r="K35" s="452"/>
      <c r="L35" s="452"/>
    </row>
    <row r="36" spans="2:12" ht="12.95" customHeight="1" x14ac:dyDescent="0.25">
      <c r="B36" s="448" t="s">
        <v>70</v>
      </c>
      <c r="C36" s="449"/>
      <c r="D36" s="450">
        <v>-30.3</v>
      </c>
      <c r="E36" s="374">
        <v>-32.700000000000003</v>
      </c>
      <c r="F36" s="374">
        <v>-39.6</v>
      </c>
      <c r="G36" s="451">
        <v>-39.4</v>
      </c>
      <c r="H36" s="452"/>
      <c r="I36" s="452"/>
      <c r="J36" s="452"/>
      <c r="K36" s="452"/>
      <c r="L36" s="452"/>
    </row>
    <row r="37" spans="2:12" ht="12.95" customHeight="1" x14ac:dyDescent="0.25">
      <c r="B37" s="448" t="s">
        <v>71</v>
      </c>
      <c r="C37" s="449"/>
      <c r="D37" s="450">
        <v>-7.7</v>
      </c>
      <c r="E37" s="374">
        <v>-8.5</v>
      </c>
      <c r="F37" s="374">
        <v>-10.7</v>
      </c>
      <c r="G37" s="451">
        <v>-11.2</v>
      </c>
      <c r="H37" s="452"/>
      <c r="I37" s="452"/>
      <c r="J37" s="452"/>
      <c r="K37" s="452"/>
      <c r="L37" s="452"/>
    </row>
    <row r="38" spans="2:12" ht="12.95" customHeight="1" x14ac:dyDescent="0.25">
      <c r="B38" s="448"/>
      <c r="C38" s="449"/>
      <c r="D38" s="461"/>
      <c r="E38" s="462"/>
      <c r="F38" s="462"/>
      <c r="G38" s="463"/>
      <c r="H38" s="462"/>
      <c r="I38" s="462"/>
      <c r="J38" s="462"/>
      <c r="K38" s="462"/>
      <c r="L38" s="462"/>
    </row>
    <row r="39" spans="2:12" ht="12.95" customHeight="1" x14ac:dyDescent="0.25">
      <c r="B39" s="448" t="s">
        <v>119</v>
      </c>
      <c r="C39" s="449"/>
      <c r="D39" s="450">
        <v>34.6</v>
      </c>
      <c r="E39" s="374">
        <v>40.5</v>
      </c>
      <c r="F39" s="374">
        <v>39.799999999999997</v>
      </c>
      <c r="G39" s="451">
        <v>46.1</v>
      </c>
      <c r="H39" s="452"/>
      <c r="I39" s="452"/>
      <c r="J39" s="452"/>
      <c r="K39" s="452"/>
      <c r="L39" s="452"/>
    </row>
    <row r="40" spans="2:12" ht="12.95" customHeight="1" x14ac:dyDescent="0.25">
      <c r="B40" s="448" t="s">
        <v>287</v>
      </c>
      <c r="C40" s="449"/>
      <c r="D40" s="461"/>
      <c r="E40" s="462"/>
      <c r="F40" s="462"/>
      <c r="G40" s="463"/>
      <c r="H40" s="374">
        <v>600</v>
      </c>
      <c r="I40" s="374"/>
      <c r="J40" s="374">
        <v>-352.4</v>
      </c>
      <c r="K40" s="374"/>
      <c r="L40" s="374">
        <v>-167.6</v>
      </c>
    </row>
    <row r="41" spans="2:12" ht="12.95" customHeight="1" x14ac:dyDescent="0.25">
      <c r="B41" s="448" t="s">
        <v>342</v>
      </c>
      <c r="C41" s="449"/>
      <c r="D41" s="461"/>
      <c r="E41" s="462"/>
      <c r="F41" s="462"/>
      <c r="G41" s="468">
        <v>573.03</v>
      </c>
      <c r="H41" s="374"/>
      <c r="I41" s="374"/>
      <c r="J41" s="374"/>
      <c r="K41" s="374"/>
      <c r="L41" s="374"/>
    </row>
    <row r="42" spans="2:12" ht="12.95" customHeight="1" x14ac:dyDescent="0.25">
      <c r="B42" s="448"/>
      <c r="C42" s="449"/>
      <c r="D42" s="461"/>
      <c r="E42" s="462"/>
      <c r="F42" s="462"/>
      <c r="G42" s="463"/>
      <c r="H42" s="462"/>
      <c r="I42" s="462"/>
      <c r="J42" s="462"/>
      <c r="K42" s="462"/>
      <c r="L42" s="462"/>
    </row>
    <row r="43" spans="2:12" s="443" customFormat="1" ht="12.95" customHeight="1" x14ac:dyDescent="0.25">
      <c r="B43" s="297" t="s">
        <v>59</v>
      </c>
      <c r="C43" s="297"/>
      <c r="D43" s="464"/>
      <c r="E43" s="465"/>
      <c r="F43" s="465"/>
      <c r="G43" s="466"/>
      <c r="H43" s="467"/>
      <c r="I43" s="467"/>
      <c r="J43" s="467"/>
      <c r="K43" s="467"/>
      <c r="L43" s="467"/>
    </row>
    <row r="44" spans="2:12" ht="5.0999999999999996" customHeight="1" x14ac:dyDescent="0.25">
      <c r="D44" s="457"/>
      <c r="E44" s="458"/>
      <c r="F44" s="458"/>
      <c r="G44" s="459"/>
      <c r="H44" s="460"/>
      <c r="I44" s="460"/>
      <c r="J44" s="460"/>
      <c r="K44" s="460"/>
      <c r="L44" s="460"/>
    </row>
    <row r="45" spans="2:12" ht="12.95" customHeight="1" x14ac:dyDescent="0.25">
      <c r="B45" s="448" t="s">
        <v>32</v>
      </c>
      <c r="C45" s="449"/>
      <c r="D45" s="450">
        <v>320.60000000000002</v>
      </c>
      <c r="E45" s="374">
        <v>388.7</v>
      </c>
      <c r="F45" s="374">
        <v>396.6</v>
      </c>
      <c r="G45" s="451">
        <v>441.5</v>
      </c>
      <c r="H45" s="452"/>
      <c r="I45" s="452"/>
      <c r="J45" s="452"/>
      <c r="K45" s="452"/>
      <c r="L45" s="452"/>
    </row>
    <row r="46" spans="2:12" ht="12.95" customHeight="1" x14ac:dyDescent="0.25">
      <c r="B46" s="448" t="s">
        <v>33</v>
      </c>
      <c r="C46" s="449"/>
      <c r="D46" s="450">
        <v>17.399999999999999</v>
      </c>
      <c r="E46" s="374">
        <v>17.2</v>
      </c>
      <c r="F46" s="374">
        <v>17.3</v>
      </c>
      <c r="G46" s="451">
        <v>17.5</v>
      </c>
      <c r="H46" s="452"/>
      <c r="I46" s="452"/>
      <c r="J46" s="452"/>
      <c r="K46" s="452"/>
      <c r="L46" s="452"/>
    </row>
    <row r="47" spans="2:12" ht="12.95" customHeight="1" x14ac:dyDescent="0.25">
      <c r="B47" s="448" t="s">
        <v>34</v>
      </c>
      <c r="C47" s="449"/>
      <c r="D47" s="450">
        <v>0.6</v>
      </c>
      <c r="E47" s="374">
        <v>1.2</v>
      </c>
      <c r="F47" s="374">
        <v>0.5</v>
      </c>
      <c r="G47" s="451">
        <v>1.5</v>
      </c>
      <c r="H47" s="452"/>
      <c r="I47" s="452"/>
      <c r="J47" s="452"/>
      <c r="K47" s="452"/>
      <c r="L47" s="452"/>
    </row>
    <row r="48" spans="2:12" ht="12.95" customHeight="1" x14ac:dyDescent="0.25">
      <c r="B48" s="448" t="s">
        <v>35</v>
      </c>
      <c r="C48" s="449"/>
      <c r="D48" s="450">
        <v>1448.6</v>
      </c>
      <c r="E48" s="374">
        <v>1643.5</v>
      </c>
      <c r="F48" s="374">
        <v>1556.4</v>
      </c>
      <c r="G48" s="451">
        <v>1841</v>
      </c>
      <c r="H48" s="452"/>
      <c r="I48" s="452"/>
      <c r="J48" s="452"/>
      <c r="K48" s="452"/>
      <c r="L48" s="452"/>
    </row>
    <row r="49" spans="2:12" ht="12.95" customHeight="1" x14ac:dyDescent="0.25">
      <c r="B49" s="448" t="s">
        <v>36</v>
      </c>
      <c r="C49" s="449"/>
      <c r="D49" s="450">
        <v>21</v>
      </c>
      <c r="E49" s="374">
        <v>20.5</v>
      </c>
      <c r="F49" s="374">
        <v>26</v>
      </c>
      <c r="G49" s="451">
        <v>29.8</v>
      </c>
      <c r="H49" s="452"/>
      <c r="I49" s="452"/>
      <c r="J49" s="452"/>
      <c r="K49" s="452"/>
      <c r="L49" s="452"/>
    </row>
    <row r="50" spans="2:12" ht="12.95" customHeight="1" x14ac:dyDescent="0.25">
      <c r="B50" s="448" t="s">
        <v>37</v>
      </c>
      <c r="C50" s="449"/>
      <c r="D50" s="450">
        <v>0</v>
      </c>
      <c r="E50" s="374">
        <v>1.1000000000000001</v>
      </c>
      <c r="F50" s="374">
        <v>0.9</v>
      </c>
      <c r="G50" s="451">
        <v>0.7</v>
      </c>
      <c r="H50" s="452"/>
      <c r="I50" s="452"/>
      <c r="J50" s="452"/>
      <c r="K50" s="452"/>
      <c r="L50" s="452"/>
    </row>
    <row r="51" spans="2:12" ht="12.95" customHeight="1" x14ac:dyDescent="0.25">
      <c r="B51" s="448" t="s">
        <v>38</v>
      </c>
      <c r="C51" s="449"/>
      <c r="D51" s="450">
        <v>6.5</v>
      </c>
      <c r="E51" s="374">
        <v>11.5</v>
      </c>
      <c r="F51" s="374">
        <v>12.4</v>
      </c>
      <c r="G51" s="451">
        <v>19.100000000000001</v>
      </c>
      <c r="H51" s="452"/>
      <c r="I51" s="452"/>
      <c r="J51" s="452"/>
      <c r="K51" s="452"/>
      <c r="L51" s="452"/>
    </row>
    <row r="52" spans="2:12" ht="12.95" customHeight="1" x14ac:dyDescent="0.25">
      <c r="B52" s="448" t="s">
        <v>39</v>
      </c>
      <c r="C52" s="449"/>
      <c r="D52" s="450">
        <v>17.100000000000001</v>
      </c>
      <c r="E52" s="374">
        <v>39.700000000000003</v>
      </c>
      <c r="F52" s="374">
        <v>33.700000000000003</v>
      </c>
      <c r="G52" s="451">
        <v>56.7</v>
      </c>
      <c r="H52" s="452"/>
      <c r="I52" s="452"/>
      <c r="J52" s="452"/>
      <c r="K52" s="452"/>
      <c r="L52" s="452"/>
    </row>
    <row r="53" spans="2:12" ht="12.95" customHeight="1" x14ac:dyDescent="0.25">
      <c r="B53" s="384" t="s">
        <v>40</v>
      </c>
      <c r="C53" s="453"/>
      <c r="D53" s="469">
        <f t="shared" ref="D53:F53" si="12">SUM(D45:D52)</f>
        <v>1831.7999999999997</v>
      </c>
      <c r="E53" s="389">
        <f t="shared" si="12"/>
        <v>2123.3999999999996</v>
      </c>
      <c r="F53" s="389">
        <f t="shared" si="12"/>
        <v>2043.8000000000004</v>
      </c>
      <c r="G53" s="470">
        <f t="shared" ref="G53" si="13">SUM(G45:G52)</f>
        <v>2407.7999999999997</v>
      </c>
      <c r="H53" s="389"/>
      <c r="I53" s="389"/>
      <c r="J53" s="389"/>
      <c r="K53" s="389"/>
      <c r="L53" s="389"/>
    </row>
    <row r="54" spans="2:12" ht="5.0999999999999996" customHeight="1" x14ac:dyDescent="0.25">
      <c r="D54" s="450" t="s">
        <v>14</v>
      </c>
      <c r="E54" s="374" t="s">
        <v>14</v>
      </c>
      <c r="F54" s="458"/>
      <c r="G54" s="459"/>
      <c r="H54" s="460"/>
      <c r="I54" s="460"/>
      <c r="J54" s="460"/>
      <c r="K54" s="460"/>
      <c r="L54" s="460"/>
    </row>
    <row r="55" spans="2:12" ht="12.95" customHeight="1" x14ac:dyDescent="0.25">
      <c r="B55" s="448" t="s">
        <v>41</v>
      </c>
      <c r="C55" s="449"/>
      <c r="D55" s="450">
        <v>331.3</v>
      </c>
      <c r="E55" s="374">
        <v>434.1</v>
      </c>
      <c r="F55" s="374">
        <v>442.6</v>
      </c>
      <c r="G55" s="451">
        <v>477</v>
      </c>
      <c r="H55" s="452"/>
      <c r="I55" s="452"/>
      <c r="J55" s="452"/>
      <c r="K55" s="452"/>
      <c r="L55" s="452"/>
    </row>
    <row r="56" spans="2:12" ht="12.95" customHeight="1" x14ac:dyDescent="0.25">
      <c r="B56" s="448" t="s">
        <v>42</v>
      </c>
      <c r="C56" s="449"/>
      <c r="D56" s="450">
        <v>0</v>
      </c>
      <c r="E56" s="374">
        <v>4.9000000000000004</v>
      </c>
      <c r="F56" s="374">
        <v>4.5</v>
      </c>
      <c r="G56" s="451">
        <v>4.0999999999999996</v>
      </c>
      <c r="H56" s="452"/>
      <c r="I56" s="452"/>
      <c r="J56" s="452"/>
      <c r="K56" s="452"/>
      <c r="L56" s="452"/>
    </row>
    <row r="57" spans="2:12" ht="12.95" customHeight="1" x14ac:dyDescent="0.25">
      <c r="B57" s="448" t="s">
        <v>43</v>
      </c>
      <c r="C57" s="449"/>
      <c r="D57" s="450">
        <v>278</v>
      </c>
      <c r="E57" s="374">
        <v>311.89999999999998</v>
      </c>
      <c r="F57" s="374">
        <v>288.5</v>
      </c>
      <c r="G57" s="451">
        <v>313.60000000000002</v>
      </c>
      <c r="H57" s="452"/>
      <c r="I57" s="452"/>
      <c r="J57" s="452"/>
      <c r="K57" s="452"/>
      <c r="L57" s="452"/>
    </row>
    <row r="58" spans="2:12" ht="12.95" customHeight="1" x14ac:dyDescent="0.25">
      <c r="B58" s="448" t="s">
        <v>44</v>
      </c>
      <c r="C58" s="449"/>
      <c r="D58" s="450">
        <v>1.8</v>
      </c>
      <c r="E58" s="374">
        <v>42.4</v>
      </c>
      <c r="F58" s="374">
        <v>31.5</v>
      </c>
      <c r="G58" s="451">
        <v>22.8</v>
      </c>
      <c r="H58" s="452"/>
      <c r="I58" s="452"/>
      <c r="J58" s="452"/>
      <c r="K58" s="452"/>
      <c r="L58" s="452"/>
    </row>
    <row r="59" spans="2:12" ht="12.95" customHeight="1" x14ac:dyDescent="0.25">
      <c r="B59" s="448" t="s">
        <v>45</v>
      </c>
      <c r="C59" s="449"/>
      <c r="D59" s="450">
        <v>414.2</v>
      </c>
      <c r="E59" s="374">
        <v>442.5</v>
      </c>
      <c r="F59" s="374">
        <v>444.2</v>
      </c>
      <c r="G59" s="451">
        <v>230.9</v>
      </c>
      <c r="H59" s="452"/>
      <c r="I59" s="452"/>
      <c r="J59" s="452"/>
      <c r="K59" s="452"/>
      <c r="L59" s="452"/>
    </row>
    <row r="60" spans="2:12" ht="12.95" customHeight="1" x14ac:dyDescent="0.25">
      <c r="B60" s="448" t="s">
        <v>46</v>
      </c>
      <c r="C60" s="449"/>
      <c r="D60" s="450">
        <v>17.8</v>
      </c>
      <c r="E60" s="374">
        <v>9.5</v>
      </c>
      <c r="F60" s="374">
        <v>17</v>
      </c>
      <c r="G60" s="451">
        <v>13</v>
      </c>
      <c r="H60" s="452"/>
      <c r="I60" s="452"/>
      <c r="J60" s="452"/>
      <c r="K60" s="452"/>
      <c r="L60" s="452"/>
    </row>
    <row r="61" spans="2:12" ht="12.95" customHeight="1" x14ac:dyDescent="0.25">
      <c r="B61" s="448" t="s">
        <v>47</v>
      </c>
      <c r="C61" s="449"/>
      <c r="D61" s="450">
        <v>23.9</v>
      </c>
      <c r="E61" s="374">
        <v>33.1</v>
      </c>
      <c r="F61" s="374">
        <v>29.4</v>
      </c>
      <c r="G61" s="451">
        <v>26.7</v>
      </c>
      <c r="H61" s="452"/>
      <c r="I61" s="452"/>
      <c r="J61" s="452"/>
      <c r="K61" s="452"/>
      <c r="L61" s="452"/>
    </row>
    <row r="62" spans="2:12" ht="12.95" customHeight="1" x14ac:dyDescent="0.25">
      <c r="B62" s="384" t="s">
        <v>48</v>
      </c>
      <c r="C62" s="453"/>
      <c r="D62" s="469">
        <f t="shared" ref="D62:F62" si="14">+SUM(D55:D61)</f>
        <v>1067</v>
      </c>
      <c r="E62" s="389">
        <f t="shared" si="14"/>
        <v>1278.3999999999999</v>
      </c>
      <c r="F62" s="389">
        <f t="shared" si="14"/>
        <v>1257.7</v>
      </c>
      <c r="G62" s="470">
        <f t="shared" ref="G62" si="15">+SUM(G55:G61)</f>
        <v>1088.1000000000001</v>
      </c>
      <c r="H62" s="389"/>
      <c r="I62" s="389"/>
      <c r="J62" s="389"/>
      <c r="K62" s="389"/>
      <c r="L62" s="389"/>
    </row>
    <row r="63" spans="2:12" ht="5.0999999999999996" customHeight="1" x14ac:dyDescent="0.25">
      <c r="D63" s="450" t="s">
        <v>14</v>
      </c>
      <c r="E63" s="374" t="s">
        <v>14</v>
      </c>
      <c r="F63" s="458"/>
      <c r="G63" s="459"/>
      <c r="H63" s="460"/>
      <c r="I63" s="460"/>
      <c r="J63" s="460"/>
      <c r="K63" s="460"/>
      <c r="L63" s="460"/>
    </row>
    <row r="64" spans="2:12" ht="12.95" customHeight="1" x14ac:dyDescent="0.25">
      <c r="B64" s="471" t="s">
        <v>49</v>
      </c>
      <c r="C64" s="472"/>
      <c r="D64" s="473">
        <v>2.2999999999999998</v>
      </c>
      <c r="E64" s="474">
        <v>1</v>
      </c>
      <c r="F64" s="474">
        <v>1</v>
      </c>
      <c r="G64" s="475">
        <v>21.9</v>
      </c>
      <c r="H64" s="476"/>
      <c r="I64" s="476"/>
      <c r="J64" s="476"/>
      <c r="K64" s="476"/>
      <c r="L64" s="476"/>
    </row>
    <row r="65" spans="2:12" ht="5.0999999999999996" customHeight="1" x14ac:dyDescent="0.25">
      <c r="D65" s="450" t="s">
        <v>14</v>
      </c>
      <c r="E65" s="374" t="s">
        <v>14</v>
      </c>
      <c r="F65" s="458"/>
      <c r="G65" s="459"/>
      <c r="H65" s="460"/>
      <c r="I65" s="460"/>
      <c r="J65" s="460"/>
      <c r="K65" s="460"/>
      <c r="L65" s="460"/>
    </row>
    <row r="66" spans="2:12" ht="12.95" customHeight="1" x14ac:dyDescent="0.25">
      <c r="B66" s="326" t="s">
        <v>50</v>
      </c>
      <c r="C66" s="327"/>
      <c r="D66" s="477">
        <f>+D64+D53+D62</f>
        <v>2901.0999999999995</v>
      </c>
      <c r="E66" s="329">
        <f t="shared" ref="E66:F66" si="16">+E64+E53+E62</f>
        <v>3402.7999999999993</v>
      </c>
      <c r="F66" s="329">
        <f t="shared" si="16"/>
        <v>3302.5000000000005</v>
      </c>
      <c r="G66" s="478">
        <f>+G64+G53+G62</f>
        <v>3517.8</v>
      </c>
      <c r="H66" s="329"/>
      <c r="I66" s="329"/>
      <c r="J66" s="329"/>
      <c r="K66" s="329"/>
      <c r="L66" s="329"/>
    </row>
    <row r="67" spans="2:12" ht="12.95" customHeight="1" x14ac:dyDescent="0.25">
      <c r="B67" s="448"/>
      <c r="C67" s="449"/>
      <c r="D67" s="457"/>
      <c r="E67" s="458"/>
      <c r="F67" s="458"/>
      <c r="G67" s="459"/>
      <c r="H67" s="460"/>
      <c r="I67" s="460"/>
      <c r="J67" s="460"/>
      <c r="K67" s="460"/>
      <c r="L67" s="460"/>
    </row>
    <row r="68" spans="2:12" ht="12.95" customHeight="1" x14ac:dyDescent="0.25">
      <c r="B68" s="448" t="s">
        <v>15</v>
      </c>
      <c r="C68" s="449"/>
      <c r="D68" s="450">
        <v>58.1</v>
      </c>
      <c r="E68" s="374">
        <v>58.1</v>
      </c>
      <c r="F68" s="374">
        <v>58.1</v>
      </c>
      <c r="G68" s="451">
        <v>58.1</v>
      </c>
      <c r="H68" s="452"/>
      <c r="I68" s="452"/>
      <c r="J68" s="452"/>
      <c r="K68" s="452"/>
      <c r="L68" s="452"/>
    </row>
    <row r="69" spans="2:12" ht="12.95" customHeight="1" x14ac:dyDescent="0.25">
      <c r="B69" s="448" t="s">
        <v>16</v>
      </c>
      <c r="C69" s="449"/>
      <c r="D69" s="450">
        <v>1305.5999999999999</v>
      </c>
      <c r="E69" s="374">
        <v>1370.8</v>
      </c>
      <c r="F69" s="374">
        <v>1333.6</v>
      </c>
      <c r="G69" s="451">
        <v>1516.8</v>
      </c>
      <c r="H69" s="452"/>
      <c r="I69" s="452"/>
      <c r="J69" s="452"/>
      <c r="K69" s="452"/>
      <c r="L69" s="452"/>
    </row>
    <row r="70" spans="2:12" ht="12.95" customHeight="1" x14ac:dyDescent="0.25">
      <c r="B70" s="359" t="s">
        <v>17</v>
      </c>
      <c r="C70" s="479"/>
      <c r="D70" s="480">
        <f t="shared" ref="D70:F70" si="17">SUM(D68:D69)</f>
        <v>1363.6999999999998</v>
      </c>
      <c r="E70" s="481">
        <f t="shared" si="17"/>
        <v>1428.8999999999999</v>
      </c>
      <c r="F70" s="481">
        <f t="shared" si="17"/>
        <v>1391.6999999999998</v>
      </c>
      <c r="G70" s="482">
        <f t="shared" ref="G70" si="18">SUM(G68:G69)</f>
        <v>1574.8999999999999</v>
      </c>
      <c r="H70" s="481"/>
      <c r="I70" s="481"/>
      <c r="J70" s="481"/>
      <c r="K70" s="481"/>
      <c r="L70" s="481"/>
    </row>
    <row r="71" spans="2:12" ht="5.0999999999999996" customHeight="1" x14ac:dyDescent="0.25">
      <c r="D71" s="450" t="s">
        <v>14</v>
      </c>
      <c r="E71" s="374" t="s">
        <v>14</v>
      </c>
      <c r="F71" s="458"/>
      <c r="G71" s="459"/>
      <c r="H71" s="460"/>
      <c r="I71" s="460"/>
      <c r="J71" s="460"/>
      <c r="K71" s="460"/>
      <c r="L71" s="460"/>
    </row>
    <row r="72" spans="2:12" ht="12.95" customHeight="1" x14ac:dyDescent="0.25">
      <c r="B72" s="448" t="s">
        <v>18</v>
      </c>
      <c r="C72" s="449"/>
      <c r="D72" s="450">
        <v>3.7</v>
      </c>
      <c r="E72" s="374">
        <v>4.2</v>
      </c>
      <c r="F72" s="374">
        <v>4.5</v>
      </c>
      <c r="G72" s="451">
        <v>5.0999999999999996</v>
      </c>
      <c r="H72" s="452"/>
      <c r="I72" s="452"/>
      <c r="J72" s="452"/>
      <c r="K72" s="452"/>
      <c r="L72" s="452"/>
    </row>
    <row r="73" spans="2:12" ht="12.95" customHeight="1" x14ac:dyDescent="0.25">
      <c r="B73" s="384" t="s">
        <v>19</v>
      </c>
      <c r="C73" s="453"/>
      <c r="D73" s="469">
        <f t="shared" ref="D73:F73" si="19">+D72+D70</f>
        <v>1367.3999999999999</v>
      </c>
      <c r="E73" s="389">
        <f t="shared" si="19"/>
        <v>1433.1</v>
      </c>
      <c r="F73" s="389">
        <f t="shared" si="19"/>
        <v>1396.1999999999998</v>
      </c>
      <c r="G73" s="470">
        <f t="shared" ref="G73" si="20">+G72+G70</f>
        <v>1579.9999999999998</v>
      </c>
      <c r="H73" s="389"/>
      <c r="I73" s="389"/>
      <c r="J73" s="389"/>
      <c r="K73" s="389"/>
      <c r="L73" s="389"/>
    </row>
    <row r="74" spans="2:12" ht="5.0999999999999996" customHeight="1" x14ac:dyDescent="0.25">
      <c r="D74" s="450" t="s">
        <v>14</v>
      </c>
      <c r="E74" s="374" t="s">
        <v>14</v>
      </c>
      <c r="F74" s="458"/>
      <c r="G74" s="459"/>
      <c r="H74" s="460"/>
      <c r="I74" s="460"/>
      <c r="J74" s="460"/>
      <c r="K74" s="460"/>
      <c r="L74" s="460"/>
    </row>
    <row r="75" spans="2:12" ht="12.95" customHeight="1" x14ac:dyDescent="0.25">
      <c r="B75" s="448" t="s">
        <v>20</v>
      </c>
      <c r="C75" s="449"/>
      <c r="D75" s="450">
        <v>787.8</v>
      </c>
      <c r="E75" s="374">
        <v>1178.2</v>
      </c>
      <c r="F75" s="374">
        <v>1127.0999999999999</v>
      </c>
      <c r="G75" s="451">
        <v>1086.9000000000001</v>
      </c>
      <c r="H75" s="452"/>
      <c r="I75" s="452"/>
      <c r="J75" s="452"/>
      <c r="K75" s="452"/>
      <c r="L75" s="452"/>
    </row>
    <row r="76" spans="2:12" ht="12.95" customHeight="1" x14ac:dyDescent="0.25">
      <c r="B76" s="448" t="s">
        <v>21</v>
      </c>
      <c r="C76" s="449"/>
      <c r="D76" s="450">
        <v>37.1</v>
      </c>
      <c r="E76" s="374">
        <v>35.200000000000003</v>
      </c>
      <c r="F76" s="374">
        <v>48.7</v>
      </c>
      <c r="G76" s="451">
        <v>25.8</v>
      </c>
      <c r="H76" s="452"/>
      <c r="I76" s="452"/>
      <c r="J76" s="452"/>
      <c r="K76" s="452"/>
      <c r="L76" s="452"/>
    </row>
    <row r="77" spans="2:12" ht="12.95" customHeight="1" x14ac:dyDescent="0.25">
      <c r="B77" s="448" t="s">
        <v>22</v>
      </c>
      <c r="C77" s="449"/>
      <c r="D77" s="450">
        <v>8.8000000000000007</v>
      </c>
      <c r="E77" s="374">
        <v>13</v>
      </c>
      <c r="F77" s="374">
        <v>8.6</v>
      </c>
      <c r="G77" s="451">
        <v>9.4</v>
      </c>
      <c r="H77" s="452"/>
      <c r="I77" s="452"/>
      <c r="J77" s="452"/>
      <c r="K77" s="452"/>
      <c r="L77" s="452"/>
    </row>
    <row r="78" spans="2:12" ht="12.95" customHeight="1" x14ac:dyDescent="0.25">
      <c r="B78" s="448" t="s">
        <v>23</v>
      </c>
      <c r="C78" s="449"/>
      <c r="D78" s="450">
        <v>7.1</v>
      </c>
      <c r="E78" s="374">
        <v>30.6</v>
      </c>
      <c r="F78" s="374">
        <v>32.4</v>
      </c>
      <c r="G78" s="451">
        <v>37.9</v>
      </c>
      <c r="H78" s="452"/>
      <c r="I78" s="452"/>
      <c r="J78" s="452"/>
      <c r="K78" s="452"/>
      <c r="L78" s="452"/>
    </row>
    <row r="79" spans="2:12" ht="12.95" customHeight="1" x14ac:dyDescent="0.25">
      <c r="B79" s="448" t="s">
        <v>24</v>
      </c>
      <c r="C79" s="449"/>
      <c r="D79" s="450">
        <v>144.4</v>
      </c>
      <c r="E79" s="374">
        <v>193.6</v>
      </c>
      <c r="F79" s="374">
        <v>204.7</v>
      </c>
      <c r="G79" s="451">
        <v>266.2</v>
      </c>
      <c r="H79" s="452"/>
      <c r="I79" s="452"/>
      <c r="J79" s="452"/>
      <c r="K79" s="452"/>
      <c r="L79" s="452"/>
    </row>
    <row r="80" spans="2:12" ht="12.95" customHeight="1" x14ac:dyDescent="0.25">
      <c r="B80" s="384" t="s">
        <v>25</v>
      </c>
      <c r="C80" s="453"/>
      <c r="D80" s="469">
        <f t="shared" ref="D80:F80" si="21">+SUM(D75:D79)</f>
        <v>985.19999999999993</v>
      </c>
      <c r="E80" s="389">
        <f t="shared" si="21"/>
        <v>1450.6</v>
      </c>
      <c r="F80" s="389">
        <f t="shared" si="21"/>
        <v>1421.5</v>
      </c>
      <c r="G80" s="470">
        <f t="shared" ref="G80" si="22">+SUM(G75:G79)</f>
        <v>1426.2000000000003</v>
      </c>
      <c r="H80" s="389"/>
      <c r="I80" s="389"/>
      <c r="J80" s="389"/>
      <c r="K80" s="389"/>
      <c r="L80" s="389"/>
    </row>
    <row r="81" spans="2:12" ht="5.0999999999999996" customHeight="1" x14ac:dyDescent="0.25">
      <c r="D81" s="450" t="s">
        <v>14</v>
      </c>
      <c r="E81" s="374" t="s">
        <v>14</v>
      </c>
      <c r="F81" s="458"/>
      <c r="G81" s="459"/>
      <c r="H81" s="460"/>
      <c r="I81" s="460"/>
      <c r="J81" s="460"/>
      <c r="K81" s="460"/>
      <c r="L81" s="460"/>
    </row>
    <row r="82" spans="2:12" ht="12.95" customHeight="1" x14ac:dyDescent="0.25">
      <c r="B82" s="448" t="s">
        <v>26</v>
      </c>
      <c r="C82" s="449"/>
      <c r="D82" s="450">
        <v>144.9</v>
      </c>
      <c r="E82" s="374">
        <v>121</v>
      </c>
      <c r="F82" s="374">
        <v>122.3</v>
      </c>
      <c r="G82" s="451">
        <v>36.700000000000003</v>
      </c>
      <c r="H82" s="452"/>
      <c r="I82" s="452"/>
      <c r="J82" s="452"/>
      <c r="K82" s="452"/>
      <c r="L82" s="452"/>
    </row>
    <row r="83" spans="2:12" ht="12.95" customHeight="1" x14ac:dyDescent="0.25">
      <c r="B83" s="448" t="s">
        <v>27</v>
      </c>
      <c r="C83" s="449"/>
      <c r="D83" s="450">
        <v>103.2</v>
      </c>
      <c r="E83" s="374">
        <v>34.9</v>
      </c>
      <c r="F83" s="374">
        <v>44.4</v>
      </c>
      <c r="G83" s="451">
        <v>117.4</v>
      </c>
      <c r="H83" s="452"/>
      <c r="I83" s="452"/>
      <c r="J83" s="452"/>
      <c r="K83" s="452"/>
      <c r="L83" s="452"/>
    </row>
    <row r="84" spans="2:12" ht="12.95" customHeight="1" x14ac:dyDescent="0.25">
      <c r="B84" s="448" t="s">
        <v>28</v>
      </c>
      <c r="C84" s="449"/>
      <c r="D84" s="450">
        <v>166.8</v>
      </c>
      <c r="E84" s="374">
        <v>211</v>
      </c>
      <c r="F84" s="374">
        <v>198.1</v>
      </c>
      <c r="G84" s="451">
        <v>223.2</v>
      </c>
      <c r="H84" s="452"/>
      <c r="I84" s="452"/>
      <c r="J84" s="452"/>
      <c r="K84" s="452"/>
      <c r="L84" s="452"/>
    </row>
    <row r="85" spans="2:12" ht="12.95" customHeight="1" x14ac:dyDescent="0.25">
      <c r="B85" s="448" t="s">
        <v>29</v>
      </c>
      <c r="C85" s="449"/>
      <c r="D85" s="450">
        <v>34.6</v>
      </c>
      <c r="E85" s="374">
        <v>16.3</v>
      </c>
      <c r="F85" s="374">
        <v>7.2</v>
      </c>
      <c r="G85" s="451">
        <v>4.9000000000000004</v>
      </c>
      <c r="H85" s="452"/>
      <c r="I85" s="452"/>
      <c r="J85" s="452"/>
      <c r="K85" s="452"/>
      <c r="L85" s="452"/>
    </row>
    <row r="86" spans="2:12" ht="12.95" customHeight="1" x14ac:dyDescent="0.25">
      <c r="B86" s="448" t="s">
        <v>30</v>
      </c>
      <c r="C86" s="449"/>
      <c r="D86" s="450">
        <f>98.9+0.0999999999994543</f>
        <v>98.99999999999946</v>
      </c>
      <c r="E86" s="374">
        <f>136-0.100000000000364</f>
        <v>135.89999999999964</v>
      </c>
      <c r="F86" s="374">
        <f>113.1-0.299999999999272</f>
        <v>112.80000000000072</v>
      </c>
      <c r="G86" s="451">
        <v>127.8</v>
      </c>
      <c r="H86" s="452"/>
      <c r="I86" s="452"/>
      <c r="J86" s="452"/>
      <c r="K86" s="452"/>
      <c r="L86" s="452"/>
    </row>
    <row r="87" spans="2:12" ht="12.95" customHeight="1" x14ac:dyDescent="0.25">
      <c r="B87" s="384" t="s">
        <v>31</v>
      </c>
      <c r="C87" s="453"/>
      <c r="D87" s="469">
        <f t="shared" ref="D87:F87" si="23">SUM(D82:D86)</f>
        <v>548.49999999999955</v>
      </c>
      <c r="E87" s="389">
        <f t="shared" si="23"/>
        <v>519.09999999999968</v>
      </c>
      <c r="F87" s="389">
        <f t="shared" si="23"/>
        <v>484.80000000000064</v>
      </c>
      <c r="G87" s="470">
        <f t="shared" ref="G87" si="24">SUM(G82:G86)</f>
        <v>510</v>
      </c>
      <c r="H87" s="389"/>
      <c r="I87" s="389"/>
      <c r="J87" s="389"/>
      <c r="K87" s="389"/>
      <c r="L87" s="389"/>
    </row>
    <row r="88" spans="2:12" ht="5.0999999999999996" customHeight="1" x14ac:dyDescent="0.25">
      <c r="D88" s="450" t="s">
        <v>14</v>
      </c>
      <c r="E88" s="374" t="s">
        <v>14</v>
      </c>
      <c r="F88" s="458"/>
      <c r="G88" s="459"/>
      <c r="H88" s="460"/>
      <c r="I88" s="460"/>
      <c r="J88" s="460"/>
      <c r="K88" s="460"/>
      <c r="L88" s="460"/>
    </row>
    <row r="89" spans="2:12" ht="12.95" customHeight="1" x14ac:dyDescent="0.25">
      <c r="B89" s="471" t="s">
        <v>282</v>
      </c>
      <c r="C89" s="472"/>
      <c r="D89" s="473">
        <v>0</v>
      </c>
      <c r="E89" s="474">
        <v>0</v>
      </c>
      <c r="F89" s="474">
        <v>0</v>
      </c>
      <c r="G89" s="475">
        <f>1.7-0.1</f>
        <v>1.5999999999999999</v>
      </c>
      <c r="H89" s="476"/>
      <c r="I89" s="476"/>
      <c r="J89" s="476"/>
      <c r="K89" s="476"/>
      <c r="L89" s="476"/>
    </row>
    <row r="90" spans="2:12" ht="5.0999999999999996" customHeight="1" x14ac:dyDescent="0.25">
      <c r="D90" s="450" t="s">
        <v>14</v>
      </c>
      <c r="E90" s="374" t="s">
        <v>14</v>
      </c>
      <c r="F90" s="458"/>
      <c r="G90" s="459"/>
      <c r="H90" s="460"/>
      <c r="I90" s="460"/>
      <c r="J90" s="460"/>
      <c r="K90" s="460"/>
      <c r="L90" s="460"/>
    </row>
    <row r="91" spans="2:12" ht="12.95" customHeight="1" x14ac:dyDescent="0.25">
      <c r="B91" s="326" t="s">
        <v>60</v>
      </c>
      <c r="C91" s="327"/>
      <c r="D91" s="477">
        <f>+D87+D80+D73+D89</f>
        <v>2901.0999999999995</v>
      </c>
      <c r="E91" s="329">
        <f>+E87+E80+E73+E89</f>
        <v>3402.7999999999993</v>
      </c>
      <c r="F91" s="329">
        <f>+F87+F80+F73+F89</f>
        <v>3302.5000000000005</v>
      </c>
      <c r="G91" s="478">
        <f>+G87+G80+G73+G89</f>
        <v>3517.7999999999997</v>
      </c>
      <c r="H91" s="329"/>
      <c r="I91" s="329"/>
      <c r="J91" s="329"/>
      <c r="K91" s="329"/>
      <c r="L91" s="329"/>
    </row>
    <row r="92" spans="2:12" ht="12.95" customHeight="1" x14ac:dyDescent="0.25">
      <c r="B92" s="448"/>
      <c r="C92" s="449"/>
      <c r="D92" s="457"/>
      <c r="E92" s="458"/>
      <c r="F92" s="458"/>
      <c r="G92" s="459"/>
      <c r="H92" s="460"/>
      <c r="I92" s="460"/>
      <c r="J92" s="460"/>
      <c r="K92" s="460"/>
      <c r="L92" s="460"/>
    </row>
    <row r="93" spans="2:12" ht="12.95" customHeight="1" x14ac:dyDescent="0.25">
      <c r="B93" s="289" t="s">
        <v>96</v>
      </c>
      <c r="C93" s="289"/>
      <c r="D93" s="464"/>
      <c r="E93" s="465"/>
      <c r="F93" s="465"/>
      <c r="G93" s="466"/>
      <c r="H93" s="483"/>
      <c r="I93" s="483"/>
      <c r="J93" s="483"/>
      <c r="K93" s="483"/>
      <c r="L93" s="483"/>
    </row>
    <row r="94" spans="2:12" ht="5.0999999999999996" customHeight="1" x14ac:dyDescent="0.25">
      <c r="D94" s="457"/>
      <c r="E94" s="458"/>
      <c r="F94" s="458"/>
      <c r="G94" s="459"/>
      <c r="H94" s="460"/>
      <c r="I94" s="460"/>
      <c r="J94" s="460"/>
      <c r="K94" s="460"/>
      <c r="L94" s="460"/>
    </row>
    <row r="95" spans="2:12" ht="12.95" customHeight="1" x14ac:dyDescent="0.25">
      <c r="B95" s="484" t="s">
        <v>283</v>
      </c>
      <c r="C95" s="485"/>
      <c r="D95" s="450"/>
      <c r="E95" s="374"/>
      <c r="F95" s="378">
        <v>0.52500000000000002</v>
      </c>
      <c r="G95" s="486">
        <v>0.50800000000000001</v>
      </c>
      <c r="H95" s="458"/>
      <c r="I95" s="458"/>
      <c r="J95" s="458"/>
      <c r="K95" s="458"/>
      <c r="L95" s="458"/>
    </row>
    <row r="96" spans="2:12" ht="12.95" customHeight="1" x14ac:dyDescent="0.25">
      <c r="B96" s="484" t="s">
        <v>284</v>
      </c>
      <c r="C96" s="485"/>
      <c r="D96" s="487"/>
      <c r="E96" s="488"/>
      <c r="F96" s="378">
        <v>0.14699999999999999</v>
      </c>
      <c r="G96" s="486">
        <v>0.16200000000000001</v>
      </c>
      <c r="H96" s="458"/>
      <c r="I96" s="458"/>
      <c r="J96" s="458"/>
      <c r="K96" s="458"/>
      <c r="L96" s="458"/>
    </row>
    <row r="97" spans="2:12" ht="12.95" customHeight="1" x14ac:dyDescent="0.25">
      <c r="B97" s="484" t="s">
        <v>285</v>
      </c>
      <c r="C97" s="485"/>
      <c r="D97" s="457"/>
      <c r="E97" s="458"/>
      <c r="F97" s="488">
        <f>1-F95-F96</f>
        <v>0.32799999999999996</v>
      </c>
      <c r="G97" s="489">
        <f>1-G95-G96</f>
        <v>0.32999999999999996</v>
      </c>
      <c r="H97" s="458"/>
      <c r="I97" s="458"/>
      <c r="J97" s="458"/>
      <c r="K97" s="458"/>
      <c r="L97" s="458"/>
    </row>
    <row r="98" spans="2:12" ht="12.95" customHeight="1" x14ac:dyDescent="0.25">
      <c r="B98" s="484"/>
      <c r="C98" s="485"/>
      <c r="D98" s="457"/>
      <c r="E98" s="458"/>
      <c r="F98" s="378"/>
      <c r="G98" s="486"/>
      <c r="H98" s="458"/>
      <c r="I98" s="458"/>
      <c r="J98" s="458"/>
      <c r="K98" s="458"/>
      <c r="L98" s="458"/>
    </row>
    <row r="99" spans="2:12" ht="12.95" customHeight="1" x14ac:dyDescent="0.25">
      <c r="B99" s="484" t="s">
        <v>283</v>
      </c>
      <c r="C99" s="485"/>
      <c r="D99" s="457"/>
      <c r="E99" s="458"/>
      <c r="F99" s="490">
        <f t="shared" ref="F99" si="25">+F95*F$10</f>
        <v>800.15250000000003</v>
      </c>
      <c r="G99" s="491">
        <f>+G95*G$10</f>
        <v>792.48</v>
      </c>
      <c r="H99" s="458"/>
      <c r="I99" s="458"/>
      <c r="J99" s="458"/>
      <c r="K99" s="458"/>
      <c r="L99" s="458"/>
    </row>
    <row r="100" spans="2:12" ht="12.95" customHeight="1" x14ac:dyDescent="0.25">
      <c r="B100" s="484" t="s">
        <v>284</v>
      </c>
      <c r="C100" s="485"/>
      <c r="D100" s="457"/>
      <c r="E100" s="458"/>
      <c r="F100" s="490">
        <f t="shared" ref="F100:G100" si="26">+F96*F$10</f>
        <v>224.04269999999997</v>
      </c>
      <c r="G100" s="491">
        <f t="shared" si="26"/>
        <v>252.72</v>
      </c>
      <c r="H100" s="458"/>
      <c r="I100" s="458"/>
      <c r="J100" s="458"/>
      <c r="K100" s="458"/>
      <c r="L100" s="458"/>
    </row>
    <row r="101" spans="2:12" ht="12.95" customHeight="1" x14ac:dyDescent="0.25">
      <c r="B101" s="484" t="s">
        <v>285</v>
      </c>
      <c r="C101" s="485"/>
      <c r="D101" s="457"/>
      <c r="E101" s="458"/>
      <c r="F101" s="490">
        <f t="shared" ref="F101:G101" si="27">+F97*F$10</f>
        <v>499.90479999999991</v>
      </c>
      <c r="G101" s="491">
        <f t="shared" si="27"/>
        <v>514.79999999999995</v>
      </c>
      <c r="H101" s="458"/>
      <c r="I101" s="458"/>
      <c r="J101" s="458"/>
      <c r="K101" s="458"/>
      <c r="L101" s="458"/>
    </row>
    <row r="102" spans="2:12" ht="12.95" customHeight="1" x14ac:dyDescent="0.25">
      <c r="B102" s="492"/>
      <c r="C102" s="485"/>
      <c r="D102" s="457"/>
      <c r="E102" s="458"/>
      <c r="F102" s="488"/>
      <c r="G102" s="489"/>
      <c r="H102" s="458"/>
      <c r="I102" s="458"/>
      <c r="J102" s="458"/>
      <c r="K102" s="458"/>
      <c r="L102" s="458"/>
    </row>
    <row r="103" spans="2:12" ht="12.95" customHeight="1" x14ac:dyDescent="0.25">
      <c r="B103" s="492"/>
      <c r="C103" s="485"/>
      <c r="D103" s="457"/>
      <c r="E103" s="458"/>
      <c r="F103" s="488"/>
      <c r="G103" s="489"/>
      <c r="H103" s="458"/>
      <c r="I103" s="458"/>
      <c r="J103" s="458"/>
      <c r="K103" s="458"/>
      <c r="L103" s="458"/>
    </row>
    <row r="104" spans="2:12" ht="12.95" customHeight="1" x14ac:dyDescent="0.25">
      <c r="B104" s="492"/>
      <c r="C104" s="485"/>
      <c r="D104" s="457"/>
      <c r="E104" s="458"/>
      <c r="F104" s="378"/>
      <c r="G104" s="486"/>
      <c r="H104" s="458"/>
      <c r="I104" s="458"/>
      <c r="J104" s="458"/>
      <c r="K104" s="458"/>
      <c r="L104" s="458"/>
    </row>
    <row r="105" spans="2:12" ht="12.95" customHeight="1" x14ac:dyDescent="0.25">
      <c r="B105" s="492"/>
      <c r="C105" s="485"/>
      <c r="D105" s="457"/>
      <c r="E105" s="458"/>
      <c r="F105" s="488"/>
      <c r="G105" s="489"/>
      <c r="H105" s="458"/>
      <c r="I105" s="458"/>
      <c r="J105" s="458"/>
      <c r="K105" s="458"/>
      <c r="L105" s="458"/>
    </row>
    <row r="106" spans="2:12" ht="12.95" customHeight="1" x14ac:dyDescent="0.25">
      <c r="B106" s="492"/>
      <c r="C106" s="485"/>
      <c r="D106" s="457"/>
      <c r="E106" s="458"/>
      <c r="F106" s="458"/>
      <c r="G106" s="459"/>
      <c r="H106" s="458"/>
      <c r="I106" s="458"/>
      <c r="J106" s="458"/>
      <c r="K106" s="458"/>
      <c r="L106" s="458"/>
    </row>
    <row r="107" spans="2:12" ht="12.95" customHeight="1" x14ac:dyDescent="0.25">
      <c r="B107" s="492"/>
      <c r="C107" s="485"/>
      <c r="D107" s="457"/>
      <c r="E107" s="488"/>
      <c r="F107" s="488"/>
      <c r="G107" s="489"/>
      <c r="H107" s="458"/>
      <c r="I107" s="458"/>
      <c r="J107" s="458"/>
      <c r="K107" s="458"/>
      <c r="L107" s="458"/>
    </row>
    <row r="108" spans="2:12" ht="12.95" customHeight="1" x14ac:dyDescent="0.25">
      <c r="B108" s="492"/>
      <c r="C108" s="485"/>
      <c r="D108" s="457"/>
      <c r="E108" s="458"/>
      <c r="F108" s="458"/>
      <c r="G108" s="459"/>
      <c r="H108" s="458"/>
      <c r="I108" s="458"/>
      <c r="J108" s="458"/>
      <c r="K108" s="458"/>
      <c r="L108" s="458"/>
    </row>
    <row r="109" spans="2:12" ht="12.95" customHeight="1" x14ac:dyDescent="0.25">
      <c r="B109" s="492"/>
      <c r="C109" s="485"/>
      <c r="D109" s="457"/>
      <c r="E109" s="458"/>
      <c r="F109" s="458"/>
      <c r="G109" s="459"/>
      <c r="H109" s="458"/>
      <c r="I109" s="458"/>
      <c r="J109" s="458"/>
      <c r="K109" s="458"/>
      <c r="L109" s="458"/>
    </row>
    <row r="110" spans="2:12" ht="12.95" customHeight="1" x14ac:dyDescent="0.25">
      <c r="B110" s="492"/>
      <c r="C110" s="485"/>
      <c r="D110" s="457"/>
      <c r="E110" s="458"/>
      <c r="F110" s="458"/>
      <c r="G110" s="459"/>
      <c r="H110" s="458"/>
      <c r="I110" s="458"/>
      <c r="J110" s="458"/>
      <c r="K110" s="458"/>
      <c r="L110" s="458"/>
    </row>
    <row r="111" spans="2:12" ht="12.95" customHeight="1" x14ac:dyDescent="0.25">
      <c r="B111" s="492"/>
      <c r="C111" s="485"/>
      <c r="D111" s="457"/>
      <c r="E111" s="488"/>
      <c r="F111" s="488"/>
      <c r="G111" s="489"/>
      <c r="H111" s="458"/>
      <c r="I111" s="458"/>
      <c r="J111" s="458"/>
      <c r="K111" s="458"/>
      <c r="L111" s="458"/>
    </row>
    <row r="112" spans="2:12" ht="12.95" customHeight="1" x14ac:dyDescent="0.25">
      <c r="B112" s="492"/>
      <c r="C112" s="485"/>
      <c r="D112" s="457"/>
      <c r="E112" s="458"/>
      <c r="F112" s="458"/>
      <c r="G112" s="459"/>
      <c r="H112" s="458"/>
      <c r="I112" s="458"/>
      <c r="J112" s="458"/>
      <c r="K112" s="458"/>
      <c r="L112" s="458"/>
    </row>
    <row r="113" spans="2:12" ht="12.95" customHeight="1" x14ac:dyDescent="0.25">
      <c r="B113" s="492"/>
      <c r="C113" s="485"/>
      <c r="D113" s="457"/>
      <c r="E113" s="458"/>
      <c r="F113" s="458"/>
      <c r="G113" s="459"/>
      <c r="H113" s="458"/>
      <c r="I113" s="458"/>
      <c r="J113" s="458"/>
      <c r="K113" s="458"/>
      <c r="L113" s="458"/>
    </row>
    <row r="114" spans="2:12" ht="12.95" customHeight="1" x14ac:dyDescent="0.25">
      <c r="B114" s="492"/>
      <c r="C114" s="485"/>
      <c r="D114" s="457"/>
      <c r="E114" s="458"/>
      <c r="F114" s="458"/>
      <c r="G114" s="459"/>
      <c r="H114" s="458"/>
      <c r="I114" s="458"/>
      <c r="J114" s="458"/>
      <c r="K114" s="458"/>
      <c r="L114" s="458"/>
    </row>
    <row r="115" spans="2:12" ht="12.95" customHeight="1" x14ac:dyDescent="0.25">
      <c r="B115" s="492"/>
      <c r="C115" s="485"/>
      <c r="D115" s="457"/>
      <c r="E115" s="488"/>
      <c r="F115" s="488"/>
      <c r="G115" s="489"/>
      <c r="H115" s="458"/>
      <c r="I115" s="458"/>
      <c r="J115" s="458"/>
      <c r="K115" s="458"/>
      <c r="L115" s="458"/>
    </row>
    <row r="116" spans="2:12" ht="12.95" customHeight="1" x14ac:dyDescent="0.25">
      <c r="B116" s="492"/>
      <c r="C116" s="485"/>
      <c r="D116" s="457"/>
      <c r="E116" s="458"/>
      <c r="F116" s="458"/>
      <c r="G116" s="459"/>
      <c r="H116" s="458"/>
      <c r="I116" s="458"/>
      <c r="J116" s="458"/>
      <c r="K116" s="458"/>
      <c r="L116" s="458"/>
    </row>
    <row r="117" spans="2:12" ht="12.95" customHeight="1" x14ac:dyDescent="0.25">
      <c r="B117" s="492"/>
      <c r="C117" s="485"/>
      <c r="D117" s="457"/>
      <c r="E117" s="458"/>
      <c r="F117" s="458"/>
      <c r="G117" s="459"/>
      <c r="H117" s="458"/>
      <c r="I117" s="458"/>
      <c r="J117" s="458"/>
      <c r="K117" s="458"/>
      <c r="L117" s="458"/>
    </row>
    <row r="118" spans="2:12" ht="12.95" customHeight="1" x14ac:dyDescent="0.25">
      <c r="B118" s="492"/>
      <c r="C118" s="485"/>
      <c r="D118" s="457"/>
      <c r="E118" s="458"/>
      <c r="F118" s="458"/>
      <c r="G118" s="459"/>
      <c r="H118" s="458"/>
      <c r="I118" s="458"/>
      <c r="J118" s="458"/>
      <c r="K118" s="458"/>
      <c r="L118" s="458"/>
    </row>
    <row r="119" spans="2:12" ht="12.95" customHeight="1" x14ac:dyDescent="0.25">
      <c r="B119" s="492"/>
      <c r="C119" s="485"/>
      <c r="D119" s="457"/>
      <c r="E119" s="488"/>
      <c r="F119" s="488"/>
      <c r="G119" s="489"/>
      <c r="H119" s="458"/>
      <c r="I119" s="458"/>
      <c r="J119" s="458"/>
      <c r="K119" s="458"/>
      <c r="L119" s="458"/>
    </row>
    <row r="120" spans="2:12" ht="12.95" customHeight="1" x14ac:dyDescent="0.25">
      <c r="B120" s="492"/>
      <c r="C120" s="485"/>
      <c r="D120" s="457"/>
      <c r="E120" s="458"/>
      <c r="F120" s="458"/>
      <c r="G120" s="459"/>
      <c r="H120" s="458"/>
      <c r="I120" s="458"/>
      <c r="J120" s="458"/>
      <c r="K120" s="458"/>
      <c r="L120" s="458"/>
    </row>
    <row r="121" spans="2:12" ht="12.95" customHeight="1" x14ac:dyDescent="0.25">
      <c r="B121" s="492"/>
      <c r="C121" s="485"/>
      <c r="D121" s="457"/>
      <c r="E121" s="458"/>
      <c r="F121" s="458"/>
      <c r="G121" s="459"/>
      <c r="H121" s="458"/>
      <c r="I121" s="458"/>
      <c r="J121" s="458"/>
      <c r="K121" s="458"/>
      <c r="L121" s="458"/>
    </row>
    <row r="122" spans="2:12" ht="12.95" customHeight="1" x14ac:dyDescent="0.25">
      <c r="B122" s="492"/>
      <c r="C122" s="485"/>
      <c r="D122" s="458"/>
      <c r="E122" s="458"/>
      <c r="F122" s="458"/>
      <c r="G122" s="458"/>
      <c r="H122" s="458"/>
      <c r="I122" s="458"/>
      <c r="J122" s="458"/>
      <c r="K122" s="458"/>
      <c r="L122" s="458"/>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142"/>
  <sheetViews>
    <sheetView showGridLines="0" zoomScaleNormal="100" workbookViewId="0">
      <pane xSplit="3" ySplit="6" topLeftCell="D79" activePane="bottomRight" state="frozen"/>
      <selection activeCell="C1" sqref="C1"/>
      <selection pane="topRight" activeCell="C1" sqref="C1"/>
      <selection pane="bottomLeft" activeCell="C1" sqref="C1"/>
      <selection pane="bottomRight" activeCell="D72" sqref="D72"/>
    </sheetView>
  </sheetViews>
  <sheetFormatPr defaultColWidth="13.83203125" defaultRowHeight="12.95" customHeight="1" x14ac:dyDescent="0.2"/>
  <cols>
    <col min="2" max="2" width="50" customWidth="1"/>
    <col min="3" max="3" width="10.33203125" bestFit="1" customWidth="1"/>
  </cols>
  <sheetData>
    <row r="1" spans="2:13" ht="12.95" customHeight="1" x14ac:dyDescent="0.25">
      <c r="B1" s="7"/>
      <c r="D1" s="43"/>
      <c r="H1" s="43"/>
      <c r="K1" s="43"/>
      <c r="M1" s="43"/>
    </row>
    <row r="2" spans="2:13" ht="20.100000000000001" customHeight="1" x14ac:dyDescent="0.2">
      <c r="B2" s="9" t="s">
        <v>52</v>
      </c>
      <c r="C2" s="8"/>
      <c r="D2" s="44"/>
      <c r="E2" s="8"/>
      <c r="F2" s="8"/>
      <c r="G2" s="8"/>
      <c r="H2" s="44"/>
      <c r="I2" s="8"/>
      <c r="J2" s="8"/>
      <c r="K2" s="44"/>
      <c r="L2" s="8"/>
      <c r="M2" s="44"/>
    </row>
    <row r="3" spans="2:13" ht="12.95" customHeight="1" x14ac:dyDescent="0.2">
      <c r="B3" s="10"/>
      <c r="C3" s="8"/>
      <c r="D3" s="40" t="s">
        <v>98</v>
      </c>
      <c r="E3" s="39"/>
      <c r="F3" s="39"/>
      <c r="G3" s="39"/>
      <c r="H3" s="40" t="s">
        <v>99</v>
      </c>
      <c r="I3" s="38"/>
      <c r="J3" s="38"/>
      <c r="K3" s="38"/>
      <c r="L3" s="38"/>
    </row>
    <row r="4" spans="2:13" ht="5.0999999999999996" customHeight="1" x14ac:dyDescent="0.2">
      <c r="D4" s="43"/>
      <c r="H4" s="43"/>
    </row>
    <row r="5" spans="2:13" ht="15" customHeight="1" x14ac:dyDescent="0.2">
      <c r="B5" s="1"/>
      <c r="C5" s="13" t="s">
        <v>2</v>
      </c>
      <c r="D5" s="41">
        <v>40908</v>
      </c>
      <c r="E5" s="42">
        <f t="shared" ref="E5:L5" si="0">+EOMONTH(D5,12)</f>
        <v>41274</v>
      </c>
      <c r="F5" s="42">
        <f t="shared" si="0"/>
        <v>41639</v>
      </c>
      <c r="G5" s="42">
        <f t="shared" si="0"/>
        <v>42004</v>
      </c>
      <c r="H5" s="37">
        <f t="shared" si="0"/>
        <v>42369</v>
      </c>
      <c r="I5" s="2">
        <f t="shared" si="0"/>
        <v>42735</v>
      </c>
      <c r="J5" s="2">
        <f t="shared" si="0"/>
        <v>43100</v>
      </c>
      <c r="K5" s="2">
        <f t="shared" si="0"/>
        <v>43465</v>
      </c>
      <c r="L5" s="2">
        <f t="shared" si="0"/>
        <v>43830</v>
      </c>
      <c r="M5" s="85" t="s">
        <v>183</v>
      </c>
    </row>
    <row r="6" spans="2:13" s="45" customFormat="1" ht="5.0999999999999996" customHeight="1" x14ac:dyDescent="0.2"/>
    <row r="7" spans="2:13" s="45" customFormat="1" ht="5.0999999999999996" customHeight="1" x14ac:dyDescent="0.2"/>
    <row r="8" spans="2:13" s="45" customFormat="1" ht="12.95" customHeight="1" x14ac:dyDescent="0.2">
      <c r="B8" s="46" t="s">
        <v>52</v>
      </c>
      <c r="C8" s="46"/>
      <c r="D8" s="176"/>
      <c r="E8" s="177"/>
      <c r="F8" s="177"/>
      <c r="G8" s="178"/>
      <c r="H8" s="46"/>
      <c r="I8" s="46"/>
      <c r="J8" s="46"/>
      <c r="K8" s="46"/>
      <c r="L8" s="46"/>
      <c r="M8" s="46"/>
    </row>
    <row r="9" spans="2:13" ht="5.0999999999999996" customHeight="1" x14ac:dyDescent="0.2">
      <c r="D9" s="43"/>
      <c r="E9" s="45"/>
      <c r="F9" s="45"/>
      <c r="G9" s="164"/>
      <c r="L9" s="45"/>
    </row>
    <row r="10" spans="2:13" ht="12.95" customHeight="1" x14ac:dyDescent="0.2">
      <c r="B10" s="16" t="s">
        <v>61</v>
      </c>
      <c r="C10" s="17"/>
      <c r="D10" s="179">
        <f>+Originals!D10</f>
        <v>1274.2</v>
      </c>
      <c r="E10" s="180">
        <f>+Originals!E10</f>
        <v>1340.8</v>
      </c>
      <c r="F10" s="180">
        <f>+Originals!F10</f>
        <v>1524.1</v>
      </c>
      <c r="G10" s="181">
        <f>+Originals!G10</f>
        <v>1560</v>
      </c>
      <c r="H10" s="60"/>
      <c r="I10" s="60"/>
      <c r="J10" s="60"/>
      <c r="K10" s="60"/>
      <c r="L10" s="60"/>
      <c r="M10" s="60"/>
    </row>
    <row r="11" spans="2:13" ht="12.95" customHeight="1" x14ac:dyDescent="0.2">
      <c r="B11" s="22" t="s">
        <v>72</v>
      </c>
      <c r="C11" s="23"/>
      <c r="D11" s="182"/>
      <c r="E11" s="183">
        <f>+E10/D10-1</f>
        <v>5.2268089781823734E-2</v>
      </c>
      <c r="F11" s="183">
        <f>+F10/E10-1</f>
        <v>0.13670942720763724</v>
      </c>
      <c r="G11" s="184">
        <f>+G10/F10-1</f>
        <v>2.3554884850075508E-2</v>
      </c>
      <c r="H11" s="64"/>
      <c r="I11" s="64"/>
      <c r="J11" s="64"/>
      <c r="K11" s="64"/>
      <c r="L11" s="64"/>
      <c r="M11" s="64"/>
    </row>
    <row r="12" spans="2:13" ht="5.0999999999999996" customHeight="1" x14ac:dyDescent="0.2">
      <c r="D12" s="43"/>
      <c r="E12" s="45"/>
      <c r="F12" s="45"/>
      <c r="G12" s="164"/>
    </row>
    <row r="13" spans="2:13" ht="12.95" customHeight="1" x14ac:dyDescent="0.2">
      <c r="B13" s="18" t="s">
        <v>62</v>
      </c>
      <c r="C13" s="19"/>
      <c r="D13" s="185">
        <f>+Originals!D34</f>
        <v>-386.5</v>
      </c>
      <c r="E13" s="186">
        <f>+Originals!E34</f>
        <v>-401.5</v>
      </c>
      <c r="F13" s="186">
        <f>+Originals!F34</f>
        <v>-489.1</v>
      </c>
      <c r="G13" s="187">
        <f>+Originals!G34</f>
        <v>-485.8</v>
      </c>
      <c r="H13" s="56"/>
      <c r="I13" s="56"/>
      <c r="J13" s="56"/>
      <c r="K13" s="56"/>
      <c r="L13" s="56"/>
      <c r="M13" s="56"/>
    </row>
    <row r="14" spans="2:13" ht="12.95" customHeight="1" x14ac:dyDescent="0.2">
      <c r="B14" s="18" t="s">
        <v>4</v>
      </c>
      <c r="C14" s="19"/>
      <c r="D14" s="185">
        <f>+Originals!D14</f>
        <v>-229.1</v>
      </c>
      <c r="E14" s="186">
        <f>+Originals!E14</f>
        <v>-237.2</v>
      </c>
      <c r="F14" s="186">
        <f>+Originals!F14</f>
        <v>-249.2</v>
      </c>
      <c r="G14" s="187">
        <f>+Originals!G14</f>
        <v>-260.8</v>
      </c>
      <c r="H14" s="56"/>
      <c r="I14" s="56"/>
      <c r="J14" s="56"/>
      <c r="K14" s="56"/>
      <c r="L14" s="56"/>
      <c r="M14" s="56"/>
    </row>
    <row r="15" spans="2:13" ht="12.95" customHeight="1" x14ac:dyDescent="0.2">
      <c r="B15" s="18" t="s">
        <v>63</v>
      </c>
      <c r="C15" s="19"/>
      <c r="D15" s="185">
        <f>+Originals!D37</f>
        <v>-7.7</v>
      </c>
      <c r="E15" s="186">
        <f>+Originals!E37</f>
        <v>-8.5</v>
      </c>
      <c r="F15" s="186">
        <f>+Originals!F37</f>
        <v>-10.7</v>
      </c>
      <c r="G15" s="187">
        <f>+Originals!G37</f>
        <v>-11.2</v>
      </c>
      <c r="H15" s="56"/>
      <c r="I15" s="56"/>
      <c r="J15" s="56"/>
      <c r="K15" s="56"/>
      <c r="L15" s="56"/>
      <c r="M15" s="56"/>
    </row>
    <row r="16" spans="2:13" ht="12.95" customHeight="1" x14ac:dyDescent="0.2">
      <c r="B16" s="18" t="s">
        <v>64</v>
      </c>
      <c r="C16" s="19"/>
      <c r="D16" s="185">
        <f>+Originals!D35</f>
        <v>-149.4</v>
      </c>
      <c r="E16" s="186">
        <f>+Originals!E35</f>
        <v>-160.4</v>
      </c>
      <c r="F16" s="186">
        <f>+Originals!F35</f>
        <v>-200.4</v>
      </c>
      <c r="G16" s="187">
        <f>+Originals!G35</f>
        <v>-215.5</v>
      </c>
      <c r="H16" s="56"/>
      <c r="I16" s="56"/>
      <c r="J16" s="56"/>
      <c r="K16" s="56"/>
      <c r="L16" s="56"/>
      <c r="M16" s="56"/>
    </row>
    <row r="17" spans="2:13" ht="12.95" customHeight="1" x14ac:dyDescent="0.2">
      <c r="B17" s="18" t="s">
        <v>95</v>
      </c>
      <c r="C17" s="19"/>
      <c r="D17" s="185">
        <f>+Originals!D11+Originals!D14+Originals!D17-SUM(D13:D16)-Originals!D36</f>
        <v>-172.49999999999994</v>
      </c>
      <c r="E17" s="186">
        <f>+Originals!E11+Originals!E14+Originals!E17-SUM(E13:E16)-Originals!E36</f>
        <v>-195.90000000000003</v>
      </c>
      <c r="F17" s="186">
        <f>+Originals!F11+Originals!F14+Originals!F17-SUM(F13:F16)-Originals!F36</f>
        <v>-235.50000000000003</v>
      </c>
      <c r="G17" s="187">
        <f>+Originals!G11+Originals!G14+Originals!G17-SUM(G13:G16)-Originals!G36</f>
        <v>-249.09999999999988</v>
      </c>
      <c r="H17" s="56"/>
      <c r="I17" s="56"/>
      <c r="J17" s="56"/>
      <c r="K17" s="56"/>
      <c r="L17" s="56"/>
      <c r="M17" s="56"/>
    </row>
    <row r="18" spans="2:13" ht="12.95" customHeight="1" x14ac:dyDescent="0.2">
      <c r="B18" s="20" t="s">
        <v>13</v>
      </c>
      <c r="C18" s="21"/>
      <c r="D18" s="188">
        <f>+D10+SUM(D13:D17)</f>
        <v>329</v>
      </c>
      <c r="E18" s="57">
        <f>+E10+SUM(E13:E17)</f>
        <v>337.29999999999995</v>
      </c>
      <c r="F18" s="57">
        <f>+F10+SUM(F13:F17)</f>
        <v>339.19999999999982</v>
      </c>
      <c r="G18" s="189">
        <f>+G10+SUM(G13:G17)</f>
        <v>337.60000000000014</v>
      </c>
      <c r="H18" s="57"/>
      <c r="I18" s="57"/>
      <c r="J18" s="57"/>
      <c r="K18" s="57"/>
      <c r="L18" s="57"/>
      <c r="M18" s="57"/>
    </row>
    <row r="19" spans="2:13" ht="12.95" customHeight="1" x14ac:dyDescent="0.2">
      <c r="B19" s="22" t="s">
        <v>0</v>
      </c>
      <c r="C19" s="23"/>
      <c r="D19" s="190">
        <f>+D18/D$10</f>
        <v>0.25820122429759851</v>
      </c>
      <c r="E19" s="191">
        <f>+E18/E$10</f>
        <v>0.25156622911694509</v>
      </c>
      <c r="F19" s="191">
        <f>+F18/F$10</f>
        <v>0.22255757496227271</v>
      </c>
      <c r="G19" s="192">
        <f>+G18/G$10</f>
        <v>0.21641025641025649</v>
      </c>
      <c r="H19" s="65"/>
      <c r="I19" s="65"/>
      <c r="J19" s="65"/>
      <c r="K19" s="65"/>
      <c r="L19" s="65"/>
      <c r="M19" s="65"/>
    </row>
    <row r="20" spans="2:13" ht="5.0999999999999996" customHeight="1" x14ac:dyDescent="0.2">
      <c r="D20" s="43"/>
      <c r="E20" s="45"/>
      <c r="F20" s="45"/>
      <c r="G20" s="164"/>
    </row>
    <row r="21" spans="2:13" ht="12.95" customHeight="1" x14ac:dyDescent="0.2">
      <c r="B21" s="18" t="s">
        <v>65</v>
      </c>
      <c r="C21" s="19"/>
      <c r="D21" s="185">
        <f>+Originals!D36</f>
        <v>-30.3</v>
      </c>
      <c r="E21" s="186">
        <f>+Originals!E36</f>
        <v>-32.700000000000003</v>
      </c>
      <c r="F21" s="186">
        <f>+Originals!F36</f>
        <v>-39.6</v>
      </c>
      <c r="G21" s="187">
        <f>+Originals!G36</f>
        <v>-39.4</v>
      </c>
      <c r="H21" s="56"/>
      <c r="I21" s="56"/>
      <c r="J21" s="56"/>
      <c r="K21" s="56"/>
      <c r="L21" s="56"/>
      <c r="M21" s="56"/>
    </row>
    <row r="22" spans="2:13" ht="12.95" customHeight="1" x14ac:dyDescent="0.2">
      <c r="B22" s="20" t="s">
        <v>66</v>
      </c>
      <c r="C22" s="21"/>
      <c r="D22" s="188">
        <f>+D18+D21</f>
        <v>298.7</v>
      </c>
      <c r="E22" s="57">
        <f>+E18+E21</f>
        <v>304.59999999999997</v>
      </c>
      <c r="F22" s="57">
        <f>+F18+F21</f>
        <v>299.5999999999998</v>
      </c>
      <c r="G22" s="189">
        <f>+G18+G21</f>
        <v>298.20000000000016</v>
      </c>
      <c r="H22" s="57"/>
      <c r="I22" s="57"/>
      <c r="J22" s="57"/>
      <c r="K22" s="57"/>
      <c r="L22" s="57"/>
      <c r="M22" s="57"/>
    </row>
    <row r="23" spans="2:13" ht="12.95" customHeight="1" x14ac:dyDescent="0.2">
      <c r="B23" s="22" t="s">
        <v>0</v>
      </c>
      <c r="C23" s="23"/>
      <c r="D23" s="190">
        <f>+D22/D$10</f>
        <v>0.23442159786532724</v>
      </c>
      <c r="E23" s="191">
        <f>+E22/E$10</f>
        <v>0.2271778042959427</v>
      </c>
      <c r="F23" s="191">
        <f>+F22/F$10</f>
        <v>0.19657502788530923</v>
      </c>
      <c r="G23" s="192">
        <f>+G22/G$10</f>
        <v>0.19115384615384626</v>
      </c>
      <c r="H23" s="65"/>
      <c r="I23" s="65"/>
      <c r="J23" s="65"/>
      <c r="K23" s="65"/>
      <c r="L23" s="65"/>
      <c r="M23" s="65"/>
    </row>
    <row r="24" spans="2:13" ht="5.0999999999999996" customHeight="1" x14ac:dyDescent="0.2">
      <c r="D24" s="43"/>
      <c r="E24" s="45"/>
      <c r="F24" s="45"/>
      <c r="G24" s="164"/>
    </row>
    <row r="25" spans="2:13" ht="12.95" customHeight="1" x14ac:dyDescent="0.2">
      <c r="B25" s="18" t="s">
        <v>73</v>
      </c>
      <c r="C25" s="19"/>
      <c r="D25" s="185">
        <f>+Originals!D23+Originals!D26</f>
        <v>-42.7</v>
      </c>
      <c r="E25" s="186">
        <f>+Originals!E23+Originals!E26</f>
        <v>-48.800000000000004</v>
      </c>
      <c r="F25" s="186">
        <f>+Originals!F23+Originals!F26</f>
        <v>-58.699999999999996</v>
      </c>
      <c r="G25" s="187">
        <f>+Originals!G23+Originals!G26</f>
        <v>-59.8</v>
      </c>
      <c r="H25" s="56"/>
      <c r="I25" s="56"/>
      <c r="J25" s="56"/>
      <c r="K25" s="56"/>
      <c r="L25" s="56"/>
      <c r="M25" s="56"/>
    </row>
    <row r="26" spans="2:13" ht="12.95" customHeight="1" x14ac:dyDescent="0.2">
      <c r="B26" s="18" t="s">
        <v>9</v>
      </c>
      <c r="C26" s="19"/>
      <c r="D26" s="185">
        <f>+Originals!D25</f>
        <v>-0.4</v>
      </c>
      <c r="E26" s="186">
        <f>+Originals!E25</f>
        <v>0</v>
      </c>
      <c r="F26" s="186">
        <f>+Originals!F25</f>
        <v>-0.2</v>
      </c>
      <c r="G26" s="187">
        <f>+Originals!G25</f>
        <v>-0.2</v>
      </c>
      <c r="H26" s="56"/>
      <c r="I26" s="56"/>
      <c r="J26" s="56"/>
      <c r="K26" s="56"/>
      <c r="L26" s="56"/>
      <c r="M26" s="56"/>
    </row>
    <row r="27" spans="2:13" ht="12.95" customHeight="1" x14ac:dyDescent="0.2">
      <c r="B27" s="18" t="s">
        <v>67</v>
      </c>
      <c r="C27" s="19"/>
      <c r="D27" s="185">
        <f>+Originals!D20+Originals!D24</f>
        <v>-5</v>
      </c>
      <c r="E27" s="186">
        <f>+Originals!E20+Originals!E24</f>
        <v>-19.8</v>
      </c>
      <c r="F27" s="186">
        <f>+Originals!F20+Originals!F24</f>
        <v>-10.5</v>
      </c>
      <c r="G27" s="187">
        <f>+Originals!G20+Originals!G24</f>
        <v>-44</v>
      </c>
      <c r="H27" s="56"/>
      <c r="I27" s="56"/>
      <c r="J27" s="56"/>
      <c r="K27" s="56"/>
      <c r="L27" s="56"/>
      <c r="M27" s="56"/>
    </row>
    <row r="28" spans="2:13" ht="12.95" customHeight="1" x14ac:dyDescent="0.2">
      <c r="B28" s="20" t="s">
        <v>74</v>
      </c>
      <c r="C28" s="21"/>
      <c r="D28" s="188">
        <f>+D22+SUM(D25:D27)</f>
        <v>250.6</v>
      </c>
      <c r="E28" s="57">
        <f>+E22+SUM(E25:E27)</f>
        <v>235.99999999999994</v>
      </c>
      <c r="F28" s="57">
        <f>+F22+SUM(F25:F27)</f>
        <v>230.19999999999979</v>
      </c>
      <c r="G28" s="189">
        <f>+G22+SUM(G25:G27)</f>
        <v>194.20000000000016</v>
      </c>
      <c r="H28" s="57"/>
      <c r="I28" s="57"/>
      <c r="J28" s="57"/>
      <c r="K28" s="57"/>
      <c r="L28" s="57"/>
      <c r="M28" s="57"/>
    </row>
    <row r="29" spans="2:13" ht="5.0999999999999996" customHeight="1" x14ac:dyDescent="0.2">
      <c r="D29" s="168"/>
      <c r="E29" s="51"/>
      <c r="F29" s="51"/>
      <c r="G29" s="167"/>
      <c r="H29" s="49"/>
      <c r="I29" s="49"/>
      <c r="J29" s="49"/>
      <c r="K29" s="49"/>
      <c r="L29" s="49"/>
      <c r="M29" s="49"/>
    </row>
    <row r="30" spans="2:13" ht="12.95" customHeight="1" x14ac:dyDescent="0.2">
      <c r="B30" s="18" t="s">
        <v>75</v>
      </c>
      <c r="C30" s="19"/>
      <c r="D30" s="185">
        <f>+Originals!D29</f>
        <v>-90.9</v>
      </c>
      <c r="E30" s="186">
        <f>+Originals!E29</f>
        <v>-79</v>
      </c>
      <c r="F30" s="186">
        <f>+Originals!F29</f>
        <v>-79.8</v>
      </c>
      <c r="G30" s="187">
        <f>+Originals!G29</f>
        <v>-64.699999999999989</v>
      </c>
      <c r="H30" s="56"/>
      <c r="I30" s="56"/>
      <c r="J30" s="56"/>
      <c r="K30" s="56"/>
      <c r="L30" s="56"/>
      <c r="M30" s="56"/>
    </row>
    <row r="31" spans="2:13" ht="12.95" customHeight="1" x14ac:dyDescent="0.2">
      <c r="B31" s="24" t="s">
        <v>264</v>
      </c>
      <c r="C31" s="25"/>
      <c r="D31" s="173">
        <f>+D28+D30</f>
        <v>159.69999999999999</v>
      </c>
      <c r="E31" s="174">
        <f>+E28+E30</f>
        <v>156.99999999999994</v>
      </c>
      <c r="F31" s="174">
        <f>+F28+F30</f>
        <v>150.39999999999981</v>
      </c>
      <c r="G31" s="175">
        <f>+G28+G30</f>
        <v>129.50000000000017</v>
      </c>
      <c r="H31" s="58"/>
      <c r="I31" s="58"/>
      <c r="J31" s="58"/>
      <c r="K31" s="58"/>
      <c r="L31" s="58"/>
      <c r="M31" s="58"/>
    </row>
    <row r="32" spans="2:13" ht="12.95" customHeight="1" x14ac:dyDescent="0.2">
      <c r="B32" s="22" t="s">
        <v>0</v>
      </c>
      <c r="C32" s="23"/>
      <c r="D32" s="190">
        <f>+D31/D$10</f>
        <v>0.12533354261497409</v>
      </c>
      <c r="E32" s="191">
        <f t="shared" ref="E32:G32" si="1">+E31/E$10</f>
        <v>0.11709427207637228</v>
      </c>
      <c r="F32" s="191">
        <f t="shared" si="1"/>
        <v>9.8681188898366134E-2</v>
      </c>
      <c r="G32" s="192">
        <f t="shared" si="1"/>
        <v>8.301282051282062E-2</v>
      </c>
      <c r="H32" s="65"/>
      <c r="I32" s="65"/>
      <c r="J32" s="65"/>
      <c r="K32" s="65"/>
      <c r="L32" s="65"/>
      <c r="M32" s="65"/>
    </row>
    <row r="33" spans="2:13" ht="5.0999999999999996" customHeight="1" x14ac:dyDescent="0.2">
      <c r="D33" s="168"/>
      <c r="E33" s="51"/>
      <c r="F33" s="51"/>
      <c r="G33" s="167"/>
      <c r="H33" s="49"/>
      <c r="I33" s="49"/>
      <c r="J33" s="49"/>
      <c r="K33" s="49"/>
      <c r="L33" s="49"/>
      <c r="M33" s="49"/>
    </row>
    <row r="34" spans="2:13" ht="12.95" customHeight="1" x14ac:dyDescent="0.2">
      <c r="B34" s="33" t="s">
        <v>143</v>
      </c>
      <c r="C34" s="47"/>
      <c r="D34" s="169">
        <f>+Originals!D39</f>
        <v>34.6</v>
      </c>
      <c r="E34" s="55">
        <f>+Originals!E39</f>
        <v>40.5</v>
      </c>
      <c r="F34" s="55">
        <f>+Originals!F39</f>
        <v>39.799999999999997</v>
      </c>
      <c r="G34" s="170">
        <f>+Originals!G39</f>
        <v>46.1</v>
      </c>
      <c r="H34" s="59"/>
      <c r="I34" s="59"/>
      <c r="J34" s="59"/>
      <c r="K34" s="59"/>
      <c r="L34" s="59"/>
      <c r="M34" s="59"/>
    </row>
    <row r="35" spans="2:13" ht="12.95" customHeight="1" x14ac:dyDescent="0.2">
      <c r="B35" s="33" t="s">
        <v>144</v>
      </c>
      <c r="C35" s="47"/>
      <c r="D35" s="169">
        <f>+D31-D34</f>
        <v>125.1</v>
      </c>
      <c r="E35" s="169">
        <f>+E31-E34</f>
        <v>116.49999999999994</v>
      </c>
      <c r="F35" s="169">
        <f>+F31-F34</f>
        <v>110.59999999999981</v>
      </c>
      <c r="G35" s="169">
        <f>+G31-G34</f>
        <v>83.400000000000176</v>
      </c>
      <c r="H35" s="59"/>
      <c r="I35" s="59"/>
      <c r="J35" s="59"/>
      <c r="K35" s="59"/>
      <c r="L35" s="59"/>
      <c r="M35" s="59"/>
    </row>
    <row r="36" spans="2:13" ht="12.95" customHeight="1" x14ac:dyDescent="0.2">
      <c r="D36" s="168"/>
      <c r="E36" s="51"/>
      <c r="F36" s="51"/>
      <c r="G36" s="167"/>
      <c r="H36" s="49"/>
      <c r="I36" s="49"/>
      <c r="J36" s="49"/>
      <c r="K36" s="49"/>
      <c r="L36" s="49"/>
      <c r="M36" s="49"/>
    </row>
    <row r="37" spans="2:13" ht="12.95" customHeight="1" x14ac:dyDescent="0.2">
      <c r="B37" s="259"/>
      <c r="C37" s="259"/>
      <c r="D37" s="260"/>
      <c r="E37" s="261"/>
      <c r="F37" s="261"/>
      <c r="G37" s="262"/>
      <c r="H37" s="261"/>
      <c r="I37" s="261"/>
      <c r="J37" s="261"/>
      <c r="K37" s="261"/>
      <c r="L37" s="261"/>
      <c r="M37" s="261"/>
    </row>
    <row r="38" spans="2:13" ht="12.95" customHeight="1" x14ac:dyDescent="0.2">
      <c r="B38" s="24" t="s">
        <v>146</v>
      </c>
      <c r="C38" s="25"/>
      <c r="D38" s="193">
        <f>+Calculations!D144</f>
        <v>204.90819999999999</v>
      </c>
      <c r="E38" s="194">
        <f>+Calculations!E144</f>
        <v>208.95559999999998</v>
      </c>
      <c r="F38" s="194">
        <f>+Calculations!F144</f>
        <v>205.52559999999986</v>
      </c>
      <c r="G38" s="195">
        <f>+Calculations!G144</f>
        <v>204.56520000000012</v>
      </c>
      <c r="H38" s="58"/>
      <c r="I38" s="58"/>
      <c r="J38" s="58"/>
      <c r="K38" s="58"/>
      <c r="L38" s="58"/>
      <c r="M38" s="58"/>
    </row>
    <row r="39" spans="2:13" ht="12.95" customHeight="1" x14ac:dyDescent="0.2">
      <c r="B39" s="22" t="s">
        <v>0</v>
      </c>
      <c r="C39" s="23"/>
      <c r="D39" s="196">
        <f>+D38/D$10</f>
        <v>0.1608132161356145</v>
      </c>
      <c r="E39" s="197">
        <f>+E38/E$10</f>
        <v>0.1558439737470167</v>
      </c>
      <c r="F39" s="197">
        <f>+F38/F$10</f>
        <v>0.13485046912932214</v>
      </c>
      <c r="G39" s="198">
        <f>+G38/G$10</f>
        <v>0.13113153846153855</v>
      </c>
      <c r="H39" s="65"/>
      <c r="I39" s="65"/>
      <c r="J39" s="65"/>
      <c r="K39" s="65"/>
      <c r="L39" s="65"/>
      <c r="M39" s="65"/>
    </row>
    <row r="40" spans="2:13" ht="5.0999999999999996" customHeight="1" x14ac:dyDescent="0.2">
      <c r="D40" s="165"/>
      <c r="E40" s="53"/>
      <c r="F40" s="53"/>
      <c r="G40" s="166"/>
      <c r="H40" s="49"/>
      <c r="I40" s="49"/>
      <c r="J40" s="49"/>
      <c r="K40" s="49"/>
      <c r="L40" s="49"/>
      <c r="M40" s="49"/>
    </row>
    <row r="41" spans="2:13" ht="12.95" customHeight="1" x14ac:dyDescent="0.2">
      <c r="B41" s="33" t="s">
        <v>148</v>
      </c>
      <c r="C41" s="47"/>
      <c r="D41" s="165">
        <f>+Calculations!D142</f>
        <v>-93.791799999999995</v>
      </c>
      <c r="E41" s="53">
        <f>+Calculations!E142</f>
        <v>-95.64439999999999</v>
      </c>
      <c r="F41" s="53">
        <f>+Calculations!F142</f>
        <v>-94.07439999999994</v>
      </c>
      <c r="G41" s="166">
        <f>+Calculations!G142</f>
        <v>-93.634800000000055</v>
      </c>
      <c r="H41" s="59"/>
      <c r="I41" s="59"/>
      <c r="J41" s="59"/>
      <c r="K41" s="59"/>
      <c r="L41" s="59"/>
      <c r="M41" s="59"/>
    </row>
    <row r="42" spans="2:13" ht="12.95" customHeight="1" x14ac:dyDescent="0.2">
      <c r="B42" s="33" t="s">
        <v>149</v>
      </c>
      <c r="C42" s="47"/>
      <c r="D42" s="165">
        <f>+Calculations!D147</f>
        <v>2.8917999999999893</v>
      </c>
      <c r="E42" s="53">
        <f>+Calculations!E147</f>
        <v>16.64439999999999</v>
      </c>
      <c r="F42" s="53">
        <f>+Calculations!F147</f>
        <v>14.274399999999943</v>
      </c>
      <c r="G42" s="166">
        <f>+Calculations!G147</f>
        <v>28.934800000000067</v>
      </c>
      <c r="H42" s="59"/>
      <c r="I42" s="59"/>
      <c r="J42" s="59"/>
      <c r="K42" s="59"/>
      <c r="L42" s="59"/>
      <c r="M42" s="59"/>
    </row>
    <row r="43" spans="2:13" ht="12.95" customHeight="1" x14ac:dyDescent="0.2">
      <c r="B43" s="3"/>
      <c r="C43" s="4"/>
      <c r="D43" s="199"/>
      <c r="E43" s="36"/>
      <c r="F43" s="36"/>
      <c r="G43" s="200"/>
      <c r="H43" s="4"/>
      <c r="I43" s="4"/>
      <c r="J43" s="4"/>
      <c r="K43" s="4"/>
      <c r="L43" s="4"/>
      <c r="M43" s="4"/>
    </row>
    <row r="44" spans="2:13" s="45" customFormat="1" ht="12.95" customHeight="1" x14ac:dyDescent="0.2">
      <c r="B44" s="46" t="s">
        <v>59</v>
      </c>
      <c r="C44" s="46"/>
      <c r="D44" s="176"/>
      <c r="E44" s="177"/>
      <c r="F44" s="177"/>
      <c r="G44" s="178"/>
      <c r="H44" s="46"/>
      <c r="I44" s="46"/>
      <c r="J44" s="46"/>
      <c r="K44" s="46"/>
      <c r="L44" s="46"/>
      <c r="M44" s="46"/>
    </row>
    <row r="45" spans="2:13" ht="5.0999999999999996" customHeight="1" x14ac:dyDescent="0.2">
      <c r="D45" s="43"/>
      <c r="E45" s="45"/>
      <c r="F45" s="45"/>
      <c r="G45" s="164"/>
      <c r="L45" s="45"/>
    </row>
    <row r="46" spans="2:13" ht="12.95" customHeight="1" x14ac:dyDescent="0.2">
      <c r="B46" s="27" t="s">
        <v>43</v>
      </c>
      <c r="C46" s="28"/>
      <c r="D46" s="171">
        <f>+Originals!D57</f>
        <v>278</v>
      </c>
      <c r="E46" s="95">
        <f>+Originals!E57</f>
        <v>311.89999999999998</v>
      </c>
      <c r="F46" s="95">
        <f>+Originals!F57</f>
        <v>288.5</v>
      </c>
      <c r="G46" s="172">
        <f>+Originals!G57</f>
        <v>313.60000000000002</v>
      </c>
      <c r="H46" s="61"/>
      <c r="I46" s="61"/>
      <c r="J46" s="61"/>
      <c r="K46" s="61"/>
      <c r="L46" s="61"/>
      <c r="M46" s="61"/>
    </row>
    <row r="47" spans="2:13" ht="12.95" customHeight="1" x14ac:dyDescent="0.2">
      <c r="B47" s="27" t="s">
        <v>28</v>
      </c>
      <c r="C47" s="28"/>
      <c r="D47" s="171">
        <f>-Originals!D84</f>
        <v>-166.8</v>
      </c>
      <c r="E47" s="95">
        <f>-Originals!E84</f>
        <v>-211</v>
      </c>
      <c r="F47" s="95">
        <f>-Originals!F84</f>
        <v>-198.1</v>
      </c>
      <c r="G47" s="172">
        <f>-Originals!G84</f>
        <v>-223.2</v>
      </c>
      <c r="H47" s="61"/>
      <c r="I47" s="61"/>
      <c r="J47" s="61"/>
      <c r="K47" s="61"/>
      <c r="L47" s="61"/>
      <c r="M47" s="61"/>
    </row>
    <row r="48" spans="2:13" ht="12.95" customHeight="1" x14ac:dyDescent="0.2">
      <c r="B48" s="27" t="s">
        <v>79</v>
      </c>
      <c r="C48" s="28"/>
      <c r="D48" s="171">
        <f>+Originals!D55</f>
        <v>331.3</v>
      </c>
      <c r="E48" s="95">
        <f>+Originals!E55</f>
        <v>434.1</v>
      </c>
      <c r="F48" s="95">
        <f>+Originals!F55</f>
        <v>442.6</v>
      </c>
      <c r="G48" s="172">
        <f>+Originals!G55</f>
        <v>477</v>
      </c>
      <c r="H48" s="61"/>
      <c r="I48" s="61"/>
      <c r="J48" s="61"/>
      <c r="K48" s="61"/>
      <c r="L48" s="61"/>
      <c r="M48" s="61"/>
    </row>
    <row r="49" spans="2:13" ht="12.95" customHeight="1" x14ac:dyDescent="0.2">
      <c r="B49" s="27" t="s">
        <v>93</v>
      </c>
      <c r="C49" s="28"/>
      <c r="D49" s="171">
        <f>+Originals!D58+Originals!D60+Originals!D61-Originals!D86-Originals!D85</f>
        <v>-90.099999999999454</v>
      </c>
      <c r="E49" s="95">
        <f>+Originals!E58+Originals!E60+Originals!E61-Originals!E86-Originals!E85</f>
        <v>-67.199999999999633</v>
      </c>
      <c r="F49" s="95">
        <f>+Originals!F58+Originals!F60+Originals!F61-Originals!F86-Originals!F85</f>
        <v>-42.100000000000719</v>
      </c>
      <c r="G49" s="172">
        <f>+Originals!G58+Originals!G60+Originals!G61-Originals!G86-Originals!G85</f>
        <v>-70.2</v>
      </c>
      <c r="H49" s="61"/>
      <c r="I49" s="61"/>
      <c r="J49" s="61"/>
      <c r="K49" s="61"/>
      <c r="L49" s="61"/>
      <c r="M49" s="61"/>
    </row>
    <row r="50" spans="2:13" ht="12.95" customHeight="1" x14ac:dyDescent="0.2">
      <c r="B50" s="20" t="s">
        <v>80</v>
      </c>
      <c r="C50" s="21"/>
      <c r="D50" s="188">
        <f>SUM(D46:D49)</f>
        <v>352.40000000000055</v>
      </c>
      <c r="E50" s="57">
        <f>SUM(E46:E49)</f>
        <v>467.80000000000035</v>
      </c>
      <c r="F50" s="57">
        <f>SUM(F46:F49)</f>
        <v>490.8999999999993</v>
      </c>
      <c r="G50" s="189">
        <f>SUM(G46:G49)</f>
        <v>497.2000000000001</v>
      </c>
      <c r="H50" s="57"/>
      <c r="I50" s="57"/>
      <c r="J50" s="57"/>
      <c r="K50" s="57"/>
      <c r="L50" s="57"/>
      <c r="M50" s="57"/>
    </row>
    <row r="51" spans="2:13" ht="5.0999999999999996" customHeight="1" x14ac:dyDescent="0.2">
      <c r="D51" s="168"/>
      <c r="E51" s="51"/>
      <c r="F51" s="51"/>
      <c r="G51" s="167"/>
      <c r="H51" s="49"/>
      <c r="I51" s="49"/>
      <c r="J51" s="49"/>
      <c r="K51" s="49"/>
      <c r="L51" s="49"/>
      <c r="M51" s="49"/>
    </row>
    <row r="52" spans="2:13" ht="12.95" customHeight="1" x14ac:dyDescent="0.2">
      <c r="B52" s="18" t="s">
        <v>81</v>
      </c>
      <c r="C52" s="19"/>
      <c r="D52" s="185">
        <f>+Originals!D45+Originals!D46+Originals!D47+Originals!D56</f>
        <v>338.6</v>
      </c>
      <c r="E52" s="186">
        <f>+Originals!E45+Originals!E46+Originals!E47+Originals!E56</f>
        <v>411.99999999999994</v>
      </c>
      <c r="F52" s="186">
        <f>+Originals!F45+Originals!F46+Originals!F47+Originals!F56</f>
        <v>418.90000000000003</v>
      </c>
      <c r="G52" s="187">
        <f>+Originals!G45+Originals!G46+Originals!G47+Originals!G56</f>
        <v>464.6</v>
      </c>
      <c r="H52" s="56"/>
      <c r="I52" s="56"/>
      <c r="J52" s="56"/>
      <c r="K52" s="56"/>
      <c r="L52" s="56"/>
      <c r="M52" s="56"/>
    </row>
    <row r="53" spans="2:13" ht="12.95" customHeight="1" x14ac:dyDescent="0.2">
      <c r="B53" s="18" t="s">
        <v>35</v>
      </c>
      <c r="C53" s="19"/>
      <c r="D53" s="185">
        <f>+Originals!D49+Originals!D48</f>
        <v>1469.6</v>
      </c>
      <c r="E53" s="186">
        <f>+Originals!E49+Originals!E48</f>
        <v>1664</v>
      </c>
      <c r="F53" s="186">
        <f>+Originals!F49+Originals!F48</f>
        <v>1582.4</v>
      </c>
      <c r="G53" s="187">
        <f>+Originals!G49+Originals!G48</f>
        <v>1870.8</v>
      </c>
      <c r="H53" s="56"/>
      <c r="I53" s="56"/>
      <c r="J53" s="56"/>
      <c r="K53" s="56"/>
      <c r="L53" s="56"/>
      <c r="M53" s="56"/>
    </row>
    <row r="54" spans="2:13" ht="12.95" customHeight="1" x14ac:dyDescent="0.2">
      <c r="B54" s="20" t="s">
        <v>83</v>
      </c>
      <c r="C54" s="21"/>
      <c r="D54" s="188">
        <f>SUM(D52:D53)</f>
        <v>1808.1999999999998</v>
      </c>
      <c r="E54" s="57">
        <f>SUM(E52:E53)</f>
        <v>2076</v>
      </c>
      <c r="F54" s="57">
        <f>SUM(F52:F53)</f>
        <v>2001.3000000000002</v>
      </c>
      <c r="G54" s="189">
        <f>SUM(G52:G53)</f>
        <v>2335.4</v>
      </c>
      <c r="H54" s="57"/>
      <c r="I54" s="57"/>
      <c r="J54" s="57"/>
      <c r="K54" s="57"/>
      <c r="L54" s="57"/>
      <c r="M54" s="57"/>
    </row>
    <row r="55" spans="2:13" ht="5.0999999999999996" customHeight="1" x14ac:dyDescent="0.2">
      <c r="D55" s="168"/>
      <c r="E55" s="51"/>
      <c r="F55" s="51"/>
      <c r="G55" s="167"/>
      <c r="H55" s="49"/>
      <c r="I55" s="49"/>
      <c r="J55" s="49"/>
      <c r="K55" s="49"/>
      <c r="L55" s="49"/>
      <c r="M55" s="49"/>
    </row>
    <row r="56" spans="2:13" ht="12.95" customHeight="1" x14ac:dyDescent="0.2">
      <c r="B56" s="18" t="s">
        <v>88</v>
      </c>
      <c r="C56" s="19"/>
      <c r="D56" s="185">
        <f>+Originals!D51-Originals!D79</f>
        <v>-137.9</v>
      </c>
      <c r="E56" s="186">
        <f>+Originals!E51-Originals!E79</f>
        <v>-182.1</v>
      </c>
      <c r="F56" s="186">
        <f>+Originals!F51-Originals!F79</f>
        <v>-192.29999999999998</v>
      </c>
      <c r="G56" s="187">
        <f>+Originals!G51-Originals!G79</f>
        <v>-247.1</v>
      </c>
      <c r="H56" s="56"/>
      <c r="I56" s="56"/>
      <c r="J56" s="56"/>
      <c r="K56" s="56"/>
      <c r="L56" s="56"/>
      <c r="M56" s="56"/>
    </row>
    <row r="57" spans="2:13" ht="12.95" customHeight="1" x14ac:dyDescent="0.2">
      <c r="B57" s="18" t="s">
        <v>85</v>
      </c>
      <c r="C57" s="19"/>
      <c r="D57" s="185">
        <f>-Originals!D78</f>
        <v>-7.1</v>
      </c>
      <c r="E57" s="186">
        <f>-Originals!E78</f>
        <v>-30.6</v>
      </c>
      <c r="F57" s="186">
        <f>-Originals!F78</f>
        <v>-32.4</v>
      </c>
      <c r="G57" s="187">
        <f>-Originals!G78</f>
        <v>-37.9</v>
      </c>
      <c r="H57" s="56"/>
      <c r="I57" s="56"/>
      <c r="J57" s="56"/>
      <c r="K57" s="56"/>
      <c r="L57" s="56"/>
      <c r="M57" s="56"/>
    </row>
    <row r="58" spans="2:13" ht="12.95" customHeight="1" x14ac:dyDescent="0.2">
      <c r="B58" s="18" t="s">
        <v>86</v>
      </c>
      <c r="C58" s="19"/>
      <c r="D58" s="185">
        <f>-Originals!D77</f>
        <v>-8.8000000000000007</v>
      </c>
      <c r="E58" s="186">
        <f>-Originals!E77</f>
        <v>-13</v>
      </c>
      <c r="F58" s="186">
        <f>-Originals!F77</f>
        <v>-8.6</v>
      </c>
      <c r="G58" s="187">
        <f>-Originals!G77</f>
        <v>-9.4</v>
      </c>
      <c r="H58" s="56"/>
      <c r="I58" s="56"/>
      <c r="J58" s="56"/>
      <c r="K58" s="56"/>
      <c r="L58" s="56"/>
      <c r="M58" s="56"/>
    </row>
    <row r="59" spans="2:13" ht="12.95" customHeight="1" x14ac:dyDescent="0.2">
      <c r="B59" s="20" t="s">
        <v>89</v>
      </c>
      <c r="C59" s="21"/>
      <c r="D59" s="188">
        <f>SUM(D56:D58)</f>
        <v>-153.80000000000001</v>
      </c>
      <c r="E59" s="57">
        <f>SUM(E56:E58)</f>
        <v>-225.7</v>
      </c>
      <c r="F59" s="57">
        <f>SUM(F56:F58)</f>
        <v>-233.29999999999998</v>
      </c>
      <c r="G59" s="189">
        <f>SUM(G56:G58)</f>
        <v>-294.39999999999998</v>
      </c>
      <c r="H59" s="57"/>
      <c r="I59" s="57"/>
      <c r="J59" s="57"/>
      <c r="K59" s="57"/>
      <c r="L59" s="57"/>
      <c r="M59" s="57"/>
    </row>
    <row r="60" spans="2:13" ht="5.0999999999999996" customHeight="1" x14ac:dyDescent="0.2">
      <c r="D60" s="168"/>
      <c r="E60" s="51"/>
      <c r="F60" s="51"/>
      <c r="G60" s="167"/>
      <c r="H60" s="49"/>
      <c r="I60" s="49"/>
      <c r="J60" s="49"/>
      <c r="K60" s="49"/>
      <c r="L60" s="49"/>
      <c r="M60" s="49"/>
    </row>
    <row r="61" spans="2:13" ht="12.95" customHeight="1" x14ac:dyDescent="0.2">
      <c r="B61" s="24" t="s">
        <v>347</v>
      </c>
      <c r="C61" s="25"/>
      <c r="D61" s="173">
        <f>+D54+D50+D59</f>
        <v>2006.8000000000004</v>
      </c>
      <c r="E61" s="174">
        <f>+E54+E50+E59</f>
        <v>2318.1000000000004</v>
      </c>
      <c r="F61" s="174">
        <f>+F54+F50+F59</f>
        <v>2258.8999999999992</v>
      </c>
      <c r="G61" s="175">
        <f>+G54+G50+G59</f>
        <v>2538.2000000000003</v>
      </c>
      <c r="H61" s="58"/>
      <c r="I61" s="58"/>
      <c r="J61" s="58"/>
      <c r="K61" s="58"/>
      <c r="L61" s="58"/>
      <c r="M61" s="58"/>
    </row>
    <row r="62" spans="2:13" ht="5.0999999999999996" customHeight="1" x14ac:dyDescent="0.2">
      <c r="D62" s="168"/>
      <c r="E62" s="51"/>
      <c r="F62" s="51"/>
      <c r="G62" s="167"/>
      <c r="H62" s="49"/>
      <c r="I62" s="49"/>
      <c r="J62" s="49"/>
      <c r="K62" s="49"/>
      <c r="L62" s="49"/>
      <c r="M62" s="49"/>
    </row>
    <row r="63" spans="2:13" ht="12.95" customHeight="1" x14ac:dyDescent="0.2">
      <c r="B63" s="18" t="s">
        <v>84</v>
      </c>
      <c r="C63" s="19"/>
      <c r="D63" s="185">
        <f>+Originals!D50</f>
        <v>0</v>
      </c>
      <c r="E63" s="186">
        <f>+Originals!E50</f>
        <v>1.1000000000000001</v>
      </c>
      <c r="F63" s="186">
        <f>+Originals!F50</f>
        <v>0.9</v>
      </c>
      <c r="G63" s="187">
        <f>+Originals!G50</f>
        <v>0.7</v>
      </c>
      <c r="H63" s="56"/>
      <c r="I63" s="56"/>
      <c r="J63" s="56"/>
      <c r="K63" s="56"/>
      <c r="L63" s="56"/>
      <c r="M63" s="56"/>
    </row>
    <row r="64" spans="2:13" ht="12.95" customHeight="1" x14ac:dyDescent="0.2">
      <c r="B64" s="18" t="s">
        <v>87</v>
      </c>
      <c r="C64" s="19"/>
      <c r="D64" s="185">
        <f>+Originals!D52+Originals!D64-Originals!D89</f>
        <v>19.400000000000002</v>
      </c>
      <c r="E64" s="186">
        <f>+Originals!E52+Originals!E64-Originals!E89</f>
        <v>40.700000000000003</v>
      </c>
      <c r="F64" s="186">
        <f>+Originals!F52+Originals!F64-Originals!F89</f>
        <v>34.700000000000003</v>
      </c>
      <c r="G64" s="187">
        <f>+Originals!G52+Originals!G64-Originals!G89</f>
        <v>77</v>
      </c>
      <c r="H64" s="56"/>
      <c r="I64" s="56"/>
      <c r="J64" s="56"/>
      <c r="K64" s="56"/>
      <c r="L64" s="56"/>
      <c r="M64" s="56"/>
    </row>
    <row r="65" spans="2:13" ht="5.0999999999999996" customHeight="1" x14ac:dyDescent="0.2">
      <c r="D65" s="168"/>
      <c r="E65" s="51"/>
      <c r="F65" s="51"/>
      <c r="G65" s="167"/>
      <c r="H65" s="49"/>
      <c r="I65" s="49"/>
      <c r="J65" s="49"/>
      <c r="K65" s="49"/>
      <c r="L65" s="49"/>
      <c r="M65" s="49"/>
    </row>
    <row r="66" spans="2:13" ht="12.95" customHeight="1" x14ac:dyDescent="0.2">
      <c r="B66" s="24" t="s">
        <v>346</v>
      </c>
      <c r="C66" s="25"/>
      <c r="D66" s="173">
        <f>SUM(D63:D64)</f>
        <v>19.400000000000002</v>
      </c>
      <c r="E66" s="174">
        <f>SUM(E63:E64)</f>
        <v>41.800000000000004</v>
      </c>
      <c r="F66" s="174">
        <f>SUM(F63:F64)</f>
        <v>35.6</v>
      </c>
      <c r="G66" s="175">
        <f>SUM(G63:G64)</f>
        <v>77.7</v>
      </c>
      <c r="H66" s="58"/>
      <c r="I66" s="58"/>
      <c r="J66" s="58"/>
      <c r="K66" s="58"/>
      <c r="L66" s="58"/>
      <c r="M66" s="58"/>
    </row>
    <row r="67" spans="2:13" ht="5.0999999999999996" customHeight="1" x14ac:dyDescent="0.2">
      <c r="B67" s="3"/>
      <c r="C67" s="4"/>
      <c r="D67" s="168"/>
      <c r="E67" s="51"/>
      <c r="F67" s="51"/>
      <c r="G67" s="167"/>
      <c r="H67" s="49"/>
      <c r="I67" s="49"/>
      <c r="J67" s="49"/>
      <c r="K67" s="49"/>
      <c r="L67" s="49"/>
      <c r="M67" s="49"/>
    </row>
    <row r="68" spans="2:13" ht="12.95" customHeight="1" x14ac:dyDescent="0.2">
      <c r="B68" s="24" t="s">
        <v>348</v>
      </c>
      <c r="C68" s="25"/>
      <c r="D68" s="173">
        <f>+D66+D61</f>
        <v>2026.2000000000005</v>
      </c>
      <c r="E68" s="174">
        <f t="shared" ref="E68:G68" si="2">+E66+E61</f>
        <v>2359.9000000000005</v>
      </c>
      <c r="F68" s="174">
        <f t="shared" si="2"/>
        <v>2294.4999999999991</v>
      </c>
      <c r="G68" s="175">
        <f t="shared" si="2"/>
        <v>2615.9</v>
      </c>
      <c r="H68" s="58"/>
      <c r="I68" s="58"/>
      <c r="J68" s="58"/>
      <c r="K68" s="58"/>
      <c r="L68" s="58"/>
      <c r="M68" s="58"/>
    </row>
    <row r="69" spans="2:13" ht="12.95" customHeight="1" x14ac:dyDescent="0.2">
      <c r="D69" s="43"/>
      <c r="E69" s="45"/>
      <c r="F69" s="45"/>
      <c r="G69" s="164"/>
    </row>
    <row r="70" spans="2:13" ht="12.95" customHeight="1" x14ac:dyDescent="0.2">
      <c r="B70" s="27" t="s">
        <v>92</v>
      </c>
      <c r="C70" s="28"/>
      <c r="D70" s="171">
        <f>-Originals!D59</f>
        <v>-414.2</v>
      </c>
      <c r="E70" s="95">
        <f>-Originals!E59</f>
        <v>-442.5</v>
      </c>
      <c r="F70" s="95">
        <f>-Originals!F59</f>
        <v>-444.2</v>
      </c>
      <c r="G70" s="172">
        <f>-Originals!G59</f>
        <v>-230.9</v>
      </c>
      <c r="H70" s="61"/>
      <c r="I70" s="61"/>
      <c r="J70" s="61"/>
      <c r="K70" s="61"/>
      <c r="L70" s="61"/>
      <c r="M70" s="61"/>
    </row>
    <row r="71" spans="2:13" ht="12.95" customHeight="1" x14ac:dyDescent="0.2">
      <c r="B71" s="27" t="s">
        <v>78</v>
      </c>
      <c r="C71" s="28"/>
      <c r="D71" s="171">
        <f>+Originals!D83</f>
        <v>103.2</v>
      </c>
      <c r="E71" s="95">
        <f>+Originals!E83</f>
        <v>34.9</v>
      </c>
      <c r="F71" s="95">
        <f>+Originals!F83</f>
        <v>44.4</v>
      </c>
      <c r="G71" s="172">
        <f>+Originals!G83</f>
        <v>117.4</v>
      </c>
      <c r="H71" s="61"/>
      <c r="I71" s="61"/>
      <c r="J71" s="61"/>
      <c r="K71" s="61"/>
      <c r="L71" s="61"/>
      <c r="M71" s="61"/>
    </row>
    <row r="72" spans="2:13" ht="12.95" customHeight="1" x14ac:dyDescent="0.2">
      <c r="B72" s="27" t="s">
        <v>91</v>
      </c>
      <c r="C72" s="28"/>
      <c r="D72" s="171">
        <f>+Originals!D82</f>
        <v>144.9</v>
      </c>
      <c r="E72" s="95">
        <f>+Originals!E82</f>
        <v>121</v>
      </c>
      <c r="F72" s="95">
        <f>+Originals!F82</f>
        <v>122.3</v>
      </c>
      <c r="G72" s="172">
        <f>+Originals!G82</f>
        <v>36.700000000000003</v>
      </c>
      <c r="H72" s="61"/>
      <c r="I72" s="61"/>
      <c r="J72" s="61"/>
      <c r="K72" s="61"/>
      <c r="L72" s="61"/>
      <c r="M72" s="61"/>
    </row>
    <row r="73" spans="2:13" ht="12.95" customHeight="1" x14ac:dyDescent="0.2">
      <c r="B73" s="27" t="s">
        <v>90</v>
      </c>
      <c r="C73" s="28"/>
      <c r="D73" s="171">
        <f>+Originals!D76+Originals!D75</f>
        <v>824.9</v>
      </c>
      <c r="E73" s="95">
        <f>+Originals!E76+Originals!E75</f>
        <v>1213.4000000000001</v>
      </c>
      <c r="F73" s="95">
        <f>+Originals!F76+Originals!F75</f>
        <v>1175.8</v>
      </c>
      <c r="G73" s="172">
        <f>+Originals!G76+Originals!G75</f>
        <v>1112.7</v>
      </c>
      <c r="H73" s="61"/>
      <c r="I73" s="61"/>
      <c r="J73" s="61"/>
      <c r="K73" s="61"/>
      <c r="L73" s="61"/>
      <c r="M73" s="61"/>
    </row>
    <row r="74" spans="2:13" ht="12.95" customHeight="1" x14ac:dyDescent="0.2">
      <c r="B74" s="29" t="s">
        <v>177</v>
      </c>
      <c r="C74" s="30"/>
      <c r="D74" s="201">
        <f>SUM(D70:D73)</f>
        <v>658.8</v>
      </c>
      <c r="E74" s="62">
        <f>SUM(E70:E73)</f>
        <v>926.80000000000007</v>
      </c>
      <c r="F74" s="62">
        <f>SUM(F70:F73)</f>
        <v>898.3</v>
      </c>
      <c r="G74" s="202">
        <f>SUM(G70:G73)</f>
        <v>1035.9000000000001</v>
      </c>
      <c r="H74" s="62"/>
      <c r="I74" s="62"/>
      <c r="J74" s="62"/>
      <c r="K74" s="62"/>
      <c r="L74" s="62"/>
      <c r="M74" s="62"/>
    </row>
    <row r="75" spans="2:13" ht="5.0999999999999996" customHeight="1" x14ac:dyDescent="0.2">
      <c r="D75" s="168"/>
      <c r="E75" s="51"/>
      <c r="F75" s="51"/>
      <c r="G75" s="167"/>
      <c r="H75" s="49"/>
      <c r="I75" s="49"/>
      <c r="J75" s="49"/>
      <c r="K75" s="49"/>
      <c r="L75" s="49"/>
      <c r="M75" s="49"/>
    </row>
    <row r="76" spans="2:13" ht="12.95" customHeight="1" x14ac:dyDescent="0.2">
      <c r="B76" s="18" t="s">
        <v>15</v>
      </c>
      <c r="C76" s="19"/>
      <c r="D76" s="185">
        <f>+Originals!D68</f>
        <v>58.1</v>
      </c>
      <c r="E76" s="186">
        <f>+Originals!E68</f>
        <v>58.1</v>
      </c>
      <c r="F76" s="186">
        <f>+Originals!F68</f>
        <v>58.1</v>
      </c>
      <c r="G76" s="187">
        <f>+Originals!G68</f>
        <v>58.1</v>
      </c>
      <c r="H76" s="56"/>
      <c r="I76" s="56"/>
      <c r="J76" s="56"/>
      <c r="K76" s="56"/>
      <c r="L76" s="56"/>
      <c r="M76" s="56"/>
    </row>
    <row r="77" spans="2:13" ht="12.95" customHeight="1" x14ac:dyDescent="0.2">
      <c r="B77" s="18" t="s">
        <v>281</v>
      </c>
      <c r="C77" s="19"/>
      <c r="D77" s="185">
        <f>+Originals!D69</f>
        <v>1305.5999999999999</v>
      </c>
      <c r="E77" s="186">
        <f>+Originals!E69</f>
        <v>1370.8</v>
      </c>
      <c r="F77" s="186">
        <f>+Originals!F69</f>
        <v>1333.6</v>
      </c>
      <c r="G77" s="187">
        <f>+Originals!G69</f>
        <v>1516.8</v>
      </c>
      <c r="H77" s="56"/>
      <c r="I77" s="56"/>
      <c r="J77" s="56"/>
      <c r="K77" s="56"/>
      <c r="L77" s="56"/>
      <c r="M77" s="56"/>
    </row>
    <row r="78" spans="2:13" ht="12.95" customHeight="1" x14ac:dyDescent="0.2">
      <c r="B78" s="16" t="s">
        <v>276</v>
      </c>
      <c r="C78" s="17"/>
      <c r="D78" s="179">
        <f>SUM(D76:D77)</f>
        <v>1363.6999999999998</v>
      </c>
      <c r="E78" s="180">
        <f t="shared" ref="E78:G78" si="3">SUM(E76:E77)</f>
        <v>1428.8999999999999</v>
      </c>
      <c r="F78" s="180">
        <f t="shared" si="3"/>
        <v>1391.6999999999998</v>
      </c>
      <c r="G78" s="181">
        <f t="shared" si="3"/>
        <v>1574.8999999999999</v>
      </c>
      <c r="H78" s="56"/>
      <c r="I78" s="56"/>
      <c r="J78" s="56"/>
      <c r="K78" s="56"/>
      <c r="L78" s="56"/>
      <c r="M78" s="56"/>
    </row>
    <row r="79" spans="2:13" ht="5.0999999999999996" customHeight="1" x14ac:dyDescent="0.2">
      <c r="D79" s="168"/>
      <c r="E79" s="51"/>
      <c r="F79" s="51"/>
      <c r="G79" s="167"/>
      <c r="H79" s="49"/>
      <c r="I79" s="49"/>
      <c r="J79" s="49"/>
      <c r="K79" s="49"/>
      <c r="L79" s="49"/>
      <c r="M79" s="49"/>
    </row>
    <row r="80" spans="2:13" ht="12.95" customHeight="1" x14ac:dyDescent="0.2">
      <c r="B80" s="18" t="s">
        <v>76</v>
      </c>
      <c r="C80" s="19"/>
      <c r="D80" s="185">
        <f>+Originals!D72</f>
        <v>3.7</v>
      </c>
      <c r="E80" s="186">
        <f>+Originals!E72</f>
        <v>4.2</v>
      </c>
      <c r="F80" s="186">
        <f>+Originals!F72</f>
        <v>4.5</v>
      </c>
      <c r="G80" s="187">
        <f>+Originals!G72</f>
        <v>5.0999999999999996</v>
      </c>
      <c r="H80" s="56"/>
      <c r="I80" s="56"/>
      <c r="J80" s="56"/>
      <c r="K80" s="56"/>
      <c r="L80" s="56"/>
      <c r="M80" s="56"/>
    </row>
    <row r="81" spans="2:17" ht="12.95" customHeight="1" x14ac:dyDescent="0.2">
      <c r="B81" s="20" t="s">
        <v>82</v>
      </c>
      <c r="C81" s="21"/>
      <c r="D81" s="188">
        <f>+D80+D78</f>
        <v>1367.3999999999999</v>
      </c>
      <c r="E81" s="57">
        <f t="shared" ref="E81:G81" si="4">+E80+E78</f>
        <v>1433.1</v>
      </c>
      <c r="F81" s="57">
        <f t="shared" si="4"/>
        <v>1396.1999999999998</v>
      </c>
      <c r="G81" s="189">
        <f t="shared" si="4"/>
        <v>1579.9999999999998</v>
      </c>
      <c r="H81" s="57"/>
      <c r="I81" s="57"/>
      <c r="J81" s="57"/>
      <c r="K81" s="57"/>
      <c r="L81" s="57"/>
      <c r="M81" s="57"/>
    </row>
    <row r="82" spans="2:17" ht="5.0999999999999996" customHeight="1" x14ac:dyDescent="0.2">
      <c r="D82" s="168"/>
      <c r="E82" s="51"/>
      <c r="F82" s="51"/>
      <c r="G82" s="167"/>
      <c r="H82" s="49"/>
      <c r="I82" s="49"/>
      <c r="J82" s="49"/>
      <c r="K82" s="49"/>
      <c r="L82" s="49"/>
      <c r="M82" s="49"/>
    </row>
    <row r="83" spans="2:17" ht="12.95" customHeight="1" x14ac:dyDescent="0.2">
      <c r="B83" s="24" t="s">
        <v>274</v>
      </c>
      <c r="C83" s="25"/>
      <c r="D83" s="173">
        <f>+D81+D74</f>
        <v>2026.1999999999998</v>
      </c>
      <c r="E83" s="174">
        <f>+E81+E74</f>
        <v>2359.9</v>
      </c>
      <c r="F83" s="174">
        <f>+F81+F74</f>
        <v>2294.5</v>
      </c>
      <c r="G83" s="175">
        <f>+G81+G74</f>
        <v>2615.8999999999996</v>
      </c>
      <c r="H83" s="58"/>
      <c r="I83" s="58"/>
      <c r="J83" s="58"/>
      <c r="K83" s="58"/>
      <c r="L83" s="58"/>
      <c r="M83" s="58"/>
    </row>
    <row r="84" spans="2:17" ht="5.0999999999999996" customHeight="1" x14ac:dyDescent="0.2">
      <c r="B84" s="4"/>
      <c r="C84" s="4"/>
      <c r="D84" s="168"/>
      <c r="E84" s="51"/>
      <c r="F84" s="51"/>
      <c r="G84" s="167"/>
      <c r="H84" s="49"/>
      <c r="I84" s="49"/>
      <c r="J84" s="49"/>
      <c r="K84" s="49"/>
      <c r="L84" s="49"/>
      <c r="M84" s="49"/>
    </row>
    <row r="85" spans="2:17" ht="12.95" customHeight="1" x14ac:dyDescent="0.2">
      <c r="B85" s="48" t="s">
        <v>1</v>
      </c>
      <c r="C85" s="34"/>
      <c r="D85" s="203">
        <f>+D83-D68</f>
        <v>0</v>
      </c>
      <c r="E85" s="204">
        <f>+E83-E68</f>
        <v>0</v>
      </c>
      <c r="F85" s="204">
        <f>+F83-F68</f>
        <v>0</v>
      </c>
      <c r="G85" s="205">
        <f>+G83-G68</f>
        <v>0</v>
      </c>
      <c r="H85" s="54"/>
      <c r="I85" s="54"/>
      <c r="J85" s="54"/>
      <c r="K85" s="54"/>
      <c r="L85" s="54"/>
      <c r="M85" s="54"/>
    </row>
    <row r="86" spans="2:17" ht="12.95" customHeight="1" x14ac:dyDescent="0.2">
      <c r="D86" s="43"/>
      <c r="E86" s="45"/>
      <c r="F86" s="45"/>
      <c r="G86" s="164"/>
    </row>
    <row r="87" spans="2:17" s="45" customFormat="1" ht="12.95" customHeight="1" x14ac:dyDescent="0.2">
      <c r="B87" s="46" t="s">
        <v>94</v>
      </c>
      <c r="C87" s="46"/>
      <c r="D87" s="176"/>
      <c r="E87" s="177"/>
      <c r="F87" s="177"/>
      <c r="G87" s="178"/>
      <c r="H87" s="46"/>
      <c r="I87" s="46"/>
      <c r="J87" s="46"/>
      <c r="K87" s="46"/>
      <c r="L87" s="46"/>
      <c r="M87" s="46"/>
    </row>
    <row r="88" spans="2:17" ht="5.0999999999999996" customHeight="1" x14ac:dyDescent="0.2">
      <c r="D88" s="43"/>
      <c r="E88" s="45"/>
      <c r="F88" s="45"/>
      <c r="G88" s="164"/>
      <c r="L88" s="45"/>
    </row>
    <row r="89" spans="2:17" ht="12.95" customHeight="1" x14ac:dyDescent="0.2">
      <c r="B89" s="27" t="s">
        <v>66</v>
      </c>
      <c r="C89" s="28"/>
      <c r="D89" s="171"/>
      <c r="E89" s="95">
        <f>+E22</f>
        <v>304.59999999999997</v>
      </c>
      <c r="F89" s="95">
        <f>+F22</f>
        <v>299.5999999999998</v>
      </c>
      <c r="G89" s="95">
        <f>+G22</f>
        <v>298.20000000000016</v>
      </c>
      <c r="H89" s="61"/>
      <c r="I89" s="61"/>
      <c r="J89" s="61"/>
      <c r="K89" s="61"/>
      <c r="L89" s="61"/>
      <c r="M89" s="61"/>
    </row>
    <row r="90" spans="2:17" ht="12.95" customHeight="1" x14ac:dyDescent="0.2">
      <c r="B90" s="27" t="s">
        <v>356</v>
      </c>
      <c r="C90" s="28"/>
      <c r="D90" s="171"/>
      <c r="E90" s="95">
        <f>+E41</f>
        <v>-95.64439999999999</v>
      </c>
      <c r="F90" s="95">
        <f>+F41</f>
        <v>-94.07439999999994</v>
      </c>
      <c r="G90" s="95">
        <f>+G41</f>
        <v>-93.634800000000055</v>
      </c>
      <c r="H90" s="61"/>
      <c r="I90" s="61"/>
      <c r="J90" s="61"/>
      <c r="K90" s="61"/>
      <c r="L90" s="61"/>
      <c r="M90" s="61"/>
    </row>
    <row r="91" spans="2:17" ht="12.95" customHeight="1" x14ac:dyDescent="0.2">
      <c r="B91" s="27" t="s">
        <v>65</v>
      </c>
      <c r="C91" s="28"/>
      <c r="D91" s="171"/>
      <c r="E91" s="95">
        <f>-E21</f>
        <v>32.700000000000003</v>
      </c>
      <c r="F91" s="95">
        <f>-F21</f>
        <v>39.6</v>
      </c>
      <c r="G91" s="95">
        <f>-G21</f>
        <v>39.4</v>
      </c>
      <c r="H91" s="61"/>
      <c r="I91" s="61"/>
      <c r="J91" s="61"/>
      <c r="K91" s="61"/>
      <c r="L91" s="61"/>
      <c r="M91" s="61"/>
      <c r="N91" s="4"/>
      <c r="O91" s="4"/>
    </row>
    <row r="92" spans="2:17" ht="12.95" customHeight="1" x14ac:dyDescent="0.2">
      <c r="B92" s="20" t="s">
        <v>139</v>
      </c>
      <c r="C92" s="21"/>
      <c r="D92" s="188"/>
      <c r="E92" s="57">
        <f>SUM(E89:E91)</f>
        <v>241.65559999999999</v>
      </c>
      <c r="F92" s="57">
        <f>SUM(F89:F91)</f>
        <v>245.12559999999985</v>
      </c>
      <c r="G92" s="57">
        <f>SUM(G89:G91)</f>
        <v>243.96520000000012</v>
      </c>
      <c r="H92" s="57"/>
      <c r="I92" s="57"/>
      <c r="J92" s="57"/>
      <c r="K92" s="57"/>
      <c r="L92" s="57"/>
      <c r="M92" s="57"/>
      <c r="N92" s="4"/>
      <c r="O92" s="4"/>
    </row>
    <row r="93" spans="2:17" ht="5.0999999999999996" customHeight="1" x14ac:dyDescent="0.2">
      <c r="D93" s="168"/>
      <c r="E93" s="51"/>
      <c r="F93" s="51"/>
      <c r="G93" s="167"/>
      <c r="H93" s="49"/>
      <c r="I93" s="49"/>
      <c r="J93" s="49"/>
      <c r="K93" s="49"/>
      <c r="L93" s="49"/>
      <c r="M93" s="49"/>
    </row>
    <row r="94" spans="2:17" ht="12.95" customHeight="1" x14ac:dyDescent="0.2">
      <c r="B94" s="27" t="s">
        <v>123</v>
      </c>
      <c r="C94" s="28"/>
      <c r="D94" s="171"/>
      <c r="E94" s="95">
        <f>-(E50-D50)</f>
        <v>-115.39999999999981</v>
      </c>
      <c r="F94" s="95">
        <f>-(F50-E50)</f>
        <v>-23.099999999998943</v>
      </c>
      <c r="G94" s="172">
        <f>-(G50-F50)</f>
        <v>-6.3000000000008072</v>
      </c>
      <c r="H94" s="61"/>
      <c r="I94" s="61"/>
      <c r="J94" s="61"/>
      <c r="K94" s="61"/>
      <c r="L94" s="61"/>
      <c r="M94" s="61"/>
      <c r="N94" s="35"/>
      <c r="O94" s="35"/>
    </row>
    <row r="95" spans="2:17" ht="12.95" customHeight="1" x14ac:dyDescent="0.2">
      <c r="B95" s="27" t="s">
        <v>105</v>
      </c>
      <c r="C95" s="28"/>
      <c r="D95" s="171"/>
      <c r="E95" s="95">
        <f>-(E54-D54)-E91</f>
        <v>-300.50000000000017</v>
      </c>
      <c r="F95" s="95">
        <f>-(F54-E54)-F91</f>
        <v>35.099999999999817</v>
      </c>
      <c r="G95" s="172">
        <f>-(G54-F54)-G91</f>
        <v>-373.49999999999989</v>
      </c>
      <c r="H95" s="61"/>
      <c r="I95" s="61"/>
      <c r="J95" s="61"/>
      <c r="K95" s="61"/>
      <c r="L95" s="61"/>
      <c r="M95" s="61"/>
      <c r="N95" s="35"/>
      <c r="O95" s="35"/>
      <c r="Q95" s="4"/>
    </row>
    <row r="96" spans="2:17" ht="12.95" customHeight="1" x14ac:dyDescent="0.2">
      <c r="B96" s="27" t="s">
        <v>141</v>
      </c>
      <c r="C96" s="28"/>
      <c r="D96" s="171"/>
      <c r="E96" s="95">
        <f>-(E59-D59)</f>
        <v>71.899999999999977</v>
      </c>
      <c r="F96" s="95">
        <f>-(F59-E59)</f>
        <v>7.5999999999999943</v>
      </c>
      <c r="G96" s="172">
        <f>-(G59-F59)</f>
        <v>61.099999999999994</v>
      </c>
      <c r="H96" s="61"/>
      <c r="I96" s="61"/>
      <c r="J96" s="61"/>
      <c r="K96" s="61"/>
      <c r="L96" s="61"/>
      <c r="M96" s="61"/>
      <c r="N96" s="35"/>
      <c r="O96" s="35"/>
    </row>
    <row r="97" spans="2:15" ht="12.95" customHeight="1" x14ac:dyDescent="0.2">
      <c r="B97" s="20" t="s">
        <v>140</v>
      </c>
      <c r="C97" s="21"/>
      <c r="D97" s="188"/>
      <c r="E97" s="57">
        <f>+SUM(E92:E96)</f>
        <v>-102.34440000000001</v>
      </c>
      <c r="F97" s="57">
        <f>+SUM(F92:F96)</f>
        <v>264.72560000000067</v>
      </c>
      <c r="G97" s="57">
        <f>+SUM(G92:G96)</f>
        <v>-74.734800000000575</v>
      </c>
      <c r="H97" s="57"/>
      <c r="I97" s="57"/>
      <c r="J97" s="57"/>
      <c r="K97" s="57"/>
      <c r="L97" s="57"/>
      <c r="M97" s="57"/>
      <c r="N97" s="77"/>
      <c r="O97" s="4"/>
    </row>
    <row r="98" spans="2:15" ht="5.0999999999999996" customHeight="1" x14ac:dyDescent="0.2">
      <c r="D98" s="168"/>
      <c r="E98" s="51"/>
      <c r="F98" s="51"/>
      <c r="G98" s="51"/>
      <c r="H98" s="49"/>
      <c r="I98" s="49"/>
      <c r="J98" s="49"/>
      <c r="K98" s="49"/>
      <c r="L98" s="49"/>
      <c r="M98" s="49"/>
    </row>
    <row r="99" spans="2:15" ht="12.95" customHeight="1" x14ac:dyDescent="0.2">
      <c r="B99" s="27" t="s">
        <v>147</v>
      </c>
      <c r="C99" s="28"/>
      <c r="D99" s="171"/>
      <c r="E99" s="95">
        <f>+E42</f>
        <v>16.64439999999999</v>
      </c>
      <c r="F99" s="95">
        <f>+F42</f>
        <v>14.274399999999943</v>
      </c>
      <c r="G99" s="95">
        <f>+G42</f>
        <v>28.934800000000067</v>
      </c>
      <c r="H99" s="61"/>
      <c r="I99" s="61"/>
      <c r="J99" s="61"/>
      <c r="K99" s="61"/>
      <c r="L99" s="61"/>
      <c r="M99" s="61"/>
      <c r="O99" s="35"/>
    </row>
    <row r="100" spans="2:15" ht="12.95" customHeight="1" x14ac:dyDescent="0.2">
      <c r="B100" s="27" t="s">
        <v>132</v>
      </c>
      <c r="C100" s="28"/>
      <c r="D100" s="171"/>
      <c r="E100" s="95">
        <f>+E25</f>
        <v>-48.800000000000004</v>
      </c>
      <c r="F100" s="95">
        <f>+F25</f>
        <v>-58.699999999999996</v>
      </c>
      <c r="G100" s="95">
        <f>+G25</f>
        <v>-59.8</v>
      </c>
      <c r="H100" s="61"/>
      <c r="I100" s="61"/>
      <c r="J100" s="61"/>
      <c r="K100" s="61"/>
      <c r="L100" s="61"/>
      <c r="M100" s="61"/>
    </row>
    <row r="101" spans="2:15" ht="12.95" customHeight="1" x14ac:dyDescent="0.2">
      <c r="B101" s="27" t="s">
        <v>9</v>
      </c>
      <c r="C101" s="28"/>
      <c r="D101" s="171"/>
      <c r="E101" s="95">
        <f t="shared" ref="E101:E102" si="5">+E26</f>
        <v>0</v>
      </c>
      <c r="F101" s="95">
        <f t="shared" ref="F101:G101" si="6">+F26</f>
        <v>-0.2</v>
      </c>
      <c r="G101" s="95">
        <f t="shared" si="6"/>
        <v>-0.2</v>
      </c>
      <c r="H101" s="61"/>
      <c r="I101" s="61"/>
      <c r="J101" s="61"/>
      <c r="K101" s="61"/>
      <c r="L101" s="61"/>
      <c r="M101" s="61"/>
      <c r="O101" s="35"/>
    </row>
    <row r="102" spans="2:15" ht="12.95" customHeight="1" x14ac:dyDescent="0.2">
      <c r="B102" s="27" t="s">
        <v>67</v>
      </c>
      <c r="C102" s="28"/>
      <c r="D102" s="171"/>
      <c r="E102" s="95">
        <f t="shared" si="5"/>
        <v>-19.8</v>
      </c>
      <c r="F102" s="95">
        <f t="shared" ref="F102:G102" si="7">+F27</f>
        <v>-10.5</v>
      </c>
      <c r="G102" s="95">
        <f t="shared" si="7"/>
        <v>-44</v>
      </c>
      <c r="H102" s="61"/>
      <c r="I102" s="61"/>
      <c r="J102" s="61"/>
      <c r="K102" s="61"/>
      <c r="L102" s="61"/>
      <c r="M102" s="61"/>
    </row>
    <row r="103" spans="2:15" ht="5.0999999999999996" customHeight="1" x14ac:dyDescent="0.2">
      <c r="D103" s="168"/>
      <c r="E103" s="51"/>
      <c r="F103" s="51"/>
      <c r="G103" s="51"/>
      <c r="H103" s="49"/>
      <c r="I103" s="49"/>
      <c r="J103" s="49"/>
      <c r="K103" s="49"/>
      <c r="L103" s="49"/>
      <c r="M103" s="49"/>
    </row>
    <row r="104" spans="2:15" ht="12.95" customHeight="1" x14ac:dyDescent="0.2">
      <c r="B104" s="27" t="s">
        <v>176</v>
      </c>
      <c r="C104" s="28"/>
      <c r="D104" s="171"/>
      <c r="E104" s="95">
        <f>+(E71+E72+E73-D71-D72-D73)</f>
        <v>296.30000000000007</v>
      </c>
      <c r="F104" s="95">
        <f>+(F71+F72+F73-E71-E72-E73)</f>
        <v>-26.800000000000182</v>
      </c>
      <c r="G104" s="95">
        <f>+(G71+G72+G73-F71-F72-F73)</f>
        <v>-75.699999999999818</v>
      </c>
      <c r="H104" s="61"/>
      <c r="I104" s="61"/>
      <c r="J104" s="61"/>
      <c r="K104" s="61"/>
      <c r="L104" s="61"/>
      <c r="M104" s="61"/>
    </row>
    <row r="105" spans="2:15" ht="12.95" customHeight="1" x14ac:dyDescent="0.2">
      <c r="B105" s="27" t="s">
        <v>349</v>
      </c>
      <c r="C105" s="28"/>
      <c r="D105" s="171"/>
      <c r="E105" s="95">
        <f>-(E63+E64-D63-D64)</f>
        <v>-22.400000000000002</v>
      </c>
      <c r="F105" s="95">
        <f>-(F63+F64-E63-E64)</f>
        <v>6.2000000000000028</v>
      </c>
      <c r="G105" s="95">
        <f>-(G63+G64-F63-F64)</f>
        <v>-42.099999999999994</v>
      </c>
      <c r="H105" s="61"/>
      <c r="I105" s="61"/>
      <c r="J105" s="61"/>
      <c r="K105" s="61"/>
      <c r="L105" s="61"/>
      <c r="M105" s="61"/>
    </row>
    <row r="106" spans="2:15" ht="12.95" customHeight="1" x14ac:dyDescent="0.2">
      <c r="B106" s="20" t="s">
        <v>322</v>
      </c>
      <c r="C106" s="21"/>
      <c r="D106" s="188"/>
      <c r="E106" s="57">
        <f>+SUM(E97:E105)</f>
        <v>119.60000000000002</v>
      </c>
      <c r="F106" s="57">
        <f>+SUM(F97:F105)</f>
        <v>189.00000000000045</v>
      </c>
      <c r="G106" s="57">
        <f>+SUM(G97:G105)</f>
        <v>-267.60000000000036</v>
      </c>
      <c r="H106" s="57"/>
      <c r="I106" s="57"/>
      <c r="J106" s="57"/>
      <c r="K106" s="57"/>
      <c r="L106" s="57"/>
      <c r="M106" s="57"/>
      <c r="N106" s="77"/>
      <c r="O106" s="4"/>
    </row>
    <row r="107" spans="2:15" ht="5.0999999999999996" customHeight="1" x14ac:dyDescent="0.2">
      <c r="D107" s="168"/>
      <c r="E107" s="51"/>
      <c r="F107" s="51"/>
      <c r="G107" s="51"/>
      <c r="H107" s="49"/>
      <c r="I107" s="49"/>
      <c r="J107" s="49"/>
      <c r="K107" s="49"/>
      <c r="L107" s="49"/>
      <c r="M107" s="49"/>
    </row>
    <row r="108" spans="2:15" ht="12.95" customHeight="1" x14ac:dyDescent="0.2">
      <c r="B108" s="27" t="s">
        <v>131</v>
      </c>
      <c r="C108" s="28"/>
      <c r="D108" s="171"/>
      <c r="E108" s="95">
        <f>-E34</f>
        <v>-40.5</v>
      </c>
      <c r="F108" s="95">
        <f>-F34</f>
        <v>-39.799999999999997</v>
      </c>
      <c r="G108" s="95">
        <f>-G34</f>
        <v>-46.1</v>
      </c>
      <c r="H108" s="61"/>
      <c r="I108" s="61"/>
      <c r="J108" s="61"/>
      <c r="K108" s="61"/>
      <c r="L108" s="61"/>
      <c r="M108" s="61"/>
    </row>
    <row r="109" spans="2:15" ht="12.95" customHeight="1" x14ac:dyDescent="0.2">
      <c r="B109" s="27" t="s">
        <v>128</v>
      </c>
      <c r="C109" s="28"/>
      <c r="D109" s="171"/>
      <c r="E109" s="95">
        <f>+E78-D78-E31+E34</f>
        <v>-51.299999999999898</v>
      </c>
      <c r="F109" s="95">
        <f>+F78-E78-F31+F34</f>
        <v>-147.79999999999984</v>
      </c>
      <c r="G109" s="95">
        <f>+G78-F78-G31+G34</f>
        <v>99.799999999999869</v>
      </c>
      <c r="H109" s="61"/>
      <c r="I109" s="61"/>
      <c r="J109" s="61"/>
      <c r="K109" s="61"/>
      <c r="L109" s="61"/>
      <c r="M109" s="61"/>
    </row>
    <row r="110" spans="2:15" ht="12.95" customHeight="1" x14ac:dyDescent="0.2">
      <c r="B110" s="27" t="s">
        <v>275</v>
      </c>
      <c r="C110" s="28"/>
      <c r="D110" s="171"/>
      <c r="E110" s="95">
        <f>+E80-D80</f>
        <v>0.5</v>
      </c>
      <c r="F110" s="95">
        <f>+F80-E80</f>
        <v>0.29999999999999982</v>
      </c>
      <c r="G110" s="95">
        <f>+G80-F80</f>
        <v>0.59999999999999964</v>
      </c>
      <c r="H110" s="61"/>
      <c r="I110" s="61"/>
      <c r="J110" s="61"/>
      <c r="K110" s="61"/>
      <c r="L110" s="61"/>
      <c r="M110" s="61"/>
    </row>
    <row r="111" spans="2:15" ht="5.0999999999999996" customHeight="1" x14ac:dyDescent="0.2">
      <c r="D111" s="168"/>
      <c r="E111" s="51"/>
      <c r="F111" s="51"/>
      <c r="G111" s="51"/>
      <c r="H111" s="49"/>
      <c r="I111" s="49"/>
      <c r="J111" s="49"/>
      <c r="K111" s="49"/>
      <c r="L111" s="49"/>
      <c r="M111" s="49"/>
    </row>
    <row r="112" spans="2:15" ht="12.95" customHeight="1" x14ac:dyDescent="0.2">
      <c r="B112" s="24" t="s">
        <v>277</v>
      </c>
      <c r="C112" s="25"/>
      <c r="D112" s="173"/>
      <c r="E112" s="174">
        <f>+SUM(E106:E110)</f>
        <v>28.300000000000125</v>
      </c>
      <c r="F112" s="174">
        <f>+SUM(F106:F110)</f>
        <v>1.7000000000006024</v>
      </c>
      <c r="G112" s="174">
        <f>+SUM(G106:G110)</f>
        <v>-213.30000000000052</v>
      </c>
      <c r="H112" s="58"/>
      <c r="I112" s="58"/>
      <c r="J112" s="58"/>
      <c r="K112" s="58"/>
      <c r="L112" s="58"/>
      <c r="M112" s="58"/>
    </row>
    <row r="113" spans="2:13" ht="12.95" customHeight="1" x14ac:dyDescent="0.2">
      <c r="B113" s="48" t="s">
        <v>1</v>
      </c>
      <c r="C113" s="28"/>
      <c r="D113" s="171"/>
      <c r="E113" s="204">
        <f>+E112+(E70-D70)</f>
        <v>1.1368683772161603E-13</v>
      </c>
      <c r="F113" s="204">
        <f>+F112+(F70-E70)</f>
        <v>6.1373128801278654E-13</v>
      </c>
      <c r="G113" s="204">
        <f>+G112+(G70-F70)</f>
        <v>-5.4001247917767614E-13</v>
      </c>
      <c r="H113" s="61"/>
      <c r="I113" s="61"/>
      <c r="J113" s="61"/>
      <c r="K113" s="61"/>
      <c r="L113" s="61"/>
      <c r="M113" s="61"/>
    </row>
    <row r="114" spans="2:13" ht="12.95" customHeight="1" x14ac:dyDescent="0.2">
      <c r="B114" s="27"/>
      <c r="C114" s="28"/>
      <c r="D114" s="61"/>
      <c r="E114" s="61"/>
      <c r="F114" s="61"/>
      <c r="G114" s="61"/>
      <c r="H114" s="61"/>
      <c r="I114" s="61"/>
      <c r="J114" s="61"/>
      <c r="K114" s="61"/>
      <c r="L114" s="61"/>
      <c r="M114" s="61"/>
    </row>
    <row r="142" spans="4:4" ht="12.95" customHeight="1" x14ac:dyDescent="0.2">
      <c r="D142" s="49"/>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7"/>
  <sheetViews>
    <sheetView showGridLines="0" zoomScale="82" zoomScaleNormal="82" workbookViewId="0">
      <pane xSplit="3" ySplit="6" topLeftCell="D117" activePane="bottomRight" state="frozen"/>
      <selection activeCell="C1" sqref="C1"/>
      <selection pane="topRight" activeCell="C1" sqref="C1"/>
      <selection pane="bottomLeft" activeCell="C1" sqref="C1"/>
      <selection pane="bottomRight" activeCell="B119" sqref="B119"/>
    </sheetView>
  </sheetViews>
  <sheetFormatPr defaultColWidth="13.83203125" defaultRowHeight="12.95" customHeight="1" x14ac:dyDescent="0.25"/>
  <cols>
    <col min="1" max="1" width="13.83203125" style="278"/>
    <col min="2" max="2" width="50" style="278" customWidth="1"/>
    <col min="3" max="3" width="10.33203125" style="278" bestFit="1" customWidth="1"/>
    <col min="4" max="16384" width="13.83203125" style="278"/>
  </cols>
  <sheetData>
    <row r="1" spans="1:13" ht="12.95" customHeight="1" x14ac:dyDescent="0.25">
      <c r="B1" s="279"/>
      <c r="D1" s="280"/>
      <c r="G1" s="281"/>
      <c r="H1" s="280"/>
      <c r="M1" s="280"/>
    </row>
    <row r="2" spans="1:13" ht="20.100000000000001" customHeight="1" x14ac:dyDescent="0.25">
      <c r="B2" s="282" t="s">
        <v>100</v>
      </c>
      <c r="C2" s="283"/>
      <c r="D2" s="284"/>
      <c r="E2" s="283"/>
      <c r="F2" s="283"/>
      <c r="G2" s="281"/>
      <c r="H2" s="280"/>
      <c r="J2" s="281"/>
      <c r="M2" s="280"/>
    </row>
    <row r="3" spans="1:13" ht="12.95" customHeight="1" x14ac:dyDescent="0.25">
      <c r="B3" s="285"/>
      <c r="C3" s="283"/>
      <c r="D3" s="286" t="s">
        <v>98</v>
      </c>
      <c r="E3" s="287"/>
      <c r="F3" s="287"/>
      <c r="G3" s="287"/>
      <c r="H3" s="286" t="s">
        <v>99</v>
      </c>
      <c r="I3" s="288"/>
      <c r="J3" s="288"/>
      <c r="K3" s="288"/>
      <c r="L3" s="288"/>
    </row>
    <row r="4" spans="1:13" ht="5.0999999999999996" customHeight="1" x14ac:dyDescent="0.25">
      <c r="D4" s="280"/>
      <c r="H4" s="280"/>
    </row>
    <row r="5" spans="1:13" ht="15" customHeight="1" x14ac:dyDescent="0.25">
      <c r="B5" s="289"/>
      <c r="C5" s="290" t="s">
        <v>2</v>
      </c>
      <c r="D5" s="291">
        <v>40908</v>
      </c>
      <c r="E5" s="292">
        <f t="shared" ref="E5:L5" si="0">+EOMONTH(D5,12)</f>
        <v>41274</v>
      </c>
      <c r="F5" s="292">
        <f t="shared" si="0"/>
        <v>41639</v>
      </c>
      <c r="G5" s="292">
        <f t="shared" si="0"/>
        <v>42004</v>
      </c>
      <c r="H5" s="293">
        <f t="shared" si="0"/>
        <v>42369</v>
      </c>
      <c r="I5" s="294">
        <f t="shared" si="0"/>
        <v>42735</v>
      </c>
      <c r="J5" s="294">
        <f t="shared" si="0"/>
        <v>43100</v>
      </c>
      <c r="K5" s="294">
        <f t="shared" si="0"/>
        <v>43465</v>
      </c>
      <c r="L5" s="294">
        <f t="shared" si="0"/>
        <v>43830</v>
      </c>
      <c r="M5" s="295" t="s">
        <v>183</v>
      </c>
    </row>
    <row r="6" spans="1:13" ht="5.0999999999999996" customHeight="1" x14ac:dyDescent="0.25">
      <c r="D6" s="280"/>
      <c r="H6" s="280"/>
      <c r="M6" s="280"/>
    </row>
    <row r="7" spans="1:13" s="296" customFormat="1" ht="5.0999999999999996" customHeight="1" x14ac:dyDescent="0.25">
      <c r="M7" s="280"/>
    </row>
    <row r="8" spans="1:13" s="296" customFormat="1" ht="12.95" customHeight="1" x14ac:dyDescent="0.25">
      <c r="B8" s="297" t="s">
        <v>102</v>
      </c>
      <c r="C8" s="297"/>
      <c r="D8" s="298"/>
      <c r="E8" s="299"/>
      <c r="F8" s="299"/>
      <c r="G8" s="300"/>
      <c r="H8" s="297"/>
      <c r="I8" s="297"/>
      <c r="J8" s="297"/>
      <c r="K8" s="297"/>
      <c r="L8" s="297"/>
      <c r="M8" s="301"/>
    </row>
    <row r="9" spans="1:13" ht="5.0999999999999996" customHeight="1" x14ac:dyDescent="0.25">
      <c r="A9" s="302"/>
      <c r="B9" s="303"/>
      <c r="C9" s="304"/>
      <c r="D9" s="305"/>
      <c r="E9" s="306"/>
      <c r="F9" s="306"/>
      <c r="G9" s="307"/>
      <c r="H9" s="308"/>
      <c r="I9" s="308"/>
      <c r="J9" s="308"/>
      <c r="K9" s="308"/>
      <c r="L9" s="308"/>
      <c r="M9" s="305"/>
    </row>
    <row r="10" spans="1:13" ht="12.95" customHeight="1" x14ac:dyDescent="0.25">
      <c r="A10" s="302"/>
      <c r="B10" s="309" t="s">
        <v>286</v>
      </c>
      <c r="C10" s="310"/>
      <c r="D10" s="311"/>
      <c r="E10" s="312"/>
      <c r="F10" s="312"/>
      <c r="G10" s="313"/>
      <c r="H10" s="312"/>
      <c r="I10" s="312"/>
      <c r="J10" s="312"/>
      <c r="K10" s="312"/>
      <c r="L10" s="312"/>
      <c r="M10" s="311"/>
    </row>
    <row r="11" spans="1:13" ht="12.95" customHeight="1" x14ac:dyDescent="0.25">
      <c r="A11" s="302"/>
      <c r="B11" s="314" t="s">
        <v>283</v>
      </c>
      <c r="C11" s="304"/>
      <c r="D11" s="305"/>
      <c r="E11" s="306"/>
      <c r="F11" s="306"/>
      <c r="G11" s="315">
        <f>+G15/F15-1</f>
        <v>-9.5887971355460566E-3</v>
      </c>
      <c r="H11" s="316">
        <v>0.16400000000000001</v>
      </c>
      <c r="I11" s="316">
        <v>0.13</v>
      </c>
      <c r="J11" s="316">
        <f t="shared" ref="J11:L12" si="1">+I11</f>
        <v>0.13</v>
      </c>
      <c r="K11" s="316">
        <f t="shared" si="1"/>
        <v>0.13</v>
      </c>
      <c r="L11" s="316">
        <f t="shared" si="1"/>
        <v>0.13</v>
      </c>
      <c r="M11" s="305"/>
    </row>
    <row r="12" spans="1:13" ht="12.95" customHeight="1" x14ac:dyDescent="0.25">
      <c r="A12" s="317"/>
      <c r="B12" s="314" t="s">
        <v>284</v>
      </c>
      <c r="C12" s="304"/>
      <c r="D12" s="305"/>
      <c r="E12" s="306"/>
      <c r="F12" s="306"/>
      <c r="G12" s="315">
        <f>+G16/F16-1</f>
        <v>0.12799926085518543</v>
      </c>
      <c r="H12" s="318">
        <v>6.8000000000000005E-2</v>
      </c>
      <c r="I12" s="318">
        <f>+H12</f>
        <v>6.8000000000000005E-2</v>
      </c>
      <c r="J12" s="318">
        <f t="shared" si="1"/>
        <v>6.8000000000000005E-2</v>
      </c>
      <c r="K12" s="318">
        <f t="shared" si="1"/>
        <v>6.8000000000000005E-2</v>
      </c>
      <c r="L12" s="318">
        <f t="shared" si="1"/>
        <v>6.8000000000000005E-2</v>
      </c>
      <c r="M12" s="305"/>
    </row>
    <row r="13" spans="1:13" ht="12.95" customHeight="1" x14ac:dyDescent="0.25">
      <c r="A13" s="317"/>
      <c r="B13" s="314" t="s">
        <v>285</v>
      </c>
      <c r="C13" s="304"/>
      <c r="D13" s="305"/>
      <c r="E13" s="306"/>
      <c r="F13" s="306"/>
      <c r="G13" s="315">
        <f>+G17/F17-1</f>
        <v>2.9796073172332127E-2</v>
      </c>
      <c r="H13" s="316">
        <v>1E-3</v>
      </c>
      <c r="I13" s="316">
        <f>+$G13</f>
        <v>2.9796073172332127E-2</v>
      </c>
      <c r="J13" s="316">
        <f t="shared" ref="J13:L13" si="2">+$G13</f>
        <v>2.9796073172332127E-2</v>
      </c>
      <c r="K13" s="316">
        <f t="shared" si="2"/>
        <v>2.9796073172332127E-2</v>
      </c>
      <c r="L13" s="316">
        <f t="shared" si="2"/>
        <v>2.9796073172332127E-2</v>
      </c>
      <c r="M13" s="305"/>
    </row>
    <row r="14" spans="1:13" ht="5.0999999999999996" customHeight="1" x14ac:dyDescent="0.25">
      <c r="A14" s="281"/>
      <c r="D14" s="280"/>
      <c r="E14" s="296"/>
      <c r="F14" s="296"/>
      <c r="G14" s="319"/>
      <c r="L14" s="296"/>
      <c r="M14" s="280"/>
    </row>
    <row r="15" spans="1:13" ht="12.95" customHeight="1" x14ac:dyDescent="0.25">
      <c r="A15" s="281"/>
      <c r="B15" s="314" t="s">
        <v>283</v>
      </c>
      <c r="C15" s="304"/>
      <c r="D15" s="305"/>
      <c r="E15" s="306"/>
      <c r="F15" s="306">
        <f>+Originals!F99</f>
        <v>800.15250000000003</v>
      </c>
      <c r="G15" s="307">
        <f>+Originals!G99</f>
        <v>792.48</v>
      </c>
      <c r="H15" s="308">
        <f t="shared" ref="H15:L17" si="3">+G15*(1+H11)</f>
        <v>922.44671999999991</v>
      </c>
      <c r="I15" s="308">
        <f t="shared" si="3"/>
        <v>1042.3647935999998</v>
      </c>
      <c r="J15" s="308">
        <f t="shared" si="3"/>
        <v>1177.8722167679996</v>
      </c>
      <c r="K15" s="308">
        <f t="shared" si="3"/>
        <v>1330.9956049478394</v>
      </c>
      <c r="L15" s="308">
        <f t="shared" si="3"/>
        <v>1504.0250335910584</v>
      </c>
      <c r="M15" s="305"/>
    </row>
    <row r="16" spans="1:13" ht="12.95" customHeight="1" x14ac:dyDescent="0.25">
      <c r="B16" s="314" t="s">
        <v>284</v>
      </c>
      <c r="C16" s="304"/>
      <c r="D16" s="305"/>
      <c r="E16" s="306"/>
      <c r="F16" s="306">
        <f>+Originals!F100</f>
        <v>224.04269999999997</v>
      </c>
      <c r="G16" s="307">
        <f>+Originals!G100</f>
        <v>252.72</v>
      </c>
      <c r="H16" s="308">
        <f t="shared" si="3"/>
        <v>269.90496000000002</v>
      </c>
      <c r="I16" s="308">
        <f t="shared" si="3"/>
        <v>288.25849728000003</v>
      </c>
      <c r="J16" s="308">
        <f t="shared" si="3"/>
        <v>307.86007509504003</v>
      </c>
      <c r="K16" s="308">
        <f t="shared" si="3"/>
        <v>328.79456020150275</v>
      </c>
      <c r="L16" s="308">
        <f t="shared" si="3"/>
        <v>351.15259029520496</v>
      </c>
      <c r="M16" s="305"/>
    </row>
    <row r="17" spans="1:13" ht="12.95" customHeight="1" x14ac:dyDescent="0.25">
      <c r="B17" s="314" t="s">
        <v>285</v>
      </c>
      <c r="C17" s="304"/>
      <c r="D17" s="305"/>
      <c r="E17" s="306"/>
      <c r="F17" s="306">
        <f>+Originals!F101</f>
        <v>499.90479999999991</v>
      </c>
      <c r="G17" s="307">
        <f>+Originals!G101</f>
        <v>514.79999999999995</v>
      </c>
      <c r="H17" s="308">
        <f t="shared" si="3"/>
        <v>515.31479999999988</v>
      </c>
      <c r="I17" s="308">
        <f t="shared" si="3"/>
        <v>530.66915748758561</v>
      </c>
      <c r="J17" s="308">
        <f t="shared" si="3"/>
        <v>546.48101453438551</v>
      </c>
      <c r="K17" s="308">
        <f t="shared" si="3"/>
        <v>562.76400283074236</v>
      </c>
      <c r="L17" s="308">
        <f t="shared" si="3"/>
        <v>579.53216023784171</v>
      </c>
      <c r="M17" s="305"/>
    </row>
    <row r="18" spans="1:13" ht="5.0999999999999996" customHeight="1" x14ac:dyDescent="0.25">
      <c r="D18" s="320"/>
      <c r="E18" s="321"/>
      <c r="F18" s="321"/>
      <c r="G18" s="322"/>
      <c r="H18" s="323"/>
      <c r="I18" s="323"/>
      <c r="J18" s="323"/>
      <c r="K18" s="323"/>
      <c r="L18" s="323"/>
      <c r="M18" s="324"/>
    </row>
    <row r="19" spans="1:13" ht="12.95" customHeight="1" x14ac:dyDescent="0.25">
      <c r="A19" s="325" t="s">
        <v>129</v>
      </c>
      <c r="B19" s="326" t="s">
        <v>97</v>
      </c>
      <c r="C19" s="327"/>
      <c r="D19" s="328">
        <f>+Originals!D10</f>
        <v>1274.2</v>
      </c>
      <c r="E19" s="329">
        <f>+Originals!E10</f>
        <v>1340.8</v>
      </c>
      <c r="F19" s="329">
        <f t="shared" ref="F19:L19" si="4">+SUM(F15:F17)</f>
        <v>1524.1</v>
      </c>
      <c r="G19" s="330">
        <f t="shared" si="4"/>
        <v>1560</v>
      </c>
      <c r="H19" s="329">
        <f t="shared" si="4"/>
        <v>1707.6664799999999</v>
      </c>
      <c r="I19" s="329">
        <f t="shared" si="4"/>
        <v>1861.2924483675854</v>
      </c>
      <c r="J19" s="329">
        <f t="shared" si="4"/>
        <v>2032.2133063974252</v>
      </c>
      <c r="K19" s="329">
        <f t="shared" si="4"/>
        <v>2222.5541679800845</v>
      </c>
      <c r="L19" s="329">
        <f t="shared" si="4"/>
        <v>2434.7097841241052</v>
      </c>
      <c r="M19" s="328">
        <f ca="1">+L19*(1+M20)</f>
        <v>2507.7510776478284</v>
      </c>
    </row>
    <row r="20" spans="1:13" ht="12.95" customHeight="1" x14ac:dyDescent="0.25">
      <c r="A20" s="302"/>
      <c r="B20" s="331" t="s">
        <v>72</v>
      </c>
      <c r="C20" s="332"/>
      <c r="D20" s="333"/>
      <c r="E20" s="334">
        <f t="shared" ref="E20:L20" si="5">+E19/D19-1</f>
        <v>5.2268089781823734E-2</v>
      </c>
      <c r="F20" s="334">
        <f t="shared" si="5"/>
        <v>0.13670942720763724</v>
      </c>
      <c r="G20" s="335">
        <f t="shared" si="5"/>
        <v>2.3554884850075508E-2</v>
      </c>
      <c r="H20" s="334">
        <f t="shared" si="5"/>
        <v>9.4657999999999909E-2</v>
      </c>
      <c r="I20" s="334">
        <f t="shared" si="5"/>
        <v>8.9962513269912892E-2</v>
      </c>
      <c r="J20" s="334">
        <f t="shared" si="5"/>
        <v>9.1829125605566775E-2</v>
      </c>
      <c r="K20" s="334">
        <f t="shared" si="5"/>
        <v>9.3661851826018827E-2</v>
      </c>
      <c r="L20" s="334">
        <f t="shared" si="5"/>
        <v>9.5455768502971328E-2</v>
      </c>
      <c r="M20" s="336">
        <f ca="1">+'Valuation DCF EP APV'!G10</f>
        <v>3.0000000000000002E-2</v>
      </c>
    </row>
    <row r="21" spans="1:13" ht="12.95" customHeight="1" x14ac:dyDescent="0.25">
      <c r="A21" s="302"/>
      <c r="B21" s="337"/>
      <c r="C21" s="304"/>
      <c r="D21" s="338"/>
      <c r="E21" s="339"/>
      <c r="F21" s="339"/>
      <c r="G21" s="340"/>
      <c r="H21" s="341"/>
      <c r="I21" s="341"/>
      <c r="J21" s="341"/>
      <c r="K21" s="341"/>
      <c r="L21" s="341"/>
      <c r="M21" s="342"/>
    </row>
    <row r="22" spans="1:13" ht="12.95" customHeight="1" x14ac:dyDescent="0.25">
      <c r="A22" s="302"/>
      <c r="B22" s="289" t="s">
        <v>103</v>
      </c>
      <c r="C22" s="289"/>
      <c r="D22" s="298"/>
      <c r="E22" s="299"/>
      <c r="F22" s="299"/>
      <c r="G22" s="300"/>
      <c r="H22" s="289"/>
      <c r="I22" s="289"/>
      <c r="J22" s="289"/>
      <c r="K22" s="289"/>
      <c r="L22" s="289"/>
      <c r="M22" s="301"/>
    </row>
    <row r="23" spans="1:13" ht="5.0999999999999996" customHeight="1" x14ac:dyDescent="0.25">
      <c r="A23" s="302"/>
      <c r="D23" s="343"/>
      <c r="E23" s="344"/>
      <c r="F23" s="344"/>
      <c r="G23" s="345"/>
      <c r="M23" s="280"/>
    </row>
    <row r="24" spans="1:13" ht="12.95" customHeight="1" x14ac:dyDescent="0.25">
      <c r="A24" s="325" t="s">
        <v>129</v>
      </c>
      <c r="B24" s="326" t="s">
        <v>62</v>
      </c>
      <c r="C24" s="327"/>
      <c r="D24" s="328">
        <f>+Restatements!D13</f>
        <v>-386.5</v>
      </c>
      <c r="E24" s="329">
        <f>+Restatements!E13</f>
        <v>-401.5</v>
      </c>
      <c r="F24" s="329">
        <f>+Restatements!F13</f>
        <v>-489.1</v>
      </c>
      <c r="G24" s="330">
        <f>+Restatements!G13</f>
        <v>-485.8</v>
      </c>
      <c r="H24" s="329">
        <f t="shared" ref="H24:M28" si="6">-H$19*H31</f>
        <v>-527.28327719641027</v>
      </c>
      <c r="I24" s="329">
        <f t="shared" si="6"/>
        <v>-574.7190060181955</v>
      </c>
      <c r="J24" s="329">
        <f t="shared" si="6"/>
        <v>-627.4949498097468</v>
      </c>
      <c r="K24" s="329">
        <f t="shared" si="6"/>
        <v>-686.26728882040243</v>
      </c>
      <c r="L24" s="329">
        <f t="shared" si="6"/>
        <v>-751.77546027320443</v>
      </c>
      <c r="M24" s="328">
        <f t="shared" ca="1" si="6"/>
        <v>-774.32872408140054</v>
      </c>
    </row>
    <row r="25" spans="1:13" ht="12.95" customHeight="1" x14ac:dyDescent="0.25">
      <c r="A25" s="325" t="s">
        <v>129</v>
      </c>
      <c r="B25" s="326" t="s">
        <v>4</v>
      </c>
      <c r="C25" s="327"/>
      <c r="D25" s="328">
        <f>+Restatements!D14</f>
        <v>-229.1</v>
      </c>
      <c r="E25" s="329">
        <f>+Restatements!E14</f>
        <v>-237.2</v>
      </c>
      <c r="F25" s="329">
        <f>+Restatements!F14</f>
        <v>-249.2</v>
      </c>
      <c r="G25" s="330">
        <f>+Restatements!G14</f>
        <v>-260.8</v>
      </c>
      <c r="H25" s="329">
        <f t="shared" si="6"/>
        <v>-293.46001542427524</v>
      </c>
      <c r="I25" s="329">
        <f t="shared" si="6"/>
        <v>-319.86041595607043</v>
      </c>
      <c r="J25" s="329">
        <f t="shared" si="6"/>
        <v>-349.23291826914925</v>
      </c>
      <c r="K25" s="329">
        <f t="shared" si="6"/>
        <v>-381.94272011284244</v>
      </c>
      <c r="L25" s="329">
        <f t="shared" si="6"/>
        <v>-418.40135598532902</v>
      </c>
      <c r="M25" s="328">
        <f t="shared" ca="1" si="6"/>
        <v>-430.95339666488894</v>
      </c>
    </row>
    <row r="26" spans="1:13" ht="12.95" customHeight="1" x14ac:dyDescent="0.25">
      <c r="A26" s="325" t="s">
        <v>129</v>
      </c>
      <c r="B26" s="326" t="s">
        <v>63</v>
      </c>
      <c r="C26" s="327"/>
      <c r="D26" s="328">
        <f>+Restatements!D15</f>
        <v>-7.7</v>
      </c>
      <c r="E26" s="329">
        <f>+Restatements!E15</f>
        <v>-8.5</v>
      </c>
      <c r="F26" s="329">
        <f>+Restatements!F15</f>
        <v>-10.7</v>
      </c>
      <c r="G26" s="330">
        <f>+Restatements!G15</f>
        <v>-11.2</v>
      </c>
      <c r="H26" s="329">
        <f t="shared" si="6"/>
        <v>-11.348523890042857</v>
      </c>
      <c r="I26" s="329">
        <f t="shared" si="6"/>
        <v>-12.369465621094761</v>
      </c>
      <c r="J26" s="329">
        <f t="shared" si="6"/>
        <v>-13.505342833288012</v>
      </c>
      <c r="K26" s="329">
        <f t="shared" si="6"/>
        <v>-14.770278252599017</v>
      </c>
      <c r="L26" s="329">
        <f t="shared" si="6"/>
        <v>-16.18018651420358</v>
      </c>
      <c r="M26" s="328">
        <f t="shared" ca="1" si="6"/>
        <v>-16.665592109629689</v>
      </c>
    </row>
    <row r="27" spans="1:13" ht="12.95" customHeight="1" x14ac:dyDescent="0.25">
      <c r="A27" s="325" t="s">
        <v>129</v>
      </c>
      <c r="B27" s="326" t="s">
        <v>64</v>
      </c>
      <c r="C27" s="327"/>
      <c r="D27" s="328">
        <f>+Restatements!D16</f>
        <v>-149.4</v>
      </c>
      <c r="E27" s="329">
        <f>+Restatements!E16</f>
        <v>-160.4</v>
      </c>
      <c r="F27" s="329">
        <f>+Restatements!F16</f>
        <v>-200.4</v>
      </c>
      <c r="G27" s="330">
        <f>+Restatements!G16</f>
        <v>-215.5</v>
      </c>
      <c r="H27" s="329">
        <f t="shared" si="6"/>
        <v>-216.23692742608665</v>
      </c>
      <c r="I27" s="329">
        <f t="shared" si="6"/>
        <v>-235.69014487910118</v>
      </c>
      <c r="J27" s="329">
        <f t="shared" si="6"/>
        <v>-257.33336479719839</v>
      </c>
      <c r="K27" s="329">
        <f t="shared" si="6"/>
        <v>-281.43568428072439</v>
      </c>
      <c r="L27" s="329">
        <f t="shared" si="6"/>
        <v>-308.3003438079005</v>
      </c>
      <c r="M27" s="328">
        <f t="shared" ca="1" si="6"/>
        <v>-317.54935412213757</v>
      </c>
    </row>
    <row r="28" spans="1:13" ht="12.95" customHeight="1" x14ac:dyDescent="0.25">
      <c r="A28" s="325" t="s">
        <v>129</v>
      </c>
      <c r="B28" s="326" t="s">
        <v>95</v>
      </c>
      <c r="C28" s="327"/>
      <c r="D28" s="328">
        <f>+Restatements!D17</f>
        <v>-172.49999999999994</v>
      </c>
      <c r="E28" s="329">
        <f>+Restatements!E17</f>
        <v>-195.90000000000003</v>
      </c>
      <c r="F28" s="329">
        <f>+Restatements!F17</f>
        <v>-235.50000000000003</v>
      </c>
      <c r="G28" s="330">
        <f>+Restatements!G17</f>
        <v>-249.09999999999988</v>
      </c>
      <c r="H28" s="329">
        <f t="shared" si="6"/>
        <v>-254.3068750071503</v>
      </c>
      <c r="I28" s="329">
        <f t="shared" si="6"/>
        <v>-277.18496062461116</v>
      </c>
      <c r="J28" s="329">
        <f t="shared" si="6"/>
        <v>-302.63861318978263</v>
      </c>
      <c r="K28" s="329">
        <f t="shared" si="6"/>
        <v>-330.98430613519582</v>
      </c>
      <c r="L28" s="329">
        <f t="shared" si="6"/>
        <v>-362.57866743975364</v>
      </c>
      <c r="M28" s="328">
        <f t="shared" ca="1" si="6"/>
        <v>-373.45602746294628</v>
      </c>
    </row>
    <row r="29" spans="1:13" ht="5.0999999999999996" customHeight="1" x14ac:dyDescent="0.25">
      <c r="A29" s="302"/>
      <c r="D29" s="343"/>
      <c r="E29" s="344"/>
      <c r="F29" s="344"/>
      <c r="G29" s="345"/>
      <c r="M29" s="280"/>
    </row>
    <row r="30" spans="1:13" ht="12.95" customHeight="1" x14ac:dyDescent="0.25">
      <c r="A30" s="302"/>
      <c r="B30" s="309" t="s">
        <v>101</v>
      </c>
      <c r="C30" s="310"/>
      <c r="D30" s="346"/>
      <c r="E30" s="347"/>
      <c r="F30" s="347"/>
      <c r="G30" s="348"/>
      <c r="H30" s="349"/>
      <c r="I30" s="349"/>
      <c r="J30" s="349"/>
      <c r="K30" s="349"/>
      <c r="L30" s="349"/>
      <c r="M30" s="350"/>
    </row>
    <row r="31" spans="1:13" ht="12.95" customHeight="1" x14ac:dyDescent="0.25">
      <c r="A31" s="302"/>
      <c r="B31" s="285" t="s">
        <v>62</v>
      </c>
      <c r="D31" s="351">
        <f t="shared" ref="D31:G35" si="7">-D24/D$19</f>
        <v>0.3033275780882122</v>
      </c>
      <c r="E31" s="352">
        <f t="shared" si="7"/>
        <v>0.29944809069212414</v>
      </c>
      <c r="F31" s="352">
        <f t="shared" si="7"/>
        <v>0.32091070139754613</v>
      </c>
      <c r="G31" s="353">
        <f t="shared" si="7"/>
        <v>0.31141025641025644</v>
      </c>
      <c r="H31" s="318">
        <f>+AVERAGE(D31:G31)</f>
        <v>0.30877415664703467</v>
      </c>
      <c r="I31" s="318">
        <f t="shared" ref="I31:M35" si="8">+H31</f>
        <v>0.30877415664703467</v>
      </c>
      <c r="J31" s="318">
        <f t="shared" si="8"/>
        <v>0.30877415664703467</v>
      </c>
      <c r="K31" s="318">
        <f t="shared" si="8"/>
        <v>0.30877415664703467</v>
      </c>
      <c r="L31" s="318">
        <f t="shared" si="8"/>
        <v>0.30877415664703467</v>
      </c>
      <c r="M31" s="354">
        <f t="shared" si="8"/>
        <v>0.30877415664703467</v>
      </c>
    </row>
    <row r="32" spans="1:13" ht="12.95" customHeight="1" x14ac:dyDescent="0.25">
      <c r="A32" s="302"/>
      <c r="B32" s="285" t="s">
        <v>4</v>
      </c>
      <c r="D32" s="351">
        <f t="shared" si="7"/>
        <v>0.17979908962486266</v>
      </c>
      <c r="E32" s="352">
        <f t="shared" si="7"/>
        <v>0.17690930787589498</v>
      </c>
      <c r="F32" s="352">
        <f t="shared" si="7"/>
        <v>0.16350633160553771</v>
      </c>
      <c r="G32" s="353">
        <f t="shared" si="7"/>
        <v>0.16717948717948719</v>
      </c>
      <c r="H32" s="318">
        <f>+AVERAGE(D32:G32)</f>
        <v>0.17184855407144564</v>
      </c>
      <c r="I32" s="318">
        <f t="shared" si="8"/>
        <v>0.17184855407144564</v>
      </c>
      <c r="J32" s="318">
        <f t="shared" si="8"/>
        <v>0.17184855407144564</v>
      </c>
      <c r="K32" s="318">
        <f t="shared" si="8"/>
        <v>0.17184855407144564</v>
      </c>
      <c r="L32" s="318">
        <f t="shared" si="8"/>
        <v>0.17184855407144564</v>
      </c>
      <c r="M32" s="354">
        <f t="shared" si="8"/>
        <v>0.17184855407144564</v>
      </c>
    </row>
    <row r="33" spans="1:13" ht="12.95" customHeight="1" x14ac:dyDescent="0.25">
      <c r="A33" s="302"/>
      <c r="B33" s="285" t="s">
        <v>63</v>
      </c>
      <c r="D33" s="351">
        <f t="shared" si="7"/>
        <v>6.0430073771778371E-3</v>
      </c>
      <c r="E33" s="352">
        <f t="shared" si="7"/>
        <v>6.3394988066825782E-3</v>
      </c>
      <c r="F33" s="352">
        <f t="shared" si="7"/>
        <v>7.0205367101896198E-3</v>
      </c>
      <c r="G33" s="353">
        <f t="shared" si="7"/>
        <v>7.1794871794871786E-3</v>
      </c>
      <c r="H33" s="318">
        <f>+AVERAGE(D33:G33)</f>
        <v>6.6456325183843028E-3</v>
      </c>
      <c r="I33" s="318">
        <f t="shared" si="8"/>
        <v>6.6456325183843028E-3</v>
      </c>
      <c r="J33" s="318">
        <f t="shared" si="8"/>
        <v>6.6456325183843028E-3</v>
      </c>
      <c r="K33" s="318">
        <f t="shared" si="8"/>
        <v>6.6456325183843028E-3</v>
      </c>
      <c r="L33" s="318">
        <f t="shared" si="8"/>
        <v>6.6456325183843028E-3</v>
      </c>
      <c r="M33" s="354">
        <f t="shared" si="8"/>
        <v>6.6456325183843028E-3</v>
      </c>
    </row>
    <row r="34" spans="1:13" ht="12.95" customHeight="1" x14ac:dyDescent="0.25">
      <c r="A34" s="302"/>
      <c r="B34" s="285" t="s">
        <v>64</v>
      </c>
      <c r="D34" s="351">
        <f t="shared" si="7"/>
        <v>0.11725003924030765</v>
      </c>
      <c r="E34" s="352">
        <f t="shared" si="7"/>
        <v>0.11963007159904536</v>
      </c>
      <c r="F34" s="352">
        <f t="shared" si="7"/>
        <v>0.13148743520766354</v>
      </c>
      <c r="G34" s="353">
        <f t="shared" si="7"/>
        <v>0.13814102564102565</v>
      </c>
      <c r="H34" s="318">
        <f>+AVERAGE(D34:G34)</f>
        <v>0.12662714292201055</v>
      </c>
      <c r="I34" s="318">
        <f t="shared" si="8"/>
        <v>0.12662714292201055</v>
      </c>
      <c r="J34" s="318">
        <f t="shared" si="8"/>
        <v>0.12662714292201055</v>
      </c>
      <c r="K34" s="318">
        <f t="shared" si="8"/>
        <v>0.12662714292201055</v>
      </c>
      <c r="L34" s="318">
        <f t="shared" si="8"/>
        <v>0.12662714292201055</v>
      </c>
      <c r="M34" s="354">
        <f t="shared" si="8"/>
        <v>0.12662714292201055</v>
      </c>
    </row>
    <row r="35" spans="1:13" ht="12.95" customHeight="1" x14ac:dyDescent="0.25">
      <c r="A35" s="302"/>
      <c r="B35" s="285" t="s">
        <v>95</v>
      </c>
      <c r="D35" s="351">
        <f t="shared" si="7"/>
        <v>0.13537906137184111</v>
      </c>
      <c r="E35" s="352">
        <f t="shared" si="7"/>
        <v>0.14610680190930792</v>
      </c>
      <c r="F35" s="352">
        <f t="shared" si="7"/>
        <v>0.15451742011679026</v>
      </c>
      <c r="G35" s="353">
        <f t="shared" si="7"/>
        <v>0.1596794871794871</v>
      </c>
      <c r="H35" s="318">
        <f>+AVERAGE(D35:G35)</f>
        <v>0.14892069264435659</v>
      </c>
      <c r="I35" s="318">
        <f t="shared" si="8"/>
        <v>0.14892069264435659</v>
      </c>
      <c r="J35" s="318">
        <f t="shared" si="8"/>
        <v>0.14892069264435659</v>
      </c>
      <c r="K35" s="318">
        <f t="shared" si="8"/>
        <v>0.14892069264435659</v>
      </c>
      <c r="L35" s="318">
        <f t="shared" si="8"/>
        <v>0.14892069264435659</v>
      </c>
      <c r="M35" s="354">
        <f t="shared" si="8"/>
        <v>0.14892069264435659</v>
      </c>
    </row>
    <row r="36" spans="1:13" ht="12.95" customHeight="1" x14ac:dyDescent="0.25">
      <c r="A36" s="302"/>
      <c r="D36" s="343"/>
      <c r="E36" s="344"/>
      <c r="F36" s="344"/>
      <c r="G36" s="345"/>
      <c r="M36" s="280"/>
    </row>
    <row r="37" spans="1:13" ht="12.95" customHeight="1" x14ac:dyDescent="0.25">
      <c r="A37" s="302"/>
      <c r="B37" s="289" t="s">
        <v>104</v>
      </c>
      <c r="C37" s="289"/>
      <c r="D37" s="298"/>
      <c r="E37" s="299"/>
      <c r="F37" s="299"/>
      <c r="G37" s="300"/>
      <c r="H37" s="289"/>
      <c r="I37" s="289"/>
      <c r="J37" s="289"/>
      <c r="K37" s="289"/>
      <c r="L37" s="289"/>
      <c r="M37" s="301"/>
    </row>
    <row r="38" spans="1:13" ht="5.0999999999999996" customHeight="1" x14ac:dyDescent="0.25">
      <c r="A38" s="302"/>
      <c r="D38" s="343"/>
      <c r="E38" s="344"/>
      <c r="F38" s="344"/>
      <c r="G38" s="345"/>
      <c r="M38" s="280"/>
    </row>
    <row r="39" spans="1:13" ht="12.95" customHeight="1" x14ac:dyDescent="0.25">
      <c r="A39" s="325" t="s">
        <v>130</v>
      </c>
      <c r="B39" s="355" t="s">
        <v>113</v>
      </c>
      <c r="C39" s="356"/>
      <c r="D39" s="328">
        <f>+Restatements!D53</f>
        <v>1469.6</v>
      </c>
      <c r="E39" s="329">
        <f>+Restatements!E53</f>
        <v>1664</v>
      </c>
      <c r="F39" s="329">
        <f>+Restatements!F53</f>
        <v>1582.4</v>
      </c>
      <c r="G39" s="330">
        <f>+Restatements!G53</f>
        <v>1870.8</v>
      </c>
      <c r="H39" s="357">
        <f t="shared" ref="H39:M39" si="9">+G39</f>
        <v>1870.8</v>
      </c>
      <c r="I39" s="357">
        <f t="shared" si="9"/>
        <v>1870.8</v>
      </c>
      <c r="J39" s="357">
        <f t="shared" si="9"/>
        <v>1870.8</v>
      </c>
      <c r="K39" s="357">
        <f t="shared" si="9"/>
        <v>1870.8</v>
      </c>
      <c r="L39" s="357">
        <f t="shared" si="9"/>
        <v>1870.8</v>
      </c>
      <c r="M39" s="358">
        <f t="shared" si="9"/>
        <v>1870.8</v>
      </c>
    </row>
    <row r="40" spans="1:13" ht="5.0999999999999996" customHeight="1" x14ac:dyDescent="0.25">
      <c r="A40" s="302"/>
      <c r="D40" s="320"/>
      <c r="E40" s="321"/>
      <c r="F40" s="321"/>
      <c r="G40" s="322"/>
      <c r="H40" s="323"/>
      <c r="I40" s="323"/>
      <c r="J40" s="323"/>
      <c r="K40" s="323"/>
      <c r="L40" s="323"/>
      <c r="M40" s="324"/>
    </row>
    <row r="41" spans="1:13" ht="12.95" customHeight="1" x14ac:dyDescent="0.25">
      <c r="A41" s="302"/>
      <c r="B41" s="359" t="s">
        <v>125</v>
      </c>
      <c r="C41" s="360"/>
      <c r="D41" s="361"/>
      <c r="E41" s="362"/>
      <c r="F41" s="362"/>
      <c r="G41" s="363"/>
      <c r="H41" s="362"/>
      <c r="I41" s="362"/>
      <c r="J41" s="362"/>
      <c r="K41" s="362"/>
      <c r="L41" s="362"/>
      <c r="M41" s="361"/>
    </row>
    <row r="42" spans="1:13" ht="12.95" customHeight="1" x14ac:dyDescent="0.25">
      <c r="A42" s="302"/>
      <c r="B42" s="364" t="s">
        <v>109</v>
      </c>
      <c r="C42" s="365"/>
      <c r="D42" s="366"/>
      <c r="E42" s="367"/>
      <c r="F42" s="367"/>
      <c r="G42" s="368"/>
      <c r="H42" s="367">
        <f t="shared" ref="H42:M42" si="10">+G46</f>
        <v>464.6</v>
      </c>
      <c r="I42" s="367">
        <f t="shared" si="10"/>
        <v>507.50549125645739</v>
      </c>
      <c r="J42" s="367">
        <f t="shared" si="10"/>
        <v>554.27086833942587</v>
      </c>
      <c r="K42" s="367">
        <f t="shared" si="10"/>
        <v>605.33066910853802</v>
      </c>
      <c r="L42" s="367">
        <f t="shared" si="10"/>
        <v>661.17282537155279</v>
      </c>
      <c r="M42" s="366">
        <f t="shared" si="10"/>
        <v>722.3454375755166</v>
      </c>
    </row>
    <row r="43" spans="1:13" ht="12.95" customHeight="1" x14ac:dyDescent="0.25">
      <c r="A43" s="302"/>
      <c r="B43" s="369" t="s">
        <v>110</v>
      </c>
      <c r="C43" s="360"/>
      <c r="D43" s="320"/>
      <c r="E43" s="321"/>
      <c r="F43" s="321"/>
      <c r="G43" s="322"/>
      <c r="H43" s="321">
        <f t="shared" ref="H43:M43" si="11">-H50</f>
        <v>93.4622671893177</v>
      </c>
      <c r="I43" s="321">
        <f t="shared" si="11"/>
        <v>101.87036764157284</v>
      </c>
      <c r="J43" s="321">
        <f t="shared" si="11"/>
        <v>111.2250344272161</v>
      </c>
      <c r="K43" s="321">
        <f t="shared" si="11"/>
        <v>121.64257712108184</v>
      </c>
      <c r="L43" s="321">
        <f t="shared" si="11"/>
        <v>133.25406280285665</v>
      </c>
      <c r="M43" s="320">
        <f t="shared" ca="1" si="11"/>
        <v>50.155021552956569</v>
      </c>
    </row>
    <row r="44" spans="1:13" ht="12.95" customHeight="1" x14ac:dyDescent="0.25">
      <c r="A44" s="302"/>
      <c r="B44" s="369" t="s">
        <v>111</v>
      </c>
      <c r="C44" s="360"/>
      <c r="D44" s="320"/>
      <c r="E44" s="321"/>
      <c r="F44" s="321"/>
      <c r="G44" s="322"/>
      <c r="H44" s="321">
        <f t="shared" ref="H44:M44" si="12">+H48</f>
        <v>-50.556775932860333</v>
      </c>
      <c r="I44" s="321">
        <f t="shared" si="12"/>
        <v>-55.1049905586043</v>
      </c>
      <c r="J44" s="321">
        <f t="shared" si="12"/>
        <v>-60.165233658103944</v>
      </c>
      <c r="K44" s="321">
        <f t="shared" si="12"/>
        <v>-65.800420858067071</v>
      </c>
      <c r="L44" s="321">
        <f t="shared" si="12"/>
        <v>-72.0814505988928</v>
      </c>
      <c r="M44" s="320">
        <f t="shared" ca="1" si="12"/>
        <v>-50.155021552956569</v>
      </c>
    </row>
    <row r="45" spans="1:13" ht="5.0999999999999996" customHeight="1" x14ac:dyDescent="0.25">
      <c r="A45" s="302"/>
      <c r="D45" s="320"/>
      <c r="E45" s="321"/>
      <c r="F45" s="321"/>
      <c r="G45" s="322"/>
      <c r="H45" s="323"/>
      <c r="I45" s="323"/>
      <c r="J45" s="323"/>
      <c r="K45" s="323"/>
      <c r="L45" s="323"/>
      <c r="M45" s="324"/>
    </row>
    <row r="46" spans="1:13" ht="12.95" customHeight="1" x14ac:dyDescent="0.25">
      <c r="A46" s="325" t="s">
        <v>130</v>
      </c>
      <c r="B46" s="326" t="s">
        <v>112</v>
      </c>
      <c r="C46" s="327"/>
      <c r="D46" s="328">
        <f>+Restatements!D52</f>
        <v>338.6</v>
      </c>
      <c r="E46" s="329">
        <f>+Restatements!E52</f>
        <v>411.99999999999994</v>
      </c>
      <c r="F46" s="329">
        <f>+Restatements!F52</f>
        <v>418.90000000000003</v>
      </c>
      <c r="G46" s="330">
        <f>+Restatements!G52</f>
        <v>464.6</v>
      </c>
      <c r="H46" s="329">
        <f t="shared" ref="H46:M46" si="13">+SUM(H42:H44)</f>
        <v>507.50549125645739</v>
      </c>
      <c r="I46" s="329">
        <f t="shared" si="13"/>
        <v>554.27086833942587</v>
      </c>
      <c r="J46" s="329">
        <f t="shared" si="13"/>
        <v>605.33066910853802</v>
      </c>
      <c r="K46" s="329">
        <f t="shared" si="13"/>
        <v>661.17282537155279</v>
      </c>
      <c r="L46" s="329">
        <f t="shared" si="13"/>
        <v>722.3454375755166</v>
      </c>
      <c r="M46" s="328">
        <f t="shared" ca="1" si="13"/>
        <v>722.3454375755166</v>
      </c>
    </row>
    <row r="47" spans="1:13" ht="5.0999999999999996" customHeight="1" x14ac:dyDescent="0.25">
      <c r="A47" s="302"/>
      <c r="D47" s="320"/>
      <c r="E47" s="321"/>
      <c r="F47" s="321"/>
      <c r="G47" s="322"/>
      <c r="H47" s="323"/>
      <c r="I47" s="323"/>
      <c r="J47" s="323"/>
      <c r="K47" s="323"/>
      <c r="L47" s="323"/>
      <c r="M47" s="324"/>
    </row>
    <row r="48" spans="1:13" ht="12.95" customHeight="1" x14ac:dyDescent="0.25">
      <c r="A48" s="325" t="s">
        <v>129</v>
      </c>
      <c r="B48" s="326" t="s">
        <v>65</v>
      </c>
      <c r="C48" s="327"/>
      <c r="D48" s="328">
        <f>+Restatements!D21</f>
        <v>-30.3</v>
      </c>
      <c r="E48" s="329">
        <f>+Restatements!E21</f>
        <v>-32.700000000000003</v>
      </c>
      <c r="F48" s="329">
        <f>+Restatements!F21</f>
        <v>-39.6</v>
      </c>
      <c r="G48" s="330">
        <f>+Restatements!G21</f>
        <v>-39.4</v>
      </c>
      <c r="H48" s="329">
        <f t="shared" ref="H48:L48" si="14">+H50*H52</f>
        <v>-50.556775932860333</v>
      </c>
      <c r="I48" s="329">
        <f t="shared" si="14"/>
        <v>-55.1049905586043</v>
      </c>
      <c r="J48" s="329">
        <f t="shared" si="14"/>
        <v>-60.165233658103944</v>
      </c>
      <c r="K48" s="329">
        <f t="shared" si="14"/>
        <v>-65.800420858067071</v>
      </c>
      <c r="L48" s="329">
        <f t="shared" si="14"/>
        <v>-72.0814505988928</v>
      </c>
      <c r="M48" s="370">
        <f ca="1">+M50</f>
        <v>-50.155021552956569</v>
      </c>
    </row>
    <row r="49" spans="1:13" ht="5.0999999999999996" customHeight="1" x14ac:dyDescent="0.25">
      <c r="A49" s="302"/>
      <c r="D49" s="343"/>
      <c r="E49" s="344"/>
      <c r="F49" s="344"/>
      <c r="G49" s="345"/>
      <c r="M49" s="280"/>
    </row>
    <row r="50" spans="1:13" ht="12.95" customHeight="1" x14ac:dyDescent="0.25">
      <c r="A50" s="302"/>
      <c r="B50" s="369" t="s">
        <v>106</v>
      </c>
      <c r="C50" s="360"/>
      <c r="D50" s="361"/>
      <c r="E50" s="362">
        <f>-(E46-D46)+E48</f>
        <v>-106.09999999999992</v>
      </c>
      <c r="F50" s="362">
        <f>-(F46-E46)+F48</f>
        <v>-46.500000000000092</v>
      </c>
      <c r="G50" s="363">
        <f>-(G46-F46)+G48</f>
        <v>-85.1</v>
      </c>
      <c r="H50" s="362">
        <f t="shared" ref="H50:M50" si="15">-H51*H19</f>
        <v>-93.4622671893177</v>
      </c>
      <c r="I50" s="362">
        <f t="shared" si="15"/>
        <v>-101.87036764157284</v>
      </c>
      <c r="J50" s="362">
        <f t="shared" si="15"/>
        <v>-111.2250344272161</v>
      </c>
      <c r="K50" s="362">
        <f t="shared" si="15"/>
        <v>-121.64257712108184</v>
      </c>
      <c r="L50" s="362">
        <f t="shared" si="15"/>
        <v>-133.25406280285665</v>
      </c>
      <c r="M50" s="361">
        <f t="shared" ca="1" si="15"/>
        <v>-50.155021552956569</v>
      </c>
    </row>
    <row r="51" spans="1:13" ht="12.95" customHeight="1" x14ac:dyDescent="0.25">
      <c r="A51" s="302"/>
      <c r="B51" s="314" t="s">
        <v>107</v>
      </c>
      <c r="C51" s="360"/>
      <c r="D51" s="361"/>
      <c r="E51" s="352">
        <f>-E50/E19</f>
        <v>7.9131861575178944E-2</v>
      </c>
      <c r="F51" s="352">
        <f>-F50/F19</f>
        <v>3.0509809067646543E-2</v>
      </c>
      <c r="G51" s="353">
        <f>-G50/G19</f>
        <v>5.4551282051282048E-2</v>
      </c>
      <c r="H51" s="371">
        <f>+AVERAGE(E51:G51)</f>
        <v>5.4730984231369177E-2</v>
      </c>
      <c r="I51" s="371">
        <f t="shared" ref="I51:L52" si="16">+H51</f>
        <v>5.4730984231369177E-2</v>
      </c>
      <c r="J51" s="371">
        <f t="shared" si="16"/>
        <v>5.4730984231369177E-2</v>
      </c>
      <c r="K51" s="371">
        <f t="shared" si="16"/>
        <v>5.4730984231369177E-2</v>
      </c>
      <c r="L51" s="371">
        <f t="shared" si="16"/>
        <v>5.4730984231369177E-2</v>
      </c>
      <c r="M51" s="372">
        <v>0.02</v>
      </c>
    </row>
    <row r="52" spans="1:13" ht="12.95" customHeight="1" x14ac:dyDescent="0.25">
      <c r="A52" s="302"/>
      <c r="B52" s="314" t="s">
        <v>108</v>
      </c>
      <c r="C52" s="360"/>
      <c r="D52" s="361"/>
      <c r="E52" s="352">
        <f>E48/E50</f>
        <v>0.3081998114985865</v>
      </c>
      <c r="F52" s="352">
        <f>F48/F50</f>
        <v>0.85161290322580474</v>
      </c>
      <c r="G52" s="353">
        <f>G48/G50</f>
        <v>0.46298472385428907</v>
      </c>
      <c r="H52" s="371">
        <f>+AVERAGE(E52:G52)</f>
        <v>0.54093247952622681</v>
      </c>
      <c r="I52" s="371">
        <f t="shared" si="16"/>
        <v>0.54093247952622681</v>
      </c>
      <c r="J52" s="371">
        <f t="shared" si="16"/>
        <v>0.54093247952622681</v>
      </c>
      <c r="K52" s="371">
        <f t="shared" si="16"/>
        <v>0.54093247952622681</v>
      </c>
      <c r="L52" s="371">
        <f t="shared" si="16"/>
        <v>0.54093247952622681</v>
      </c>
      <c r="M52" s="352">
        <f ca="1">M48/M50</f>
        <v>1</v>
      </c>
    </row>
    <row r="53" spans="1:13" ht="12.95" customHeight="1" x14ac:dyDescent="0.25">
      <c r="A53" s="302"/>
      <c r="B53" s="314"/>
      <c r="C53" s="360"/>
      <c r="D53" s="361"/>
      <c r="E53" s="362"/>
      <c r="F53" s="362"/>
      <c r="G53" s="363"/>
      <c r="H53" s="362"/>
      <c r="I53" s="362"/>
      <c r="J53" s="362"/>
      <c r="K53" s="362"/>
      <c r="L53" s="362"/>
      <c r="M53" s="361"/>
    </row>
    <row r="54" spans="1:13" ht="12.95" customHeight="1" x14ac:dyDescent="0.25">
      <c r="A54" s="302"/>
      <c r="B54" s="289" t="s">
        <v>114</v>
      </c>
      <c r="C54" s="289"/>
      <c r="D54" s="298"/>
      <c r="E54" s="299"/>
      <c r="F54" s="299"/>
      <c r="G54" s="300"/>
      <c r="H54" s="289"/>
      <c r="I54" s="289"/>
      <c r="J54" s="289"/>
      <c r="K54" s="289"/>
      <c r="L54" s="289"/>
      <c r="M54" s="301"/>
    </row>
    <row r="55" spans="1:13" ht="5.0999999999999996" customHeight="1" x14ac:dyDescent="0.25">
      <c r="A55" s="302"/>
      <c r="D55" s="343"/>
      <c r="E55" s="344"/>
      <c r="F55" s="344"/>
      <c r="G55" s="345"/>
      <c r="M55" s="280"/>
    </row>
    <row r="56" spans="1:13" ht="12.95" customHeight="1" x14ac:dyDescent="0.25">
      <c r="A56" s="325" t="s">
        <v>130</v>
      </c>
      <c r="B56" s="326" t="s">
        <v>43</v>
      </c>
      <c r="C56" s="327"/>
      <c r="D56" s="328">
        <f>+Restatements!D46</f>
        <v>278</v>
      </c>
      <c r="E56" s="329">
        <f>+Restatements!E46</f>
        <v>311.89999999999998</v>
      </c>
      <c r="F56" s="329">
        <f>+Restatements!F46</f>
        <v>288.5</v>
      </c>
      <c r="G56" s="330">
        <f>+Restatements!G46</f>
        <v>313.60000000000002</v>
      </c>
      <c r="H56" s="329">
        <f t="shared" ref="H56:K56" si="17">+(H61*H19*(1+H66))/365</f>
        <v>334.60194543680211</v>
      </c>
      <c r="I56" s="329">
        <f t="shared" si="17"/>
        <v>364.7035773932991</v>
      </c>
      <c r="J56" s="329">
        <f t="shared" si="17"/>
        <v>398.19398801054786</v>
      </c>
      <c r="K56" s="329">
        <f t="shared" si="17"/>
        <v>435.48957431360333</v>
      </c>
      <c r="L56" s="329">
        <f>+(L61*L19*(1+L66))/365</f>
        <v>477.05956630474014</v>
      </c>
      <c r="M56" s="370">
        <f>+L56</f>
        <v>477.05956630474014</v>
      </c>
    </row>
    <row r="57" spans="1:13" ht="12.95" customHeight="1" x14ac:dyDescent="0.25">
      <c r="A57" s="325" t="s">
        <v>130</v>
      </c>
      <c r="B57" s="326" t="s">
        <v>28</v>
      </c>
      <c r="C57" s="327"/>
      <c r="D57" s="328">
        <f>+Restatements!D47</f>
        <v>-166.8</v>
      </c>
      <c r="E57" s="329">
        <f>+Restatements!E47</f>
        <v>-211</v>
      </c>
      <c r="F57" s="329">
        <f>+Restatements!F47</f>
        <v>-198.1</v>
      </c>
      <c r="G57" s="330">
        <f>+Restatements!G47</f>
        <v>-223.2</v>
      </c>
      <c r="H57" s="329">
        <f t="shared" ref="H57:L57" si="18">+(H62*H24*(1+H66))/365</f>
        <v>-228.7948923833593</v>
      </c>
      <c r="I57" s="329">
        <f t="shared" si="18"/>
        <v>-249.37785592548556</v>
      </c>
      <c r="J57" s="329">
        <f t="shared" si="18"/>
        <v>-272.27800638051383</v>
      </c>
      <c r="K57" s="329">
        <f t="shared" si="18"/>
        <v>-297.78006866960936</v>
      </c>
      <c r="L57" s="329">
        <f t="shared" si="18"/>
        <v>-326.20489396933448</v>
      </c>
      <c r="M57" s="370">
        <f>+L57</f>
        <v>-326.20489396933448</v>
      </c>
    </row>
    <row r="58" spans="1:13" ht="12.95" customHeight="1" x14ac:dyDescent="0.25">
      <c r="A58" s="325" t="s">
        <v>130</v>
      </c>
      <c r="B58" s="326" t="s">
        <v>79</v>
      </c>
      <c r="C58" s="327"/>
      <c r="D58" s="328">
        <f>+Restatements!D48</f>
        <v>331.3</v>
      </c>
      <c r="E58" s="329">
        <f>+Restatements!E48</f>
        <v>434.1</v>
      </c>
      <c r="F58" s="329">
        <f>+Restatements!F48</f>
        <v>442.6</v>
      </c>
      <c r="G58" s="330">
        <f>+Restatements!G48</f>
        <v>477</v>
      </c>
      <c r="H58" s="329">
        <f t="shared" ref="H58:L58" si="19">+(H63*H19)/365</f>
        <v>509.02986779692935</v>
      </c>
      <c r="I58" s="329">
        <f t="shared" si="19"/>
        <v>554.82347403339259</v>
      </c>
      <c r="J58" s="329">
        <f t="shared" si="19"/>
        <v>605.77242851932192</v>
      </c>
      <c r="K58" s="329">
        <f t="shared" si="19"/>
        <v>662.5101959595861</v>
      </c>
      <c r="L58" s="329">
        <f t="shared" si="19"/>
        <v>725.75061585596245</v>
      </c>
      <c r="M58" s="370">
        <f>+L58</f>
        <v>725.75061585596245</v>
      </c>
    </row>
    <row r="59" spans="1:13" ht="12.95" customHeight="1" x14ac:dyDescent="0.25">
      <c r="A59" s="325" t="s">
        <v>130</v>
      </c>
      <c r="B59" s="326" t="s">
        <v>93</v>
      </c>
      <c r="C59" s="327"/>
      <c r="D59" s="328">
        <f>+Restatements!D49</f>
        <v>-90.099999999999454</v>
      </c>
      <c r="E59" s="329">
        <f>+Restatements!E49</f>
        <v>-67.199999999999633</v>
      </c>
      <c r="F59" s="329">
        <f>+Restatements!F49</f>
        <v>-42.100000000000719</v>
      </c>
      <c r="G59" s="330">
        <f>+Restatements!G49</f>
        <v>-70.2</v>
      </c>
      <c r="H59" s="329">
        <f t="shared" ref="H59:L59" si="20">-(H64*H19)/365</f>
        <v>-62.007811333101898</v>
      </c>
      <c r="I59" s="329">
        <f t="shared" si="20"/>
        <v>-67.586189882994347</v>
      </c>
      <c r="J59" s="329">
        <f t="shared" si="20"/>
        <v>-73.792570602961504</v>
      </c>
      <c r="K59" s="329">
        <f t="shared" si="20"/>
        <v>-80.704119416637113</v>
      </c>
      <c r="L59" s="329">
        <f t="shared" si="20"/>
        <v>-88.407793156907772</v>
      </c>
      <c r="M59" s="370">
        <f>+L59</f>
        <v>-88.407793156907772</v>
      </c>
    </row>
    <row r="60" spans="1:13" ht="5.0999999999999996" customHeight="1" x14ac:dyDescent="0.25">
      <c r="A60" s="302"/>
      <c r="D60" s="320"/>
      <c r="E60" s="321"/>
      <c r="F60" s="321"/>
      <c r="G60" s="322"/>
      <c r="H60" s="323"/>
      <c r="I60" s="323"/>
      <c r="J60" s="323"/>
      <c r="K60" s="323"/>
      <c r="L60" s="323"/>
      <c r="M60" s="324"/>
    </row>
    <row r="61" spans="1:13" ht="12.95" customHeight="1" x14ac:dyDescent="0.25">
      <c r="A61" s="302"/>
      <c r="B61" s="373" t="s">
        <v>116</v>
      </c>
      <c r="C61" s="360"/>
      <c r="D61" s="320">
        <f>365*D56/((1+D66)*D19)</f>
        <v>65.813454820461004</v>
      </c>
      <c r="E61" s="321">
        <f>365*E56/((1+E66)*E19)</f>
        <v>70.171194205013904</v>
      </c>
      <c r="F61" s="321">
        <f>365*F56/((1+F66)*F19)</f>
        <v>57.100491768343439</v>
      </c>
      <c r="G61" s="322">
        <f>365*G56/((1+G66)*G19)</f>
        <v>60.142917192097528</v>
      </c>
      <c r="H61" s="374">
        <f>+AVERAGE(F61:G61)</f>
        <v>58.621704480220487</v>
      </c>
      <c r="I61" s="374">
        <f t="shared" ref="I61:L64" si="21">+H61</f>
        <v>58.621704480220487</v>
      </c>
      <c r="J61" s="374">
        <f t="shared" si="21"/>
        <v>58.621704480220487</v>
      </c>
      <c r="K61" s="374">
        <f t="shared" si="21"/>
        <v>58.621704480220487</v>
      </c>
      <c r="L61" s="374">
        <f t="shared" si="21"/>
        <v>58.621704480220487</v>
      </c>
      <c r="M61" s="375">
        <f ca="1">365*M56/((1+M66)*M19)</f>
        <v>56.914276194388819</v>
      </c>
    </row>
    <row r="62" spans="1:13" ht="12.95" customHeight="1" x14ac:dyDescent="0.25">
      <c r="A62" s="302"/>
      <c r="B62" s="373" t="s">
        <v>117</v>
      </c>
      <c r="C62" s="360"/>
      <c r="D62" s="320">
        <f>365*D57/((1+D66)*D24)</f>
        <v>130.18293008884567</v>
      </c>
      <c r="E62" s="321">
        <f>365*E57/((1+E66)*E24)</f>
        <v>158.52742299023291</v>
      </c>
      <c r="F62" s="321">
        <f>365*F57/((1+F66)*F24)</f>
        <v>122.17836437646477</v>
      </c>
      <c r="G62" s="322">
        <f>365*G57/((1+G66)*G24)</f>
        <v>137.45790280018088</v>
      </c>
      <c r="H62" s="374">
        <f>+AVERAGE(F62:G62)</f>
        <v>129.81813358832284</v>
      </c>
      <c r="I62" s="374">
        <f t="shared" si="21"/>
        <v>129.81813358832284</v>
      </c>
      <c r="J62" s="374">
        <f t="shared" si="21"/>
        <v>129.81813358832284</v>
      </c>
      <c r="K62" s="374">
        <f t="shared" si="21"/>
        <v>129.81813358832284</v>
      </c>
      <c r="L62" s="374">
        <f t="shared" si="21"/>
        <v>129.81813358832284</v>
      </c>
      <c r="M62" s="375">
        <f ca="1">365*M57/((1+M66)*M24)</f>
        <v>126.03702290128432</v>
      </c>
    </row>
    <row r="63" spans="1:13" ht="12.95" customHeight="1" x14ac:dyDescent="0.25">
      <c r="A63" s="302"/>
      <c r="B63" s="373" t="s">
        <v>118</v>
      </c>
      <c r="C63" s="360"/>
      <c r="D63" s="320">
        <f>365*D58/D19</f>
        <v>94.902291633966414</v>
      </c>
      <c r="E63" s="321">
        <f>365*E58/E19</f>
        <v>118.1731056085919</v>
      </c>
      <c r="F63" s="321">
        <f>365*F58/F19</f>
        <v>105.99632570041337</v>
      </c>
      <c r="G63" s="322">
        <f>365*G58/G19</f>
        <v>111.60576923076923</v>
      </c>
      <c r="H63" s="374">
        <f>+AVERAGE(F63:G63)</f>
        <v>108.8010474655913</v>
      </c>
      <c r="I63" s="374">
        <f t="shared" si="21"/>
        <v>108.8010474655913</v>
      </c>
      <c r="J63" s="374">
        <f t="shared" si="21"/>
        <v>108.8010474655913</v>
      </c>
      <c r="K63" s="374">
        <f t="shared" si="21"/>
        <v>108.8010474655913</v>
      </c>
      <c r="L63" s="374">
        <f t="shared" si="21"/>
        <v>108.8010474655913</v>
      </c>
      <c r="M63" s="375">
        <f ca="1">365*M58/M19</f>
        <v>105.6320849180498</v>
      </c>
    </row>
    <row r="64" spans="1:13" ht="12.95" customHeight="1" x14ac:dyDescent="0.25">
      <c r="A64" s="302"/>
      <c r="B64" s="373" t="s">
        <v>279</v>
      </c>
      <c r="C64" s="360"/>
      <c r="D64" s="320">
        <f>-365*D59/D19</f>
        <v>25.809527546695811</v>
      </c>
      <c r="E64" s="321">
        <f>-365*E59/E19</f>
        <v>18.293556085918755</v>
      </c>
      <c r="F64" s="321">
        <f>-365*F59/F19</f>
        <v>10.082343678236509</v>
      </c>
      <c r="G64" s="322">
        <f>-365*G59/G19</f>
        <v>16.425000000000001</v>
      </c>
      <c r="H64" s="374">
        <f>+AVERAGE(F64:G64)</f>
        <v>13.253671839118255</v>
      </c>
      <c r="I64" s="374">
        <f t="shared" si="21"/>
        <v>13.253671839118255</v>
      </c>
      <c r="J64" s="374">
        <f t="shared" si="21"/>
        <v>13.253671839118255</v>
      </c>
      <c r="K64" s="374">
        <f t="shared" si="21"/>
        <v>13.253671839118255</v>
      </c>
      <c r="L64" s="374">
        <f t="shared" si="21"/>
        <v>13.253671839118255</v>
      </c>
      <c r="M64" s="375">
        <f ca="1">-365*M59/M19</f>
        <v>12.867642562250733</v>
      </c>
    </row>
    <row r="65" spans="1:13" ht="5.0999999999999996" customHeight="1" x14ac:dyDescent="0.25">
      <c r="A65" s="302"/>
      <c r="D65" s="343"/>
      <c r="E65" s="344"/>
      <c r="F65" s="344"/>
      <c r="G65" s="345"/>
      <c r="M65" s="280"/>
    </row>
    <row r="66" spans="1:13" ht="12.95" customHeight="1" x14ac:dyDescent="0.25">
      <c r="A66" s="302"/>
      <c r="B66" s="314" t="s">
        <v>115</v>
      </c>
      <c r="C66" s="360"/>
      <c r="D66" s="354">
        <v>0.21</v>
      </c>
      <c r="E66" s="371">
        <v>0.21</v>
      </c>
      <c r="F66" s="371">
        <v>0.21</v>
      </c>
      <c r="G66" s="376">
        <v>0.22</v>
      </c>
      <c r="H66" s="371">
        <v>0.22</v>
      </c>
      <c r="I66" s="371">
        <v>0.22</v>
      </c>
      <c r="J66" s="371">
        <v>0.22</v>
      </c>
      <c r="K66" s="371">
        <v>0.22</v>
      </c>
      <c r="L66" s="371">
        <v>0.22</v>
      </c>
      <c r="M66" s="354">
        <v>0.22</v>
      </c>
    </row>
    <row r="67" spans="1:13" ht="12.95" customHeight="1" x14ac:dyDescent="0.25">
      <c r="A67" s="302"/>
      <c r="B67" s="314"/>
      <c r="C67" s="360"/>
      <c r="D67" s="377"/>
      <c r="E67" s="378"/>
      <c r="F67" s="378"/>
      <c r="G67" s="379"/>
      <c r="H67" s="378"/>
      <c r="I67" s="378"/>
      <c r="J67" s="378"/>
      <c r="K67" s="378"/>
      <c r="L67" s="378"/>
      <c r="M67" s="377"/>
    </row>
    <row r="68" spans="1:13" ht="12.95" customHeight="1" x14ac:dyDescent="0.25">
      <c r="A68" s="302"/>
      <c r="B68" s="289" t="s">
        <v>134</v>
      </c>
      <c r="C68" s="289"/>
      <c r="D68" s="298"/>
      <c r="E68" s="299"/>
      <c r="F68" s="299"/>
      <c r="G68" s="300"/>
      <c r="H68" s="289"/>
      <c r="I68" s="289"/>
      <c r="J68" s="289"/>
      <c r="K68" s="289"/>
      <c r="L68" s="289"/>
      <c r="M68" s="301"/>
    </row>
    <row r="69" spans="1:13" ht="5.0999999999999996" customHeight="1" x14ac:dyDescent="0.25">
      <c r="A69" s="302"/>
      <c r="D69" s="343"/>
      <c r="E69" s="344"/>
      <c r="F69" s="344"/>
      <c r="G69" s="345"/>
      <c r="M69" s="280"/>
    </row>
    <row r="70" spans="1:13" ht="12.95" customHeight="1" x14ac:dyDescent="0.25">
      <c r="A70" s="325" t="s">
        <v>130</v>
      </c>
      <c r="B70" s="355" t="s">
        <v>88</v>
      </c>
      <c r="C70" s="356"/>
      <c r="D70" s="328">
        <f>+Restatements!D56</f>
        <v>-137.9</v>
      </c>
      <c r="E70" s="329">
        <f>+Restatements!E56</f>
        <v>-182.1</v>
      </c>
      <c r="F70" s="329">
        <f>+Restatements!F56</f>
        <v>-192.29999999999998</v>
      </c>
      <c r="G70" s="330">
        <f>+Restatements!G56</f>
        <v>-247.1</v>
      </c>
      <c r="H70" s="357">
        <f t="shared" ref="H70:M72" si="22">+G70</f>
        <v>-247.1</v>
      </c>
      <c r="I70" s="357">
        <f t="shared" si="22"/>
        <v>-247.1</v>
      </c>
      <c r="J70" s="357">
        <f t="shared" si="22"/>
        <v>-247.1</v>
      </c>
      <c r="K70" s="357">
        <f t="shared" si="22"/>
        <v>-247.1</v>
      </c>
      <c r="L70" s="357">
        <f t="shared" si="22"/>
        <v>-247.1</v>
      </c>
      <c r="M70" s="358">
        <f t="shared" si="22"/>
        <v>-247.1</v>
      </c>
    </row>
    <row r="71" spans="1:13" ht="12.95" customHeight="1" x14ac:dyDescent="0.25">
      <c r="A71" s="325" t="s">
        <v>130</v>
      </c>
      <c r="B71" s="355" t="s">
        <v>85</v>
      </c>
      <c r="C71" s="356"/>
      <c r="D71" s="328">
        <f>+Restatements!D57</f>
        <v>-7.1</v>
      </c>
      <c r="E71" s="329">
        <f>+Restatements!E57</f>
        <v>-30.6</v>
      </c>
      <c r="F71" s="329">
        <f>+Restatements!F57</f>
        <v>-32.4</v>
      </c>
      <c r="G71" s="330">
        <f>+Restatements!G57</f>
        <v>-37.9</v>
      </c>
      <c r="H71" s="357">
        <f t="shared" si="22"/>
        <v>-37.9</v>
      </c>
      <c r="I71" s="357">
        <f t="shared" si="22"/>
        <v>-37.9</v>
      </c>
      <c r="J71" s="357">
        <f t="shared" si="22"/>
        <v>-37.9</v>
      </c>
      <c r="K71" s="357">
        <f t="shared" si="22"/>
        <v>-37.9</v>
      </c>
      <c r="L71" s="357">
        <f t="shared" si="22"/>
        <v>-37.9</v>
      </c>
      <c r="M71" s="358">
        <f t="shared" si="22"/>
        <v>-37.9</v>
      </c>
    </row>
    <row r="72" spans="1:13" ht="12.95" customHeight="1" x14ac:dyDescent="0.25">
      <c r="A72" s="325" t="s">
        <v>130</v>
      </c>
      <c r="B72" s="355" t="s">
        <v>86</v>
      </c>
      <c r="C72" s="356"/>
      <c r="D72" s="328">
        <f>+Restatements!D58</f>
        <v>-8.8000000000000007</v>
      </c>
      <c r="E72" s="329">
        <f>+Restatements!E58</f>
        <v>-13</v>
      </c>
      <c r="F72" s="329">
        <f>+Restatements!F58</f>
        <v>-8.6</v>
      </c>
      <c r="G72" s="330">
        <f>+Restatements!G58</f>
        <v>-9.4</v>
      </c>
      <c r="H72" s="357">
        <f t="shared" si="22"/>
        <v>-9.4</v>
      </c>
      <c r="I72" s="357">
        <f t="shared" si="22"/>
        <v>-9.4</v>
      </c>
      <c r="J72" s="357">
        <f t="shared" si="22"/>
        <v>-9.4</v>
      </c>
      <c r="K72" s="357">
        <f t="shared" si="22"/>
        <v>-9.4</v>
      </c>
      <c r="L72" s="357">
        <f t="shared" si="22"/>
        <v>-9.4</v>
      </c>
      <c r="M72" s="358">
        <f t="shared" si="22"/>
        <v>-9.4</v>
      </c>
    </row>
    <row r="73" spans="1:13" ht="5.0999999999999996" customHeight="1" x14ac:dyDescent="0.25">
      <c r="A73" s="302"/>
      <c r="D73" s="320"/>
      <c r="E73" s="321"/>
      <c r="F73" s="321"/>
      <c r="G73" s="322"/>
      <c r="H73" s="323"/>
      <c r="I73" s="323"/>
      <c r="J73" s="323"/>
      <c r="K73" s="323"/>
      <c r="L73" s="323"/>
      <c r="M73" s="324"/>
    </row>
    <row r="74" spans="1:13" ht="12.95" customHeight="1" x14ac:dyDescent="0.25">
      <c r="A74" s="325" t="s">
        <v>130</v>
      </c>
      <c r="B74" s="355" t="s">
        <v>84</v>
      </c>
      <c r="C74" s="356"/>
      <c r="D74" s="328">
        <f>+Restatements!D63</f>
        <v>0</v>
      </c>
      <c r="E74" s="329">
        <f>+Restatements!E63</f>
        <v>1.1000000000000001</v>
      </c>
      <c r="F74" s="329">
        <f>+Restatements!F63</f>
        <v>0.9</v>
      </c>
      <c r="G74" s="330">
        <f>+Restatements!G63</f>
        <v>0.7</v>
      </c>
      <c r="H74" s="357">
        <f t="shared" ref="H74:M75" si="23">+G74</f>
        <v>0.7</v>
      </c>
      <c r="I74" s="357">
        <f t="shared" si="23"/>
        <v>0.7</v>
      </c>
      <c r="J74" s="357">
        <f t="shared" si="23"/>
        <v>0.7</v>
      </c>
      <c r="K74" s="357">
        <f t="shared" si="23"/>
        <v>0.7</v>
      </c>
      <c r="L74" s="357">
        <f t="shared" si="23"/>
        <v>0.7</v>
      </c>
      <c r="M74" s="358">
        <f t="shared" si="23"/>
        <v>0.7</v>
      </c>
    </row>
    <row r="75" spans="1:13" ht="12.95" customHeight="1" x14ac:dyDescent="0.25">
      <c r="A75" s="325" t="s">
        <v>130</v>
      </c>
      <c r="B75" s="355" t="s">
        <v>87</v>
      </c>
      <c r="C75" s="356"/>
      <c r="D75" s="328">
        <f>+Restatements!D64</f>
        <v>19.400000000000002</v>
      </c>
      <c r="E75" s="329">
        <f>+Restatements!E64</f>
        <v>40.700000000000003</v>
      </c>
      <c r="F75" s="329">
        <f>+Restatements!F64</f>
        <v>34.700000000000003</v>
      </c>
      <c r="G75" s="330">
        <f>+Restatements!G64</f>
        <v>77</v>
      </c>
      <c r="H75" s="357">
        <f t="shared" si="23"/>
        <v>77</v>
      </c>
      <c r="I75" s="357">
        <f t="shared" si="23"/>
        <v>77</v>
      </c>
      <c r="J75" s="357">
        <f t="shared" si="23"/>
        <v>77</v>
      </c>
      <c r="K75" s="357">
        <f t="shared" si="23"/>
        <v>77</v>
      </c>
      <c r="L75" s="357">
        <f t="shared" si="23"/>
        <v>77</v>
      </c>
      <c r="M75" s="358">
        <f t="shared" si="23"/>
        <v>77</v>
      </c>
    </row>
    <row r="76" spans="1:13" ht="5.0999999999999996" customHeight="1" x14ac:dyDescent="0.25">
      <c r="A76" s="302"/>
      <c r="D76" s="320"/>
      <c r="E76" s="321"/>
      <c r="F76" s="321"/>
      <c r="G76" s="322"/>
      <c r="H76" s="323"/>
      <c r="I76" s="323"/>
      <c r="J76" s="323"/>
      <c r="K76" s="323"/>
      <c r="L76" s="323"/>
      <c r="M76" s="324"/>
    </row>
    <row r="77" spans="1:13" ht="12.95" customHeight="1" x14ac:dyDescent="0.25">
      <c r="A77" s="325" t="s">
        <v>129</v>
      </c>
      <c r="B77" s="355" t="s">
        <v>9</v>
      </c>
      <c r="C77" s="356"/>
      <c r="D77" s="328">
        <f>+Restatements!D26</f>
        <v>-0.4</v>
      </c>
      <c r="E77" s="329">
        <f>+Restatements!E26</f>
        <v>0</v>
      </c>
      <c r="F77" s="329">
        <f>+Restatements!F26</f>
        <v>-0.2</v>
      </c>
      <c r="G77" s="330">
        <f>+Restatements!G26</f>
        <v>-0.2</v>
      </c>
      <c r="H77" s="357">
        <v>0</v>
      </c>
      <c r="I77" s="357">
        <f t="shared" ref="I77:M78" si="24">+H77</f>
        <v>0</v>
      </c>
      <c r="J77" s="357">
        <f t="shared" si="24"/>
        <v>0</v>
      </c>
      <c r="K77" s="357">
        <f t="shared" si="24"/>
        <v>0</v>
      </c>
      <c r="L77" s="357">
        <f t="shared" si="24"/>
        <v>0</v>
      </c>
      <c r="M77" s="358">
        <f t="shared" si="24"/>
        <v>0</v>
      </c>
    </row>
    <row r="78" spans="1:13" ht="12.95" customHeight="1" x14ac:dyDescent="0.25">
      <c r="A78" s="325" t="s">
        <v>129</v>
      </c>
      <c r="B78" s="355" t="s">
        <v>67</v>
      </c>
      <c r="C78" s="356"/>
      <c r="D78" s="328">
        <f>+Restatements!D27</f>
        <v>-5</v>
      </c>
      <c r="E78" s="329">
        <f>+Restatements!E27</f>
        <v>-19.8</v>
      </c>
      <c r="F78" s="329">
        <f>+Restatements!F27</f>
        <v>-10.5</v>
      </c>
      <c r="G78" s="330">
        <f>+Restatements!G27</f>
        <v>-44</v>
      </c>
      <c r="H78" s="357">
        <v>0</v>
      </c>
      <c r="I78" s="357">
        <f t="shared" si="24"/>
        <v>0</v>
      </c>
      <c r="J78" s="357">
        <f t="shared" si="24"/>
        <v>0</v>
      </c>
      <c r="K78" s="357">
        <f t="shared" si="24"/>
        <v>0</v>
      </c>
      <c r="L78" s="357">
        <f t="shared" si="24"/>
        <v>0</v>
      </c>
      <c r="M78" s="358">
        <f t="shared" si="24"/>
        <v>0</v>
      </c>
    </row>
    <row r="79" spans="1:13" ht="12.95" customHeight="1" x14ac:dyDescent="0.25">
      <c r="A79" s="302"/>
      <c r="B79" s="314"/>
      <c r="C79" s="360"/>
      <c r="D79" s="377"/>
      <c r="E79" s="378"/>
      <c r="F79" s="378"/>
      <c r="G79" s="379"/>
      <c r="H79" s="378"/>
      <c r="I79" s="378"/>
      <c r="J79" s="378"/>
      <c r="K79" s="378"/>
      <c r="L79" s="378"/>
      <c r="M79" s="377"/>
    </row>
    <row r="80" spans="1:13" ht="12.95" customHeight="1" x14ac:dyDescent="0.25">
      <c r="A80" s="302"/>
      <c r="B80" s="289" t="s">
        <v>75</v>
      </c>
      <c r="C80" s="289"/>
      <c r="D80" s="298"/>
      <c r="E80" s="299"/>
      <c r="F80" s="299"/>
      <c r="G80" s="300"/>
      <c r="H80" s="289"/>
      <c r="I80" s="289"/>
      <c r="J80" s="289"/>
      <c r="K80" s="289"/>
      <c r="L80" s="289"/>
      <c r="M80" s="301"/>
    </row>
    <row r="81" spans="1:13" ht="5.0999999999999996" customHeight="1" x14ac:dyDescent="0.25">
      <c r="A81" s="302"/>
      <c r="D81" s="343"/>
      <c r="E81" s="344"/>
      <c r="F81" s="344"/>
      <c r="G81" s="345"/>
      <c r="M81" s="280"/>
    </row>
    <row r="82" spans="1:13" ht="12.95" customHeight="1" x14ac:dyDescent="0.25">
      <c r="A82" s="302"/>
      <c r="B82" s="314" t="s">
        <v>136</v>
      </c>
      <c r="C82" s="360"/>
      <c r="D82" s="380"/>
      <c r="E82" s="381"/>
      <c r="F82" s="381"/>
      <c r="G82" s="382"/>
      <c r="H82" s="383">
        <f ca="1">+Output!H28</f>
        <v>291.8908790539972</v>
      </c>
      <c r="I82" s="383">
        <f ca="1">+Output!I28</f>
        <v>327.34380662533351</v>
      </c>
      <c r="J82" s="383">
        <f ca="1">+Output!J28</f>
        <v>367.33299336093069</v>
      </c>
      <c r="K82" s="383">
        <f ca="1">+Output!K28</f>
        <v>412.04086479639102</v>
      </c>
      <c r="L82" s="383">
        <f ca="1">+Output!L28</f>
        <v>462.04546009462211</v>
      </c>
      <c r="M82" s="324">
        <f ca="1">+Output!M28</f>
        <v>499.19398289750853</v>
      </c>
    </row>
    <row r="83" spans="1:13" ht="12.95" customHeight="1" x14ac:dyDescent="0.25">
      <c r="A83" s="302"/>
      <c r="B83" s="314" t="s">
        <v>135</v>
      </c>
      <c r="C83" s="360"/>
      <c r="D83" s="354">
        <v>0.27500000000000002</v>
      </c>
      <c r="E83" s="371">
        <v>0.27500000000000002</v>
      </c>
      <c r="F83" s="371">
        <v>0.27500000000000002</v>
      </c>
      <c r="G83" s="376">
        <v>0.27500000000000002</v>
      </c>
      <c r="H83" s="371">
        <v>0.27500000000000002</v>
      </c>
      <c r="I83" s="371">
        <f>+H83</f>
        <v>0.27500000000000002</v>
      </c>
      <c r="J83" s="371">
        <f>+I83</f>
        <v>0.27500000000000002</v>
      </c>
      <c r="K83" s="371">
        <f>+J83</f>
        <v>0.27500000000000002</v>
      </c>
      <c r="L83" s="371">
        <f>+K83</f>
        <v>0.27500000000000002</v>
      </c>
      <c r="M83" s="354">
        <f>+L83</f>
        <v>0.27500000000000002</v>
      </c>
    </row>
    <row r="84" spans="1:13" ht="12.95" customHeight="1" x14ac:dyDescent="0.25">
      <c r="A84" s="302"/>
      <c r="B84" s="384" t="s">
        <v>137</v>
      </c>
      <c r="C84" s="385"/>
      <c r="D84" s="386"/>
      <c r="E84" s="387"/>
      <c r="F84" s="387"/>
      <c r="G84" s="388"/>
      <c r="H84" s="389">
        <f ca="1">-H82*H83</f>
        <v>-80.269991739849232</v>
      </c>
      <c r="I84" s="389">
        <f t="shared" ref="I84:M84" ca="1" si="25">-I82*I83</f>
        <v>-90.019546821966728</v>
      </c>
      <c r="J84" s="389">
        <f t="shared" ca="1" si="25"/>
        <v>-101.01657317425595</v>
      </c>
      <c r="K84" s="389">
        <f t="shared" ca="1" si="25"/>
        <v>-113.31123781900754</v>
      </c>
      <c r="L84" s="389">
        <f t="shared" ca="1" si="25"/>
        <v>-127.06250152602109</v>
      </c>
      <c r="M84" s="390">
        <f t="shared" ca="1" si="25"/>
        <v>-137.27834529681485</v>
      </c>
    </row>
    <row r="85" spans="1:13" ht="5.0999999999999996" customHeight="1" x14ac:dyDescent="0.25">
      <c r="A85" s="302"/>
      <c r="D85" s="320"/>
      <c r="E85" s="321"/>
      <c r="F85" s="321"/>
      <c r="G85" s="322"/>
      <c r="H85" s="323"/>
      <c r="I85" s="323"/>
      <c r="J85" s="323"/>
      <c r="K85" s="323"/>
      <c r="L85" s="323"/>
      <c r="M85" s="324"/>
    </row>
    <row r="86" spans="1:13" s="296" customFormat="1" ht="12.95" customHeight="1" x14ac:dyDescent="0.25">
      <c r="A86" s="391"/>
      <c r="B86" s="314" t="s">
        <v>268</v>
      </c>
      <c r="C86" s="360"/>
      <c r="D86" s="380"/>
      <c r="E86" s="381"/>
      <c r="F86" s="381"/>
      <c r="G86" s="382"/>
      <c r="H86" s="383">
        <f>+Output!H22</f>
        <v>354.47408512317429</v>
      </c>
      <c r="I86" s="383">
        <f>+Output!I22</f>
        <v>386.36346470990804</v>
      </c>
      <c r="J86" s="383">
        <f>+Output!J22</f>
        <v>421.84288384015622</v>
      </c>
      <c r="K86" s="383">
        <f>+Output!K22</f>
        <v>461.35346952025344</v>
      </c>
      <c r="L86" s="383">
        <f>+Output!L22</f>
        <v>505.39231950482105</v>
      </c>
      <c r="M86" s="324">
        <f ca="1">+Output!M22</f>
        <v>544.64296165386884</v>
      </c>
    </row>
    <row r="87" spans="1:13" ht="12.95" customHeight="1" x14ac:dyDescent="0.25">
      <c r="A87" s="302"/>
      <c r="B87" s="314" t="s">
        <v>138</v>
      </c>
      <c r="C87" s="360"/>
      <c r="D87" s="354">
        <v>3.9E-2</v>
      </c>
      <c r="E87" s="371">
        <v>3.9E-2</v>
      </c>
      <c r="F87" s="371">
        <v>3.9E-2</v>
      </c>
      <c r="G87" s="376">
        <v>3.9E-2</v>
      </c>
      <c r="H87" s="371">
        <v>3.9E-2</v>
      </c>
      <c r="I87" s="371">
        <v>3.9E-2</v>
      </c>
      <c r="J87" s="371">
        <v>3.9E-2</v>
      </c>
      <c r="K87" s="371">
        <v>3.9E-2</v>
      </c>
      <c r="L87" s="371">
        <v>3.9E-2</v>
      </c>
      <c r="M87" s="354">
        <v>3.9E-2</v>
      </c>
    </row>
    <row r="88" spans="1:13" ht="12.95" customHeight="1" x14ac:dyDescent="0.25">
      <c r="A88" s="302"/>
      <c r="B88" s="384" t="s">
        <v>137</v>
      </c>
      <c r="C88" s="385"/>
      <c r="D88" s="386"/>
      <c r="E88" s="387"/>
      <c r="F88" s="387"/>
      <c r="G88" s="388"/>
      <c r="H88" s="392">
        <f t="shared" ref="H88:M88" si="26">-H86*H87</f>
        <v>-13.824489319803797</v>
      </c>
      <c r="I88" s="392">
        <f t="shared" si="26"/>
        <v>-15.068175123686414</v>
      </c>
      <c r="J88" s="392">
        <f t="shared" si="26"/>
        <v>-16.451872469766091</v>
      </c>
      <c r="K88" s="392">
        <f t="shared" si="26"/>
        <v>-17.992785311289886</v>
      </c>
      <c r="L88" s="392">
        <f t="shared" si="26"/>
        <v>-19.710300460688021</v>
      </c>
      <c r="M88" s="393">
        <f t="shared" ca="1" si="26"/>
        <v>-21.241075504500884</v>
      </c>
    </row>
    <row r="89" spans="1:13" ht="5.0999999999999996" customHeight="1" x14ac:dyDescent="0.25">
      <c r="A89" s="302"/>
      <c r="D89" s="320"/>
      <c r="E89" s="321"/>
      <c r="F89" s="321"/>
      <c r="G89" s="322"/>
      <c r="H89" s="323"/>
      <c r="I89" s="323"/>
      <c r="J89" s="323"/>
      <c r="K89" s="323"/>
      <c r="L89" s="323"/>
      <c r="M89" s="324"/>
    </row>
    <row r="90" spans="1:13" ht="12.95" customHeight="1" x14ac:dyDescent="0.25">
      <c r="A90" s="325" t="s">
        <v>129</v>
      </c>
      <c r="B90" s="355" t="s">
        <v>75</v>
      </c>
      <c r="C90" s="356"/>
      <c r="D90" s="328">
        <f>+Restatements!D30</f>
        <v>-90.9</v>
      </c>
      <c r="E90" s="329">
        <f>+Restatements!E30</f>
        <v>-79</v>
      </c>
      <c r="F90" s="329">
        <f>+Restatements!F30</f>
        <v>-79.8</v>
      </c>
      <c r="G90" s="330">
        <f>+Restatements!G30</f>
        <v>-64.699999999999989</v>
      </c>
      <c r="H90" s="329">
        <f t="shared" ref="H90:M90" ca="1" si="27">+H88+H84</f>
        <v>-94.094481059653035</v>
      </c>
      <c r="I90" s="329">
        <f t="shared" ca="1" si="27"/>
        <v>-105.08772194565314</v>
      </c>
      <c r="J90" s="329">
        <f t="shared" ca="1" si="27"/>
        <v>-117.46844564402204</v>
      </c>
      <c r="K90" s="329">
        <f t="shared" ca="1" si="27"/>
        <v>-131.30402313029742</v>
      </c>
      <c r="L90" s="329">
        <f t="shared" ca="1" si="27"/>
        <v>-146.77280198670911</v>
      </c>
      <c r="M90" s="328">
        <f t="shared" ca="1" si="27"/>
        <v>-158.31319676729146</v>
      </c>
    </row>
    <row r="91" spans="1:13" ht="5.0999999999999996" customHeight="1" x14ac:dyDescent="0.25">
      <c r="A91" s="302"/>
      <c r="D91" s="320"/>
      <c r="E91" s="321"/>
      <c r="F91" s="321"/>
      <c r="G91" s="322"/>
      <c r="H91" s="323"/>
      <c r="I91" s="323"/>
      <c r="J91" s="323"/>
      <c r="K91" s="323"/>
      <c r="L91" s="323"/>
      <c r="M91" s="324"/>
    </row>
    <row r="92" spans="1:13" ht="12.95" customHeight="1" x14ac:dyDescent="0.25">
      <c r="A92" s="302"/>
      <c r="B92" s="314" t="s">
        <v>266</v>
      </c>
      <c r="C92" s="360"/>
      <c r="D92" s="361">
        <f>+Restatements!D28</f>
        <v>250.6</v>
      </c>
      <c r="E92" s="362">
        <f>+Restatements!E28</f>
        <v>235.99999999999994</v>
      </c>
      <c r="F92" s="362">
        <f>+Restatements!F28</f>
        <v>230.19999999999979</v>
      </c>
      <c r="G92" s="363">
        <f>+Restatements!G28</f>
        <v>194.20000000000016</v>
      </c>
      <c r="H92" s="362">
        <f ca="1">+H82</f>
        <v>291.8908790539972</v>
      </c>
      <c r="I92" s="362">
        <f t="shared" ref="I92:M92" ca="1" si="28">+I82</f>
        <v>327.34380662533351</v>
      </c>
      <c r="J92" s="362">
        <f t="shared" ca="1" si="28"/>
        <v>367.33299336093069</v>
      </c>
      <c r="K92" s="362">
        <f t="shared" ca="1" si="28"/>
        <v>412.04086479639102</v>
      </c>
      <c r="L92" s="362">
        <f t="shared" ca="1" si="28"/>
        <v>462.04546009462211</v>
      </c>
      <c r="M92" s="361">
        <f t="shared" ca="1" si="28"/>
        <v>499.19398289750853</v>
      </c>
    </row>
    <row r="93" spans="1:13" ht="12.95" customHeight="1" x14ac:dyDescent="0.25">
      <c r="A93" s="302"/>
      <c r="B93" s="314" t="s">
        <v>267</v>
      </c>
      <c r="C93" s="360"/>
      <c r="D93" s="394">
        <f>-D90/D92</f>
        <v>0.36272944932162815</v>
      </c>
      <c r="E93" s="395">
        <f>-E90/E92</f>
        <v>0.33474576271186451</v>
      </c>
      <c r="F93" s="395">
        <f>-F90/F92</f>
        <v>0.34665508253692473</v>
      </c>
      <c r="G93" s="396">
        <f>-G90/G92</f>
        <v>0.33316168898043219</v>
      </c>
      <c r="H93" s="395">
        <f ca="1">-H90/H92</f>
        <v>0.3223618407146131</v>
      </c>
      <c r="I93" s="395">
        <f t="shared" ref="I93:M93" ca="1" si="29">-I90/I92</f>
        <v>0.32103164873967799</v>
      </c>
      <c r="J93" s="395">
        <f t="shared" ca="1" si="29"/>
        <v>0.31978735307503664</v>
      </c>
      <c r="K93" s="395">
        <f t="shared" ca="1" si="29"/>
        <v>0.31866747778810967</v>
      </c>
      <c r="L93" s="395">
        <f t="shared" ca="1" si="29"/>
        <v>0.31765879045029805</v>
      </c>
      <c r="M93" s="394">
        <f t="shared" ca="1" si="29"/>
        <v>0.31713763024222058</v>
      </c>
    </row>
    <row r="94" spans="1:13" ht="12.95" customHeight="1" x14ac:dyDescent="0.25">
      <c r="A94" s="302"/>
      <c r="B94" s="314"/>
      <c r="C94" s="360"/>
      <c r="D94" s="394"/>
      <c r="E94" s="395"/>
      <c r="F94" s="395"/>
      <c r="G94" s="396"/>
      <c r="H94" s="395"/>
      <c r="I94" s="395"/>
      <c r="J94" s="395"/>
      <c r="K94" s="395"/>
      <c r="L94" s="395"/>
      <c r="M94" s="394"/>
    </row>
    <row r="95" spans="1:13" ht="12.95" customHeight="1" x14ac:dyDescent="0.25">
      <c r="A95" s="302"/>
      <c r="B95" s="289" t="s">
        <v>126</v>
      </c>
      <c r="C95" s="289"/>
      <c r="D95" s="298"/>
      <c r="E95" s="299"/>
      <c r="F95" s="299"/>
      <c r="G95" s="300"/>
      <c r="H95" s="289"/>
      <c r="I95" s="289"/>
      <c r="J95" s="289"/>
      <c r="K95" s="289"/>
      <c r="L95" s="289"/>
      <c r="M95" s="301"/>
    </row>
    <row r="96" spans="1:13" ht="5.0999999999999996" customHeight="1" x14ac:dyDescent="0.25">
      <c r="A96" s="302"/>
      <c r="D96" s="320"/>
      <c r="E96" s="321"/>
      <c r="F96" s="321"/>
      <c r="G96" s="322"/>
      <c r="H96" s="323"/>
      <c r="I96" s="323"/>
      <c r="J96" s="323"/>
      <c r="K96" s="323"/>
      <c r="L96" s="323"/>
      <c r="M96" s="324"/>
    </row>
    <row r="97" spans="1:13" ht="12.95" customHeight="1" x14ac:dyDescent="0.25">
      <c r="A97" s="302"/>
      <c r="B97" s="373" t="s">
        <v>77</v>
      </c>
      <c r="C97" s="360"/>
      <c r="D97" s="320">
        <f>+Restatements!D31</f>
        <v>159.69999999999999</v>
      </c>
      <c r="E97" s="321">
        <f>+Restatements!E31</f>
        <v>156.99999999999994</v>
      </c>
      <c r="F97" s="321">
        <f>+Restatements!F31</f>
        <v>150.39999999999981</v>
      </c>
      <c r="G97" s="322">
        <f>+Restatements!G31</f>
        <v>129.50000000000017</v>
      </c>
      <c r="H97" s="321">
        <f ca="1">+Output!H31</f>
        <v>197.79639799434415</v>
      </c>
      <c r="I97" s="321">
        <f ca="1">+Output!I31</f>
        <v>222.25608467968038</v>
      </c>
      <c r="J97" s="321">
        <f ca="1">+Output!J31</f>
        <v>249.86454771690865</v>
      </c>
      <c r="K97" s="321">
        <f ca="1">+Output!K31</f>
        <v>280.7368416660936</v>
      </c>
      <c r="L97" s="321">
        <f ca="1">+Output!L31</f>
        <v>315.272658107913</v>
      </c>
      <c r="M97" s="320">
        <f ca="1">+Output!M31</f>
        <v>340.88078613021707</v>
      </c>
    </row>
    <row r="98" spans="1:13" ht="5.0999999999999996" customHeight="1" x14ac:dyDescent="0.25">
      <c r="A98" s="302"/>
      <c r="D98" s="320"/>
      <c r="E98" s="321"/>
      <c r="F98" s="321"/>
      <c r="G98" s="322"/>
      <c r="H98" s="323"/>
      <c r="I98" s="323"/>
      <c r="J98" s="323"/>
      <c r="K98" s="323"/>
      <c r="L98" s="323"/>
      <c r="M98" s="324"/>
    </row>
    <row r="99" spans="1:13" ht="12.95" customHeight="1" x14ac:dyDescent="0.25">
      <c r="A99" s="325" t="s">
        <v>129</v>
      </c>
      <c r="B99" s="355" t="s">
        <v>131</v>
      </c>
      <c r="C99" s="356"/>
      <c r="D99" s="328">
        <f>+Restatements!D34</f>
        <v>34.6</v>
      </c>
      <c r="E99" s="329">
        <f>+Restatements!E34</f>
        <v>40.5</v>
      </c>
      <c r="F99" s="329">
        <f>+Restatements!F34</f>
        <v>39.799999999999997</v>
      </c>
      <c r="G99" s="330">
        <f>+Restatements!G34</f>
        <v>46.1</v>
      </c>
      <c r="H99" s="329">
        <f t="shared" ref="H99:M99" ca="1" si="30">H97*H101</f>
        <v>51.68315472901584</v>
      </c>
      <c r="I99" s="329">
        <f t="shared" ca="1" si="30"/>
        <v>58.074341749608742</v>
      </c>
      <c r="J99" s="329">
        <f t="shared" ca="1" si="30"/>
        <v>65.288287410157039</v>
      </c>
      <c r="K99" s="329">
        <f t="shared" ca="1" si="30"/>
        <v>73.355054859890927</v>
      </c>
      <c r="L99" s="329">
        <f t="shared" ca="1" si="30"/>
        <v>82.379081399072291</v>
      </c>
      <c r="M99" s="328">
        <f t="shared" ca="1" si="30"/>
        <v>340.88078613021707</v>
      </c>
    </row>
    <row r="100" spans="1:13" ht="5.0999999999999996" customHeight="1" x14ac:dyDescent="0.25">
      <c r="A100" s="302"/>
      <c r="D100" s="320"/>
      <c r="E100" s="321"/>
      <c r="F100" s="321"/>
      <c r="G100" s="322"/>
      <c r="H100" s="323"/>
      <c r="I100" s="323"/>
      <c r="J100" s="323"/>
      <c r="K100" s="323"/>
      <c r="L100" s="323"/>
      <c r="M100" s="324"/>
    </row>
    <row r="101" spans="1:13" ht="12.95" customHeight="1" x14ac:dyDescent="0.25">
      <c r="A101" s="302"/>
      <c r="B101" s="373" t="s">
        <v>127</v>
      </c>
      <c r="C101" s="360"/>
      <c r="D101" s="394"/>
      <c r="E101" s="352">
        <f>E99/E97</f>
        <v>0.25796178343949056</v>
      </c>
      <c r="F101" s="352">
        <f>F99/F97</f>
        <v>0.26462765957446843</v>
      </c>
      <c r="G101" s="352">
        <f>G99/G97</f>
        <v>0.35598455598455553</v>
      </c>
      <c r="H101" s="371">
        <f>+AVERAGE(E101:F101)</f>
        <v>0.26129472150697952</v>
      </c>
      <c r="I101" s="371">
        <f>+H101</f>
        <v>0.26129472150697952</v>
      </c>
      <c r="J101" s="371">
        <f>+I101</f>
        <v>0.26129472150697952</v>
      </c>
      <c r="K101" s="371">
        <f>+J101</f>
        <v>0.26129472150697952</v>
      </c>
      <c r="L101" s="371">
        <f>+K101</f>
        <v>0.26129472150697952</v>
      </c>
      <c r="M101" s="372">
        <v>1</v>
      </c>
    </row>
    <row r="102" spans="1:13" ht="5.0999999999999996" customHeight="1" x14ac:dyDescent="0.25">
      <c r="A102" s="302"/>
      <c r="D102" s="320"/>
      <c r="E102" s="321"/>
      <c r="F102" s="321"/>
      <c r="G102" s="322"/>
      <c r="H102" s="323"/>
      <c r="I102" s="323"/>
      <c r="J102" s="323"/>
      <c r="K102" s="323"/>
      <c r="L102" s="323"/>
      <c r="M102" s="324"/>
    </row>
    <row r="103" spans="1:13" ht="12.95" customHeight="1" x14ac:dyDescent="0.25">
      <c r="A103" s="302"/>
      <c r="B103" s="397" t="s">
        <v>261</v>
      </c>
      <c r="C103" s="310"/>
      <c r="D103" s="398"/>
      <c r="E103" s="399"/>
      <c r="F103" s="399"/>
      <c r="G103" s="400"/>
      <c r="H103" s="399"/>
      <c r="I103" s="399"/>
      <c r="J103" s="399"/>
      <c r="K103" s="399"/>
      <c r="L103" s="399"/>
      <c r="M103" s="398"/>
    </row>
    <row r="104" spans="1:13" ht="12.95" customHeight="1" x14ac:dyDescent="0.25">
      <c r="A104" s="302"/>
      <c r="B104" s="401" t="s">
        <v>262</v>
      </c>
      <c r="C104" s="360"/>
      <c r="D104" s="320"/>
      <c r="E104" s="321"/>
      <c r="F104" s="321"/>
      <c r="G104" s="322"/>
      <c r="H104" s="321">
        <f t="shared" ref="H104:M104" si="31">+G108</f>
        <v>1516.8</v>
      </c>
      <c r="I104" s="321">
        <f t="shared" ca="1" si="31"/>
        <v>1662.9132432653282</v>
      </c>
      <c r="J104" s="321">
        <f t="shared" ca="1" si="31"/>
        <v>1827.0949861954</v>
      </c>
      <c r="K104" s="321">
        <f t="shared" ca="1" si="31"/>
        <v>2011.6712465021519</v>
      </c>
      <c r="L104" s="321">
        <f t="shared" ca="1" si="31"/>
        <v>2219.0530333083548</v>
      </c>
      <c r="M104" s="320">
        <f t="shared" ca="1" si="31"/>
        <v>2451.9466100171953</v>
      </c>
    </row>
    <row r="105" spans="1:13" ht="12.95" customHeight="1" x14ac:dyDescent="0.25">
      <c r="A105" s="325" t="s">
        <v>291</v>
      </c>
      <c r="B105" s="402" t="s">
        <v>343</v>
      </c>
      <c r="C105" s="403"/>
      <c r="D105" s="404"/>
      <c r="E105" s="405"/>
      <c r="F105" s="405"/>
      <c r="G105" s="406"/>
      <c r="H105" s="407">
        <f t="shared" ref="H105:M105" ca="1" si="32">+H97</f>
        <v>197.79639799434415</v>
      </c>
      <c r="I105" s="407">
        <f t="shared" ca="1" si="32"/>
        <v>222.25608467968038</v>
      </c>
      <c r="J105" s="407">
        <f t="shared" ca="1" si="32"/>
        <v>249.86454771690865</v>
      </c>
      <c r="K105" s="407">
        <f t="shared" ca="1" si="32"/>
        <v>280.7368416660936</v>
      </c>
      <c r="L105" s="407">
        <f t="shared" ca="1" si="32"/>
        <v>315.272658107913</v>
      </c>
      <c r="M105" s="408">
        <f t="shared" ca="1" si="32"/>
        <v>340.88078613021707</v>
      </c>
    </row>
    <row r="106" spans="1:13" ht="12.95" customHeight="1" x14ac:dyDescent="0.25">
      <c r="A106" s="302"/>
      <c r="B106" s="401" t="s">
        <v>344</v>
      </c>
      <c r="C106" s="360"/>
      <c r="D106" s="320"/>
      <c r="E106" s="321"/>
      <c r="F106" s="321"/>
      <c r="G106" s="322"/>
      <c r="H106" s="321">
        <f ca="1">-H99</f>
        <v>-51.68315472901584</v>
      </c>
      <c r="I106" s="321">
        <f t="shared" ref="I106:M106" ca="1" si="33">-I99</f>
        <v>-58.074341749608742</v>
      </c>
      <c r="J106" s="321">
        <f t="shared" ca="1" si="33"/>
        <v>-65.288287410157039</v>
      </c>
      <c r="K106" s="321">
        <f t="shared" ca="1" si="33"/>
        <v>-73.355054859890927</v>
      </c>
      <c r="L106" s="321">
        <f t="shared" ca="1" si="33"/>
        <v>-82.379081399072291</v>
      </c>
      <c r="M106" s="321">
        <f t="shared" ca="1" si="33"/>
        <v>-340.88078613021707</v>
      </c>
    </row>
    <row r="107" spans="1:13" ht="5.0999999999999996" customHeight="1" x14ac:dyDescent="0.25">
      <c r="A107" s="302"/>
      <c r="D107" s="320"/>
      <c r="E107" s="321"/>
      <c r="F107" s="321"/>
      <c r="G107" s="322"/>
      <c r="H107" s="323"/>
      <c r="I107" s="323"/>
      <c r="J107" s="323"/>
      <c r="K107" s="323"/>
      <c r="L107" s="323"/>
      <c r="M107" s="324"/>
    </row>
    <row r="108" spans="1:13" ht="12.95" customHeight="1" x14ac:dyDescent="0.25">
      <c r="A108" s="325" t="s">
        <v>130</v>
      </c>
      <c r="B108" s="355" t="s">
        <v>263</v>
      </c>
      <c r="C108" s="356"/>
      <c r="D108" s="328">
        <f>+Restatements!D77</f>
        <v>1305.5999999999999</v>
      </c>
      <c r="E108" s="329">
        <f>+Restatements!E77</f>
        <v>1370.8</v>
      </c>
      <c r="F108" s="329">
        <f>+Restatements!F77</f>
        <v>1333.6</v>
      </c>
      <c r="G108" s="330">
        <f>+Restatements!G77</f>
        <v>1516.8</v>
      </c>
      <c r="H108" s="329">
        <f t="shared" ref="H108:M108" ca="1" si="34">+SUM(H104:H106)</f>
        <v>1662.9132432653282</v>
      </c>
      <c r="I108" s="329">
        <f t="shared" ca="1" si="34"/>
        <v>1827.0949861954</v>
      </c>
      <c r="J108" s="329">
        <f t="shared" ca="1" si="34"/>
        <v>2011.6712465021519</v>
      </c>
      <c r="K108" s="329">
        <f t="shared" ca="1" si="34"/>
        <v>2219.0530333083548</v>
      </c>
      <c r="L108" s="329">
        <f t="shared" ca="1" si="34"/>
        <v>2451.9466100171953</v>
      </c>
      <c r="M108" s="328">
        <f t="shared" ca="1" si="34"/>
        <v>2451.9466100171953</v>
      </c>
    </row>
    <row r="109" spans="1:13" ht="12.95" customHeight="1" x14ac:dyDescent="0.25">
      <c r="A109" s="302"/>
      <c r="B109" s="401"/>
      <c r="C109" s="360"/>
      <c r="D109" s="320"/>
      <c r="E109" s="321"/>
      <c r="F109" s="321"/>
      <c r="G109" s="322"/>
      <c r="H109" s="321"/>
      <c r="I109" s="321"/>
      <c r="J109" s="321"/>
      <c r="K109" s="321"/>
      <c r="L109" s="321"/>
      <c r="M109" s="320"/>
    </row>
    <row r="110" spans="1:13" ht="12.95" customHeight="1" x14ac:dyDescent="0.25">
      <c r="A110" s="325" t="s">
        <v>130</v>
      </c>
      <c r="B110" s="355" t="s">
        <v>265</v>
      </c>
      <c r="C110" s="356"/>
      <c r="D110" s="328">
        <f>+Restatements!D80</f>
        <v>3.7</v>
      </c>
      <c r="E110" s="329">
        <f>+Restatements!E80</f>
        <v>4.2</v>
      </c>
      <c r="F110" s="329">
        <f>+Restatements!F80</f>
        <v>4.5</v>
      </c>
      <c r="G110" s="330">
        <f>+Restatements!G80</f>
        <v>5.0999999999999996</v>
      </c>
      <c r="H110" s="329">
        <f>+G110</f>
        <v>5.0999999999999996</v>
      </c>
      <c r="I110" s="329">
        <f t="shared" ref="I110:M110" si="35">+H110</f>
        <v>5.0999999999999996</v>
      </c>
      <c r="J110" s="329">
        <f t="shared" si="35"/>
        <v>5.0999999999999996</v>
      </c>
      <c r="K110" s="329">
        <f t="shared" si="35"/>
        <v>5.0999999999999996</v>
      </c>
      <c r="L110" s="329">
        <f t="shared" si="35"/>
        <v>5.0999999999999996</v>
      </c>
      <c r="M110" s="328">
        <f t="shared" si="35"/>
        <v>5.0999999999999996</v>
      </c>
    </row>
    <row r="111" spans="1:13" ht="12.95" customHeight="1" x14ac:dyDescent="0.25">
      <c r="A111" s="302"/>
      <c r="D111" s="320"/>
      <c r="E111" s="321"/>
      <c r="F111" s="321"/>
      <c r="G111" s="322"/>
      <c r="H111" s="323"/>
      <c r="I111" s="323"/>
      <c r="J111" s="323"/>
      <c r="K111" s="323"/>
      <c r="L111" s="323"/>
      <c r="M111" s="324"/>
    </row>
    <row r="112" spans="1:13" ht="12.95" customHeight="1" x14ac:dyDescent="0.25">
      <c r="A112" s="325" t="s">
        <v>130</v>
      </c>
      <c r="B112" s="355" t="s">
        <v>15</v>
      </c>
      <c r="C112" s="356"/>
      <c r="D112" s="328">
        <f>+Restatements!D76</f>
        <v>58.1</v>
      </c>
      <c r="E112" s="329">
        <f>+Restatements!E76</f>
        <v>58.1</v>
      </c>
      <c r="F112" s="329">
        <f>+Restatements!F76</f>
        <v>58.1</v>
      </c>
      <c r="G112" s="330">
        <f>+Restatements!G76</f>
        <v>58.1</v>
      </c>
      <c r="H112" s="357">
        <f t="shared" ref="H112:M112" si="36">+G112</f>
        <v>58.1</v>
      </c>
      <c r="I112" s="357">
        <f t="shared" si="36"/>
        <v>58.1</v>
      </c>
      <c r="J112" s="357">
        <f t="shared" si="36"/>
        <v>58.1</v>
      </c>
      <c r="K112" s="357">
        <f t="shared" si="36"/>
        <v>58.1</v>
      </c>
      <c r="L112" s="357">
        <f t="shared" si="36"/>
        <v>58.1</v>
      </c>
      <c r="M112" s="358">
        <f t="shared" si="36"/>
        <v>58.1</v>
      </c>
    </row>
    <row r="113" spans="1:13" ht="12.95" customHeight="1" x14ac:dyDescent="0.25">
      <c r="A113" s="302"/>
      <c r="B113" s="314"/>
      <c r="C113" s="360"/>
      <c r="D113" s="377"/>
      <c r="E113" s="378"/>
      <c r="F113" s="378"/>
      <c r="G113" s="379"/>
      <c r="H113" s="378"/>
      <c r="I113" s="378"/>
      <c r="J113" s="378"/>
      <c r="K113" s="378"/>
      <c r="L113" s="378"/>
      <c r="M113" s="377"/>
    </row>
    <row r="114" spans="1:13" ht="12.95" customHeight="1" x14ac:dyDescent="0.25">
      <c r="A114" s="302"/>
      <c r="B114" s="289" t="s">
        <v>121</v>
      </c>
      <c r="C114" s="289"/>
      <c r="D114" s="298"/>
      <c r="E114" s="299"/>
      <c r="F114" s="299"/>
      <c r="G114" s="300"/>
      <c r="H114" s="289"/>
      <c r="I114" s="289"/>
      <c r="J114" s="289"/>
      <c r="K114" s="289"/>
      <c r="L114" s="289"/>
      <c r="M114" s="301"/>
    </row>
    <row r="115" spans="1:13" ht="5.0999999999999996" customHeight="1" x14ac:dyDescent="0.25">
      <c r="A115" s="302"/>
      <c r="D115" s="343"/>
      <c r="E115" s="344"/>
      <c r="F115" s="344"/>
      <c r="G115" s="345"/>
      <c r="M115" s="280"/>
    </row>
    <row r="116" spans="1:13" ht="12.95" customHeight="1" x14ac:dyDescent="0.25">
      <c r="A116" s="325" t="s">
        <v>130</v>
      </c>
      <c r="B116" s="355" t="s">
        <v>78</v>
      </c>
      <c r="C116" s="356"/>
      <c r="D116" s="328">
        <f>+Restatements!D71</f>
        <v>103.2</v>
      </c>
      <c r="E116" s="329">
        <f>+Restatements!E71</f>
        <v>34.9</v>
      </c>
      <c r="F116" s="329">
        <f>+Restatements!F71</f>
        <v>44.4</v>
      </c>
      <c r="G116" s="330">
        <f>+Restatements!G71</f>
        <v>117.4</v>
      </c>
      <c r="H116" s="329">
        <f>+H118*H19</f>
        <v>128.51284920000001</v>
      </c>
      <c r="I116" s="329">
        <f>+I118*I19</f>
        <v>140.07418810150932</v>
      </c>
      <c r="J116" s="329">
        <f>+J118*J19</f>
        <v>152.93707831478059</v>
      </c>
      <c r="K116" s="329">
        <f>+K118*K19</f>
        <v>167.26144828260379</v>
      </c>
      <c r="L116" s="329">
        <f>+L118*L19</f>
        <v>183.22751836933972</v>
      </c>
      <c r="M116" s="370">
        <f>+L116</f>
        <v>183.22751836933972</v>
      </c>
    </row>
    <row r="117" spans="1:13" ht="5.0999999999999996" customHeight="1" x14ac:dyDescent="0.25">
      <c r="A117" s="302"/>
      <c r="D117" s="343"/>
      <c r="E117" s="344"/>
      <c r="F117" s="344"/>
      <c r="G117" s="345"/>
      <c r="M117" s="280"/>
    </row>
    <row r="118" spans="1:13" ht="12.95" customHeight="1" x14ac:dyDescent="0.25">
      <c r="A118" s="302"/>
      <c r="B118" s="373" t="s">
        <v>122</v>
      </c>
      <c r="C118" s="360"/>
      <c r="D118" s="351">
        <f>+D116/D19</f>
        <v>8.0991994977240619E-2</v>
      </c>
      <c r="E118" s="352">
        <f>+E116/E19</f>
        <v>2.6029236276849641E-2</v>
      </c>
      <c r="F118" s="352">
        <f>+F116/F19</f>
        <v>2.9131946722655993E-2</v>
      </c>
      <c r="G118" s="353">
        <f>+G116/G19</f>
        <v>7.5256410256410264E-2</v>
      </c>
      <c r="H118" s="371">
        <f t="shared" ref="H118:L118" si="37">+G118</f>
        <v>7.5256410256410264E-2</v>
      </c>
      <c r="I118" s="371">
        <f t="shared" si="37"/>
        <v>7.5256410256410264E-2</v>
      </c>
      <c r="J118" s="371">
        <f t="shared" si="37"/>
        <v>7.5256410256410264E-2</v>
      </c>
      <c r="K118" s="371">
        <f t="shared" si="37"/>
        <v>7.5256410256410264E-2</v>
      </c>
      <c r="L118" s="371">
        <f t="shared" si="37"/>
        <v>7.5256410256410264E-2</v>
      </c>
      <c r="M118" s="354">
        <f>+L118</f>
        <v>7.5256410256410264E-2</v>
      </c>
    </row>
    <row r="119" spans="1:13" ht="12.95" customHeight="1" x14ac:dyDescent="0.25">
      <c r="A119" s="302"/>
      <c r="B119" s="373" t="s">
        <v>124</v>
      </c>
      <c r="C119" s="360"/>
      <c r="D119" s="320"/>
      <c r="E119" s="383">
        <f t="shared" ref="E119:M119" si="38">+E116-D116</f>
        <v>-68.300000000000011</v>
      </c>
      <c r="F119" s="383">
        <f t="shared" si="38"/>
        <v>9.5</v>
      </c>
      <c r="G119" s="409">
        <f t="shared" si="38"/>
        <v>73</v>
      </c>
      <c r="H119" s="323">
        <f t="shared" si="38"/>
        <v>11.112849199999999</v>
      </c>
      <c r="I119" s="323">
        <f t="shared" si="38"/>
        <v>11.561338901509316</v>
      </c>
      <c r="J119" s="323">
        <f t="shared" si="38"/>
        <v>12.862890213271271</v>
      </c>
      <c r="K119" s="323">
        <f t="shared" si="38"/>
        <v>14.324369967823202</v>
      </c>
      <c r="L119" s="323">
        <f t="shared" si="38"/>
        <v>15.966070086735925</v>
      </c>
      <c r="M119" s="324">
        <f t="shared" si="38"/>
        <v>0</v>
      </c>
    </row>
    <row r="120" spans="1:13" ht="5.0999999999999996" customHeight="1" x14ac:dyDescent="0.25">
      <c r="A120" s="302"/>
      <c r="D120" s="343"/>
      <c r="E120" s="344"/>
      <c r="F120" s="344"/>
      <c r="G120" s="345"/>
      <c r="M120" s="280"/>
    </row>
    <row r="121" spans="1:13" ht="12.95" customHeight="1" x14ac:dyDescent="0.25">
      <c r="A121" s="325" t="s">
        <v>130</v>
      </c>
      <c r="B121" s="355" t="s">
        <v>91</v>
      </c>
      <c r="C121" s="356"/>
      <c r="D121" s="328">
        <f>+Restatements!D72</f>
        <v>144.9</v>
      </c>
      <c r="E121" s="329">
        <f>+Restatements!E72</f>
        <v>121</v>
      </c>
      <c r="F121" s="329">
        <f>+Restatements!F72</f>
        <v>122.3</v>
      </c>
      <c r="G121" s="330">
        <f>+Restatements!G72</f>
        <v>36.700000000000003</v>
      </c>
      <c r="H121" s="357">
        <f t="shared" ref="H121:M121" si="39">+G121</f>
        <v>36.700000000000003</v>
      </c>
      <c r="I121" s="357">
        <f t="shared" si="39"/>
        <v>36.700000000000003</v>
      </c>
      <c r="J121" s="357">
        <f t="shared" si="39"/>
        <v>36.700000000000003</v>
      </c>
      <c r="K121" s="357">
        <f t="shared" si="39"/>
        <v>36.700000000000003</v>
      </c>
      <c r="L121" s="357">
        <f t="shared" si="39"/>
        <v>36.700000000000003</v>
      </c>
      <c r="M121" s="358">
        <f t="shared" si="39"/>
        <v>36.700000000000003</v>
      </c>
    </row>
    <row r="122" spans="1:13" ht="5.0999999999999996" customHeight="1" x14ac:dyDescent="0.25">
      <c r="A122" s="302"/>
      <c r="D122" s="320"/>
      <c r="E122" s="321"/>
      <c r="F122" s="321"/>
      <c r="G122" s="322"/>
      <c r="H122" s="323"/>
      <c r="I122" s="323"/>
      <c r="J122" s="323"/>
      <c r="K122" s="323"/>
      <c r="L122" s="323"/>
      <c r="M122" s="324"/>
    </row>
    <row r="123" spans="1:13" ht="12.95" customHeight="1" x14ac:dyDescent="0.25">
      <c r="A123" s="325" t="s">
        <v>130</v>
      </c>
      <c r="B123" s="355" t="s">
        <v>90</v>
      </c>
      <c r="C123" s="356"/>
      <c r="D123" s="328">
        <f>+Restatements!D73</f>
        <v>824.9</v>
      </c>
      <c r="E123" s="329">
        <f>+Restatements!E73</f>
        <v>1213.4000000000001</v>
      </c>
      <c r="F123" s="329">
        <f>+Restatements!F73</f>
        <v>1175.8</v>
      </c>
      <c r="G123" s="330">
        <f>+Restatements!G73</f>
        <v>1112.7</v>
      </c>
      <c r="H123" s="329">
        <f t="shared" ref="H123:M123" si="40">+G123+H125</f>
        <v>1712.7</v>
      </c>
      <c r="I123" s="329">
        <f t="shared" si="40"/>
        <v>1712.7</v>
      </c>
      <c r="J123" s="329">
        <f t="shared" si="40"/>
        <v>1360.3000000000002</v>
      </c>
      <c r="K123" s="329">
        <f t="shared" si="40"/>
        <v>1360.3000000000002</v>
      </c>
      <c r="L123" s="329">
        <f t="shared" si="40"/>
        <v>1192.7000000000003</v>
      </c>
      <c r="M123" s="328">
        <f t="shared" si="40"/>
        <v>1192.7000000000003</v>
      </c>
    </row>
    <row r="124" spans="1:13" ht="5.0999999999999996" customHeight="1" x14ac:dyDescent="0.25">
      <c r="A124" s="302"/>
      <c r="D124" s="320"/>
      <c r="E124" s="321"/>
      <c r="F124" s="321"/>
      <c r="G124" s="322"/>
      <c r="H124" s="323"/>
      <c r="I124" s="323"/>
      <c r="J124" s="323"/>
      <c r="K124" s="323"/>
      <c r="L124" s="323"/>
      <c r="M124" s="324"/>
    </row>
    <row r="125" spans="1:13" ht="12.95" customHeight="1" x14ac:dyDescent="0.25">
      <c r="A125" s="302"/>
      <c r="B125" s="373" t="s">
        <v>124</v>
      </c>
      <c r="D125" s="324"/>
      <c r="E125" s="383">
        <f>+E123-D123</f>
        <v>388.50000000000011</v>
      </c>
      <c r="F125" s="383">
        <f>+F123-E123</f>
        <v>-37.600000000000136</v>
      </c>
      <c r="G125" s="409">
        <f>+G123-F123</f>
        <v>-63.099999999999909</v>
      </c>
      <c r="H125" s="410">
        <f>+Originals!H40</f>
        <v>600</v>
      </c>
      <c r="I125" s="410">
        <f>+Originals!I40</f>
        <v>0</v>
      </c>
      <c r="J125" s="410">
        <f>+Originals!J40</f>
        <v>-352.4</v>
      </c>
      <c r="K125" s="410">
        <f>+Originals!K40</f>
        <v>0</v>
      </c>
      <c r="L125" s="410">
        <f>+Originals!L40</f>
        <v>-167.6</v>
      </c>
      <c r="M125" s="411"/>
    </row>
    <row r="126" spans="1:13" ht="5.0999999999999996" customHeight="1" x14ac:dyDescent="0.25">
      <c r="A126" s="302"/>
      <c r="D126" s="320"/>
      <c r="E126" s="321"/>
      <c r="F126" s="321"/>
      <c r="G126" s="322"/>
      <c r="H126" s="323"/>
      <c r="I126" s="323"/>
      <c r="J126" s="323"/>
      <c r="K126" s="323"/>
      <c r="L126" s="323"/>
      <c r="M126" s="324"/>
    </row>
    <row r="127" spans="1:13" ht="12.95" customHeight="1" x14ac:dyDescent="0.25">
      <c r="A127" s="325" t="s">
        <v>129</v>
      </c>
      <c r="B127" s="355" t="s">
        <v>132</v>
      </c>
      <c r="C127" s="356"/>
      <c r="D127" s="328">
        <f>+Restatements!D25</f>
        <v>-42.7</v>
      </c>
      <c r="E127" s="329">
        <f>+Restatements!E25</f>
        <v>-48.800000000000004</v>
      </c>
      <c r="F127" s="329">
        <f>+Restatements!F25</f>
        <v>-58.699999999999996</v>
      </c>
      <c r="G127" s="330">
        <f>+Restatements!G25</f>
        <v>-59.8</v>
      </c>
      <c r="H127" s="329">
        <f t="shared" ref="H127:M127" ca="1" si="41">-H130*AVERAGE(G129:H129)</f>
        <v>-62.583206069177066</v>
      </c>
      <c r="I127" s="329">
        <f t="shared" ca="1" si="41"/>
        <v>-59.019658084574537</v>
      </c>
      <c r="J127" s="329">
        <f t="shared" ca="1" si="41"/>
        <v>-54.509890479225547</v>
      </c>
      <c r="K127" s="329">
        <f t="shared" ca="1" si="41"/>
        <v>-49.312604723862421</v>
      </c>
      <c r="L127" s="329">
        <f t="shared" ca="1" si="41"/>
        <v>-43.346859410198931</v>
      </c>
      <c r="M127" s="328">
        <f t="shared" ca="1" si="41"/>
        <v>-40.161183012148008</v>
      </c>
    </row>
    <row r="128" spans="1:13" ht="5.0999999999999996" customHeight="1" x14ac:dyDescent="0.25">
      <c r="A128" s="302"/>
      <c r="D128" s="320"/>
      <c r="E128" s="321"/>
      <c r="F128" s="321"/>
      <c r="G128" s="322"/>
      <c r="H128" s="323"/>
      <c r="I128" s="323"/>
      <c r="J128" s="323"/>
      <c r="K128" s="323"/>
      <c r="L128" s="323"/>
      <c r="M128" s="324"/>
    </row>
    <row r="129" spans="1:13" ht="12.95" customHeight="1" x14ac:dyDescent="0.25">
      <c r="A129" s="302"/>
      <c r="B129" s="314" t="s">
        <v>177</v>
      </c>
      <c r="C129" s="360"/>
      <c r="D129" s="324">
        <f>+Restatements!D74</f>
        <v>658.8</v>
      </c>
      <c r="E129" s="383">
        <f>+Restatements!E74</f>
        <v>926.80000000000007</v>
      </c>
      <c r="F129" s="383">
        <f>+Restatements!F74</f>
        <v>898.3</v>
      </c>
      <c r="G129" s="409">
        <f>+Restatements!G74</f>
        <v>1035.9000000000001</v>
      </c>
      <c r="H129" s="383">
        <f ca="1">+Output!H74</f>
        <v>988.32135750839939</v>
      </c>
      <c r="I129" s="383">
        <f ca="1">+Output!I74</f>
        <v>920.63888776223746</v>
      </c>
      <c r="J129" s="383">
        <f ca="1">+Output!J74</f>
        <v>842.45526215278028</v>
      </c>
      <c r="K129" s="383">
        <f ca="1">+Output!K74</f>
        <v>752.5353742501411</v>
      </c>
      <c r="L129" s="383">
        <f ca="1">+Output!L74</f>
        <v>649.49632259278155</v>
      </c>
      <c r="M129" s="324">
        <f ca="1">+Output!M74</f>
        <v>649.49632259278144</v>
      </c>
    </row>
    <row r="130" spans="1:13" ht="12.95" customHeight="1" x14ac:dyDescent="0.25">
      <c r="A130" s="302"/>
      <c r="B130" s="314" t="s">
        <v>133</v>
      </c>
      <c r="C130" s="360"/>
      <c r="D130" s="412"/>
      <c r="E130" s="413">
        <f>-E127/AVERAGE(D129:E129)</f>
        <v>6.155398587285571E-2</v>
      </c>
      <c r="F130" s="413">
        <f>-F127/AVERAGE(E129:F129)</f>
        <v>6.4325242452468359E-2</v>
      </c>
      <c r="G130" s="414">
        <f>-G127/AVERAGE(F129:G129)</f>
        <v>6.183435011891221E-2</v>
      </c>
      <c r="H130" s="371">
        <f>+G130</f>
        <v>6.183435011891221E-2</v>
      </c>
      <c r="I130" s="371">
        <f t="shared" ref="I130:M130" si="42">+H130</f>
        <v>6.183435011891221E-2</v>
      </c>
      <c r="J130" s="371">
        <f t="shared" si="42"/>
        <v>6.183435011891221E-2</v>
      </c>
      <c r="K130" s="371">
        <f t="shared" si="42"/>
        <v>6.183435011891221E-2</v>
      </c>
      <c r="L130" s="371">
        <f t="shared" si="42"/>
        <v>6.183435011891221E-2</v>
      </c>
      <c r="M130" s="354">
        <f t="shared" si="42"/>
        <v>6.183435011891221E-2</v>
      </c>
    </row>
    <row r="131" spans="1:13" ht="12.95" customHeight="1" x14ac:dyDescent="0.25">
      <c r="A131" s="302"/>
      <c r="B131" s="314"/>
      <c r="C131" s="360"/>
      <c r="D131" s="377"/>
      <c r="E131" s="378"/>
      <c r="F131" s="378"/>
      <c r="G131" s="379"/>
      <c r="H131" s="378"/>
      <c r="I131" s="378"/>
      <c r="J131" s="378"/>
      <c r="K131" s="378"/>
      <c r="L131" s="378"/>
      <c r="M131" s="377"/>
    </row>
    <row r="132" spans="1:13" ht="12.95" customHeight="1" x14ac:dyDescent="0.25">
      <c r="A132" s="302"/>
      <c r="B132" s="359" t="s">
        <v>271</v>
      </c>
      <c r="C132" s="360"/>
      <c r="D132" s="377"/>
      <c r="E132" s="378"/>
      <c r="F132" s="378"/>
      <c r="G132" s="379"/>
      <c r="H132" s="378"/>
      <c r="I132" s="378"/>
      <c r="J132" s="378"/>
      <c r="K132" s="378"/>
      <c r="L132" s="378"/>
      <c r="M132" s="377"/>
    </row>
    <row r="133" spans="1:13" ht="12.95" customHeight="1" x14ac:dyDescent="0.25">
      <c r="A133" s="302"/>
      <c r="B133" s="415" t="s">
        <v>272</v>
      </c>
      <c r="C133" s="416"/>
      <c r="D133" s="417"/>
      <c r="E133" s="418">
        <f t="shared" ref="E133:M133" si="43">+D136</f>
        <v>414.2</v>
      </c>
      <c r="F133" s="418">
        <f t="shared" si="43"/>
        <v>442.50000000000011</v>
      </c>
      <c r="G133" s="419">
        <f t="shared" si="43"/>
        <v>444.20000000000073</v>
      </c>
      <c r="H133" s="418">
        <f t="shared" si="43"/>
        <v>230.9000000000002</v>
      </c>
      <c r="I133" s="418">
        <f t="shared" ca="1" si="43"/>
        <v>889.59149169160071</v>
      </c>
      <c r="J133" s="418">
        <f t="shared" ca="1" si="43"/>
        <v>968.83530033927195</v>
      </c>
      <c r="K133" s="418">
        <f t="shared" ca="1" si="43"/>
        <v>707.48181616200054</v>
      </c>
      <c r="L133" s="418">
        <f t="shared" ca="1" si="43"/>
        <v>811.72607403246286</v>
      </c>
      <c r="M133" s="417">
        <f t="shared" ca="1" si="43"/>
        <v>763.13119577655846</v>
      </c>
    </row>
    <row r="134" spans="1:13" ht="12.95" customHeight="1" x14ac:dyDescent="0.25">
      <c r="A134" s="302"/>
      <c r="B134" s="373" t="s">
        <v>142</v>
      </c>
      <c r="C134" s="420"/>
      <c r="D134" s="421"/>
      <c r="E134" s="422">
        <f>+Output!E112</f>
        <v>28.300000000000125</v>
      </c>
      <c r="F134" s="422">
        <f>+Output!F112</f>
        <v>1.7000000000006024</v>
      </c>
      <c r="G134" s="423">
        <f>+Output!G112</f>
        <v>-213.30000000000052</v>
      </c>
      <c r="H134" s="424">
        <f ca="1">+Output!H112</f>
        <v>658.6914916916005</v>
      </c>
      <c r="I134" s="424">
        <f ca="1">+Output!I112</f>
        <v>79.243808647671187</v>
      </c>
      <c r="J134" s="424">
        <f ca="1">+Output!J112</f>
        <v>-261.35348417727141</v>
      </c>
      <c r="K134" s="424">
        <f ca="1">+Output!K112</f>
        <v>104.24425787046232</v>
      </c>
      <c r="L134" s="424">
        <f ca="1">+Output!L112</f>
        <v>-48.594878255904405</v>
      </c>
      <c r="M134" s="421">
        <f ca="1">+Output!M112</f>
        <v>5.6843418860808015E-14</v>
      </c>
    </row>
    <row r="135" spans="1:13" ht="5.0999999999999996" customHeight="1" x14ac:dyDescent="0.25">
      <c r="A135" s="302"/>
      <c r="D135" s="280"/>
      <c r="E135" s="296"/>
      <c r="F135" s="296"/>
      <c r="G135" s="319"/>
      <c r="L135" s="296"/>
      <c r="M135" s="280"/>
    </row>
    <row r="136" spans="1:13" ht="12.95" customHeight="1" x14ac:dyDescent="0.25">
      <c r="A136" s="325" t="s">
        <v>291</v>
      </c>
      <c r="B136" s="425" t="s">
        <v>273</v>
      </c>
      <c r="C136" s="403"/>
      <c r="D136" s="404">
        <f>-Restatements!D70</f>
        <v>414.2</v>
      </c>
      <c r="E136" s="405">
        <f t="shared" ref="E136:M136" si="44">+SUM(E133:E134)</f>
        <v>442.50000000000011</v>
      </c>
      <c r="F136" s="405">
        <f t="shared" si="44"/>
        <v>444.20000000000073</v>
      </c>
      <c r="G136" s="406">
        <f t="shared" si="44"/>
        <v>230.9000000000002</v>
      </c>
      <c r="H136" s="407">
        <f t="shared" ca="1" si="44"/>
        <v>889.59149169160071</v>
      </c>
      <c r="I136" s="407">
        <f t="shared" ca="1" si="44"/>
        <v>968.83530033927195</v>
      </c>
      <c r="J136" s="407">
        <f t="shared" ca="1" si="44"/>
        <v>707.48181616200054</v>
      </c>
      <c r="K136" s="407">
        <f t="shared" ca="1" si="44"/>
        <v>811.72607403246286</v>
      </c>
      <c r="L136" s="407">
        <f t="shared" ca="1" si="44"/>
        <v>763.13119577655846</v>
      </c>
      <c r="M136" s="408">
        <f t="shared" ca="1" si="44"/>
        <v>763.13119577655857</v>
      </c>
    </row>
    <row r="137" spans="1:13" ht="12.95" customHeight="1" x14ac:dyDescent="0.25">
      <c r="B137" s="373"/>
      <c r="C137" s="360"/>
      <c r="D137" s="361"/>
      <c r="E137" s="296"/>
      <c r="F137" s="296"/>
      <c r="G137" s="319"/>
      <c r="H137" s="426"/>
      <c r="I137" s="426"/>
      <c r="J137" s="426"/>
      <c r="K137" s="426"/>
      <c r="L137" s="426"/>
      <c r="M137" s="427"/>
    </row>
    <row r="138" spans="1:13" s="296" customFormat="1" ht="12.95" customHeight="1" x14ac:dyDescent="0.25">
      <c r="B138" s="297" t="s">
        <v>181</v>
      </c>
      <c r="C138" s="297"/>
      <c r="D138" s="298"/>
      <c r="E138" s="299"/>
      <c r="F138" s="299"/>
      <c r="G138" s="300"/>
      <c r="H138" s="297"/>
      <c r="I138" s="297"/>
      <c r="J138" s="297"/>
      <c r="K138" s="297"/>
      <c r="L138" s="297"/>
      <c r="M138" s="301"/>
    </row>
    <row r="139" spans="1:13" ht="5.0999999999999996" customHeight="1" x14ac:dyDescent="0.25">
      <c r="D139" s="280"/>
      <c r="E139" s="296"/>
      <c r="F139" s="296"/>
      <c r="G139" s="319"/>
      <c r="L139" s="296"/>
      <c r="M139" s="280"/>
    </row>
    <row r="140" spans="1:13" ht="12.95" customHeight="1" x14ac:dyDescent="0.25">
      <c r="B140" s="285" t="s">
        <v>66</v>
      </c>
      <c r="D140" s="305">
        <f>+Restatements!D22</f>
        <v>298.7</v>
      </c>
      <c r="E140" s="306">
        <f>+Restatements!E22</f>
        <v>304.59999999999997</v>
      </c>
      <c r="F140" s="306">
        <f>+Restatements!F22</f>
        <v>299.5999999999998</v>
      </c>
      <c r="G140" s="307">
        <f>+Restatements!G22</f>
        <v>298.20000000000016</v>
      </c>
      <c r="H140" s="308">
        <f>+Output!H22</f>
        <v>354.47408512317429</v>
      </c>
      <c r="I140" s="308">
        <f>+Output!I22</f>
        <v>386.36346470990804</v>
      </c>
      <c r="J140" s="308">
        <f>+Output!J22</f>
        <v>421.84288384015622</v>
      </c>
      <c r="K140" s="308">
        <f>+Output!K22</f>
        <v>461.35346952025344</v>
      </c>
      <c r="L140" s="308">
        <f>+Output!L22</f>
        <v>505.39231950482105</v>
      </c>
      <c r="M140" s="305">
        <f ca="1">+Output!M22</f>
        <v>544.64296165386884</v>
      </c>
    </row>
    <row r="141" spans="1:13" ht="12.95" customHeight="1" x14ac:dyDescent="0.25">
      <c r="B141" s="337" t="s">
        <v>269</v>
      </c>
      <c r="D141" s="412">
        <f>+D83+D87</f>
        <v>0.314</v>
      </c>
      <c r="E141" s="413">
        <f t="shared" ref="E141:M141" si="45">+E83+E87</f>
        <v>0.314</v>
      </c>
      <c r="F141" s="413">
        <f t="shared" si="45"/>
        <v>0.314</v>
      </c>
      <c r="G141" s="414">
        <f t="shared" si="45"/>
        <v>0.314</v>
      </c>
      <c r="H141" s="428">
        <f t="shared" si="45"/>
        <v>0.314</v>
      </c>
      <c r="I141" s="428">
        <f t="shared" si="45"/>
        <v>0.314</v>
      </c>
      <c r="J141" s="428">
        <f t="shared" si="45"/>
        <v>0.314</v>
      </c>
      <c r="K141" s="428">
        <f t="shared" si="45"/>
        <v>0.314</v>
      </c>
      <c r="L141" s="428">
        <f t="shared" si="45"/>
        <v>0.314</v>
      </c>
      <c r="M141" s="412">
        <f t="shared" si="45"/>
        <v>0.314</v>
      </c>
    </row>
    <row r="142" spans="1:13" ht="12.95" customHeight="1" x14ac:dyDescent="0.25">
      <c r="B142" s="285" t="s">
        <v>148</v>
      </c>
      <c r="D142" s="305">
        <f>-D141*D140</f>
        <v>-93.791799999999995</v>
      </c>
      <c r="E142" s="306">
        <f t="shared" ref="E142:M142" si="46">-E141*E140</f>
        <v>-95.64439999999999</v>
      </c>
      <c r="F142" s="306">
        <f t="shared" si="46"/>
        <v>-94.07439999999994</v>
      </c>
      <c r="G142" s="307">
        <f t="shared" si="46"/>
        <v>-93.634800000000055</v>
      </c>
      <c r="H142" s="308">
        <f t="shared" si="46"/>
        <v>-111.30486272867672</v>
      </c>
      <c r="I142" s="308">
        <f t="shared" si="46"/>
        <v>-121.31812791891113</v>
      </c>
      <c r="J142" s="308">
        <f t="shared" si="46"/>
        <v>-132.45866552580907</v>
      </c>
      <c r="K142" s="308">
        <f t="shared" si="46"/>
        <v>-144.86498942935958</v>
      </c>
      <c r="L142" s="308">
        <f t="shared" si="46"/>
        <v>-158.69318832451381</v>
      </c>
      <c r="M142" s="305">
        <f t="shared" ca="1" si="46"/>
        <v>-171.01788995931483</v>
      </c>
    </row>
    <row r="143" spans="1:13" ht="5.0999999999999996" customHeight="1" x14ac:dyDescent="0.25">
      <c r="D143" s="324"/>
      <c r="E143" s="383"/>
      <c r="F143" s="383"/>
      <c r="G143" s="409"/>
      <c r="H143" s="323"/>
      <c r="I143" s="323"/>
      <c r="J143" s="323"/>
      <c r="K143" s="323"/>
      <c r="L143" s="323"/>
      <c r="M143" s="324"/>
    </row>
    <row r="144" spans="1:13" ht="12.95" customHeight="1" x14ac:dyDescent="0.25">
      <c r="B144" s="429" t="s">
        <v>146</v>
      </c>
      <c r="C144" s="430"/>
      <c r="D144" s="431">
        <f t="shared" ref="D144:M144" si="47">+D140+D142</f>
        <v>204.90819999999999</v>
      </c>
      <c r="E144" s="432">
        <f t="shared" si="47"/>
        <v>208.95559999999998</v>
      </c>
      <c r="F144" s="432">
        <f t="shared" si="47"/>
        <v>205.52559999999986</v>
      </c>
      <c r="G144" s="433">
        <f t="shared" si="47"/>
        <v>204.56520000000012</v>
      </c>
      <c r="H144" s="434">
        <f t="shared" si="47"/>
        <v>243.16922239449758</v>
      </c>
      <c r="I144" s="434">
        <f t="shared" si="47"/>
        <v>265.04533679099688</v>
      </c>
      <c r="J144" s="434">
        <f t="shared" si="47"/>
        <v>289.38421831434715</v>
      </c>
      <c r="K144" s="434">
        <f t="shared" si="47"/>
        <v>316.48848009089386</v>
      </c>
      <c r="L144" s="434">
        <f t="shared" si="47"/>
        <v>346.69913118030723</v>
      </c>
      <c r="M144" s="431">
        <f t="shared" ca="1" si="47"/>
        <v>373.62507169455398</v>
      </c>
    </row>
    <row r="145" spans="2:13" ht="12.95" customHeight="1" x14ac:dyDescent="0.25">
      <c r="B145" s="285"/>
      <c r="D145" s="280"/>
      <c r="E145" s="296"/>
      <c r="F145" s="296"/>
      <c r="G145" s="319"/>
      <c r="M145" s="280"/>
    </row>
    <row r="146" spans="2:13" ht="12.95" customHeight="1" x14ac:dyDescent="0.25">
      <c r="B146" s="314" t="s">
        <v>270</v>
      </c>
      <c r="C146" s="360"/>
      <c r="D146" s="305">
        <f t="shared" ref="D146:M146" si="48">+D90</f>
        <v>-90.9</v>
      </c>
      <c r="E146" s="306">
        <f t="shared" si="48"/>
        <v>-79</v>
      </c>
      <c r="F146" s="306">
        <f t="shared" si="48"/>
        <v>-79.8</v>
      </c>
      <c r="G146" s="307">
        <f t="shared" si="48"/>
        <v>-64.699999999999989</v>
      </c>
      <c r="H146" s="308">
        <f t="shared" ca="1" si="48"/>
        <v>-94.094481059653035</v>
      </c>
      <c r="I146" s="308">
        <f t="shared" ca="1" si="48"/>
        <v>-105.08772194565314</v>
      </c>
      <c r="J146" s="308">
        <f t="shared" ca="1" si="48"/>
        <v>-117.46844564402204</v>
      </c>
      <c r="K146" s="308">
        <f t="shared" ca="1" si="48"/>
        <v>-131.30402313029742</v>
      </c>
      <c r="L146" s="308">
        <f t="shared" ca="1" si="48"/>
        <v>-146.77280198670911</v>
      </c>
      <c r="M146" s="305">
        <f t="shared" ca="1" si="48"/>
        <v>-158.31319676729146</v>
      </c>
    </row>
    <row r="147" spans="2:13" ht="12.95" customHeight="1" x14ac:dyDescent="0.25">
      <c r="B147" s="314" t="s">
        <v>149</v>
      </c>
      <c r="C147" s="360"/>
      <c r="D147" s="361">
        <f t="shared" ref="D147:M147" si="49">+D146-D142</f>
        <v>2.8917999999999893</v>
      </c>
      <c r="E147" s="362">
        <f t="shared" si="49"/>
        <v>16.64439999999999</v>
      </c>
      <c r="F147" s="362">
        <f t="shared" si="49"/>
        <v>14.274399999999943</v>
      </c>
      <c r="G147" s="363">
        <f t="shared" si="49"/>
        <v>28.934800000000067</v>
      </c>
      <c r="H147" s="362">
        <f t="shared" ca="1" si="49"/>
        <v>17.21038166902369</v>
      </c>
      <c r="I147" s="362">
        <f t="shared" ca="1" si="49"/>
        <v>16.230405973257987</v>
      </c>
      <c r="J147" s="362">
        <f t="shared" ca="1" si="49"/>
        <v>14.990219881787027</v>
      </c>
      <c r="K147" s="362">
        <f t="shared" ca="1" si="49"/>
        <v>13.560966299062159</v>
      </c>
      <c r="L147" s="362">
        <f t="shared" ca="1" si="49"/>
        <v>11.9203863378047</v>
      </c>
      <c r="M147" s="361">
        <f t="shared" ca="1" si="49"/>
        <v>11.044325328340705</v>
      </c>
    </row>
    <row r="148" spans="2:13" ht="12.95" customHeight="1" x14ac:dyDescent="0.25">
      <c r="B148" s="314"/>
      <c r="C148" s="360"/>
      <c r="D148" s="378"/>
      <c r="E148" s="378"/>
      <c r="F148" s="378"/>
      <c r="G148" s="378"/>
      <c r="H148" s="378"/>
      <c r="I148" s="378"/>
      <c r="J148" s="378"/>
      <c r="K148" s="378"/>
      <c r="L148" s="378"/>
      <c r="M148" s="377"/>
    </row>
    <row r="149" spans="2:13" ht="12.95" customHeight="1" x14ac:dyDescent="0.25">
      <c r="B149" s="314"/>
      <c r="C149" s="360"/>
      <c r="D149" s="378"/>
      <c r="E149" s="378"/>
      <c r="F149" s="378"/>
      <c r="G149" s="378"/>
      <c r="H149" s="378"/>
      <c r="I149" s="378"/>
      <c r="J149" s="378"/>
      <c r="K149" s="378"/>
      <c r="L149" s="378"/>
      <c r="M149" s="377"/>
    </row>
    <row r="150" spans="2:13" ht="12.95" customHeight="1" x14ac:dyDescent="0.25">
      <c r="B150" s="314"/>
      <c r="C150" s="360"/>
      <c r="D150" s="378"/>
      <c r="E150" s="362"/>
      <c r="F150" s="362"/>
      <c r="G150" s="362"/>
      <c r="H150" s="378"/>
      <c r="I150" s="378"/>
      <c r="J150" s="378"/>
      <c r="K150" s="378"/>
      <c r="L150" s="378"/>
      <c r="M150" s="377"/>
    </row>
    <row r="151" spans="2:13" ht="12.95" customHeight="1" x14ac:dyDescent="0.25">
      <c r="B151" s="314"/>
      <c r="C151" s="360"/>
      <c r="D151" s="362"/>
      <c r="E151" s="362"/>
      <c r="F151" s="362"/>
      <c r="G151" s="362"/>
      <c r="H151" s="362"/>
      <c r="I151" s="362"/>
      <c r="J151" s="362"/>
      <c r="K151" s="362"/>
      <c r="L151" s="362"/>
      <c r="M151" s="361"/>
    </row>
    <row r="152" spans="2:13" ht="12.95" customHeight="1" x14ac:dyDescent="0.25">
      <c r="B152" s="314"/>
      <c r="C152" s="360"/>
      <c r="D152" s="362"/>
      <c r="E152" s="362"/>
      <c r="F152" s="362"/>
      <c r="G152" s="362"/>
      <c r="H152" s="395"/>
      <c r="I152" s="362"/>
      <c r="J152" s="362"/>
      <c r="K152" s="362"/>
      <c r="L152" s="362"/>
      <c r="M152" s="361"/>
    </row>
    <row r="153" spans="2:13" ht="12.95" customHeight="1" x14ac:dyDescent="0.25">
      <c r="B153" s="314"/>
      <c r="C153" s="360"/>
      <c r="D153" s="362"/>
      <c r="E153" s="362"/>
      <c r="F153" s="362"/>
      <c r="G153" s="362"/>
      <c r="H153" s="395"/>
      <c r="I153" s="362"/>
      <c r="J153" s="362"/>
      <c r="K153" s="362"/>
      <c r="L153" s="362"/>
      <c r="M153" s="361"/>
    </row>
    <row r="154" spans="2:13" ht="12.95" customHeight="1" x14ac:dyDescent="0.25">
      <c r="H154" s="281"/>
      <c r="M154" s="280"/>
    </row>
    <row r="155" spans="2:13" ht="12.95" customHeight="1" x14ac:dyDescent="0.25">
      <c r="H155" s="281"/>
      <c r="M155" s="280"/>
    </row>
    <row r="156" spans="2:13" ht="12.95" customHeight="1" x14ac:dyDescent="0.25">
      <c r="H156" s="435"/>
      <c r="M156" s="280"/>
    </row>
    <row r="157" spans="2:13" ht="12.95" customHeight="1" x14ac:dyDescent="0.25">
      <c r="H157" s="435"/>
      <c r="M157" s="280"/>
    </row>
    <row r="158" spans="2:13" ht="12.95" customHeight="1" x14ac:dyDescent="0.25">
      <c r="G158" s="436"/>
      <c r="H158" s="435"/>
      <c r="M158" s="280"/>
    </row>
    <row r="159" spans="2:13" ht="12.95" customHeight="1" x14ac:dyDescent="0.25">
      <c r="M159" s="280"/>
    </row>
    <row r="160" spans="2:13" ht="12.95" customHeight="1" x14ac:dyDescent="0.25">
      <c r="H160" s="435"/>
      <c r="M160" s="280"/>
    </row>
    <row r="161" spans="4:13" ht="12.95" customHeight="1" x14ac:dyDescent="0.25">
      <c r="H161" s="435"/>
      <c r="M161" s="280"/>
    </row>
    <row r="162" spans="4:13" ht="12.95" customHeight="1" x14ac:dyDescent="0.25">
      <c r="H162" s="435"/>
      <c r="M162" s="280"/>
    </row>
    <row r="163" spans="4:13" ht="12.95" customHeight="1" x14ac:dyDescent="0.25">
      <c r="H163" s="435"/>
      <c r="M163" s="280"/>
    </row>
    <row r="164" spans="4:13" ht="12.95" customHeight="1" x14ac:dyDescent="0.25">
      <c r="H164" s="435"/>
      <c r="M164" s="280"/>
    </row>
    <row r="165" spans="4:13" ht="12.95" customHeight="1" x14ac:dyDescent="0.25">
      <c r="H165" s="435"/>
      <c r="M165" s="280"/>
    </row>
    <row r="166" spans="4:13" ht="12.95" customHeight="1" x14ac:dyDescent="0.25">
      <c r="H166" s="435"/>
      <c r="M166" s="280"/>
    </row>
    <row r="167" spans="4:13" ht="12.95" customHeight="1" x14ac:dyDescent="0.25">
      <c r="M167" s="280"/>
    </row>
    <row r="168" spans="4:13" ht="12.95" customHeight="1" x14ac:dyDescent="0.25">
      <c r="M168" s="280"/>
    </row>
    <row r="169" spans="4:13" ht="12.95" customHeight="1" x14ac:dyDescent="0.25">
      <c r="H169" s="435"/>
      <c r="M169" s="280"/>
    </row>
    <row r="170" spans="4:13" ht="12.95" customHeight="1" x14ac:dyDescent="0.25">
      <c r="D170" s="437"/>
      <c r="E170" s="437"/>
      <c r="F170" s="437"/>
      <c r="G170" s="437"/>
      <c r="M170" s="280"/>
    </row>
    <row r="171" spans="4:13" ht="12.95" customHeight="1" x14ac:dyDescent="0.25">
      <c r="D171" s="437"/>
      <c r="E171" s="437"/>
      <c r="F171" s="437"/>
      <c r="G171" s="437"/>
      <c r="H171" s="435"/>
    </row>
    <row r="172" spans="4:13" ht="12.95" customHeight="1" x14ac:dyDescent="0.25">
      <c r="D172" s="437"/>
      <c r="E172" s="437"/>
      <c r="F172" s="437"/>
      <c r="G172" s="437"/>
      <c r="H172" s="435"/>
    </row>
    <row r="173" spans="4:13" ht="12.95" customHeight="1" x14ac:dyDescent="0.25">
      <c r="D173" s="437"/>
      <c r="E173" s="437"/>
      <c r="F173" s="437"/>
      <c r="G173" s="437"/>
    </row>
    <row r="174" spans="4:13" ht="12.95" customHeight="1" x14ac:dyDescent="0.25">
      <c r="D174" s="437"/>
      <c r="E174" s="437"/>
      <c r="F174" s="437"/>
      <c r="G174" s="437"/>
    </row>
    <row r="175" spans="4:13" ht="12.95" customHeight="1" x14ac:dyDescent="0.25">
      <c r="D175" s="437"/>
      <c r="E175" s="437"/>
      <c r="F175" s="437"/>
      <c r="G175" s="437"/>
    </row>
    <row r="176" spans="4:13" ht="12.95" customHeight="1" x14ac:dyDescent="0.25">
      <c r="D176" s="437"/>
      <c r="E176" s="437"/>
      <c r="F176" s="437"/>
      <c r="G176" s="437"/>
    </row>
    <row r="177" spans="4:7" ht="12.95" customHeight="1" x14ac:dyDescent="0.25">
      <c r="D177" s="437"/>
      <c r="E177" s="437"/>
      <c r="F177" s="437"/>
      <c r="G177" s="437"/>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116"/>
  <sheetViews>
    <sheetView showGridLines="0" zoomScaleNormal="100" workbookViewId="0">
      <pane xSplit="3" ySplit="6" topLeftCell="D7" activePane="bottomRight" state="frozen"/>
      <selection activeCell="C1" sqref="C1"/>
      <selection pane="topRight" activeCell="C1" sqref="C1"/>
      <selection pane="bottomLeft" activeCell="C1" sqref="C1"/>
      <selection pane="bottomRight" activeCell="I27" sqref="I27"/>
    </sheetView>
  </sheetViews>
  <sheetFormatPr defaultColWidth="13.83203125" defaultRowHeight="12.95" customHeight="1" x14ac:dyDescent="0.2"/>
  <cols>
    <col min="2" max="2" width="50" customWidth="1"/>
    <col min="3" max="3" width="10.33203125" bestFit="1" customWidth="1"/>
  </cols>
  <sheetData>
    <row r="1" spans="2:14" ht="12.95" customHeight="1" x14ac:dyDescent="0.25">
      <c r="B1" s="7"/>
      <c r="D1" s="43"/>
      <c r="H1" s="43"/>
      <c r="K1" s="43"/>
      <c r="M1" s="43"/>
    </row>
    <row r="2" spans="2:14" ht="20.100000000000001" customHeight="1" x14ac:dyDescent="0.2">
      <c r="B2" s="9" t="s">
        <v>52</v>
      </c>
      <c r="C2" s="8"/>
      <c r="D2" s="44"/>
      <c r="E2" s="8"/>
      <c r="F2" s="8"/>
      <c r="G2" s="8"/>
      <c r="H2" s="44"/>
      <c r="I2" s="8"/>
      <c r="J2" s="8"/>
      <c r="K2" s="44"/>
      <c r="L2" s="8"/>
      <c r="M2" s="44"/>
    </row>
    <row r="3" spans="2:14" ht="12.95" customHeight="1" x14ac:dyDescent="0.2">
      <c r="B3" s="10"/>
      <c r="C3" s="8"/>
      <c r="D3" s="40" t="s">
        <v>98</v>
      </c>
      <c r="E3" s="39"/>
      <c r="F3" s="39"/>
      <c r="G3" s="39"/>
      <c r="H3" s="40" t="s">
        <v>99</v>
      </c>
      <c r="I3" s="38"/>
      <c r="J3" s="38"/>
      <c r="K3" s="38"/>
      <c r="L3" s="38"/>
    </row>
    <row r="4" spans="2:14" ht="5.0999999999999996" customHeight="1" x14ac:dyDescent="0.2">
      <c r="D4" s="43"/>
      <c r="H4" s="43"/>
    </row>
    <row r="5" spans="2:14" ht="15" customHeight="1" x14ac:dyDescent="0.2">
      <c r="B5" s="1"/>
      <c r="C5" s="13" t="s">
        <v>2</v>
      </c>
      <c r="D5" s="41">
        <v>40908</v>
      </c>
      <c r="E5" s="42">
        <f t="shared" ref="E5:L5" si="0">+EOMONTH(D5,12)</f>
        <v>41274</v>
      </c>
      <c r="F5" s="42">
        <f t="shared" si="0"/>
        <v>41639</v>
      </c>
      <c r="G5" s="42">
        <f t="shared" si="0"/>
        <v>42004</v>
      </c>
      <c r="H5" s="37">
        <f t="shared" si="0"/>
        <v>42369</v>
      </c>
      <c r="I5" s="2">
        <f t="shared" si="0"/>
        <v>42735</v>
      </c>
      <c r="J5" s="2">
        <f t="shared" si="0"/>
        <v>43100</v>
      </c>
      <c r="K5" s="2">
        <f t="shared" si="0"/>
        <v>43465</v>
      </c>
      <c r="L5" s="2">
        <f t="shared" si="0"/>
        <v>43830</v>
      </c>
      <c r="M5" s="85" t="s">
        <v>183</v>
      </c>
    </row>
    <row r="6" spans="2:14" s="45" customFormat="1" ht="5.0999999999999996" customHeight="1" x14ac:dyDescent="0.2"/>
    <row r="7" spans="2:14" s="45" customFormat="1" ht="5.0999999999999996" customHeight="1" x14ac:dyDescent="0.2"/>
    <row r="8" spans="2:14" s="45" customFormat="1" ht="12.95" customHeight="1" x14ac:dyDescent="0.2">
      <c r="B8" s="46" t="s">
        <v>52</v>
      </c>
      <c r="C8" s="46"/>
      <c r="D8" s="176"/>
      <c r="E8" s="177"/>
      <c r="F8" s="177"/>
      <c r="G8" s="178"/>
      <c r="H8" s="46"/>
      <c r="I8" s="46"/>
      <c r="J8" s="46"/>
      <c r="K8" s="46"/>
      <c r="L8" s="46"/>
      <c r="M8" s="85"/>
    </row>
    <row r="9" spans="2:14" ht="5.0999999999999996" customHeight="1" x14ac:dyDescent="0.2">
      <c r="D9" s="43"/>
      <c r="E9" s="45"/>
      <c r="F9" s="45"/>
      <c r="G9" s="164"/>
      <c r="L9" s="45"/>
    </row>
    <row r="10" spans="2:14" ht="12.95" customHeight="1" x14ac:dyDescent="0.2">
      <c r="B10" s="16" t="s">
        <v>61</v>
      </c>
      <c r="C10" s="17"/>
      <c r="D10" s="179">
        <f>+Calculations!D19</f>
        <v>1274.2</v>
      </c>
      <c r="E10" s="180">
        <f>+Calculations!E19</f>
        <v>1340.8</v>
      </c>
      <c r="F10" s="180">
        <f>+Calculations!F19</f>
        <v>1524.1</v>
      </c>
      <c r="G10" s="181">
        <f>+Calculations!G19</f>
        <v>1560</v>
      </c>
      <c r="H10" s="60">
        <f>+Calculations!H19</f>
        <v>1707.6664799999999</v>
      </c>
      <c r="I10" s="60">
        <f>+Calculations!I19</f>
        <v>1861.2924483675854</v>
      </c>
      <c r="J10" s="60">
        <f>+Calculations!J19</f>
        <v>2032.2133063974252</v>
      </c>
      <c r="K10" s="60">
        <f>+Calculations!K19</f>
        <v>2222.5541679800845</v>
      </c>
      <c r="L10" s="60">
        <f>+Calculations!L19</f>
        <v>2434.7097841241052</v>
      </c>
      <c r="M10" s="60">
        <f ca="1">+Calculations!M19</f>
        <v>2507.7510776478284</v>
      </c>
      <c r="N10" s="35"/>
    </row>
    <row r="11" spans="2:14" ht="12.95" customHeight="1" x14ac:dyDescent="0.2">
      <c r="B11" s="22" t="s">
        <v>72</v>
      </c>
      <c r="C11" s="23"/>
      <c r="D11" s="206"/>
      <c r="E11" s="64">
        <f t="shared" ref="E11:I11" si="1">+E10/D10-1</f>
        <v>5.2268089781823734E-2</v>
      </c>
      <c r="F11" s="64">
        <f t="shared" si="1"/>
        <v>0.13670942720763724</v>
      </c>
      <c r="G11" s="64">
        <f t="shared" si="1"/>
        <v>2.3554884850075508E-2</v>
      </c>
      <c r="H11" s="64">
        <f t="shared" si="1"/>
        <v>9.4657999999999909E-2</v>
      </c>
      <c r="I11" s="64">
        <f t="shared" si="1"/>
        <v>8.9962513269912892E-2</v>
      </c>
      <c r="J11" s="64">
        <f>+J10/I10-1</f>
        <v>9.1829125605566775E-2</v>
      </c>
      <c r="K11" s="64">
        <f>+K10/J10-1</f>
        <v>9.3661851826018827E-2</v>
      </c>
      <c r="L11" s="64">
        <f>+L10/K10-1</f>
        <v>9.5455768502971328E-2</v>
      </c>
      <c r="M11" s="64">
        <f ca="1">+M10/L10-1</f>
        <v>3.0000000000000027E-2</v>
      </c>
    </row>
    <row r="12" spans="2:14" ht="5.0999999999999996" customHeight="1" x14ac:dyDescent="0.2">
      <c r="D12" s="43"/>
      <c r="E12" s="45"/>
      <c r="F12" s="45"/>
      <c r="G12" s="164"/>
    </row>
    <row r="13" spans="2:14" ht="12.95" customHeight="1" x14ac:dyDescent="0.2">
      <c r="B13" s="18" t="s">
        <v>62</v>
      </c>
      <c r="C13" s="19"/>
      <c r="D13" s="185">
        <f>+Calculations!D24</f>
        <v>-386.5</v>
      </c>
      <c r="E13" s="186">
        <f>+Calculations!E24</f>
        <v>-401.5</v>
      </c>
      <c r="F13" s="186">
        <f>+Calculations!F24</f>
        <v>-489.1</v>
      </c>
      <c r="G13" s="187">
        <f>+Calculations!G24</f>
        <v>-485.8</v>
      </c>
      <c r="H13" s="56">
        <f>+Calculations!H24</f>
        <v>-527.28327719641027</v>
      </c>
      <c r="I13" s="56">
        <f>+Calculations!I24</f>
        <v>-574.7190060181955</v>
      </c>
      <c r="J13" s="56">
        <f>+Calculations!J24</f>
        <v>-627.4949498097468</v>
      </c>
      <c r="K13" s="56">
        <f>+Calculations!K24</f>
        <v>-686.26728882040243</v>
      </c>
      <c r="L13" s="56">
        <f>+Calculations!L24</f>
        <v>-751.77546027320443</v>
      </c>
      <c r="M13" s="56">
        <f ca="1">+Calculations!M24</f>
        <v>-774.32872408140054</v>
      </c>
      <c r="N13" s="35"/>
    </row>
    <row r="14" spans="2:14" ht="12.95" customHeight="1" x14ac:dyDescent="0.2">
      <c r="B14" s="18" t="s">
        <v>4</v>
      </c>
      <c r="C14" s="19"/>
      <c r="D14" s="185">
        <f>+Calculations!D25</f>
        <v>-229.1</v>
      </c>
      <c r="E14" s="186">
        <f>+Calculations!E25</f>
        <v>-237.2</v>
      </c>
      <c r="F14" s="186">
        <f>+Calculations!F25</f>
        <v>-249.2</v>
      </c>
      <c r="G14" s="187">
        <f>+Calculations!G25</f>
        <v>-260.8</v>
      </c>
      <c r="H14" s="56">
        <f>+Calculations!H25</f>
        <v>-293.46001542427524</v>
      </c>
      <c r="I14" s="56">
        <f>+Calculations!I25</f>
        <v>-319.86041595607043</v>
      </c>
      <c r="J14" s="56">
        <f>+Calculations!J25</f>
        <v>-349.23291826914925</v>
      </c>
      <c r="K14" s="56">
        <f>+Calculations!K25</f>
        <v>-381.94272011284244</v>
      </c>
      <c r="L14" s="56">
        <f>+Calculations!L25</f>
        <v>-418.40135598532902</v>
      </c>
      <c r="M14" s="56">
        <f ca="1">+Calculations!M25</f>
        <v>-430.95339666488894</v>
      </c>
      <c r="N14" s="35"/>
    </row>
    <row r="15" spans="2:14" ht="12.95" customHeight="1" x14ac:dyDescent="0.2">
      <c r="B15" s="18" t="s">
        <v>63</v>
      </c>
      <c r="C15" s="19"/>
      <c r="D15" s="185">
        <f>+Calculations!D26</f>
        <v>-7.7</v>
      </c>
      <c r="E15" s="186">
        <f>+Calculations!E26</f>
        <v>-8.5</v>
      </c>
      <c r="F15" s="186">
        <f>+Calculations!F26</f>
        <v>-10.7</v>
      </c>
      <c r="G15" s="187">
        <f>+Calculations!G26</f>
        <v>-11.2</v>
      </c>
      <c r="H15" s="56">
        <f>+Calculations!H26</f>
        <v>-11.348523890042857</v>
      </c>
      <c r="I15" s="56">
        <f>+Calculations!I26</f>
        <v>-12.369465621094761</v>
      </c>
      <c r="J15" s="56">
        <f>+Calculations!J26</f>
        <v>-13.505342833288012</v>
      </c>
      <c r="K15" s="56">
        <f>+Calculations!K26</f>
        <v>-14.770278252599017</v>
      </c>
      <c r="L15" s="56">
        <f>+Calculations!L26</f>
        <v>-16.18018651420358</v>
      </c>
      <c r="M15" s="56">
        <f ca="1">+Calculations!M26</f>
        <v>-16.665592109629689</v>
      </c>
      <c r="N15" s="35"/>
    </row>
    <row r="16" spans="2:14" ht="12.95" customHeight="1" x14ac:dyDescent="0.2">
      <c r="B16" s="18" t="s">
        <v>64</v>
      </c>
      <c r="C16" s="19"/>
      <c r="D16" s="185">
        <f>+Calculations!D27</f>
        <v>-149.4</v>
      </c>
      <c r="E16" s="186">
        <f>+Calculations!E27</f>
        <v>-160.4</v>
      </c>
      <c r="F16" s="186">
        <f>+Calculations!F27</f>
        <v>-200.4</v>
      </c>
      <c r="G16" s="187">
        <f>+Calculations!G27</f>
        <v>-215.5</v>
      </c>
      <c r="H16" s="56">
        <f>+Calculations!H27</f>
        <v>-216.23692742608665</v>
      </c>
      <c r="I16" s="56">
        <f>+Calculations!I27</f>
        <v>-235.69014487910118</v>
      </c>
      <c r="J16" s="56">
        <f>+Calculations!J27</f>
        <v>-257.33336479719839</v>
      </c>
      <c r="K16" s="56">
        <f>+Calculations!K27</f>
        <v>-281.43568428072439</v>
      </c>
      <c r="L16" s="56">
        <f>+Calculations!L27</f>
        <v>-308.3003438079005</v>
      </c>
      <c r="M16" s="56">
        <f ca="1">+Calculations!M27</f>
        <v>-317.54935412213757</v>
      </c>
      <c r="N16" s="35"/>
    </row>
    <row r="17" spans="2:14" ht="12.95" customHeight="1" x14ac:dyDescent="0.2">
      <c r="B17" s="18" t="s">
        <v>95</v>
      </c>
      <c r="C17" s="19"/>
      <c r="D17" s="185">
        <f>+Calculations!D28</f>
        <v>-172.49999999999994</v>
      </c>
      <c r="E17" s="186">
        <f>+Calculations!E28</f>
        <v>-195.90000000000003</v>
      </c>
      <c r="F17" s="186">
        <f>+Calculations!F28</f>
        <v>-235.50000000000003</v>
      </c>
      <c r="G17" s="187">
        <f>+Calculations!G28</f>
        <v>-249.09999999999988</v>
      </c>
      <c r="H17" s="56">
        <f>+Calculations!H28</f>
        <v>-254.3068750071503</v>
      </c>
      <c r="I17" s="56">
        <f>+Calculations!I28</f>
        <v>-277.18496062461116</v>
      </c>
      <c r="J17" s="56">
        <f>+Calculations!J28</f>
        <v>-302.63861318978263</v>
      </c>
      <c r="K17" s="56">
        <f>+Calculations!K28</f>
        <v>-330.98430613519582</v>
      </c>
      <c r="L17" s="56">
        <f>+Calculations!L28</f>
        <v>-362.57866743975364</v>
      </c>
      <c r="M17" s="56">
        <f ca="1">+Calculations!M28</f>
        <v>-373.45602746294628</v>
      </c>
      <c r="N17" s="35"/>
    </row>
    <row r="18" spans="2:14" ht="12.95" customHeight="1" x14ac:dyDescent="0.2">
      <c r="B18" s="20" t="s">
        <v>13</v>
      </c>
      <c r="C18" s="21"/>
      <c r="D18" s="188">
        <f t="shared" ref="D18:G18" si="2">+D10+SUM(D13:D17)</f>
        <v>329</v>
      </c>
      <c r="E18" s="57">
        <f t="shared" si="2"/>
        <v>337.29999999999995</v>
      </c>
      <c r="F18" s="57">
        <f t="shared" si="2"/>
        <v>339.19999999999982</v>
      </c>
      <c r="G18" s="189">
        <f t="shared" si="2"/>
        <v>337.60000000000014</v>
      </c>
      <c r="H18" s="57">
        <f t="shared" ref="H18:I18" si="3">+H10+SUM(H13:H17)</f>
        <v>405.03086105603461</v>
      </c>
      <c r="I18" s="57">
        <f t="shared" si="3"/>
        <v>441.46845526851234</v>
      </c>
      <c r="J18" s="57">
        <f t="shared" ref="J18:L18" si="4">+J10+SUM(J13:J17)</f>
        <v>482.00811749826016</v>
      </c>
      <c r="K18" s="57">
        <f t="shared" si="4"/>
        <v>527.15389037832051</v>
      </c>
      <c r="L18" s="57">
        <f t="shared" si="4"/>
        <v>577.47377010371383</v>
      </c>
      <c r="M18" s="57">
        <f t="shared" ref="M18" ca="1" si="5">+M10+SUM(M13:M17)</f>
        <v>594.79798320682539</v>
      </c>
    </row>
    <row r="19" spans="2:14" ht="12.95" customHeight="1" x14ac:dyDescent="0.2">
      <c r="B19" s="22" t="s">
        <v>0</v>
      </c>
      <c r="C19" s="23"/>
      <c r="D19" s="190">
        <f t="shared" ref="D19:G19" si="6">+D18/D$10</f>
        <v>0.25820122429759851</v>
      </c>
      <c r="E19" s="191">
        <f t="shared" si="6"/>
        <v>0.25156622911694509</v>
      </c>
      <c r="F19" s="191">
        <f t="shared" si="6"/>
        <v>0.22255757496227271</v>
      </c>
      <c r="G19" s="192">
        <f t="shared" si="6"/>
        <v>0.21641025641025649</v>
      </c>
      <c r="H19" s="65">
        <f>+H18/H$10</f>
        <v>0.23718382119676826</v>
      </c>
      <c r="I19" s="65">
        <f>+I18/I$10</f>
        <v>0.23718382119676823</v>
      </c>
      <c r="J19" s="65">
        <f>+J18/J$10</f>
        <v>0.23718382119676829</v>
      </c>
      <c r="K19" s="65">
        <f>+K18/K$10</f>
        <v>0.23718382119676831</v>
      </c>
      <c r="L19" s="65">
        <f>+L18/L$10</f>
        <v>0.23718382119676817</v>
      </c>
      <c r="M19" s="65">
        <f t="shared" ref="M19" ca="1" si="7">+M18/M$10</f>
        <v>0.23718382119676823</v>
      </c>
    </row>
    <row r="20" spans="2:14" ht="5.0999999999999996" customHeight="1" x14ac:dyDescent="0.2">
      <c r="D20" s="43"/>
      <c r="E20" s="45"/>
      <c r="F20" s="45"/>
      <c r="G20" s="164"/>
    </row>
    <row r="21" spans="2:14" ht="12.95" customHeight="1" x14ac:dyDescent="0.2">
      <c r="B21" s="18" t="s">
        <v>65</v>
      </c>
      <c r="C21" s="19"/>
      <c r="D21" s="185">
        <f>+Calculations!D48</f>
        <v>-30.3</v>
      </c>
      <c r="E21" s="186">
        <f>+Calculations!E48</f>
        <v>-32.700000000000003</v>
      </c>
      <c r="F21" s="186">
        <f>+Calculations!F48</f>
        <v>-39.6</v>
      </c>
      <c r="G21" s="187">
        <f>+Calculations!G48</f>
        <v>-39.4</v>
      </c>
      <c r="H21" s="56">
        <f>+Calculations!H48</f>
        <v>-50.556775932860333</v>
      </c>
      <c r="I21" s="56">
        <f>+Calculations!I48</f>
        <v>-55.1049905586043</v>
      </c>
      <c r="J21" s="56">
        <f>+Calculations!J48</f>
        <v>-60.165233658103944</v>
      </c>
      <c r="K21" s="56">
        <f>+Calculations!K48</f>
        <v>-65.800420858067071</v>
      </c>
      <c r="L21" s="56">
        <f>+Calculations!L48</f>
        <v>-72.0814505988928</v>
      </c>
      <c r="M21" s="56">
        <f ca="1">+Calculations!M48</f>
        <v>-50.155021552956569</v>
      </c>
      <c r="N21" s="35"/>
    </row>
    <row r="22" spans="2:14" ht="12.95" customHeight="1" x14ac:dyDescent="0.2">
      <c r="B22" s="20" t="s">
        <v>66</v>
      </c>
      <c r="C22" s="21"/>
      <c r="D22" s="188">
        <f t="shared" ref="D22:G22" si="8">+D18+D21</f>
        <v>298.7</v>
      </c>
      <c r="E22" s="57">
        <f t="shared" si="8"/>
        <v>304.59999999999997</v>
      </c>
      <c r="F22" s="57">
        <f t="shared" si="8"/>
        <v>299.5999999999998</v>
      </c>
      <c r="G22" s="189">
        <f t="shared" si="8"/>
        <v>298.20000000000016</v>
      </c>
      <c r="H22" s="57">
        <f t="shared" ref="H22:I22" si="9">+H18+H21</f>
        <v>354.47408512317429</v>
      </c>
      <c r="I22" s="57">
        <f t="shared" si="9"/>
        <v>386.36346470990804</v>
      </c>
      <c r="J22" s="57">
        <f t="shared" ref="J22:L22" si="10">+J18+J21</f>
        <v>421.84288384015622</v>
      </c>
      <c r="K22" s="57">
        <f t="shared" si="10"/>
        <v>461.35346952025344</v>
      </c>
      <c r="L22" s="57">
        <f t="shared" si="10"/>
        <v>505.39231950482105</v>
      </c>
      <c r="M22" s="57">
        <f t="shared" ref="M22" ca="1" si="11">+M18+M21</f>
        <v>544.64296165386884</v>
      </c>
      <c r="N22" s="160"/>
    </row>
    <row r="23" spans="2:14" ht="12.95" customHeight="1" x14ac:dyDescent="0.2">
      <c r="B23" s="22" t="s">
        <v>0</v>
      </c>
      <c r="C23" s="23"/>
      <c r="D23" s="190">
        <f t="shared" ref="D23:G23" si="12">+D22/D$10</f>
        <v>0.23442159786532724</v>
      </c>
      <c r="E23" s="191">
        <f t="shared" si="12"/>
        <v>0.2271778042959427</v>
      </c>
      <c r="F23" s="191">
        <f t="shared" si="12"/>
        <v>0.19657502788530923</v>
      </c>
      <c r="G23" s="192">
        <f t="shared" si="12"/>
        <v>0.19115384615384626</v>
      </c>
      <c r="H23" s="65">
        <f>+H22/H$10</f>
        <v>0.20757805418958292</v>
      </c>
      <c r="I23" s="65">
        <f>+I22/I$10</f>
        <v>0.20757805418958289</v>
      </c>
      <c r="J23" s="65">
        <f>+J22/J$10</f>
        <v>0.20757805418958292</v>
      </c>
      <c r="K23" s="65">
        <f>+K22/K$10</f>
        <v>0.20757805418958297</v>
      </c>
      <c r="L23" s="65">
        <f>+L22/L$10</f>
        <v>0.20757805418958283</v>
      </c>
      <c r="M23" s="65">
        <f t="shared" ref="M23" ca="1" si="13">+M22/M$10</f>
        <v>0.21718382119676824</v>
      </c>
    </row>
    <row r="24" spans="2:14" ht="5.0999999999999996" customHeight="1" x14ac:dyDescent="0.2">
      <c r="D24" s="43"/>
      <c r="E24" s="45"/>
      <c r="F24" s="45"/>
      <c r="G24" s="164"/>
    </row>
    <row r="25" spans="2:14" ht="12.95" customHeight="1" x14ac:dyDescent="0.2">
      <c r="B25" s="18" t="s">
        <v>73</v>
      </c>
      <c r="C25" s="19"/>
      <c r="D25" s="185">
        <f>+Calculations!D127</f>
        <v>-42.7</v>
      </c>
      <c r="E25" s="186">
        <f>+Calculations!E127</f>
        <v>-48.800000000000004</v>
      </c>
      <c r="F25" s="186">
        <f>+Calculations!F127</f>
        <v>-58.699999999999996</v>
      </c>
      <c r="G25" s="187">
        <f>+Calculations!G127</f>
        <v>-59.8</v>
      </c>
      <c r="H25" s="56">
        <f ca="1">+Calculations!H127</f>
        <v>-62.583206069177066</v>
      </c>
      <c r="I25" s="56">
        <f ca="1">+Calculations!I127</f>
        <v>-59.019658084574537</v>
      </c>
      <c r="J25" s="56">
        <f ca="1">+Calculations!J127</f>
        <v>-54.509890479225547</v>
      </c>
      <c r="K25" s="56">
        <f ca="1">+Calculations!K127</f>
        <v>-49.312604723862421</v>
      </c>
      <c r="L25" s="56">
        <f ca="1">+Calculations!L127</f>
        <v>-43.346859410198931</v>
      </c>
      <c r="M25" s="56">
        <f ca="1">+Calculations!M127</f>
        <v>-40.161183012148008</v>
      </c>
    </row>
    <row r="26" spans="2:14" ht="12.95" customHeight="1" x14ac:dyDescent="0.2">
      <c r="B26" s="18" t="s">
        <v>9</v>
      </c>
      <c r="C26" s="19"/>
      <c r="D26" s="185">
        <f>+Calculations!D77</f>
        <v>-0.4</v>
      </c>
      <c r="E26" s="186">
        <f>+Calculations!E77</f>
        <v>0</v>
      </c>
      <c r="F26" s="186">
        <f>+Calculations!F77</f>
        <v>-0.2</v>
      </c>
      <c r="G26" s="187">
        <f>+Calculations!G77</f>
        <v>-0.2</v>
      </c>
      <c r="H26" s="56">
        <f>+Calculations!H77</f>
        <v>0</v>
      </c>
      <c r="I26" s="56">
        <f>+Calculations!I77</f>
        <v>0</v>
      </c>
      <c r="J26" s="56">
        <f>+Calculations!J77</f>
        <v>0</v>
      </c>
      <c r="K26" s="56">
        <f>+Calculations!K77</f>
        <v>0</v>
      </c>
      <c r="L26" s="56">
        <f>+Calculations!L77</f>
        <v>0</v>
      </c>
      <c r="M26" s="56">
        <f>+Calculations!M77</f>
        <v>0</v>
      </c>
    </row>
    <row r="27" spans="2:14" ht="12.95" customHeight="1" x14ac:dyDescent="0.2">
      <c r="B27" s="18" t="s">
        <v>67</v>
      </c>
      <c r="C27" s="19"/>
      <c r="D27" s="185">
        <f>+Calculations!D78</f>
        <v>-5</v>
      </c>
      <c r="E27" s="186">
        <f>+Calculations!E78</f>
        <v>-19.8</v>
      </c>
      <c r="F27" s="186">
        <f>+Calculations!F78</f>
        <v>-10.5</v>
      </c>
      <c r="G27" s="187">
        <f>+Calculations!G78</f>
        <v>-44</v>
      </c>
      <c r="H27" s="56">
        <f>+Calculations!H78</f>
        <v>0</v>
      </c>
      <c r="I27" s="56">
        <f>+Calculations!I78</f>
        <v>0</v>
      </c>
      <c r="J27" s="56">
        <f>+Calculations!J78</f>
        <v>0</v>
      </c>
      <c r="K27" s="56">
        <f>+Calculations!K78</f>
        <v>0</v>
      </c>
      <c r="L27" s="56">
        <f>+Calculations!L78</f>
        <v>0</v>
      </c>
      <c r="M27" s="56">
        <f>+Calculations!M78</f>
        <v>0</v>
      </c>
    </row>
    <row r="28" spans="2:14" ht="12.95" customHeight="1" x14ac:dyDescent="0.2">
      <c r="B28" s="20" t="s">
        <v>74</v>
      </c>
      <c r="C28" s="21"/>
      <c r="D28" s="188">
        <f t="shared" ref="D28:G28" si="14">+D22+SUM(D25:D27)</f>
        <v>250.6</v>
      </c>
      <c r="E28" s="57">
        <f t="shared" si="14"/>
        <v>235.99999999999994</v>
      </c>
      <c r="F28" s="57">
        <f t="shared" si="14"/>
        <v>230.19999999999979</v>
      </c>
      <c r="G28" s="189">
        <f t="shared" si="14"/>
        <v>194.20000000000016</v>
      </c>
      <c r="H28" s="57">
        <f t="shared" ref="H28:M28" ca="1" si="15">+H22+SUM(H25:H27)</f>
        <v>291.8908790539972</v>
      </c>
      <c r="I28" s="57">
        <f t="shared" ca="1" si="15"/>
        <v>327.34380662533351</v>
      </c>
      <c r="J28" s="57">
        <f t="shared" ca="1" si="15"/>
        <v>367.33299336093069</v>
      </c>
      <c r="K28" s="57">
        <f t="shared" ca="1" si="15"/>
        <v>412.04086479639102</v>
      </c>
      <c r="L28" s="57">
        <f t="shared" ca="1" si="15"/>
        <v>462.04546009462211</v>
      </c>
      <c r="M28" s="57">
        <f t="shared" ca="1" si="15"/>
        <v>499.19398289750853</v>
      </c>
    </row>
    <row r="29" spans="2:14" ht="5.0999999999999996" customHeight="1" x14ac:dyDescent="0.2">
      <c r="D29" s="168"/>
      <c r="E29" s="51"/>
      <c r="F29" s="51"/>
      <c r="G29" s="167"/>
      <c r="H29" s="49"/>
      <c r="I29" s="49"/>
      <c r="J29" s="49"/>
      <c r="K29" s="49"/>
      <c r="L29" s="49"/>
      <c r="M29" s="49"/>
    </row>
    <row r="30" spans="2:14" ht="12.95" customHeight="1" x14ac:dyDescent="0.2">
      <c r="B30" s="18" t="s">
        <v>75</v>
      </c>
      <c r="C30" s="19"/>
      <c r="D30" s="185">
        <f>+Calculations!D90</f>
        <v>-90.9</v>
      </c>
      <c r="E30" s="186">
        <f>+Calculations!E90</f>
        <v>-79</v>
      </c>
      <c r="F30" s="186">
        <f>+Calculations!F90</f>
        <v>-79.8</v>
      </c>
      <c r="G30" s="187">
        <f>+Calculations!G90</f>
        <v>-64.699999999999989</v>
      </c>
      <c r="H30" s="56">
        <f ca="1">+Calculations!H90</f>
        <v>-94.094481059653035</v>
      </c>
      <c r="I30" s="56">
        <f ca="1">+Calculations!I90</f>
        <v>-105.08772194565314</v>
      </c>
      <c r="J30" s="56">
        <f ca="1">+Calculations!J90</f>
        <v>-117.46844564402204</v>
      </c>
      <c r="K30" s="56">
        <f ca="1">+Calculations!K90</f>
        <v>-131.30402313029742</v>
      </c>
      <c r="L30" s="56">
        <f ca="1">+Calculations!L90</f>
        <v>-146.77280198670911</v>
      </c>
      <c r="M30" s="56">
        <f ca="1">+Calculations!M90</f>
        <v>-158.31319676729146</v>
      </c>
    </row>
    <row r="31" spans="2:14" ht="12.95" customHeight="1" x14ac:dyDescent="0.2">
      <c r="B31" s="24" t="s">
        <v>264</v>
      </c>
      <c r="C31" s="25"/>
      <c r="D31" s="173">
        <f t="shared" ref="D31:G31" si="16">+D28+D30</f>
        <v>159.69999999999999</v>
      </c>
      <c r="E31" s="174">
        <f t="shared" si="16"/>
        <v>156.99999999999994</v>
      </c>
      <c r="F31" s="174">
        <f t="shared" si="16"/>
        <v>150.39999999999981</v>
      </c>
      <c r="G31" s="175">
        <f t="shared" si="16"/>
        <v>129.50000000000017</v>
      </c>
      <c r="H31" s="58">
        <f t="shared" ref="H31:M31" ca="1" si="17">+H28+H30</f>
        <v>197.79639799434415</v>
      </c>
      <c r="I31" s="58">
        <f t="shared" ca="1" si="17"/>
        <v>222.25608467968038</v>
      </c>
      <c r="J31" s="58">
        <f t="shared" ca="1" si="17"/>
        <v>249.86454771690865</v>
      </c>
      <c r="K31" s="58">
        <f t="shared" ca="1" si="17"/>
        <v>280.7368416660936</v>
      </c>
      <c r="L31" s="58">
        <f t="shared" ca="1" si="17"/>
        <v>315.272658107913</v>
      </c>
      <c r="M31" s="58">
        <f t="shared" ca="1" si="17"/>
        <v>340.88078613021707</v>
      </c>
    </row>
    <row r="32" spans="2:14" ht="12.95" customHeight="1" x14ac:dyDescent="0.2">
      <c r="B32" s="22" t="s">
        <v>0</v>
      </c>
      <c r="C32" s="23"/>
      <c r="D32" s="190">
        <f>+D31/D$10</f>
        <v>0.12533354261497409</v>
      </c>
      <c r="E32" s="191">
        <f t="shared" ref="E32:G32" si="18">+E31/E$10</f>
        <v>0.11709427207637228</v>
      </c>
      <c r="F32" s="191">
        <f t="shared" si="18"/>
        <v>9.8681188898366134E-2</v>
      </c>
      <c r="G32" s="192">
        <f t="shared" si="18"/>
        <v>8.301282051282062E-2</v>
      </c>
      <c r="H32" s="65">
        <f t="shared" ref="H32" ca="1" si="19">+H31/H$10</f>
        <v>0.11582847137360462</v>
      </c>
      <c r="I32" s="65">
        <f t="shared" ref="I32" ca="1" si="20">+I31/I$10</f>
        <v>0.1194095451655683</v>
      </c>
      <c r="J32" s="65">
        <f t="shared" ref="J32" ca="1" si="21">+J31/J$10</f>
        <v>0.12295192976560722</v>
      </c>
      <c r="K32" s="65">
        <f t="shared" ref="K32" ca="1" si="22">+K31/K$10</f>
        <v>0.12631271071392361</v>
      </c>
      <c r="L32" s="65">
        <f t="shared" ref="L32" ca="1" si="23">+L31/L$10</f>
        <v>0.12949085766348672</v>
      </c>
      <c r="M32" s="65">
        <f t="shared" ref="M32" ca="1" si="24">+M31/M$10</f>
        <v>0.13726352575015427</v>
      </c>
    </row>
    <row r="33" spans="2:13" ht="5.0999999999999996" customHeight="1" x14ac:dyDescent="0.2">
      <c r="D33" s="168"/>
      <c r="E33" s="51"/>
      <c r="F33" s="51"/>
      <c r="G33" s="167"/>
      <c r="H33" s="49"/>
      <c r="I33" s="49"/>
      <c r="J33" s="49"/>
      <c r="K33" s="49"/>
      <c r="L33" s="49"/>
      <c r="M33" s="49"/>
    </row>
    <row r="34" spans="2:13" ht="12.95" customHeight="1" x14ac:dyDescent="0.2">
      <c r="B34" s="33" t="s">
        <v>143</v>
      </c>
      <c r="C34" s="47"/>
      <c r="D34" s="169">
        <f>Calculations!D99</f>
        <v>34.6</v>
      </c>
      <c r="E34" s="55">
        <f>Calculations!E99</f>
        <v>40.5</v>
      </c>
      <c r="F34" s="55">
        <f>Calculations!F99</f>
        <v>39.799999999999997</v>
      </c>
      <c r="G34" s="170">
        <f>Calculations!G99</f>
        <v>46.1</v>
      </c>
      <c r="H34" s="59">
        <f ca="1">Calculations!H99</f>
        <v>51.68315472901584</v>
      </c>
      <c r="I34" s="59">
        <f ca="1">Calculations!I99</f>
        <v>58.074341749608742</v>
      </c>
      <c r="J34" s="59">
        <f ca="1">Calculations!J99</f>
        <v>65.288287410157039</v>
      </c>
      <c r="K34" s="59">
        <f ca="1">Calculations!K99</f>
        <v>73.355054859890927</v>
      </c>
      <c r="L34" s="59">
        <f ca="1">Calculations!L99</f>
        <v>82.379081399072291</v>
      </c>
      <c r="M34" s="59">
        <f ca="1">Calculations!M99</f>
        <v>340.88078613021707</v>
      </c>
    </row>
    <row r="35" spans="2:13" ht="12.95" customHeight="1" x14ac:dyDescent="0.2">
      <c r="B35" s="33" t="s">
        <v>144</v>
      </c>
      <c r="C35" s="47"/>
      <c r="D35" s="169">
        <f t="shared" ref="D35:M35" si="25">+D31-D34</f>
        <v>125.1</v>
      </c>
      <c r="E35" s="169">
        <f t="shared" si="25"/>
        <v>116.49999999999994</v>
      </c>
      <c r="F35" s="169">
        <f t="shared" si="25"/>
        <v>110.59999999999981</v>
      </c>
      <c r="G35" s="169">
        <f t="shared" si="25"/>
        <v>83.400000000000176</v>
      </c>
      <c r="H35" s="169">
        <f t="shared" ca="1" si="25"/>
        <v>146.11324326532832</v>
      </c>
      <c r="I35" s="169">
        <f t="shared" ca="1" si="25"/>
        <v>164.18174293007164</v>
      </c>
      <c r="J35" s="169">
        <f t="shared" ca="1" si="25"/>
        <v>184.57626030675161</v>
      </c>
      <c r="K35" s="169">
        <f t="shared" ca="1" si="25"/>
        <v>207.38178680620268</v>
      </c>
      <c r="L35" s="169">
        <f t="shared" ca="1" si="25"/>
        <v>232.89357670884073</v>
      </c>
      <c r="M35" s="169">
        <f t="shared" ca="1" si="25"/>
        <v>0</v>
      </c>
    </row>
    <row r="36" spans="2:13" ht="12.95" customHeight="1" x14ac:dyDescent="0.2">
      <c r="D36" s="168"/>
      <c r="E36" s="51"/>
      <c r="F36" s="51"/>
      <c r="G36" s="167"/>
      <c r="H36" s="49"/>
      <c r="I36" s="49"/>
      <c r="J36" s="49"/>
      <c r="K36" s="49"/>
      <c r="L36" s="49"/>
      <c r="M36" s="49"/>
    </row>
    <row r="37" spans="2:13" ht="12.95" customHeight="1" x14ac:dyDescent="0.2">
      <c r="B37" s="259"/>
      <c r="C37" s="259"/>
      <c r="D37" s="260"/>
      <c r="E37" s="261"/>
      <c r="F37" s="261"/>
      <c r="G37" s="262"/>
      <c r="H37" s="261"/>
      <c r="I37" s="261"/>
      <c r="J37" s="261"/>
      <c r="K37" s="261"/>
      <c r="L37" s="261"/>
      <c r="M37" s="261"/>
    </row>
    <row r="38" spans="2:13" ht="12.95" customHeight="1" x14ac:dyDescent="0.2">
      <c r="B38" s="24" t="s">
        <v>146</v>
      </c>
      <c r="C38" s="25"/>
      <c r="D38" s="173">
        <f>+Calculations!D144</f>
        <v>204.90819999999999</v>
      </c>
      <c r="E38" s="174">
        <f>+Calculations!E144</f>
        <v>208.95559999999998</v>
      </c>
      <c r="F38" s="174">
        <f>+Calculations!F144</f>
        <v>205.52559999999986</v>
      </c>
      <c r="G38" s="175">
        <f>+Calculations!G144</f>
        <v>204.56520000000012</v>
      </c>
      <c r="H38" s="58">
        <f>+Calculations!H144</f>
        <v>243.16922239449758</v>
      </c>
      <c r="I38" s="58">
        <f>+Calculations!I144</f>
        <v>265.04533679099688</v>
      </c>
      <c r="J38" s="58">
        <f>+Calculations!J144</f>
        <v>289.38421831434715</v>
      </c>
      <c r="K38" s="58">
        <f>+Calculations!K144</f>
        <v>316.48848009089386</v>
      </c>
      <c r="L38" s="58">
        <f>+Calculations!L144</f>
        <v>346.69913118030723</v>
      </c>
      <c r="M38" s="58">
        <f ca="1">+Calculations!M144</f>
        <v>373.62507169455398</v>
      </c>
    </row>
    <row r="39" spans="2:13" ht="12.95" customHeight="1" x14ac:dyDescent="0.2">
      <c r="B39" s="22" t="s">
        <v>0</v>
      </c>
      <c r="C39" s="23"/>
      <c r="D39" s="190">
        <f t="shared" ref="D39:G39" si="26">+D38/D$10</f>
        <v>0.1608132161356145</v>
      </c>
      <c r="E39" s="191">
        <f t="shared" si="26"/>
        <v>0.1558439737470167</v>
      </c>
      <c r="F39" s="191">
        <f t="shared" si="26"/>
        <v>0.13485046912932214</v>
      </c>
      <c r="G39" s="192">
        <f t="shared" si="26"/>
        <v>0.13113153846153855</v>
      </c>
      <c r="H39" s="65">
        <f t="shared" ref="H39:M39" si="27">+H38/H$10</f>
        <v>0.1423985451740539</v>
      </c>
      <c r="I39" s="65">
        <f t="shared" si="27"/>
        <v>0.14239854517405384</v>
      </c>
      <c r="J39" s="65">
        <f t="shared" si="27"/>
        <v>0.14239854517405387</v>
      </c>
      <c r="K39" s="65">
        <f t="shared" si="27"/>
        <v>0.1423985451740539</v>
      </c>
      <c r="L39" s="65">
        <f t="shared" si="27"/>
        <v>0.14239854517405381</v>
      </c>
      <c r="M39" s="65">
        <f t="shared" ca="1" si="27"/>
        <v>0.148988101340983</v>
      </c>
    </row>
    <row r="40" spans="2:13" ht="5.0999999999999996" customHeight="1" x14ac:dyDescent="0.2">
      <c r="D40" s="168"/>
      <c r="E40" s="51"/>
      <c r="F40" s="51"/>
      <c r="G40" s="167"/>
      <c r="H40" s="49"/>
      <c r="I40" s="49"/>
      <c r="J40" s="49"/>
      <c r="K40" s="49"/>
      <c r="L40" s="49"/>
      <c r="M40" s="49"/>
    </row>
    <row r="41" spans="2:13" ht="12.95" customHeight="1" x14ac:dyDescent="0.2">
      <c r="B41" s="33" t="s">
        <v>148</v>
      </c>
      <c r="C41" s="47"/>
      <c r="D41" s="169">
        <f>+Calculations!D142</f>
        <v>-93.791799999999995</v>
      </c>
      <c r="E41" s="55">
        <f>+Calculations!E142</f>
        <v>-95.64439999999999</v>
      </c>
      <c r="F41" s="55">
        <f>+Calculations!F142</f>
        <v>-94.07439999999994</v>
      </c>
      <c r="G41" s="170">
        <f>+Calculations!G142</f>
        <v>-93.634800000000055</v>
      </c>
      <c r="H41" s="59">
        <f>+Calculations!H142</f>
        <v>-111.30486272867672</v>
      </c>
      <c r="I41" s="59">
        <f>+Calculations!I142</f>
        <v>-121.31812791891113</v>
      </c>
      <c r="J41" s="59">
        <f>+Calculations!J142</f>
        <v>-132.45866552580907</v>
      </c>
      <c r="K41" s="59">
        <f>+Calculations!K142</f>
        <v>-144.86498942935958</v>
      </c>
      <c r="L41" s="59">
        <f>+Calculations!L142</f>
        <v>-158.69318832451381</v>
      </c>
      <c r="M41" s="59">
        <f ca="1">+Calculations!M142</f>
        <v>-171.01788995931483</v>
      </c>
    </row>
    <row r="42" spans="2:13" ht="12.95" customHeight="1" x14ac:dyDescent="0.2">
      <c r="B42" s="33" t="s">
        <v>149</v>
      </c>
      <c r="C42" s="47"/>
      <c r="D42" s="169">
        <f>+Calculations!D147</f>
        <v>2.8917999999999893</v>
      </c>
      <c r="E42" s="55">
        <f>+Calculations!E147</f>
        <v>16.64439999999999</v>
      </c>
      <c r="F42" s="55">
        <f>+Calculations!F147</f>
        <v>14.274399999999943</v>
      </c>
      <c r="G42" s="170">
        <f>+Calculations!G147</f>
        <v>28.934800000000067</v>
      </c>
      <c r="H42" s="59">
        <f ca="1">+Calculations!H147</f>
        <v>17.21038166902369</v>
      </c>
      <c r="I42" s="59">
        <f ca="1">+Calculations!I147</f>
        <v>16.230405973257987</v>
      </c>
      <c r="J42" s="59">
        <f ca="1">+Calculations!J147</f>
        <v>14.990219881787027</v>
      </c>
      <c r="K42" s="59">
        <f ca="1">+Calculations!K147</f>
        <v>13.560966299062159</v>
      </c>
      <c r="L42" s="59">
        <f ca="1">+Calculations!L147</f>
        <v>11.9203863378047</v>
      </c>
      <c r="M42" s="59">
        <f ca="1">+Calculations!M147</f>
        <v>11.044325328340705</v>
      </c>
    </row>
    <row r="43" spans="2:13" ht="12.95" customHeight="1" x14ac:dyDescent="0.2">
      <c r="B43" s="3"/>
      <c r="C43" s="4"/>
      <c r="D43" s="199"/>
      <c r="E43" s="36"/>
      <c r="F43" s="36"/>
      <c r="G43" s="200"/>
      <c r="H43" s="4"/>
      <c r="I43" s="4"/>
      <c r="J43" s="4"/>
      <c r="K43" s="4"/>
      <c r="L43" s="4"/>
      <c r="M43" s="4"/>
    </row>
    <row r="44" spans="2:13" s="45" customFormat="1" ht="12.95" customHeight="1" x14ac:dyDescent="0.2">
      <c r="B44" s="46" t="s">
        <v>59</v>
      </c>
      <c r="C44" s="46"/>
      <c r="D44" s="176"/>
      <c r="E44" s="177"/>
      <c r="F44" s="177"/>
      <c r="G44" s="178"/>
      <c r="H44" s="46"/>
      <c r="I44" s="46"/>
      <c r="J44" s="46"/>
      <c r="K44" s="46"/>
      <c r="L44" s="46"/>
      <c r="M44" s="85"/>
    </row>
    <row r="45" spans="2:13" ht="5.0999999999999996" customHeight="1" x14ac:dyDescent="0.2">
      <c r="D45" s="43"/>
      <c r="E45" s="45"/>
      <c r="F45" s="45"/>
      <c r="G45" s="164"/>
      <c r="L45" s="45"/>
    </row>
    <row r="46" spans="2:13" ht="12.95" customHeight="1" x14ac:dyDescent="0.2">
      <c r="B46" s="27" t="s">
        <v>43</v>
      </c>
      <c r="C46" s="28"/>
      <c r="D46" s="171">
        <f>+Calculations!D56</f>
        <v>278</v>
      </c>
      <c r="E46" s="95">
        <f>+Calculations!E56</f>
        <v>311.89999999999998</v>
      </c>
      <c r="F46" s="95">
        <f>+Calculations!F56</f>
        <v>288.5</v>
      </c>
      <c r="G46" s="172">
        <f>+Calculations!G56</f>
        <v>313.60000000000002</v>
      </c>
      <c r="H46" s="61">
        <f>+Calculations!H56</f>
        <v>334.60194543680211</v>
      </c>
      <c r="I46" s="61">
        <f>+Calculations!I56</f>
        <v>364.7035773932991</v>
      </c>
      <c r="J46" s="61">
        <f>+Calculations!J56</f>
        <v>398.19398801054786</v>
      </c>
      <c r="K46" s="61">
        <f>+Calculations!K56</f>
        <v>435.48957431360333</v>
      </c>
      <c r="L46" s="61">
        <f>+Calculations!L56</f>
        <v>477.05956630474014</v>
      </c>
      <c r="M46" s="61">
        <f>+Calculations!M56</f>
        <v>477.05956630474014</v>
      </c>
    </row>
    <row r="47" spans="2:13" ht="12.95" customHeight="1" x14ac:dyDescent="0.2">
      <c r="B47" s="27" t="s">
        <v>28</v>
      </c>
      <c r="C47" s="28"/>
      <c r="D47" s="171">
        <f>+Calculations!D57</f>
        <v>-166.8</v>
      </c>
      <c r="E47" s="95">
        <f>+Calculations!E57</f>
        <v>-211</v>
      </c>
      <c r="F47" s="95">
        <f>+Calculations!F57</f>
        <v>-198.1</v>
      </c>
      <c r="G47" s="172">
        <f>+Calculations!G57</f>
        <v>-223.2</v>
      </c>
      <c r="H47" s="61">
        <f>+Calculations!H57</f>
        <v>-228.7948923833593</v>
      </c>
      <c r="I47" s="61">
        <f>+Calculations!I57</f>
        <v>-249.37785592548556</v>
      </c>
      <c r="J47" s="61">
        <f>+Calculations!J57</f>
        <v>-272.27800638051383</v>
      </c>
      <c r="K47" s="61">
        <f>+Calculations!K57</f>
        <v>-297.78006866960936</v>
      </c>
      <c r="L47" s="61">
        <f>+Calculations!L57</f>
        <v>-326.20489396933448</v>
      </c>
      <c r="M47" s="61">
        <f>+Calculations!M57</f>
        <v>-326.20489396933448</v>
      </c>
    </row>
    <row r="48" spans="2:13" ht="12.95" customHeight="1" x14ac:dyDescent="0.2">
      <c r="B48" s="27" t="s">
        <v>79</v>
      </c>
      <c r="C48" s="28"/>
      <c r="D48" s="171">
        <f>+Calculations!D58</f>
        <v>331.3</v>
      </c>
      <c r="E48" s="95">
        <f>+Calculations!E58</f>
        <v>434.1</v>
      </c>
      <c r="F48" s="95">
        <f>+Calculations!F58</f>
        <v>442.6</v>
      </c>
      <c r="G48" s="172">
        <f>+Calculations!G58</f>
        <v>477</v>
      </c>
      <c r="H48" s="61">
        <f>+Calculations!H58</f>
        <v>509.02986779692935</v>
      </c>
      <c r="I48" s="61">
        <f>+Calculations!I58</f>
        <v>554.82347403339259</v>
      </c>
      <c r="J48" s="61">
        <f>+Calculations!J58</f>
        <v>605.77242851932192</v>
      </c>
      <c r="K48" s="61">
        <f>+Calculations!K58</f>
        <v>662.5101959595861</v>
      </c>
      <c r="L48" s="61">
        <f>+Calculations!L58</f>
        <v>725.75061585596245</v>
      </c>
      <c r="M48" s="61">
        <f>+Calculations!M58</f>
        <v>725.75061585596245</v>
      </c>
    </row>
    <row r="49" spans="2:13" ht="12.95" customHeight="1" x14ac:dyDescent="0.2">
      <c r="B49" s="27" t="s">
        <v>93</v>
      </c>
      <c r="C49" s="28"/>
      <c r="D49" s="171">
        <f>+Calculations!D59</f>
        <v>-90.099999999999454</v>
      </c>
      <c r="E49" s="95">
        <f>+Calculations!E59</f>
        <v>-67.199999999999633</v>
      </c>
      <c r="F49" s="95">
        <f>+Calculations!F59</f>
        <v>-42.100000000000719</v>
      </c>
      <c r="G49" s="172">
        <f>+Calculations!G59</f>
        <v>-70.2</v>
      </c>
      <c r="H49" s="61">
        <f>+Calculations!H59</f>
        <v>-62.007811333101898</v>
      </c>
      <c r="I49" s="61">
        <f>+Calculations!I59</f>
        <v>-67.586189882994347</v>
      </c>
      <c r="J49" s="61">
        <f>+Calculations!J59</f>
        <v>-73.792570602961504</v>
      </c>
      <c r="K49" s="61">
        <f>+Calculations!K59</f>
        <v>-80.704119416637113</v>
      </c>
      <c r="L49" s="61">
        <f>+Calculations!L59</f>
        <v>-88.407793156907772</v>
      </c>
      <c r="M49" s="61">
        <f>+Calculations!M59</f>
        <v>-88.407793156907772</v>
      </c>
    </row>
    <row r="50" spans="2:13" ht="12.95" customHeight="1" x14ac:dyDescent="0.2">
      <c r="B50" s="20" t="s">
        <v>80</v>
      </c>
      <c r="C50" s="21"/>
      <c r="D50" s="188">
        <f t="shared" ref="D50:G50" si="28">SUM(D46:D49)</f>
        <v>352.40000000000055</v>
      </c>
      <c r="E50" s="57">
        <f t="shared" si="28"/>
        <v>467.80000000000035</v>
      </c>
      <c r="F50" s="57">
        <f t="shared" si="28"/>
        <v>490.8999999999993</v>
      </c>
      <c r="G50" s="189">
        <f t="shared" si="28"/>
        <v>497.2000000000001</v>
      </c>
      <c r="H50" s="57">
        <f t="shared" ref="H50:M50" si="29">SUM(H46:H49)</f>
        <v>552.82910951727024</v>
      </c>
      <c r="I50" s="57">
        <f t="shared" si="29"/>
        <v>602.56300561821172</v>
      </c>
      <c r="J50" s="57">
        <f t="shared" si="29"/>
        <v>657.89583954639443</v>
      </c>
      <c r="K50" s="57">
        <f t="shared" si="29"/>
        <v>719.51558218694288</v>
      </c>
      <c r="L50" s="57">
        <f t="shared" si="29"/>
        <v>788.1974950344603</v>
      </c>
      <c r="M50" s="57">
        <f t="shared" si="29"/>
        <v>788.1974950344603</v>
      </c>
    </row>
    <row r="51" spans="2:13" ht="5.0999999999999996" customHeight="1" x14ac:dyDescent="0.2">
      <c r="D51" s="168"/>
      <c r="E51" s="51"/>
      <c r="F51" s="51"/>
      <c r="G51" s="167"/>
      <c r="H51" s="49"/>
      <c r="I51" s="49"/>
      <c r="J51" s="49"/>
      <c r="K51" s="49"/>
      <c r="L51" s="49"/>
      <c r="M51" s="49"/>
    </row>
    <row r="52" spans="2:13" ht="12.95" customHeight="1" x14ac:dyDescent="0.2">
      <c r="B52" s="18" t="s">
        <v>81</v>
      </c>
      <c r="C52" s="19"/>
      <c r="D52" s="185">
        <f>+Calculations!D46</f>
        <v>338.6</v>
      </c>
      <c r="E52" s="186">
        <f>+Calculations!E46</f>
        <v>411.99999999999994</v>
      </c>
      <c r="F52" s="186">
        <f>+Calculations!F46</f>
        <v>418.90000000000003</v>
      </c>
      <c r="G52" s="187">
        <f>+Calculations!G46</f>
        <v>464.6</v>
      </c>
      <c r="H52" s="56">
        <f>+Calculations!H46</f>
        <v>507.50549125645739</v>
      </c>
      <c r="I52" s="56">
        <f>+Calculations!I46</f>
        <v>554.27086833942587</v>
      </c>
      <c r="J52" s="56">
        <f>+Calculations!J46</f>
        <v>605.33066910853802</v>
      </c>
      <c r="K52" s="56">
        <f>+Calculations!K46</f>
        <v>661.17282537155279</v>
      </c>
      <c r="L52" s="56">
        <f>+Calculations!L46</f>
        <v>722.3454375755166</v>
      </c>
      <c r="M52" s="56">
        <f ca="1">+Calculations!M46</f>
        <v>722.3454375755166</v>
      </c>
    </row>
    <row r="53" spans="2:13" ht="12.95" customHeight="1" x14ac:dyDescent="0.2">
      <c r="B53" s="18" t="s">
        <v>35</v>
      </c>
      <c r="C53" s="19"/>
      <c r="D53" s="185">
        <f>+Calculations!D39</f>
        <v>1469.6</v>
      </c>
      <c r="E53" s="186">
        <f>+Calculations!E39</f>
        <v>1664</v>
      </c>
      <c r="F53" s="186">
        <f>+Calculations!F39</f>
        <v>1582.4</v>
      </c>
      <c r="G53" s="187">
        <f>+Calculations!G39</f>
        <v>1870.8</v>
      </c>
      <c r="H53" s="56">
        <f>+Calculations!H39</f>
        <v>1870.8</v>
      </c>
      <c r="I53" s="56">
        <f>+Calculations!I39</f>
        <v>1870.8</v>
      </c>
      <c r="J53" s="56">
        <f>+Calculations!J39</f>
        <v>1870.8</v>
      </c>
      <c r="K53" s="56">
        <f>+Calculations!K39</f>
        <v>1870.8</v>
      </c>
      <c r="L53" s="56">
        <f>+Calculations!L39</f>
        <v>1870.8</v>
      </c>
      <c r="M53" s="56">
        <f>+Calculations!M39</f>
        <v>1870.8</v>
      </c>
    </row>
    <row r="54" spans="2:13" ht="12.95" customHeight="1" x14ac:dyDescent="0.2">
      <c r="B54" s="20" t="s">
        <v>83</v>
      </c>
      <c r="C54" s="21"/>
      <c r="D54" s="188">
        <f t="shared" ref="D54:G54" si="30">SUM(D52:D53)</f>
        <v>1808.1999999999998</v>
      </c>
      <c r="E54" s="57">
        <f t="shared" si="30"/>
        <v>2076</v>
      </c>
      <c r="F54" s="57">
        <f t="shared" si="30"/>
        <v>2001.3000000000002</v>
      </c>
      <c r="G54" s="189">
        <f t="shared" si="30"/>
        <v>2335.4</v>
      </c>
      <c r="H54" s="57">
        <f t="shared" ref="H54:M54" si="31">SUM(H52:H53)</f>
        <v>2378.3054912564576</v>
      </c>
      <c r="I54" s="57">
        <f t="shared" si="31"/>
        <v>2425.0708683394259</v>
      </c>
      <c r="J54" s="57">
        <f t="shared" si="31"/>
        <v>2476.1306691085379</v>
      </c>
      <c r="K54" s="57">
        <f t="shared" si="31"/>
        <v>2531.972825371553</v>
      </c>
      <c r="L54" s="57">
        <f t="shared" si="31"/>
        <v>2593.1454375755166</v>
      </c>
      <c r="M54" s="57">
        <f t="shared" ca="1" si="31"/>
        <v>2593.1454375755166</v>
      </c>
    </row>
    <row r="55" spans="2:13" ht="5.0999999999999996" customHeight="1" x14ac:dyDescent="0.2">
      <c r="D55" s="168"/>
      <c r="E55" s="51"/>
      <c r="F55" s="51"/>
      <c r="G55" s="167"/>
      <c r="H55" s="49"/>
      <c r="I55" s="49"/>
      <c r="J55" s="49"/>
      <c r="K55" s="49"/>
      <c r="L55" s="49"/>
      <c r="M55" s="49"/>
    </row>
    <row r="56" spans="2:13" ht="12.95" customHeight="1" x14ac:dyDescent="0.2">
      <c r="B56" s="18" t="s">
        <v>88</v>
      </c>
      <c r="C56" s="19"/>
      <c r="D56" s="185">
        <f>+Calculations!D70</f>
        <v>-137.9</v>
      </c>
      <c r="E56" s="186">
        <f>+Calculations!E70</f>
        <v>-182.1</v>
      </c>
      <c r="F56" s="186">
        <f>+Calculations!F70</f>
        <v>-192.29999999999998</v>
      </c>
      <c r="G56" s="187">
        <f>+Calculations!G70</f>
        <v>-247.1</v>
      </c>
      <c r="H56" s="56">
        <f>+Calculations!H70</f>
        <v>-247.1</v>
      </c>
      <c r="I56" s="56">
        <f>+Calculations!I70</f>
        <v>-247.1</v>
      </c>
      <c r="J56" s="56">
        <f>+Calculations!J70</f>
        <v>-247.1</v>
      </c>
      <c r="K56" s="56">
        <f>+Calculations!K70</f>
        <v>-247.1</v>
      </c>
      <c r="L56" s="56">
        <f>+Calculations!L70</f>
        <v>-247.1</v>
      </c>
      <c r="M56" s="56">
        <f>+Calculations!M70</f>
        <v>-247.1</v>
      </c>
    </row>
    <row r="57" spans="2:13" ht="12.95" customHeight="1" x14ac:dyDescent="0.2">
      <c r="B57" s="18" t="s">
        <v>85</v>
      </c>
      <c r="C57" s="19"/>
      <c r="D57" s="185">
        <f>+Calculations!D71</f>
        <v>-7.1</v>
      </c>
      <c r="E57" s="186">
        <f>+Calculations!E71</f>
        <v>-30.6</v>
      </c>
      <c r="F57" s="186">
        <f>+Calculations!F71</f>
        <v>-32.4</v>
      </c>
      <c r="G57" s="187">
        <f>+Calculations!G71</f>
        <v>-37.9</v>
      </c>
      <c r="H57" s="56">
        <f>+Calculations!H71</f>
        <v>-37.9</v>
      </c>
      <c r="I57" s="56">
        <f>+Calculations!I71</f>
        <v>-37.9</v>
      </c>
      <c r="J57" s="56">
        <f>+Calculations!J71</f>
        <v>-37.9</v>
      </c>
      <c r="K57" s="56">
        <f>+Calculations!K71</f>
        <v>-37.9</v>
      </c>
      <c r="L57" s="56">
        <f>+Calculations!L71</f>
        <v>-37.9</v>
      </c>
      <c r="M57" s="56">
        <f>+Calculations!M71</f>
        <v>-37.9</v>
      </c>
    </row>
    <row r="58" spans="2:13" ht="12.95" customHeight="1" x14ac:dyDescent="0.2">
      <c r="B58" s="18" t="s">
        <v>86</v>
      </c>
      <c r="C58" s="19"/>
      <c r="D58" s="185">
        <f>+Calculations!D72</f>
        <v>-8.8000000000000007</v>
      </c>
      <c r="E58" s="186">
        <f>+Calculations!E72</f>
        <v>-13</v>
      </c>
      <c r="F58" s="186">
        <f>+Calculations!F72</f>
        <v>-8.6</v>
      </c>
      <c r="G58" s="187">
        <f>+Calculations!G72</f>
        <v>-9.4</v>
      </c>
      <c r="H58" s="56">
        <f>+Calculations!H72</f>
        <v>-9.4</v>
      </c>
      <c r="I58" s="56">
        <f>+Calculations!I72</f>
        <v>-9.4</v>
      </c>
      <c r="J58" s="56">
        <f>+Calculations!J72</f>
        <v>-9.4</v>
      </c>
      <c r="K58" s="56">
        <f>+Calculations!K72</f>
        <v>-9.4</v>
      </c>
      <c r="L58" s="56">
        <f>+Calculations!L72</f>
        <v>-9.4</v>
      </c>
      <c r="M58" s="56">
        <f>+Calculations!M72</f>
        <v>-9.4</v>
      </c>
    </row>
    <row r="59" spans="2:13" ht="12.95" customHeight="1" x14ac:dyDescent="0.2">
      <c r="B59" s="20" t="s">
        <v>89</v>
      </c>
      <c r="C59" s="21"/>
      <c r="D59" s="188">
        <f t="shared" ref="D59:G59" si="32">SUM(D56:D58)</f>
        <v>-153.80000000000001</v>
      </c>
      <c r="E59" s="57">
        <f t="shared" si="32"/>
        <v>-225.7</v>
      </c>
      <c r="F59" s="57">
        <f t="shared" si="32"/>
        <v>-233.29999999999998</v>
      </c>
      <c r="G59" s="189">
        <f t="shared" si="32"/>
        <v>-294.39999999999998</v>
      </c>
      <c r="H59" s="57">
        <f t="shared" ref="H59:M59" si="33">SUM(H56:H58)</f>
        <v>-294.39999999999998</v>
      </c>
      <c r="I59" s="57">
        <f t="shared" si="33"/>
        <v>-294.39999999999998</v>
      </c>
      <c r="J59" s="57">
        <f t="shared" si="33"/>
        <v>-294.39999999999998</v>
      </c>
      <c r="K59" s="57">
        <f t="shared" si="33"/>
        <v>-294.39999999999998</v>
      </c>
      <c r="L59" s="57">
        <f t="shared" si="33"/>
        <v>-294.39999999999998</v>
      </c>
      <c r="M59" s="57">
        <f t="shared" si="33"/>
        <v>-294.39999999999998</v>
      </c>
    </row>
    <row r="60" spans="2:13" ht="5.0999999999999996" customHeight="1" x14ac:dyDescent="0.2">
      <c r="D60" s="168"/>
      <c r="E60" s="51"/>
      <c r="F60" s="51"/>
      <c r="G60" s="167"/>
      <c r="H60" s="49"/>
      <c r="I60" s="49"/>
      <c r="J60" s="49"/>
      <c r="K60" s="49"/>
      <c r="L60" s="49"/>
      <c r="M60" s="49"/>
    </row>
    <row r="61" spans="2:13" ht="12.95" customHeight="1" x14ac:dyDescent="0.2">
      <c r="B61" s="24" t="s">
        <v>347</v>
      </c>
      <c r="C61" s="25"/>
      <c r="D61" s="173">
        <f t="shared" ref="D61:G61" si="34">+D54+D50+D59</f>
        <v>2006.8000000000004</v>
      </c>
      <c r="E61" s="174">
        <f t="shared" si="34"/>
        <v>2318.1000000000004</v>
      </c>
      <c r="F61" s="174">
        <f t="shared" si="34"/>
        <v>2258.8999999999992</v>
      </c>
      <c r="G61" s="175">
        <f t="shared" si="34"/>
        <v>2538.2000000000003</v>
      </c>
      <c r="H61" s="58">
        <f t="shared" ref="H61:M61" si="35">+H54+H50+H59</f>
        <v>2636.7346007737278</v>
      </c>
      <c r="I61" s="58">
        <f t="shared" si="35"/>
        <v>2733.2338739576376</v>
      </c>
      <c r="J61" s="58">
        <f t="shared" si="35"/>
        <v>2839.6265086549324</v>
      </c>
      <c r="K61" s="58">
        <f t="shared" si="35"/>
        <v>2957.0884075584959</v>
      </c>
      <c r="L61" s="58">
        <f t="shared" si="35"/>
        <v>3086.9429326099767</v>
      </c>
      <c r="M61" s="58">
        <f t="shared" ca="1" si="35"/>
        <v>3086.9429326099767</v>
      </c>
    </row>
    <row r="62" spans="2:13" ht="5.0999999999999996" customHeight="1" x14ac:dyDescent="0.2">
      <c r="D62" s="168"/>
      <c r="E62" s="51"/>
      <c r="F62" s="51"/>
      <c r="G62" s="167"/>
      <c r="H62" s="49"/>
      <c r="I62" s="49"/>
      <c r="J62" s="49"/>
      <c r="K62" s="49"/>
      <c r="L62" s="49"/>
      <c r="M62" s="49"/>
    </row>
    <row r="63" spans="2:13" ht="12.95" customHeight="1" x14ac:dyDescent="0.2">
      <c r="B63" s="18" t="s">
        <v>84</v>
      </c>
      <c r="C63" s="19"/>
      <c r="D63" s="185">
        <f>+Calculations!D74</f>
        <v>0</v>
      </c>
      <c r="E63" s="186">
        <f>+Calculations!E74</f>
        <v>1.1000000000000001</v>
      </c>
      <c r="F63" s="186">
        <f>+Calculations!F74</f>
        <v>0.9</v>
      </c>
      <c r="G63" s="187">
        <f>+Calculations!G74</f>
        <v>0.7</v>
      </c>
      <c r="H63" s="56">
        <f>+Calculations!H74</f>
        <v>0.7</v>
      </c>
      <c r="I63" s="56">
        <f>+Calculations!I74</f>
        <v>0.7</v>
      </c>
      <c r="J63" s="56">
        <f>+Calculations!J74</f>
        <v>0.7</v>
      </c>
      <c r="K63" s="56">
        <f>+Calculations!K74</f>
        <v>0.7</v>
      </c>
      <c r="L63" s="56">
        <f>+Calculations!L74</f>
        <v>0.7</v>
      </c>
      <c r="M63" s="56">
        <f>+Calculations!M74</f>
        <v>0.7</v>
      </c>
    </row>
    <row r="64" spans="2:13" ht="12.95" customHeight="1" x14ac:dyDescent="0.2">
      <c r="B64" s="18" t="s">
        <v>87</v>
      </c>
      <c r="C64" s="19"/>
      <c r="D64" s="185">
        <f>+Calculations!D75</f>
        <v>19.400000000000002</v>
      </c>
      <c r="E64" s="186">
        <f>+Calculations!E75</f>
        <v>40.700000000000003</v>
      </c>
      <c r="F64" s="186">
        <f>+Calculations!F75</f>
        <v>34.700000000000003</v>
      </c>
      <c r="G64" s="187">
        <f>+Calculations!G75</f>
        <v>77</v>
      </c>
      <c r="H64" s="56">
        <f>+Calculations!H75</f>
        <v>77</v>
      </c>
      <c r="I64" s="56">
        <f>+Calculations!I75</f>
        <v>77</v>
      </c>
      <c r="J64" s="56">
        <f>+Calculations!J75</f>
        <v>77</v>
      </c>
      <c r="K64" s="56">
        <f>+Calculations!K75</f>
        <v>77</v>
      </c>
      <c r="L64" s="56">
        <f>+Calculations!L75</f>
        <v>77</v>
      </c>
      <c r="M64" s="56">
        <f>+Calculations!M75</f>
        <v>77</v>
      </c>
    </row>
    <row r="65" spans="2:13" ht="5.0999999999999996" customHeight="1" x14ac:dyDescent="0.2">
      <c r="D65" s="168"/>
      <c r="E65" s="51"/>
      <c r="F65" s="51"/>
      <c r="G65" s="167"/>
      <c r="H65" s="49"/>
      <c r="I65" s="49"/>
      <c r="J65" s="49"/>
      <c r="K65" s="49"/>
      <c r="L65" s="49"/>
      <c r="M65" s="49"/>
    </row>
    <row r="66" spans="2:13" ht="12.95" customHeight="1" x14ac:dyDescent="0.2">
      <c r="B66" s="24" t="s">
        <v>346</v>
      </c>
      <c r="C66" s="25"/>
      <c r="D66" s="173">
        <f t="shared" ref="D66:G66" si="36">SUM(D63:D64)</f>
        <v>19.400000000000002</v>
      </c>
      <c r="E66" s="174">
        <f t="shared" si="36"/>
        <v>41.800000000000004</v>
      </c>
      <c r="F66" s="174">
        <f t="shared" si="36"/>
        <v>35.6</v>
      </c>
      <c r="G66" s="175">
        <f t="shared" si="36"/>
        <v>77.7</v>
      </c>
      <c r="H66" s="58">
        <f t="shared" ref="H66:M66" si="37">SUM(H63:H64)</f>
        <v>77.7</v>
      </c>
      <c r="I66" s="58">
        <f t="shared" si="37"/>
        <v>77.7</v>
      </c>
      <c r="J66" s="58">
        <f t="shared" si="37"/>
        <v>77.7</v>
      </c>
      <c r="K66" s="58">
        <f t="shared" si="37"/>
        <v>77.7</v>
      </c>
      <c r="L66" s="58">
        <f t="shared" si="37"/>
        <v>77.7</v>
      </c>
      <c r="M66" s="58">
        <f t="shared" si="37"/>
        <v>77.7</v>
      </c>
    </row>
    <row r="67" spans="2:13" ht="5.0999999999999996" customHeight="1" x14ac:dyDescent="0.2">
      <c r="B67" s="3"/>
      <c r="C67" s="4"/>
      <c r="D67" s="168"/>
      <c r="E67" s="51"/>
      <c r="F67" s="51"/>
      <c r="G67" s="167"/>
      <c r="H67" s="49"/>
      <c r="I67" s="49"/>
      <c r="J67" s="49"/>
      <c r="K67" s="49"/>
      <c r="L67" s="49"/>
      <c r="M67" s="49"/>
    </row>
    <row r="68" spans="2:13" ht="12.95" customHeight="1" x14ac:dyDescent="0.2">
      <c r="B68" s="24" t="s">
        <v>348</v>
      </c>
      <c r="C68" s="25"/>
      <c r="D68" s="173">
        <f>+D66+D61</f>
        <v>2026.2000000000005</v>
      </c>
      <c r="E68" s="174">
        <f t="shared" ref="E68:M68" si="38">+E66+E61</f>
        <v>2359.9000000000005</v>
      </c>
      <c r="F68" s="174">
        <f t="shared" si="38"/>
        <v>2294.4999999999991</v>
      </c>
      <c r="G68" s="175">
        <f t="shared" si="38"/>
        <v>2615.9</v>
      </c>
      <c r="H68" s="58">
        <f t="shared" si="38"/>
        <v>2714.4346007737277</v>
      </c>
      <c r="I68" s="58">
        <f t="shared" si="38"/>
        <v>2810.9338739576374</v>
      </c>
      <c r="J68" s="58">
        <f t="shared" si="38"/>
        <v>2917.3265086549322</v>
      </c>
      <c r="K68" s="58">
        <f t="shared" si="38"/>
        <v>3034.7884075584957</v>
      </c>
      <c r="L68" s="58">
        <f t="shared" si="38"/>
        <v>3164.6429326099765</v>
      </c>
      <c r="M68" s="58">
        <f t="shared" ca="1" si="38"/>
        <v>3164.6429326099765</v>
      </c>
    </row>
    <row r="69" spans="2:13" ht="12.95" customHeight="1" x14ac:dyDescent="0.2">
      <c r="B69" s="3"/>
      <c r="C69" s="4"/>
      <c r="D69" s="168"/>
      <c r="E69" s="51"/>
      <c r="F69" s="51"/>
      <c r="G69" s="167"/>
      <c r="H69" s="49"/>
      <c r="I69" s="49"/>
      <c r="J69" s="49"/>
      <c r="K69" s="49"/>
      <c r="L69" s="49"/>
      <c r="M69" s="49"/>
    </row>
    <row r="70" spans="2:13" ht="12.95" customHeight="1" x14ac:dyDescent="0.2">
      <c r="B70" s="27" t="s">
        <v>92</v>
      </c>
      <c r="C70" s="28"/>
      <c r="D70" s="171">
        <f>-Calculations!D136</f>
        <v>-414.2</v>
      </c>
      <c r="E70" s="95">
        <f>-Calculations!E136</f>
        <v>-442.50000000000011</v>
      </c>
      <c r="F70" s="95">
        <f>-Calculations!F136</f>
        <v>-444.20000000000073</v>
      </c>
      <c r="G70" s="172">
        <f>-Calculations!G136</f>
        <v>-230.9000000000002</v>
      </c>
      <c r="H70" s="61">
        <f ca="1">-Calculations!H136</f>
        <v>-889.59149169160071</v>
      </c>
      <c r="I70" s="61">
        <f ca="1">-Calculations!I136</f>
        <v>-968.83530033927195</v>
      </c>
      <c r="J70" s="61">
        <f ca="1">-Calculations!J136</f>
        <v>-707.48181616200054</v>
      </c>
      <c r="K70" s="61">
        <f ca="1">-Calculations!K136</f>
        <v>-811.72607403246286</v>
      </c>
      <c r="L70" s="61">
        <f ca="1">-Calculations!L136</f>
        <v>-763.13119577655846</v>
      </c>
      <c r="M70" s="61">
        <f ca="1">-Calculations!M136</f>
        <v>-763.13119577655857</v>
      </c>
    </row>
    <row r="71" spans="2:13" ht="12.95" customHeight="1" x14ac:dyDescent="0.2">
      <c r="B71" s="27" t="s">
        <v>78</v>
      </c>
      <c r="C71" s="28"/>
      <c r="D71" s="171">
        <f>+Calculations!D116</f>
        <v>103.2</v>
      </c>
      <c r="E71" s="95">
        <f>+Calculations!E116</f>
        <v>34.9</v>
      </c>
      <c r="F71" s="95">
        <f>+Calculations!F116</f>
        <v>44.4</v>
      </c>
      <c r="G71" s="172">
        <f>+Calculations!G116</f>
        <v>117.4</v>
      </c>
      <c r="H71" s="61">
        <f>+Calculations!H116</f>
        <v>128.51284920000001</v>
      </c>
      <c r="I71" s="61">
        <f>+Calculations!I116</f>
        <v>140.07418810150932</v>
      </c>
      <c r="J71" s="61">
        <f>+Calculations!J116</f>
        <v>152.93707831478059</v>
      </c>
      <c r="K71" s="61">
        <f>+Calculations!K116</f>
        <v>167.26144828260379</v>
      </c>
      <c r="L71" s="61">
        <f>+Calculations!L116</f>
        <v>183.22751836933972</v>
      </c>
      <c r="M71" s="61">
        <f>+Calculations!M116</f>
        <v>183.22751836933972</v>
      </c>
    </row>
    <row r="72" spans="2:13" ht="12.95" customHeight="1" x14ac:dyDescent="0.2">
      <c r="B72" s="27" t="s">
        <v>91</v>
      </c>
      <c r="C72" s="28"/>
      <c r="D72" s="171">
        <f>+Calculations!D121</f>
        <v>144.9</v>
      </c>
      <c r="E72" s="95">
        <f>+Calculations!E121</f>
        <v>121</v>
      </c>
      <c r="F72" s="95">
        <f>+Calculations!F121</f>
        <v>122.3</v>
      </c>
      <c r="G72" s="172">
        <f>+Calculations!G121</f>
        <v>36.700000000000003</v>
      </c>
      <c r="H72" s="61">
        <f>+Calculations!H121</f>
        <v>36.700000000000003</v>
      </c>
      <c r="I72" s="61">
        <f>+Calculations!I121</f>
        <v>36.700000000000003</v>
      </c>
      <c r="J72" s="61">
        <f>+Calculations!J121</f>
        <v>36.700000000000003</v>
      </c>
      <c r="K72" s="61">
        <f>+Calculations!K121</f>
        <v>36.700000000000003</v>
      </c>
      <c r="L72" s="61">
        <f>+Calculations!L121</f>
        <v>36.700000000000003</v>
      </c>
      <c r="M72" s="61">
        <f>+Calculations!M121</f>
        <v>36.700000000000003</v>
      </c>
    </row>
    <row r="73" spans="2:13" ht="12.95" customHeight="1" x14ac:dyDescent="0.2">
      <c r="B73" s="27" t="s">
        <v>90</v>
      </c>
      <c r="C73" s="28"/>
      <c r="D73" s="171">
        <f>+Calculations!D123</f>
        <v>824.9</v>
      </c>
      <c r="E73" s="95">
        <f>+Calculations!E123</f>
        <v>1213.4000000000001</v>
      </c>
      <c r="F73" s="95">
        <f>+Calculations!F123</f>
        <v>1175.8</v>
      </c>
      <c r="G73" s="172">
        <f>+Calculations!G123</f>
        <v>1112.7</v>
      </c>
      <c r="H73" s="61">
        <f>+Calculations!H123</f>
        <v>1712.7</v>
      </c>
      <c r="I73" s="61">
        <f>+Calculations!I123</f>
        <v>1712.7</v>
      </c>
      <c r="J73" s="61">
        <f>+Calculations!J123</f>
        <v>1360.3000000000002</v>
      </c>
      <c r="K73" s="61">
        <f>+Calculations!K123</f>
        <v>1360.3000000000002</v>
      </c>
      <c r="L73" s="61">
        <f>+Calculations!L123</f>
        <v>1192.7000000000003</v>
      </c>
      <c r="M73" s="61">
        <f>+Calculations!M123</f>
        <v>1192.7000000000003</v>
      </c>
    </row>
    <row r="74" spans="2:13" ht="12.95" customHeight="1" x14ac:dyDescent="0.2">
      <c r="B74" s="29" t="s">
        <v>177</v>
      </c>
      <c r="C74" s="30"/>
      <c r="D74" s="201">
        <f t="shared" ref="D74:G74" si="39">SUM(D70:D73)</f>
        <v>658.8</v>
      </c>
      <c r="E74" s="62">
        <f t="shared" si="39"/>
        <v>926.8</v>
      </c>
      <c r="F74" s="62">
        <f t="shared" si="39"/>
        <v>898.29999999999927</v>
      </c>
      <c r="G74" s="202">
        <f t="shared" si="39"/>
        <v>1035.8999999999999</v>
      </c>
      <c r="H74" s="62">
        <f t="shared" ref="H74:M74" ca="1" si="40">SUM(H70:H73)</f>
        <v>988.32135750839939</v>
      </c>
      <c r="I74" s="62">
        <f t="shared" ca="1" si="40"/>
        <v>920.63888776223746</v>
      </c>
      <c r="J74" s="62">
        <f t="shared" ca="1" si="40"/>
        <v>842.45526215278028</v>
      </c>
      <c r="K74" s="62">
        <f t="shared" ca="1" si="40"/>
        <v>752.5353742501411</v>
      </c>
      <c r="L74" s="62">
        <f t="shared" ca="1" si="40"/>
        <v>649.49632259278155</v>
      </c>
      <c r="M74" s="62">
        <f t="shared" ca="1" si="40"/>
        <v>649.49632259278144</v>
      </c>
    </row>
    <row r="75" spans="2:13" ht="5.0999999999999996" customHeight="1" x14ac:dyDescent="0.2">
      <c r="D75" s="168"/>
      <c r="E75" s="51"/>
      <c r="F75" s="51"/>
      <c r="G75" s="167"/>
      <c r="H75" s="49"/>
      <c r="I75" s="49"/>
      <c r="J75" s="49"/>
      <c r="K75" s="49"/>
      <c r="L75" s="49"/>
      <c r="M75" s="49"/>
    </row>
    <row r="76" spans="2:13" ht="12.95" customHeight="1" x14ac:dyDescent="0.2">
      <c r="B76" s="18" t="s">
        <v>15</v>
      </c>
      <c r="C76" s="19"/>
      <c r="D76" s="185">
        <f>+Calculations!D112</f>
        <v>58.1</v>
      </c>
      <c r="E76" s="186">
        <f>+Calculations!E112</f>
        <v>58.1</v>
      </c>
      <c r="F76" s="186">
        <f>+Calculations!F112</f>
        <v>58.1</v>
      </c>
      <c r="G76" s="187">
        <f>+Calculations!G112</f>
        <v>58.1</v>
      </c>
      <c r="H76" s="56">
        <f>+Calculations!H112</f>
        <v>58.1</v>
      </c>
      <c r="I76" s="56">
        <f>+Calculations!I112</f>
        <v>58.1</v>
      </c>
      <c r="J76" s="56">
        <f>+Calculations!J112</f>
        <v>58.1</v>
      </c>
      <c r="K76" s="56">
        <f>+Calculations!K112</f>
        <v>58.1</v>
      </c>
      <c r="L76" s="56">
        <f>+Calculations!L112</f>
        <v>58.1</v>
      </c>
      <c r="M76" s="56">
        <f>+Calculations!M112</f>
        <v>58.1</v>
      </c>
    </row>
    <row r="77" spans="2:13" ht="12.95" customHeight="1" x14ac:dyDescent="0.2">
      <c r="B77" s="18" t="s">
        <v>281</v>
      </c>
      <c r="C77" s="19"/>
      <c r="D77" s="185">
        <f>+Calculations!D108</f>
        <v>1305.5999999999999</v>
      </c>
      <c r="E77" s="186">
        <f>+Calculations!E108</f>
        <v>1370.8</v>
      </c>
      <c r="F77" s="186">
        <f>+Calculations!F108</f>
        <v>1333.6</v>
      </c>
      <c r="G77" s="187">
        <f>+Calculations!G108</f>
        <v>1516.8</v>
      </c>
      <c r="H77" s="56">
        <f ca="1">+Calculations!H108</f>
        <v>1662.9132432653282</v>
      </c>
      <c r="I77" s="56">
        <f ca="1">+Calculations!I108</f>
        <v>1827.0949861954</v>
      </c>
      <c r="J77" s="56">
        <f ca="1">+Calculations!J108</f>
        <v>2011.6712465021519</v>
      </c>
      <c r="K77" s="56">
        <f ca="1">+Calculations!K108</f>
        <v>2219.0530333083548</v>
      </c>
      <c r="L77" s="56">
        <f ca="1">+Calculations!L108</f>
        <v>2451.9466100171953</v>
      </c>
      <c r="M77" s="56">
        <f ca="1">+Calculations!M108</f>
        <v>2451.9466100171953</v>
      </c>
    </row>
    <row r="78" spans="2:13" ht="12.95" customHeight="1" x14ac:dyDescent="0.2">
      <c r="B78" s="16" t="s">
        <v>276</v>
      </c>
      <c r="C78" s="17"/>
      <c r="D78" s="179">
        <f>SUM(D76:D77)</f>
        <v>1363.6999999999998</v>
      </c>
      <c r="E78" s="180">
        <f t="shared" ref="E78:G78" si="41">SUM(E76:E77)</f>
        <v>1428.8999999999999</v>
      </c>
      <c r="F78" s="180">
        <f t="shared" si="41"/>
        <v>1391.6999999999998</v>
      </c>
      <c r="G78" s="181">
        <f t="shared" si="41"/>
        <v>1574.8999999999999</v>
      </c>
      <c r="H78" s="60">
        <f t="shared" ref="H78" ca="1" si="42">SUM(H76:H77)</f>
        <v>1721.0132432653281</v>
      </c>
      <c r="I78" s="60">
        <f t="shared" ref="I78" ca="1" si="43">SUM(I76:I77)</f>
        <v>1885.1949861953999</v>
      </c>
      <c r="J78" s="60">
        <f t="shared" ref="J78" ca="1" si="44">SUM(J76:J77)</f>
        <v>2069.7712465021518</v>
      </c>
      <c r="K78" s="60">
        <f t="shared" ref="K78" ca="1" si="45">SUM(K76:K77)</f>
        <v>2277.1530333083547</v>
      </c>
      <c r="L78" s="60">
        <f t="shared" ref="L78" ca="1" si="46">SUM(L76:L77)</f>
        <v>2510.0466100171952</v>
      </c>
      <c r="M78" s="60">
        <f t="shared" ref="M78" ca="1" si="47">SUM(M76:M77)</f>
        <v>2510.0466100171952</v>
      </c>
    </row>
    <row r="79" spans="2:13" ht="5.0999999999999996" customHeight="1" x14ac:dyDescent="0.2">
      <c r="D79" s="168"/>
      <c r="E79" s="51"/>
      <c r="F79" s="51"/>
      <c r="G79" s="167"/>
      <c r="H79" s="49"/>
      <c r="I79" s="49"/>
      <c r="J79" s="49"/>
      <c r="K79" s="49"/>
      <c r="L79" s="49"/>
      <c r="M79" s="49"/>
    </row>
    <row r="80" spans="2:13" ht="12.95" customHeight="1" x14ac:dyDescent="0.2">
      <c r="B80" s="18" t="s">
        <v>76</v>
      </c>
      <c r="C80" s="19"/>
      <c r="D80" s="185">
        <f>+Calculations!D110</f>
        <v>3.7</v>
      </c>
      <c r="E80" s="186">
        <f>+Calculations!E110</f>
        <v>4.2</v>
      </c>
      <c r="F80" s="186">
        <f>+Calculations!F110</f>
        <v>4.5</v>
      </c>
      <c r="G80" s="187">
        <f>+Calculations!G110</f>
        <v>5.0999999999999996</v>
      </c>
      <c r="H80" s="56">
        <f>+Calculations!H110</f>
        <v>5.0999999999999996</v>
      </c>
      <c r="I80" s="56">
        <f>+Calculations!I110</f>
        <v>5.0999999999999996</v>
      </c>
      <c r="J80" s="56">
        <f>+Calculations!J110</f>
        <v>5.0999999999999996</v>
      </c>
      <c r="K80" s="56">
        <f>+Calculations!K110</f>
        <v>5.0999999999999996</v>
      </c>
      <c r="L80" s="56">
        <f>+Calculations!L110</f>
        <v>5.0999999999999996</v>
      </c>
      <c r="M80" s="56">
        <f>+Calculations!M110</f>
        <v>5.0999999999999996</v>
      </c>
    </row>
    <row r="81" spans="2:17" ht="12.95" customHeight="1" x14ac:dyDescent="0.2">
      <c r="B81" s="20" t="s">
        <v>82</v>
      </c>
      <c r="C81" s="21"/>
      <c r="D81" s="188">
        <f>+D80+D78</f>
        <v>1367.3999999999999</v>
      </c>
      <c r="E81" s="57">
        <f t="shared" ref="E81:G81" si="48">+E80+E78</f>
        <v>1433.1</v>
      </c>
      <c r="F81" s="57">
        <f t="shared" si="48"/>
        <v>1396.1999999999998</v>
      </c>
      <c r="G81" s="189">
        <f t="shared" si="48"/>
        <v>1579.9999999999998</v>
      </c>
      <c r="H81" s="57">
        <f t="shared" ref="H81" ca="1" si="49">+H80+H78</f>
        <v>1726.113243265328</v>
      </c>
      <c r="I81" s="57">
        <f t="shared" ref="I81" ca="1" si="50">+I80+I78</f>
        <v>1890.2949861953998</v>
      </c>
      <c r="J81" s="57">
        <f t="shared" ref="J81" ca="1" si="51">+J80+J78</f>
        <v>2074.8712465021517</v>
      </c>
      <c r="K81" s="57">
        <f t="shared" ref="K81" ca="1" si="52">+K80+K78</f>
        <v>2282.2530333083546</v>
      </c>
      <c r="L81" s="57">
        <f t="shared" ref="L81" ca="1" si="53">+L80+L78</f>
        <v>2515.1466100171951</v>
      </c>
      <c r="M81" s="57">
        <f t="shared" ref="M81" ca="1" si="54">+M80+M78</f>
        <v>2515.1466100171951</v>
      </c>
    </row>
    <row r="82" spans="2:17" ht="5.0999999999999996" customHeight="1" x14ac:dyDescent="0.2">
      <c r="D82" s="168"/>
      <c r="E82" s="51"/>
      <c r="F82" s="51"/>
      <c r="G82" s="167"/>
      <c r="H82" s="49"/>
      <c r="I82" s="49"/>
      <c r="J82" s="49"/>
      <c r="K82" s="49"/>
      <c r="L82" s="49"/>
      <c r="M82" s="49"/>
    </row>
    <row r="83" spans="2:17" ht="12.95" customHeight="1" x14ac:dyDescent="0.2">
      <c r="B83" s="24" t="s">
        <v>274</v>
      </c>
      <c r="C83" s="25"/>
      <c r="D83" s="173">
        <f t="shared" ref="D83:M83" si="55">+D81+D74</f>
        <v>2026.1999999999998</v>
      </c>
      <c r="E83" s="174">
        <f t="shared" si="55"/>
        <v>2359.8999999999996</v>
      </c>
      <c r="F83" s="174">
        <f t="shared" si="55"/>
        <v>2294.4999999999991</v>
      </c>
      <c r="G83" s="175">
        <f t="shared" si="55"/>
        <v>2615.8999999999996</v>
      </c>
      <c r="H83" s="58">
        <f t="shared" ca="1" si="55"/>
        <v>2714.4346007737277</v>
      </c>
      <c r="I83" s="58">
        <f t="shared" ca="1" si="55"/>
        <v>2810.9338739576374</v>
      </c>
      <c r="J83" s="58">
        <f t="shared" ca="1" si="55"/>
        <v>2917.3265086549318</v>
      </c>
      <c r="K83" s="58">
        <f t="shared" ca="1" si="55"/>
        <v>3034.7884075584957</v>
      </c>
      <c r="L83" s="58">
        <f t="shared" ca="1" si="55"/>
        <v>3164.6429326099769</v>
      </c>
      <c r="M83" s="58">
        <f t="shared" ca="1" si="55"/>
        <v>3164.6429326099765</v>
      </c>
    </row>
    <row r="84" spans="2:17" ht="5.0999999999999996" customHeight="1" x14ac:dyDescent="0.2">
      <c r="B84" s="4"/>
      <c r="C84" s="4"/>
      <c r="D84" s="168"/>
      <c r="E84" s="51"/>
      <c r="F84" s="51"/>
      <c r="G84" s="167"/>
      <c r="H84" s="49"/>
      <c r="I84" s="49"/>
      <c r="J84" s="49"/>
      <c r="K84" s="49"/>
      <c r="L84" s="49"/>
      <c r="M84" s="49"/>
    </row>
    <row r="85" spans="2:17" ht="12.95" customHeight="1" x14ac:dyDescent="0.2">
      <c r="B85" s="48" t="s">
        <v>1</v>
      </c>
      <c r="C85" s="34"/>
      <c r="D85" s="203">
        <f>+D83-D68</f>
        <v>0</v>
      </c>
      <c r="E85" s="204">
        <f t="shared" ref="E85:M85" si="56">+E83-E68</f>
        <v>0</v>
      </c>
      <c r="F85" s="204">
        <f t="shared" si="56"/>
        <v>0</v>
      </c>
      <c r="G85" s="205">
        <f t="shared" si="56"/>
        <v>0</v>
      </c>
      <c r="H85" s="54">
        <f t="shared" ca="1" si="56"/>
        <v>0</v>
      </c>
      <c r="I85" s="54">
        <f t="shared" ca="1" si="56"/>
        <v>0</v>
      </c>
      <c r="J85" s="54">
        <f t="shared" ca="1" si="56"/>
        <v>0</v>
      </c>
      <c r="K85" s="54">
        <f t="shared" ca="1" si="56"/>
        <v>0</v>
      </c>
      <c r="L85" s="54">
        <f t="shared" ca="1" si="56"/>
        <v>0</v>
      </c>
      <c r="M85" s="54">
        <f t="shared" ca="1" si="56"/>
        <v>0</v>
      </c>
    </row>
    <row r="86" spans="2:17" ht="12.95" customHeight="1" x14ac:dyDescent="0.2">
      <c r="D86" s="43"/>
      <c r="E86" s="45"/>
      <c r="F86" s="45"/>
      <c r="G86" s="164"/>
    </row>
    <row r="87" spans="2:17" s="45" customFormat="1" ht="12.95" customHeight="1" x14ac:dyDescent="0.2">
      <c r="B87" s="46" t="s">
        <v>94</v>
      </c>
      <c r="C87" s="46"/>
      <c r="D87" s="176"/>
      <c r="E87" s="177"/>
      <c r="F87" s="177"/>
      <c r="G87" s="178"/>
      <c r="H87" s="46"/>
      <c r="I87" s="46"/>
      <c r="J87" s="46"/>
      <c r="K87" s="46"/>
      <c r="L87" s="46"/>
      <c r="M87" s="85"/>
    </row>
    <row r="88" spans="2:17" ht="5.0999999999999996" customHeight="1" x14ac:dyDescent="0.2">
      <c r="D88" s="43"/>
      <c r="E88" s="45"/>
      <c r="F88" s="45"/>
      <c r="G88" s="164"/>
      <c r="L88" s="45"/>
    </row>
    <row r="89" spans="2:17" ht="12.95" customHeight="1" x14ac:dyDescent="0.2">
      <c r="B89" s="27" t="s">
        <v>66</v>
      </c>
      <c r="C89" s="28"/>
      <c r="D89" s="171"/>
      <c r="E89" s="61">
        <f>+E22</f>
        <v>304.59999999999997</v>
      </c>
      <c r="F89" s="61">
        <f>+F22</f>
        <v>299.5999999999998</v>
      </c>
      <c r="G89" s="61">
        <f t="shared" ref="G89:M89" si="57">+G22</f>
        <v>298.20000000000016</v>
      </c>
      <c r="H89" s="61">
        <f t="shared" si="57"/>
        <v>354.47408512317429</v>
      </c>
      <c r="I89" s="61">
        <f t="shared" si="57"/>
        <v>386.36346470990804</v>
      </c>
      <c r="J89" s="61">
        <f t="shared" si="57"/>
        <v>421.84288384015622</v>
      </c>
      <c r="K89" s="61">
        <f t="shared" si="57"/>
        <v>461.35346952025344</v>
      </c>
      <c r="L89" s="61">
        <f t="shared" si="57"/>
        <v>505.39231950482105</v>
      </c>
      <c r="M89" s="61">
        <f t="shared" ca="1" si="57"/>
        <v>544.64296165386884</v>
      </c>
      <c r="N89" s="35"/>
    </row>
    <row r="90" spans="2:17" ht="12.95" customHeight="1" x14ac:dyDescent="0.2">
      <c r="B90" s="27" t="s">
        <v>356</v>
      </c>
      <c r="C90" s="28"/>
      <c r="D90" s="171"/>
      <c r="E90" s="61">
        <f>+E41</f>
        <v>-95.64439999999999</v>
      </c>
      <c r="F90" s="61">
        <f>+F41</f>
        <v>-94.07439999999994</v>
      </c>
      <c r="G90" s="61">
        <f t="shared" ref="G90:M90" si="58">+G41</f>
        <v>-93.634800000000055</v>
      </c>
      <c r="H90" s="61">
        <f t="shared" si="58"/>
        <v>-111.30486272867672</v>
      </c>
      <c r="I90" s="61">
        <f t="shared" si="58"/>
        <v>-121.31812791891113</v>
      </c>
      <c r="J90" s="61">
        <f t="shared" si="58"/>
        <v>-132.45866552580907</v>
      </c>
      <c r="K90" s="61">
        <f t="shared" si="58"/>
        <v>-144.86498942935958</v>
      </c>
      <c r="L90" s="61">
        <f t="shared" si="58"/>
        <v>-158.69318832451381</v>
      </c>
      <c r="M90" s="61">
        <f t="shared" ca="1" si="58"/>
        <v>-171.01788995931483</v>
      </c>
      <c r="N90" s="35"/>
    </row>
    <row r="91" spans="2:17" ht="12.95" customHeight="1" x14ac:dyDescent="0.2">
      <c r="B91" s="27" t="s">
        <v>65</v>
      </c>
      <c r="C91" s="28"/>
      <c r="D91" s="171"/>
      <c r="E91" s="95">
        <f t="shared" ref="E91:F91" si="59">-E21</f>
        <v>32.700000000000003</v>
      </c>
      <c r="F91" s="95">
        <f t="shared" si="59"/>
        <v>39.6</v>
      </c>
      <c r="G91" s="172">
        <f t="shared" ref="G91:M91" si="60">-G21</f>
        <v>39.4</v>
      </c>
      <c r="H91" s="61">
        <f t="shared" si="60"/>
        <v>50.556775932860333</v>
      </c>
      <c r="I91" s="61">
        <f t="shared" si="60"/>
        <v>55.1049905586043</v>
      </c>
      <c r="J91" s="61">
        <f t="shared" si="60"/>
        <v>60.165233658103944</v>
      </c>
      <c r="K91" s="61">
        <f t="shared" si="60"/>
        <v>65.800420858067071</v>
      </c>
      <c r="L91" s="61">
        <f t="shared" si="60"/>
        <v>72.0814505988928</v>
      </c>
      <c r="M91" s="61">
        <f t="shared" ca="1" si="60"/>
        <v>50.155021552956569</v>
      </c>
      <c r="N91" s="4"/>
      <c r="O91" s="4"/>
    </row>
    <row r="92" spans="2:17" ht="12.95" customHeight="1" x14ac:dyDescent="0.2">
      <c r="B92" s="20" t="s">
        <v>139</v>
      </c>
      <c r="C92" s="21"/>
      <c r="D92" s="188"/>
      <c r="E92" s="57">
        <f t="shared" ref="E92:F92" si="61">SUM(E89:E91)</f>
        <v>241.65559999999999</v>
      </c>
      <c r="F92" s="57">
        <f t="shared" si="61"/>
        <v>245.12559999999985</v>
      </c>
      <c r="G92" s="189">
        <f t="shared" ref="G92:M92" si="62">SUM(G89:G91)</f>
        <v>243.96520000000012</v>
      </c>
      <c r="H92" s="57">
        <f t="shared" si="62"/>
        <v>293.7259983273579</v>
      </c>
      <c r="I92" s="57">
        <f t="shared" si="62"/>
        <v>320.15032734960118</v>
      </c>
      <c r="J92" s="57">
        <f t="shared" si="62"/>
        <v>349.5494519724511</v>
      </c>
      <c r="K92" s="57">
        <f t="shared" si="62"/>
        <v>382.28890094896093</v>
      </c>
      <c r="L92" s="57">
        <f t="shared" si="62"/>
        <v>418.78058177920002</v>
      </c>
      <c r="M92" s="57">
        <f t="shared" ca="1" si="62"/>
        <v>423.78009324751054</v>
      </c>
      <c r="N92" s="4"/>
      <c r="O92" s="4"/>
    </row>
    <row r="93" spans="2:17" ht="5.0999999999999996" customHeight="1" x14ac:dyDescent="0.2">
      <c r="D93" s="168"/>
      <c r="E93" s="51"/>
      <c r="F93" s="51"/>
      <c r="G93" s="167"/>
      <c r="H93" s="49"/>
      <c r="I93" s="49"/>
      <c r="J93" s="49"/>
      <c r="K93" s="49"/>
      <c r="L93" s="49"/>
      <c r="M93" s="49"/>
    </row>
    <row r="94" spans="2:17" ht="12.95" customHeight="1" x14ac:dyDescent="0.2">
      <c r="B94" s="27" t="s">
        <v>123</v>
      </c>
      <c r="C94" s="28"/>
      <c r="D94" s="171"/>
      <c r="E94" s="61">
        <f t="shared" ref="E94:G94" si="63">-(E50-D50)</f>
        <v>-115.39999999999981</v>
      </c>
      <c r="F94" s="61">
        <f t="shared" si="63"/>
        <v>-23.099999999998943</v>
      </c>
      <c r="G94" s="61">
        <f t="shared" si="63"/>
        <v>-6.3000000000008072</v>
      </c>
      <c r="H94" s="61">
        <f t="shared" ref="H94:I94" si="64">-(H50-G50)</f>
        <v>-55.629109517270138</v>
      </c>
      <c r="I94" s="61">
        <f t="shared" si="64"/>
        <v>-49.733896100941479</v>
      </c>
      <c r="J94" s="61">
        <f>-(J50-I50)</f>
        <v>-55.332833928182708</v>
      </c>
      <c r="K94" s="61">
        <f>-(K50-J50)</f>
        <v>-61.619742640548452</v>
      </c>
      <c r="L94" s="61">
        <f>-(L50-K50)</f>
        <v>-68.681912847517424</v>
      </c>
      <c r="M94" s="61">
        <f>-(M50-L50)</f>
        <v>0</v>
      </c>
      <c r="N94" s="35"/>
      <c r="O94" s="35"/>
    </row>
    <row r="95" spans="2:17" ht="12.95" customHeight="1" x14ac:dyDescent="0.2">
      <c r="B95" s="27" t="s">
        <v>105</v>
      </c>
      <c r="C95" s="28"/>
      <c r="D95" s="171"/>
      <c r="E95" s="95">
        <f>-(E54-Restatements!D54)-E91</f>
        <v>-300.50000000000017</v>
      </c>
      <c r="F95" s="95">
        <f>-(F54-Restatements!E54)-F91</f>
        <v>35.099999999999817</v>
      </c>
      <c r="G95" s="172">
        <f>-(G54-Restatements!F54)-G91</f>
        <v>-373.49999999999989</v>
      </c>
      <c r="H95" s="61">
        <f>-(H54-Restatements!G54)-H91</f>
        <v>-93.462267189317814</v>
      </c>
      <c r="I95" s="61">
        <f>-(I54-H54)-I91</f>
        <v>-101.87036764157267</v>
      </c>
      <c r="J95" s="61">
        <f>-(J54-I54)-J91</f>
        <v>-111.22503442721586</v>
      </c>
      <c r="K95" s="61">
        <f>-(K54-J54)-K91</f>
        <v>-121.64257712108218</v>
      </c>
      <c r="L95" s="61">
        <f>-(L54-K54)-L91</f>
        <v>-133.25406280285637</v>
      </c>
      <c r="M95" s="61">
        <f ca="1">-(M54-L54)-M91</f>
        <v>-50.155021552956569</v>
      </c>
      <c r="N95" s="35"/>
      <c r="O95" s="35"/>
      <c r="Q95" s="4">
        <v>0</v>
      </c>
    </row>
    <row r="96" spans="2:17" ht="12.95" customHeight="1" x14ac:dyDescent="0.2">
      <c r="B96" s="27" t="s">
        <v>141</v>
      </c>
      <c r="C96" s="28"/>
      <c r="D96" s="171"/>
      <c r="E96" s="95">
        <f>-(E59-Restatements!D59)</f>
        <v>71.899999999999977</v>
      </c>
      <c r="F96" s="95">
        <f>-(F59-Restatements!E59)</f>
        <v>7.5999999999999943</v>
      </c>
      <c r="G96" s="172">
        <f>-(G59-Restatements!F59)</f>
        <v>61.099999999999994</v>
      </c>
      <c r="H96" s="61">
        <f>-(H59-Restatements!G59)</f>
        <v>0</v>
      </c>
      <c r="I96" s="61">
        <f>-(I59-H59)</f>
        <v>0</v>
      </c>
      <c r="J96" s="61">
        <f>-(J59-I59)</f>
        <v>0</v>
      </c>
      <c r="K96" s="61">
        <f>-(K59-J59)</f>
        <v>0</v>
      </c>
      <c r="L96" s="61">
        <f>-(L59-K59)</f>
        <v>0</v>
      </c>
      <c r="M96" s="61">
        <f>-(M59-L59)</f>
        <v>0</v>
      </c>
      <c r="N96" s="35"/>
      <c r="O96" s="35"/>
    </row>
    <row r="97" spans="2:15" ht="12.95" customHeight="1" x14ac:dyDescent="0.2">
      <c r="B97" s="20" t="s">
        <v>140</v>
      </c>
      <c r="C97" s="21"/>
      <c r="D97" s="188"/>
      <c r="E97" s="57">
        <f>+SUM(E92:E96)</f>
        <v>-102.34440000000001</v>
      </c>
      <c r="F97" s="57">
        <f t="shared" ref="F97:M97" si="65">+SUM(F92:F96)</f>
        <v>264.72560000000067</v>
      </c>
      <c r="G97" s="189">
        <f t="shared" si="65"/>
        <v>-74.734800000000575</v>
      </c>
      <c r="H97" s="57">
        <f t="shared" si="65"/>
        <v>144.63462162076996</v>
      </c>
      <c r="I97" s="57">
        <f t="shared" si="65"/>
        <v>168.54606360708704</v>
      </c>
      <c r="J97" s="57">
        <f t="shared" si="65"/>
        <v>182.99158361705253</v>
      </c>
      <c r="K97" s="57">
        <f t="shared" si="65"/>
        <v>199.02658118733029</v>
      </c>
      <c r="L97" s="57">
        <f t="shared" si="65"/>
        <v>216.84460612882623</v>
      </c>
      <c r="M97" s="57">
        <f t="shared" ca="1" si="65"/>
        <v>373.62507169455398</v>
      </c>
      <c r="N97" s="77"/>
      <c r="O97" s="4"/>
    </row>
    <row r="98" spans="2:15" ht="5.0999999999999996" customHeight="1" x14ac:dyDescent="0.2">
      <c r="D98" s="168"/>
      <c r="E98" s="51"/>
      <c r="F98" s="51"/>
      <c r="G98" s="167"/>
      <c r="H98" s="49"/>
      <c r="I98" s="49"/>
      <c r="J98" s="49"/>
      <c r="K98" s="49"/>
      <c r="L98" s="49"/>
      <c r="M98" s="49"/>
    </row>
    <row r="99" spans="2:15" ht="12.95" customHeight="1" x14ac:dyDescent="0.2">
      <c r="B99" s="27" t="s">
        <v>147</v>
      </c>
      <c r="C99" s="28"/>
      <c r="D99" s="171"/>
      <c r="E99" s="95">
        <f>+E42</f>
        <v>16.64439999999999</v>
      </c>
      <c r="F99" s="95">
        <f t="shared" ref="F99:M99" si="66">+F42</f>
        <v>14.274399999999943</v>
      </c>
      <c r="G99" s="172">
        <f t="shared" si="66"/>
        <v>28.934800000000067</v>
      </c>
      <c r="H99" s="61">
        <f t="shared" ca="1" si="66"/>
        <v>17.21038166902369</v>
      </c>
      <c r="I99" s="61">
        <f t="shared" ca="1" si="66"/>
        <v>16.230405973257987</v>
      </c>
      <c r="J99" s="61">
        <f t="shared" ca="1" si="66"/>
        <v>14.990219881787027</v>
      </c>
      <c r="K99" s="61">
        <f t="shared" ca="1" si="66"/>
        <v>13.560966299062159</v>
      </c>
      <c r="L99" s="61">
        <f t="shared" ca="1" si="66"/>
        <v>11.9203863378047</v>
      </c>
      <c r="M99" s="61">
        <f t="shared" ca="1" si="66"/>
        <v>11.044325328340705</v>
      </c>
      <c r="O99" s="35"/>
    </row>
    <row r="100" spans="2:15" ht="12.95" customHeight="1" x14ac:dyDescent="0.2">
      <c r="B100" s="27" t="s">
        <v>132</v>
      </c>
      <c r="C100" s="28"/>
      <c r="D100" s="171"/>
      <c r="E100" s="95">
        <f>+E25</f>
        <v>-48.800000000000004</v>
      </c>
      <c r="F100" s="95">
        <f t="shared" ref="F100:M100" si="67">+F25</f>
        <v>-58.699999999999996</v>
      </c>
      <c r="G100" s="172">
        <f t="shared" si="67"/>
        <v>-59.8</v>
      </c>
      <c r="H100" s="61">
        <f t="shared" ca="1" si="67"/>
        <v>-62.583206069177066</v>
      </c>
      <c r="I100" s="61">
        <f t="shared" ca="1" si="67"/>
        <v>-59.019658084574537</v>
      </c>
      <c r="J100" s="61">
        <f t="shared" ca="1" si="67"/>
        <v>-54.509890479225547</v>
      </c>
      <c r="K100" s="61">
        <f t="shared" ca="1" si="67"/>
        <v>-49.312604723862421</v>
      </c>
      <c r="L100" s="61">
        <f t="shared" ca="1" si="67"/>
        <v>-43.346859410198931</v>
      </c>
      <c r="M100" s="61">
        <f t="shared" ca="1" si="67"/>
        <v>-40.161183012148008</v>
      </c>
    </row>
    <row r="101" spans="2:15" ht="12.95" customHeight="1" x14ac:dyDescent="0.2">
      <c r="B101" s="27" t="s">
        <v>9</v>
      </c>
      <c r="C101" s="28"/>
      <c r="D101" s="171"/>
      <c r="E101" s="95">
        <f>+E26</f>
        <v>0</v>
      </c>
      <c r="F101" s="95">
        <f t="shared" ref="F101:M101" si="68">+F26</f>
        <v>-0.2</v>
      </c>
      <c r="G101" s="172">
        <f t="shared" si="68"/>
        <v>-0.2</v>
      </c>
      <c r="H101" s="61">
        <f t="shared" si="68"/>
        <v>0</v>
      </c>
      <c r="I101" s="61">
        <f t="shared" si="68"/>
        <v>0</v>
      </c>
      <c r="J101" s="61">
        <f t="shared" si="68"/>
        <v>0</v>
      </c>
      <c r="K101" s="61">
        <f t="shared" si="68"/>
        <v>0</v>
      </c>
      <c r="L101" s="61">
        <f t="shared" si="68"/>
        <v>0</v>
      </c>
      <c r="M101" s="61">
        <f t="shared" si="68"/>
        <v>0</v>
      </c>
      <c r="O101" s="35"/>
    </row>
    <row r="102" spans="2:15" ht="12.95" customHeight="1" x14ac:dyDescent="0.2">
      <c r="B102" s="27" t="s">
        <v>67</v>
      </c>
      <c r="C102" s="28"/>
      <c r="D102" s="171"/>
      <c r="E102" s="95">
        <f>+E27</f>
        <v>-19.8</v>
      </c>
      <c r="F102" s="95">
        <f t="shared" ref="F102:M102" si="69">+F27</f>
        <v>-10.5</v>
      </c>
      <c r="G102" s="172">
        <f t="shared" si="69"/>
        <v>-44</v>
      </c>
      <c r="H102" s="61">
        <f t="shared" si="69"/>
        <v>0</v>
      </c>
      <c r="I102" s="61">
        <f t="shared" si="69"/>
        <v>0</v>
      </c>
      <c r="J102" s="61">
        <f t="shared" si="69"/>
        <v>0</v>
      </c>
      <c r="K102" s="61">
        <f t="shared" si="69"/>
        <v>0</v>
      </c>
      <c r="L102" s="61">
        <f t="shared" si="69"/>
        <v>0</v>
      </c>
      <c r="M102" s="61">
        <f t="shared" si="69"/>
        <v>0</v>
      </c>
    </row>
    <row r="103" spans="2:15" ht="5.0999999999999996" customHeight="1" x14ac:dyDescent="0.2">
      <c r="D103" s="168"/>
      <c r="E103" s="51"/>
      <c r="F103" s="51"/>
      <c r="G103" s="167"/>
      <c r="H103" s="49"/>
      <c r="I103" s="49"/>
      <c r="J103" s="49"/>
      <c r="K103" s="49"/>
      <c r="L103" s="49"/>
      <c r="M103" s="49"/>
    </row>
    <row r="104" spans="2:15" ht="12.95" customHeight="1" x14ac:dyDescent="0.2">
      <c r="B104" s="27" t="s">
        <v>349</v>
      </c>
      <c r="C104" s="28"/>
      <c r="D104" s="171"/>
      <c r="E104" s="61">
        <f>-(E63+E64-D63-D64)</f>
        <v>-22.400000000000002</v>
      </c>
      <c r="F104" s="61">
        <f t="shared" ref="F104:M104" si="70">-(F63+F64-E63-E64)</f>
        <v>6.2000000000000028</v>
      </c>
      <c r="G104" s="61">
        <f t="shared" si="70"/>
        <v>-42.099999999999994</v>
      </c>
      <c r="H104" s="61">
        <f t="shared" si="70"/>
        <v>0</v>
      </c>
      <c r="I104" s="61">
        <f t="shared" si="70"/>
        <v>0</v>
      </c>
      <c r="J104" s="61">
        <f t="shared" si="70"/>
        <v>0</v>
      </c>
      <c r="K104" s="61">
        <f t="shared" si="70"/>
        <v>0</v>
      </c>
      <c r="L104" s="61">
        <f t="shared" si="70"/>
        <v>0</v>
      </c>
      <c r="M104" s="61">
        <f t="shared" si="70"/>
        <v>0</v>
      </c>
    </row>
    <row r="105" spans="2:15" ht="12.95" customHeight="1" x14ac:dyDescent="0.2">
      <c r="B105" s="27" t="s">
        <v>176</v>
      </c>
      <c r="C105" s="28"/>
      <c r="D105" s="171"/>
      <c r="E105" s="95">
        <f>+(E71+E72+E73-D71-D72-D73)</f>
        <v>296.30000000000007</v>
      </c>
      <c r="F105" s="95">
        <f t="shared" ref="F105:M105" si="71">+(F71+F72+F73-E71-E72-E73)</f>
        <v>-26.800000000000182</v>
      </c>
      <c r="G105" s="172">
        <f t="shared" si="71"/>
        <v>-75.699999999999818</v>
      </c>
      <c r="H105" s="61">
        <f t="shared" si="71"/>
        <v>611.1128491999998</v>
      </c>
      <c r="I105" s="61">
        <f t="shared" si="71"/>
        <v>11.561338901509316</v>
      </c>
      <c r="J105" s="61">
        <f t="shared" si="71"/>
        <v>-339.53710978672871</v>
      </c>
      <c r="K105" s="61">
        <f t="shared" si="71"/>
        <v>14.324369967823031</v>
      </c>
      <c r="L105" s="61">
        <f t="shared" si="71"/>
        <v>-151.63392991326396</v>
      </c>
      <c r="M105" s="61">
        <f t="shared" si="71"/>
        <v>0</v>
      </c>
    </row>
    <row r="106" spans="2:15" ht="12.95" customHeight="1" x14ac:dyDescent="0.2">
      <c r="B106" s="20" t="s">
        <v>322</v>
      </c>
      <c r="C106" s="21"/>
      <c r="D106" s="188"/>
      <c r="E106" s="57">
        <f>+SUM(E97:E105)</f>
        <v>119.60000000000002</v>
      </c>
      <c r="F106" s="57">
        <f t="shared" ref="F106:M106" si="72">+SUM(F97:F105)</f>
        <v>189.00000000000045</v>
      </c>
      <c r="G106" s="189">
        <f t="shared" si="72"/>
        <v>-267.60000000000036</v>
      </c>
      <c r="H106" s="57">
        <f t="shared" ca="1" si="72"/>
        <v>710.37464642061639</v>
      </c>
      <c r="I106" s="57">
        <f t="shared" ca="1" si="72"/>
        <v>137.31815039727979</v>
      </c>
      <c r="J106" s="57">
        <f t="shared" ca="1" si="72"/>
        <v>-196.06519676711468</v>
      </c>
      <c r="K106" s="57">
        <f t="shared" ca="1" si="72"/>
        <v>177.59931273035306</v>
      </c>
      <c r="L106" s="57">
        <f t="shared" ca="1" si="72"/>
        <v>33.784203143168043</v>
      </c>
      <c r="M106" s="57">
        <f t="shared" ca="1" si="72"/>
        <v>340.88078613021713</v>
      </c>
      <c r="N106" s="77"/>
      <c r="O106" s="4"/>
    </row>
    <row r="107" spans="2:15" ht="5.0999999999999996" customHeight="1" x14ac:dyDescent="0.2">
      <c r="D107" s="168"/>
      <c r="E107" s="51"/>
      <c r="F107" s="51"/>
      <c r="G107" s="167"/>
      <c r="H107" s="49"/>
      <c r="I107" s="49"/>
      <c r="J107" s="49"/>
      <c r="K107" s="49"/>
      <c r="L107" s="49"/>
      <c r="M107" s="49"/>
    </row>
    <row r="108" spans="2:15" ht="12.95" customHeight="1" x14ac:dyDescent="0.2">
      <c r="B108" s="27" t="s">
        <v>131</v>
      </c>
      <c r="C108" s="28"/>
      <c r="D108" s="171"/>
      <c r="E108" s="95">
        <f>-E34</f>
        <v>-40.5</v>
      </c>
      <c r="F108" s="95">
        <f t="shared" ref="F108:M108" si="73">-F34</f>
        <v>-39.799999999999997</v>
      </c>
      <c r="G108" s="172">
        <f t="shared" si="73"/>
        <v>-46.1</v>
      </c>
      <c r="H108" s="172">
        <f t="shared" ca="1" si="73"/>
        <v>-51.68315472901584</v>
      </c>
      <c r="I108" s="172">
        <f t="shared" ca="1" si="73"/>
        <v>-58.074341749608742</v>
      </c>
      <c r="J108" s="172">
        <f t="shared" ca="1" si="73"/>
        <v>-65.288287410157039</v>
      </c>
      <c r="K108" s="172">
        <f t="shared" ca="1" si="73"/>
        <v>-73.355054859890927</v>
      </c>
      <c r="L108" s="172">
        <f t="shared" ca="1" si="73"/>
        <v>-82.379081399072291</v>
      </c>
      <c r="M108" s="172">
        <f t="shared" ca="1" si="73"/>
        <v>-340.88078613021707</v>
      </c>
    </row>
    <row r="109" spans="2:15" ht="12.95" customHeight="1" x14ac:dyDescent="0.2">
      <c r="B109" s="27" t="s">
        <v>128</v>
      </c>
      <c r="C109" s="28"/>
      <c r="D109" s="171"/>
      <c r="E109" s="95">
        <f>+E78-D78-E31+E34</f>
        <v>-51.299999999999898</v>
      </c>
      <c r="F109" s="95">
        <f t="shared" ref="F109:M109" si="74">+F78-E78-F31+F34</f>
        <v>-147.79999999999984</v>
      </c>
      <c r="G109" s="95">
        <f t="shared" si="74"/>
        <v>99.799999999999869</v>
      </c>
      <c r="H109" s="95">
        <f t="shared" ca="1" si="74"/>
        <v>0</v>
      </c>
      <c r="I109" s="95">
        <f t="shared" ca="1" si="74"/>
        <v>1.3500311979441904E-13</v>
      </c>
      <c r="J109" s="95">
        <f t="shared" ca="1" si="74"/>
        <v>3.1263880373444408E-13</v>
      </c>
      <c r="K109" s="95">
        <f t="shared" ca="1" si="74"/>
        <v>1.8474111129762605E-13</v>
      </c>
      <c r="L109" s="95">
        <f t="shared" ca="1" si="74"/>
        <v>-1.5631940186722204E-13</v>
      </c>
      <c r="M109" s="95">
        <f t="shared" ca="1" si="74"/>
        <v>0</v>
      </c>
    </row>
    <row r="110" spans="2:15" ht="12.95" customHeight="1" x14ac:dyDescent="0.2">
      <c r="B110" s="27" t="s">
        <v>275</v>
      </c>
      <c r="C110" s="28"/>
      <c r="D110" s="171"/>
      <c r="E110" s="95">
        <f>+E80-D80</f>
        <v>0.5</v>
      </c>
      <c r="F110" s="95">
        <f t="shared" ref="F110:M110" si="75">+F80-E80</f>
        <v>0.29999999999999982</v>
      </c>
      <c r="G110" s="95">
        <f t="shared" si="75"/>
        <v>0.59999999999999964</v>
      </c>
      <c r="H110" s="95">
        <f t="shared" si="75"/>
        <v>0</v>
      </c>
      <c r="I110" s="95">
        <f t="shared" si="75"/>
        <v>0</v>
      </c>
      <c r="J110" s="95">
        <f t="shared" si="75"/>
        <v>0</v>
      </c>
      <c r="K110" s="95">
        <f t="shared" si="75"/>
        <v>0</v>
      </c>
      <c r="L110" s="95">
        <f t="shared" si="75"/>
        <v>0</v>
      </c>
      <c r="M110" s="95">
        <f t="shared" si="75"/>
        <v>0</v>
      </c>
    </row>
    <row r="111" spans="2:15" ht="5.0999999999999996" customHeight="1" x14ac:dyDescent="0.2">
      <c r="D111" s="168"/>
      <c r="E111" s="51"/>
      <c r="F111" s="51"/>
      <c r="G111" s="167"/>
      <c r="H111" s="49"/>
      <c r="I111" s="49"/>
      <c r="J111" s="49"/>
      <c r="K111" s="49"/>
      <c r="L111" s="49"/>
      <c r="M111" s="49"/>
    </row>
    <row r="112" spans="2:15" ht="12.95" customHeight="1" x14ac:dyDescent="0.2">
      <c r="B112" s="24" t="s">
        <v>277</v>
      </c>
      <c r="C112" s="25"/>
      <c r="D112" s="173"/>
      <c r="E112" s="174">
        <f>+SUM(E106:E110)</f>
        <v>28.300000000000125</v>
      </c>
      <c r="F112" s="174">
        <f t="shared" ref="F112:M112" si="76">+SUM(F106:F110)</f>
        <v>1.7000000000006024</v>
      </c>
      <c r="G112" s="175">
        <f t="shared" si="76"/>
        <v>-213.30000000000052</v>
      </c>
      <c r="H112" s="58">
        <f ca="1">+SUM(H106:H110)</f>
        <v>658.6914916916005</v>
      </c>
      <c r="I112" s="58">
        <f t="shared" ca="1" si="76"/>
        <v>79.243808647671187</v>
      </c>
      <c r="J112" s="58">
        <f t="shared" ca="1" si="76"/>
        <v>-261.35348417727141</v>
      </c>
      <c r="K112" s="58">
        <f t="shared" ca="1" si="76"/>
        <v>104.24425787046232</v>
      </c>
      <c r="L112" s="58">
        <f t="shared" ca="1" si="76"/>
        <v>-48.594878255904405</v>
      </c>
      <c r="M112" s="58">
        <f t="shared" ca="1" si="76"/>
        <v>5.6843418860808015E-14</v>
      </c>
    </row>
    <row r="113" spans="2:13" ht="12.95" customHeight="1" x14ac:dyDescent="0.2">
      <c r="B113" s="48" t="s">
        <v>1</v>
      </c>
      <c r="C113" s="28"/>
      <c r="D113" s="171"/>
      <c r="E113" s="204">
        <f>+E112+(E70-D70)</f>
        <v>0</v>
      </c>
      <c r="F113" s="204">
        <f t="shared" ref="F113:M113" si="77">+F112+(F70-E70)</f>
        <v>-1.1546319456101628E-14</v>
      </c>
      <c r="G113" s="204">
        <f t="shared" si="77"/>
        <v>0</v>
      </c>
      <c r="H113" s="252">
        <f t="shared" ca="1" si="77"/>
        <v>0</v>
      </c>
      <c r="I113" s="54">
        <f t="shared" ca="1" si="77"/>
        <v>0</v>
      </c>
      <c r="J113" s="54">
        <f t="shared" ca="1" si="77"/>
        <v>0</v>
      </c>
      <c r="K113" s="54">
        <f t="shared" ca="1" si="77"/>
        <v>0</v>
      </c>
      <c r="L113" s="54">
        <f t="shared" ca="1" si="77"/>
        <v>0</v>
      </c>
      <c r="M113" s="54">
        <f t="shared" ca="1" si="77"/>
        <v>-5.6843418860808015E-14</v>
      </c>
    </row>
    <row r="114" spans="2:13" ht="12.95" customHeight="1" x14ac:dyDescent="0.2">
      <c r="B114" s="27"/>
      <c r="C114" s="28"/>
      <c r="D114" s="61"/>
      <c r="E114" s="61"/>
      <c r="F114" s="61"/>
      <c r="G114" s="61"/>
      <c r="H114" s="253"/>
      <c r="I114" s="61"/>
      <c r="J114" s="61"/>
      <c r="K114" s="61"/>
      <c r="L114" s="61"/>
      <c r="M114" s="61"/>
    </row>
    <row r="115" spans="2:13" ht="12.95" customHeight="1" x14ac:dyDescent="0.2">
      <c r="B115" s="27"/>
      <c r="C115" s="28"/>
      <c r="D115" s="61"/>
      <c r="E115" s="61"/>
      <c r="F115" s="61"/>
      <c r="G115" s="61"/>
      <c r="H115" s="253"/>
      <c r="I115" s="61"/>
      <c r="J115" s="61"/>
      <c r="K115" s="61"/>
      <c r="L115" s="61"/>
      <c r="M115" s="61"/>
    </row>
    <row r="116" spans="2:13" ht="12.95" customHeight="1" x14ac:dyDescent="0.2">
      <c r="B116" s="27"/>
      <c r="C116" s="28"/>
      <c r="D116" s="61"/>
      <c r="E116" s="61"/>
      <c r="F116" s="61"/>
      <c r="G116" s="61"/>
      <c r="H116" s="253"/>
      <c r="I116" s="61"/>
      <c r="J116" s="61"/>
      <c r="K116" s="61"/>
      <c r="L116" s="61"/>
      <c r="M116" s="61"/>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76"/>
  <sheetViews>
    <sheetView showGridLines="0" zoomScaleNormal="100" workbookViewId="0">
      <pane xSplit="3" ySplit="6" topLeftCell="D7" activePane="bottomRight" state="frozen"/>
      <selection pane="topRight" activeCell="D1" sqref="D1"/>
      <selection pane="bottomLeft" activeCell="A7" sqref="A7"/>
      <selection pane="bottomRight"/>
    </sheetView>
  </sheetViews>
  <sheetFormatPr defaultColWidth="13.83203125" defaultRowHeight="12.95" customHeight="1" x14ac:dyDescent="0.2"/>
  <cols>
    <col min="2" max="2" width="50" customWidth="1"/>
    <col min="3" max="3" width="10.33203125" bestFit="1" customWidth="1"/>
  </cols>
  <sheetData>
    <row r="1" spans="2:13" ht="12.95" customHeight="1" x14ac:dyDescent="0.25">
      <c r="B1" s="7"/>
      <c r="D1" s="43"/>
      <c r="H1" s="43"/>
    </row>
    <row r="2" spans="2:13" ht="20.100000000000001" customHeight="1" x14ac:dyDescent="0.2">
      <c r="B2" s="9" t="s">
        <v>145</v>
      </c>
      <c r="C2" s="8"/>
      <c r="D2" s="44"/>
      <c r="E2" s="8"/>
      <c r="F2" s="8"/>
      <c r="G2" s="8"/>
      <c r="H2" s="43"/>
    </row>
    <row r="3" spans="2:13" ht="12.95" customHeight="1" x14ac:dyDescent="0.2">
      <c r="B3" s="10"/>
      <c r="C3" s="8"/>
      <c r="D3" s="40" t="s">
        <v>98</v>
      </c>
      <c r="E3" s="39"/>
      <c r="F3" s="39"/>
      <c r="G3" s="39"/>
      <c r="H3" s="40" t="s">
        <v>99</v>
      </c>
      <c r="I3" s="38"/>
      <c r="J3" s="38"/>
      <c r="K3" s="38"/>
      <c r="L3" s="38"/>
    </row>
    <row r="4" spans="2:13" ht="5.0999999999999996" customHeight="1" x14ac:dyDescent="0.2">
      <c r="D4" s="43"/>
      <c r="H4" s="43"/>
    </row>
    <row r="5" spans="2:13" ht="15" customHeight="1" x14ac:dyDescent="0.2">
      <c r="B5" s="1"/>
      <c r="C5" s="13" t="s">
        <v>2</v>
      </c>
      <c r="D5" s="41">
        <v>40908</v>
      </c>
      <c r="E5" s="42">
        <f t="shared" ref="E5:L5" si="0">+EOMONTH(D5,12)</f>
        <v>41274</v>
      </c>
      <c r="F5" s="42">
        <f t="shared" si="0"/>
        <v>41639</v>
      </c>
      <c r="G5" s="42">
        <f t="shared" si="0"/>
        <v>42004</v>
      </c>
      <c r="H5" s="37">
        <f t="shared" si="0"/>
        <v>42369</v>
      </c>
      <c r="I5" s="2">
        <f t="shared" si="0"/>
        <v>42735</v>
      </c>
      <c r="J5" s="2">
        <f t="shared" si="0"/>
        <v>43100</v>
      </c>
      <c r="K5" s="2">
        <f t="shared" si="0"/>
        <v>43465</v>
      </c>
      <c r="L5" s="2">
        <f t="shared" si="0"/>
        <v>43830</v>
      </c>
      <c r="M5" s="85" t="s">
        <v>183</v>
      </c>
    </row>
    <row r="6" spans="2:13" ht="5.0999999999999996" customHeight="1" x14ac:dyDescent="0.2">
      <c r="D6" s="43"/>
      <c r="H6" s="43"/>
    </row>
    <row r="7" spans="2:13" s="45" customFormat="1" ht="5.0999999999999996" customHeight="1" x14ac:dyDescent="0.2"/>
    <row r="8" spans="2:13" s="45" customFormat="1" ht="12.95" customHeight="1" x14ac:dyDescent="0.2">
      <c r="B8" s="46" t="s">
        <v>296</v>
      </c>
      <c r="C8" s="46"/>
      <c r="D8" s="176"/>
      <c r="E8" s="177"/>
      <c r="F8" s="177"/>
      <c r="G8" s="178"/>
      <c r="H8" s="46"/>
      <c r="I8" s="46"/>
      <c r="J8" s="46"/>
      <c r="K8" s="46"/>
      <c r="L8" s="46"/>
      <c r="M8" s="46"/>
    </row>
    <row r="9" spans="2:13" ht="5.0999999999999996" customHeight="1" x14ac:dyDescent="0.2">
      <c r="D9" s="43"/>
      <c r="E9" s="45"/>
      <c r="F9" s="45"/>
      <c r="G9" s="164"/>
      <c r="L9" s="45"/>
      <c r="M9" s="45"/>
    </row>
    <row r="10" spans="2:13" ht="12.95" customHeight="1" x14ac:dyDescent="0.2">
      <c r="B10" s="18" t="s">
        <v>152</v>
      </c>
      <c r="D10" s="161"/>
      <c r="E10" s="68">
        <f>+Output!E11</f>
        <v>5.2268089781823734E-2</v>
      </c>
      <c r="F10" s="68">
        <f>+Output!F11</f>
        <v>0.13670942720763724</v>
      </c>
      <c r="G10" s="68">
        <f>+Output!G11</f>
        <v>2.3554884850075508E-2</v>
      </c>
      <c r="H10" s="68">
        <f>+Output!H11</f>
        <v>9.4657999999999909E-2</v>
      </c>
      <c r="I10" s="68">
        <f>+Output!I11</f>
        <v>8.9962513269912892E-2</v>
      </c>
      <c r="J10" s="68">
        <f>+Output!J11</f>
        <v>9.1829125605566775E-2</v>
      </c>
      <c r="K10" s="68">
        <f>+Output!K11</f>
        <v>9.3661851826018827E-2</v>
      </c>
      <c r="L10" s="68">
        <f>+Output!L11</f>
        <v>9.5455768502971328E-2</v>
      </c>
      <c r="M10" s="68">
        <f ca="1">+Output!M11</f>
        <v>3.0000000000000027E-2</v>
      </c>
    </row>
    <row r="11" spans="2:13" ht="12.95" customHeight="1" x14ac:dyDescent="0.2">
      <c r="B11" s="18" t="s">
        <v>154</v>
      </c>
      <c r="D11" s="209">
        <f>+Output!D19</f>
        <v>0.25820122429759851</v>
      </c>
      <c r="E11" s="207">
        <f>+Output!E19</f>
        <v>0.25156622911694509</v>
      </c>
      <c r="F11" s="207">
        <f>+Output!F19</f>
        <v>0.22255757496227271</v>
      </c>
      <c r="G11" s="208">
        <f>+Output!G19</f>
        <v>0.21641025641025649</v>
      </c>
      <c r="H11" s="68">
        <f>+Output!H19</f>
        <v>0.23718382119676826</v>
      </c>
      <c r="I11" s="68">
        <f>+Output!I19</f>
        <v>0.23718382119676823</v>
      </c>
      <c r="J11" s="68">
        <f>+Output!J19</f>
        <v>0.23718382119676829</v>
      </c>
      <c r="K11" s="68">
        <f>+Output!K19</f>
        <v>0.23718382119676831</v>
      </c>
      <c r="L11" s="68">
        <f>+Output!L19</f>
        <v>0.23718382119676817</v>
      </c>
      <c r="M11" s="68">
        <f ca="1">+Output!M19</f>
        <v>0.23718382119676823</v>
      </c>
    </row>
    <row r="12" spans="2:13" ht="12.95" customHeight="1" x14ac:dyDescent="0.2">
      <c r="B12" s="18" t="s">
        <v>153</v>
      </c>
      <c r="D12" s="209">
        <f>+Output!D23</f>
        <v>0.23442159786532724</v>
      </c>
      <c r="E12" s="207">
        <f>+Output!E23</f>
        <v>0.2271778042959427</v>
      </c>
      <c r="F12" s="207">
        <f>+Output!F23</f>
        <v>0.19657502788530923</v>
      </c>
      <c r="G12" s="208">
        <f>+Output!G23</f>
        <v>0.19115384615384626</v>
      </c>
      <c r="H12" s="68">
        <f>+Output!H23</f>
        <v>0.20757805418958292</v>
      </c>
      <c r="I12" s="68">
        <f>+Output!I23</f>
        <v>0.20757805418958289</v>
      </c>
      <c r="J12" s="68">
        <f>+Output!J23</f>
        <v>0.20757805418958292</v>
      </c>
      <c r="K12" s="68">
        <f>+Output!K23</f>
        <v>0.20757805418958297</v>
      </c>
      <c r="L12" s="68">
        <f>+Output!L23</f>
        <v>0.20757805418958283</v>
      </c>
      <c r="M12" s="68">
        <f ca="1">+Output!M23</f>
        <v>0.21718382119676824</v>
      </c>
    </row>
    <row r="13" spans="2:13" ht="12.95" customHeight="1" x14ac:dyDescent="0.2">
      <c r="B13" s="18" t="s">
        <v>278</v>
      </c>
      <c r="D13" s="209">
        <f>+Output!D32</f>
        <v>0.12533354261497409</v>
      </c>
      <c r="E13" s="207">
        <f>+Output!E32</f>
        <v>0.11709427207637228</v>
      </c>
      <c r="F13" s="207">
        <f>+Output!F32</f>
        <v>9.8681188898366134E-2</v>
      </c>
      <c r="G13" s="208">
        <f>+Output!G32</f>
        <v>8.301282051282062E-2</v>
      </c>
      <c r="H13" s="68">
        <f ca="1">+Output!H32</f>
        <v>0.11582847137360462</v>
      </c>
      <c r="I13" s="68">
        <f ca="1">+Output!I32</f>
        <v>0.1194095451655683</v>
      </c>
      <c r="J13" s="68">
        <f ca="1">+Output!J32</f>
        <v>0.12295192976560722</v>
      </c>
      <c r="K13" s="68">
        <f ca="1">+Output!K32</f>
        <v>0.12631271071392361</v>
      </c>
      <c r="L13" s="68">
        <f ca="1">+Output!L32</f>
        <v>0.12949085766348672</v>
      </c>
      <c r="M13" s="68">
        <f ca="1">+Output!M32</f>
        <v>0.13726352575015427</v>
      </c>
    </row>
    <row r="14" spans="2:13" ht="12.95" customHeight="1" x14ac:dyDescent="0.2">
      <c r="B14" s="14"/>
      <c r="D14" s="210"/>
      <c r="E14" s="211"/>
      <c r="F14" s="211"/>
      <c r="G14" s="212"/>
      <c r="H14" s="63"/>
      <c r="I14" s="63"/>
      <c r="J14" s="63"/>
      <c r="K14" s="63"/>
      <c r="L14" s="63"/>
      <c r="M14" s="63"/>
    </row>
    <row r="15" spans="2:13" s="45" customFormat="1" ht="12.95" customHeight="1" x14ac:dyDescent="0.2">
      <c r="B15" s="46" t="s">
        <v>155</v>
      </c>
      <c r="C15" s="46"/>
      <c r="D15" s="176"/>
      <c r="E15" s="177"/>
      <c r="F15" s="177"/>
      <c r="G15" s="178"/>
      <c r="H15" s="46"/>
      <c r="I15" s="46"/>
      <c r="J15" s="46"/>
      <c r="K15" s="46"/>
      <c r="L15" s="46"/>
      <c r="M15" s="46"/>
    </row>
    <row r="16" spans="2:13" ht="5.0999999999999996" customHeight="1" x14ac:dyDescent="0.2">
      <c r="D16" s="43"/>
      <c r="E16" s="45"/>
      <c r="F16" s="45"/>
      <c r="G16" s="164"/>
      <c r="L16" s="45"/>
      <c r="M16" s="45"/>
    </row>
    <row r="17" spans="2:13" ht="12.95" customHeight="1" x14ac:dyDescent="0.2">
      <c r="B17" s="18" t="s">
        <v>105</v>
      </c>
      <c r="D17" s="161"/>
      <c r="E17" s="162">
        <f>-Output!E95</f>
        <v>300.50000000000017</v>
      </c>
      <c r="F17" s="162">
        <f>-Output!F95</f>
        <v>-35.099999999999817</v>
      </c>
      <c r="G17" s="163">
        <f>-Output!G95</f>
        <v>373.49999999999989</v>
      </c>
      <c r="H17" s="52">
        <f>-Output!H95</f>
        <v>93.462267189317814</v>
      </c>
      <c r="I17" s="52">
        <f>-Output!I95</f>
        <v>101.87036764157267</v>
      </c>
      <c r="J17" s="52">
        <f>-Output!J95</f>
        <v>111.22503442721586</v>
      </c>
      <c r="K17" s="52">
        <f>-Output!K95</f>
        <v>121.64257712108218</v>
      </c>
      <c r="L17" s="52">
        <f>-Output!L95</f>
        <v>133.25406280285637</v>
      </c>
      <c r="M17" s="52">
        <f ca="1">-Output!M95</f>
        <v>50.155021552956569</v>
      </c>
    </row>
    <row r="18" spans="2:13" ht="12.95" customHeight="1" x14ac:dyDescent="0.2">
      <c r="B18" s="18" t="s">
        <v>65</v>
      </c>
      <c r="D18" s="161"/>
      <c r="E18" s="162">
        <f>+Output!E91</f>
        <v>32.700000000000003</v>
      </c>
      <c r="F18" s="162">
        <f>+Output!F91</f>
        <v>39.6</v>
      </c>
      <c r="G18" s="163">
        <f>+Output!G91</f>
        <v>39.4</v>
      </c>
      <c r="H18" s="52">
        <f>+Output!H91</f>
        <v>50.556775932860333</v>
      </c>
      <c r="I18" s="52">
        <f>+Output!I91</f>
        <v>55.1049905586043</v>
      </c>
      <c r="J18" s="52">
        <f>+Output!J91</f>
        <v>60.165233658103944</v>
      </c>
      <c r="K18" s="52">
        <f>+Output!K91</f>
        <v>65.800420858067071</v>
      </c>
      <c r="L18" s="52">
        <f>+Output!L91</f>
        <v>72.0814505988928</v>
      </c>
      <c r="M18" s="52">
        <f ca="1">+Output!M91</f>
        <v>50.155021552956569</v>
      </c>
    </row>
    <row r="19" spans="2:13" ht="5.0999999999999996" customHeight="1" x14ac:dyDescent="0.2">
      <c r="D19" s="43"/>
      <c r="E19" s="45"/>
      <c r="F19" s="45"/>
      <c r="G19" s="164"/>
      <c r="L19" s="45"/>
      <c r="M19" s="45"/>
    </row>
    <row r="20" spans="2:13" ht="12.95" customHeight="1" x14ac:dyDescent="0.2">
      <c r="B20" s="24" t="s">
        <v>150</v>
      </c>
      <c r="C20" s="25"/>
      <c r="D20" s="173"/>
      <c r="E20" s="213" t="str">
        <f>+IF(E17&gt;E18,"Expanding",IF(E17&lt;E18,"Downsizing","Neither"))</f>
        <v>Expanding</v>
      </c>
      <c r="F20" s="213" t="str">
        <f t="shared" ref="F20:M20" si="1">+IF(F17&gt;F18,"Expanding",IF(F17&lt;F18,"Downsizing","Neither"))</f>
        <v>Downsizing</v>
      </c>
      <c r="G20" s="214" t="str">
        <f t="shared" si="1"/>
        <v>Expanding</v>
      </c>
      <c r="H20" s="67" t="str">
        <f t="shared" si="1"/>
        <v>Expanding</v>
      </c>
      <c r="I20" s="67" t="str">
        <f t="shared" si="1"/>
        <v>Expanding</v>
      </c>
      <c r="J20" s="67" t="str">
        <f t="shared" si="1"/>
        <v>Expanding</v>
      </c>
      <c r="K20" s="67" t="str">
        <f t="shared" si="1"/>
        <v>Expanding</v>
      </c>
      <c r="L20" s="67" t="str">
        <f t="shared" si="1"/>
        <v>Expanding</v>
      </c>
      <c r="M20" s="67" t="str">
        <f t="shared" ca="1" si="1"/>
        <v>Neither</v>
      </c>
    </row>
    <row r="21" spans="2:13" ht="12.95" customHeight="1" x14ac:dyDescent="0.2">
      <c r="B21" s="24" t="s">
        <v>151</v>
      </c>
      <c r="C21" s="25"/>
      <c r="D21" s="173"/>
      <c r="E21" s="213" t="str">
        <f>+IF(E17&gt;0,"No","Yes")</f>
        <v>No</v>
      </c>
      <c r="F21" s="213" t="str">
        <f t="shared" ref="F21:L21" si="2">+IF(F17&gt;0,"No","Yes")</f>
        <v>Yes</v>
      </c>
      <c r="G21" s="214" t="str">
        <f t="shared" si="2"/>
        <v>No</v>
      </c>
      <c r="H21" s="67" t="str">
        <f t="shared" si="2"/>
        <v>No</v>
      </c>
      <c r="I21" s="67" t="str">
        <f t="shared" si="2"/>
        <v>No</v>
      </c>
      <c r="J21" s="67" t="str">
        <f t="shared" si="2"/>
        <v>No</v>
      </c>
      <c r="K21" s="67" t="str">
        <f t="shared" si="2"/>
        <v>No</v>
      </c>
      <c r="L21" s="67" t="str">
        <f t="shared" si="2"/>
        <v>No</v>
      </c>
      <c r="M21" s="67" t="str">
        <f t="shared" ref="M21" ca="1" si="3">+IF(M17&gt;0,"No","Yes")</f>
        <v>No</v>
      </c>
    </row>
    <row r="22" spans="2:13" ht="12.95" customHeight="1" x14ac:dyDescent="0.2">
      <c r="B22" s="18"/>
      <c r="D22" s="161"/>
      <c r="E22" s="162"/>
      <c r="F22" s="162"/>
      <c r="G22" s="163"/>
      <c r="H22" s="52"/>
      <c r="I22" s="52"/>
      <c r="J22" s="52"/>
      <c r="K22" s="52"/>
      <c r="L22" s="52"/>
      <c r="M22" s="52"/>
    </row>
    <row r="23" spans="2:13" s="45" customFormat="1" ht="12.95" customHeight="1" x14ac:dyDescent="0.2">
      <c r="B23" s="46" t="s">
        <v>280</v>
      </c>
      <c r="C23" s="46"/>
      <c r="D23" s="176"/>
      <c r="E23" s="177"/>
      <c r="F23" s="177"/>
      <c r="G23" s="178"/>
      <c r="H23" s="46"/>
      <c r="I23" s="46"/>
      <c r="J23" s="46"/>
      <c r="K23" s="46"/>
      <c r="L23" s="46"/>
      <c r="M23" s="46"/>
    </row>
    <row r="24" spans="2:13" ht="5.0999999999999996" customHeight="1" x14ac:dyDescent="0.2">
      <c r="D24" s="43"/>
      <c r="E24" s="45"/>
      <c r="F24" s="45"/>
      <c r="G24" s="164"/>
      <c r="L24" s="45"/>
      <c r="M24" s="45"/>
    </row>
    <row r="25" spans="2:13" ht="12.95" customHeight="1" x14ac:dyDescent="0.2">
      <c r="B25" s="18" t="s">
        <v>156</v>
      </c>
      <c r="D25" s="161">
        <f>+Calculations!D61</f>
        <v>65.813454820461004</v>
      </c>
      <c r="E25" s="162">
        <f>+Calculations!E61</f>
        <v>70.171194205013904</v>
      </c>
      <c r="F25" s="162">
        <f>+Calculations!F61</f>
        <v>57.100491768343439</v>
      </c>
      <c r="G25" s="163">
        <f>+Calculations!G61</f>
        <v>60.142917192097528</v>
      </c>
      <c r="H25" s="52">
        <f>+Calculations!H61</f>
        <v>58.621704480220487</v>
      </c>
      <c r="I25" s="52">
        <f>+Calculations!I61</f>
        <v>58.621704480220487</v>
      </c>
      <c r="J25" s="52">
        <f>+Calculations!J61</f>
        <v>58.621704480220487</v>
      </c>
      <c r="K25" s="52">
        <f>+Calculations!K61</f>
        <v>58.621704480220487</v>
      </c>
      <c r="L25" s="52">
        <f>+Calculations!L61</f>
        <v>58.621704480220487</v>
      </c>
      <c r="M25" s="52">
        <f ca="1">+Calculations!M61</f>
        <v>56.914276194388819</v>
      </c>
    </row>
    <row r="26" spans="2:13" ht="12.95" customHeight="1" x14ac:dyDescent="0.2">
      <c r="B26" s="18" t="s">
        <v>157</v>
      </c>
      <c r="D26" s="161">
        <f>+Calculations!D62</f>
        <v>130.18293008884567</v>
      </c>
      <c r="E26" s="162">
        <f>+Calculations!E62</f>
        <v>158.52742299023291</v>
      </c>
      <c r="F26" s="162">
        <f>+Calculations!F62</f>
        <v>122.17836437646477</v>
      </c>
      <c r="G26" s="163">
        <f>+Calculations!G62</f>
        <v>137.45790280018088</v>
      </c>
      <c r="H26" s="52">
        <f>+Calculations!H62</f>
        <v>129.81813358832284</v>
      </c>
      <c r="I26" s="52">
        <f>+Calculations!I62</f>
        <v>129.81813358832284</v>
      </c>
      <c r="J26" s="52">
        <f>+Calculations!J62</f>
        <v>129.81813358832284</v>
      </c>
      <c r="K26" s="52">
        <f>+Calculations!K62</f>
        <v>129.81813358832284</v>
      </c>
      <c r="L26" s="52">
        <f>+Calculations!L62</f>
        <v>129.81813358832284</v>
      </c>
      <c r="M26" s="52">
        <f ca="1">+Calculations!M62</f>
        <v>126.03702290128432</v>
      </c>
    </row>
    <row r="27" spans="2:13" ht="12.95" customHeight="1" x14ac:dyDescent="0.2">
      <c r="B27" s="18" t="s">
        <v>158</v>
      </c>
      <c r="D27" s="161">
        <f>+Calculations!D63</f>
        <v>94.902291633966414</v>
      </c>
      <c r="E27" s="162">
        <f>+Calculations!E63</f>
        <v>118.1731056085919</v>
      </c>
      <c r="F27" s="162">
        <f>+Calculations!F63</f>
        <v>105.99632570041337</v>
      </c>
      <c r="G27" s="163">
        <f>+Calculations!G63</f>
        <v>111.60576923076923</v>
      </c>
      <c r="H27" s="52">
        <f>+Calculations!H63</f>
        <v>108.8010474655913</v>
      </c>
      <c r="I27" s="52">
        <f>+Calculations!I63</f>
        <v>108.8010474655913</v>
      </c>
      <c r="J27" s="52">
        <f>+Calculations!J63</f>
        <v>108.8010474655913</v>
      </c>
      <c r="K27" s="52">
        <f>+Calculations!K63</f>
        <v>108.8010474655913</v>
      </c>
      <c r="L27" s="52">
        <f>+Calculations!L63</f>
        <v>108.8010474655913</v>
      </c>
      <c r="M27" s="52">
        <f ca="1">+Calculations!M63</f>
        <v>105.6320849180498</v>
      </c>
    </row>
    <row r="28" spans="2:13" ht="5.0999999999999996" customHeight="1" x14ac:dyDescent="0.2">
      <c r="B28" s="18"/>
      <c r="D28" s="161"/>
      <c r="E28" s="162"/>
      <c r="F28" s="162"/>
      <c r="G28" s="163"/>
      <c r="H28" s="52"/>
      <c r="I28" s="52"/>
      <c r="J28" s="52"/>
      <c r="K28" s="52"/>
      <c r="L28" s="52"/>
      <c r="M28" s="52"/>
    </row>
    <row r="29" spans="2:13" ht="12.95" customHeight="1" x14ac:dyDescent="0.2">
      <c r="B29" s="24" t="s">
        <v>159</v>
      </c>
      <c r="C29" s="25"/>
      <c r="D29" s="173"/>
      <c r="E29" s="213" t="str">
        <f>+IF(E25&gt;D25,"Later",IF(E25&lt;D25,"Sooner","Equally"))</f>
        <v>Later</v>
      </c>
      <c r="F29" s="213" t="str">
        <f t="shared" ref="F29:M30" si="4">+IF(F25&gt;E25,"Later",IF(F25&lt;E25,"Sooner","Equally"))</f>
        <v>Sooner</v>
      </c>
      <c r="G29" s="214" t="str">
        <f t="shared" si="4"/>
        <v>Later</v>
      </c>
      <c r="H29" s="67" t="str">
        <f t="shared" si="4"/>
        <v>Sooner</v>
      </c>
      <c r="I29" s="67" t="str">
        <f t="shared" si="4"/>
        <v>Equally</v>
      </c>
      <c r="J29" s="67" t="str">
        <f t="shared" si="4"/>
        <v>Equally</v>
      </c>
      <c r="K29" s="67" t="str">
        <f t="shared" si="4"/>
        <v>Equally</v>
      </c>
      <c r="L29" s="67" t="str">
        <f t="shared" si="4"/>
        <v>Equally</v>
      </c>
      <c r="M29" s="67" t="str">
        <f t="shared" ca="1" si="4"/>
        <v>Sooner</v>
      </c>
    </row>
    <row r="30" spans="2:13" ht="12.95" customHeight="1" x14ac:dyDescent="0.2">
      <c r="B30" s="24" t="s">
        <v>160</v>
      </c>
      <c r="C30" s="25"/>
      <c r="D30" s="173"/>
      <c r="E30" s="213" t="str">
        <f>+IF(E26&gt;D26,"Later",IF(E26&lt;D26,"Sooner","Equally"))</f>
        <v>Later</v>
      </c>
      <c r="F30" s="213" t="str">
        <f t="shared" si="4"/>
        <v>Sooner</v>
      </c>
      <c r="G30" s="214" t="str">
        <f t="shared" si="4"/>
        <v>Later</v>
      </c>
      <c r="H30" s="67" t="str">
        <f t="shared" si="4"/>
        <v>Sooner</v>
      </c>
      <c r="I30" s="67" t="str">
        <f t="shared" si="4"/>
        <v>Equally</v>
      </c>
      <c r="J30" s="67" t="str">
        <f t="shared" si="4"/>
        <v>Equally</v>
      </c>
      <c r="K30" s="67" t="str">
        <f t="shared" si="4"/>
        <v>Equally</v>
      </c>
      <c r="L30" s="67" t="str">
        <f t="shared" si="4"/>
        <v>Equally</v>
      </c>
      <c r="M30" s="67" t="str">
        <f t="shared" ca="1" si="4"/>
        <v>Sooner</v>
      </c>
    </row>
    <row r="31" spans="2:13" ht="12.95" customHeight="1" x14ac:dyDescent="0.2">
      <c r="B31" s="24" t="s">
        <v>161</v>
      </c>
      <c r="C31" s="25"/>
      <c r="D31" s="173"/>
      <c r="E31" s="213" t="str">
        <f>+IF(E27&gt;D27,"Longer",IF(E27&lt;D27,"Less","Equally"))</f>
        <v>Longer</v>
      </c>
      <c r="F31" s="213" t="str">
        <f t="shared" ref="F31:M31" si="5">+IF(F27&gt;E27,"Longer",IF(F27&lt;E27,"Less","Equally"))</f>
        <v>Less</v>
      </c>
      <c r="G31" s="214" t="str">
        <f t="shared" si="5"/>
        <v>Longer</v>
      </c>
      <c r="H31" s="67" t="str">
        <f t="shared" si="5"/>
        <v>Less</v>
      </c>
      <c r="I31" s="67" t="str">
        <f t="shared" si="5"/>
        <v>Equally</v>
      </c>
      <c r="J31" s="67" t="str">
        <f t="shared" si="5"/>
        <v>Equally</v>
      </c>
      <c r="K31" s="67" t="str">
        <f t="shared" si="5"/>
        <v>Equally</v>
      </c>
      <c r="L31" s="67" t="str">
        <f t="shared" si="5"/>
        <v>Equally</v>
      </c>
      <c r="M31" s="67" t="str">
        <f t="shared" ca="1" si="5"/>
        <v>Less</v>
      </c>
    </row>
    <row r="32" spans="2:13" ht="12.95" customHeight="1" x14ac:dyDescent="0.2">
      <c r="B32" s="18"/>
      <c r="D32" s="161"/>
      <c r="E32" s="162"/>
      <c r="F32" s="162"/>
      <c r="G32" s="163"/>
      <c r="H32" s="52"/>
      <c r="I32" s="52"/>
      <c r="J32" s="52"/>
      <c r="K32" s="52"/>
      <c r="L32" s="52"/>
      <c r="M32" s="52"/>
    </row>
    <row r="33" spans="2:13" s="45" customFormat="1" ht="12.95" customHeight="1" x14ac:dyDescent="0.2">
      <c r="B33" s="46" t="s">
        <v>162</v>
      </c>
      <c r="C33" s="46"/>
      <c r="D33" s="176"/>
      <c r="E33" s="177"/>
      <c r="F33" s="177"/>
      <c r="G33" s="178"/>
      <c r="H33" s="46"/>
      <c r="I33" s="46"/>
      <c r="J33" s="46"/>
      <c r="K33" s="46"/>
      <c r="L33" s="46"/>
      <c r="M33" s="46"/>
    </row>
    <row r="34" spans="2:13" ht="5.0999999999999996" customHeight="1" x14ac:dyDescent="0.2">
      <c r="D34" s="43"/>
      <c r="E34" s="45"/>
      <c r="F34" s="45"/>
      <c r="G34" s="164"/>
      <c r="L34" s="45"/>
      <c r="M34" s="45"/>
    </row>
    <row r="35" spans="2:13" ht="12.95" customHeight="1" x14ac:dyDescent="0.2">
      <c r="B35" s="18" t="s">
        <v>163</v>
      </c>
      <c r="D35" s="215">
        <f>+Output!D74/Output!D81</f>
        <v>0.48179025888547611</v>
      </c>
      <c r="E35" s="216">
        <f>+Output!E74/Output!E81</f>
        <v>0.64670992952341078</v>
      </c>
      <c r="F35" s="216">
        <f>+Output!F74/Output!F81</f>
        <v>0.64338919925512061</v>
      </c>
      <c r="G35" s="217">
        <f>+Output!G74/Output!G81</f>
        <v>0.65563291139240509</v>
      </c>
      <c r="H35" s="70">
        <f ca="1">+Output!H74/Output!H81</f>
        <v>0.57257040426778094</v>
      </c>
      <c r="I35" s="70">
        <f ca="1">+Output!I74/Output!I81</f>
        <v>0.48703450756921757</v>
      </c>
      <c r="J35" s="70">
        <f ca="1">+Output!J74/Output!J81</f>
        <v>0.40602772994854675</v>
      </c>
      <c r="K35" s="70">
        <f ca="1">+Output!K74/Output!K81</f>
        <v>0.32973354105231079</v>
      </c>
      <c r="L35" s="70">
        <f ca="1">+Output!L74/Output!L81</f>
        <v>0.25823398127409408</v>
      </c>
      <c r="M35" s="70">
        <f ca="1">+Output!M74/Output!M81</f>
        <v>0.25823398127409403</v>
      </c>
    </row>
    <row r="36" spans="2:13" ht="12.95" customHeight="1" x14ac:dyDescent="0.2">
      <c r="B36" s="18" t="s">
        <v>164</v>
      </c>
      <c r="D36" s="209">
        <f>+Output!D74/Output!D83</f>
        <v>0.3251406573882144</v>
      </c>
      <c r="E36" s="207">
        <f>+Output!E74/Output!E83</f>
        <v>0.39272850544514604</v>
      </c>
      <c r="F36" s="207">
        <f>+Output!F74/Output!F83</f>
        <v>0.39150141643059472</v>
      </c>
      <c r="G36" s="208">
        <f>+Output!G74/Output!G83</f>
        <v>0.39600137619939602</v>
      </c>
      <c r="H36" s="68">
        <f ca="1">+Output!H74/Output!H83</f>
        <v>0.36409842301107065</v>
      </c>
      <c r="I36" s="68">
        <f ca="1">+Output!I74/Output!I83</f>
        <v>0.32752064937978403</v>
      </c>
      <c r="J36" s="68">
        <f ca="1">+Output!J74/Output!J83</f>
        <v>0.28877647382061611</v>
      </c>
      <c r="K36" s="68">
        <f ca="1">+Output!K74/Output!K83</f>
        <v>0.24796963517320142</v>
      </c>
      <c r="L36" s="68">
        <f ca="1">+Output!L74/Output!L83</f>
        <v>0.20523526237354123</v>
      </c>
      <c r="M36" s="68">
        <f ca="1">+Output!M74/Output!M83</f>
        <v>0.20523526237354123</v>
      </c>
    </row>
    <row r="37" spans="2:13" ht="5.0999999999999996" customHeight="1" x14ac:dyDescent="0.2">
      <c r="D37" s="43"/>
      <c r="E37" s="45"/>
      <c r="F37" s="45"/>
      <c r="G37" s="164"/>
      <c r="L37" s="45"/>
      <c r="M37" s="45"/>
    </row>
    <row r="38" spans="2:13" ht="12.95" customHeight="1" x14ac:dyDescent="0.2">
      <c r="B38" s="18" t="s">
        <v>165</v>
      </c>
      <c r="D38" s="215">
        <f>+Output!D74/Output!D18</f>
        <v>2.0024316109422493</v>
      </c>
      <c r="E38" s="216">
        <f>+Output!E74/Output!E18</f>
        <v>2.7477023421286693</v>
      </c>
      <c r="F38" s="216">
        <f>+Output!F74/Output!F18</f>
        <v>2.6482900943396217</v>
      </c>
      <c r="G38" s="217">
        <f>+Output!G74/Output!G18</f>
        <v>3.0684241706161122</v>
      </c>
      <c r="H38" s="70">
        <f ca="1">+Output!H74/Output!H18</f>
        <v>2.4401137111664895</v>
      </c>
      <c r="I38" s="70">
        <f ca="1">+Output!I74/Output!I18</f>
        <v>2.0854012937397339</v>
      </c>
      <c r="J38" s="70">
        <f ca="1">+Output!J74/Output!J18</f>
        <v>1.7478030588474918</v>
      </c>
      <c r="K38" s="70">
        <f ca="1">+Output!K74/Output!K18</f>
        <v>1.427544001828521</v>
      </c>
      <c r="L38" s="70">
        <f ca="1">+Output!L74/Output!L18</f>
        <v>1.1247200413555278</v>
      </c>
      <c r="M38" s="70">
        <f ca="1">+Output!M74/Output!M18</f>
        <v>1.1026667072113012</v>
      </c>
    </row>
    <row r="39" spans="2:13" ht="12.95" customHeight="1" x14ac:dyDescent="0.2">
      <c r="B39" s="18" t="s">
        <v>166</v>
      </c>
      <c r="D39" s="215">
        <f>+Output!D22/-Output!D25</f>
        <v>6.995316159250585</v>
      </c>
      <c r="E39" s="216">
        <f>+Output!E22/-Output!E25</f>
        <v>6.2418032786885229</v>
      </c>
      <c r="F39" s="216">
        <f>+Output!F22/-Output!F25</f>
        <v>5.103918228279384</v>
      </c>
      <c r="G39" s="217">
        <f>+Output!G22/-Output!G25</f>
        <v>4.986622073578598</v>
      </c>
      <c r="H39" s="70">
        <f ca="1">+Output!H22/-Output!H25</f>
        <v>5.6640448354683572</v>
      </c>
      <c r="I39" s="70">
        <f ca="1">+Output!I22/-Output!I25</f>
        <v>6.5463521350166642</v>
      </c>
      <c r="J39" s="70">
        <f ca="1">+Output!J22/-Output!J25</f>
        <v>7.7388319831779189</v>
      </c>
      <c r="K39" s="70">
        <f ca="1">+Output!K22/-Output!K25</f>
        <v>9.355690540049773</v>
      </c>
      <c r="L39" s="70">
        <f ca="1">+Output!L22/-Output!L25</f>
        <v>11.659260356608652</v>
      </c>
      <c r="M39" s="70">
        <f ca="1">+Output!M22/-Output!M25</f>
        <v>13.429762906797633</v>
      </c>
    </row>
    <row r="40" spans="2:13" ht="5.0999999999999996" customHeight="1" x14ac:dyDescent="0.2">
      <c r="D40" s="43"/>
      <c r="E40" s="45"/>
      <c r="F40" s="45"/>
      <c r="G40" s="164"/>
      <c r="L40" s="45"/>
      <c r="M40" s="45"/>
    </row>
    <row r="41" spans="2:13" ht="12.95" customHeight="1" x14ac:dyDescent="0.2">
      <c r="B41" s="18" t="s">
        <v>167</v>
      </c>
      <c r="D41" s="215"/>
      <c r="E41" s="216">
        <f>+Output!E97/(-Output!E100-Output!E105)</f>
        <v>0.4135127272727272</v>
      </c>
      <c r="F41" s="216">
        <f>+Output!F97/(-Output!F100-Output!F105)</f>
        <v>3.0962058479532182</v>
      </c>
      <c r="G41" s="217">
        <f>+Output!G97/(-Output!G100-Output!G105)</f>
        <v>-0.55154833948339976</v>
      </c>
      <c r="H41" s="70">
        <f ca="1">+Output!H97/(-Output!H100-Output!H105)</f>
        <v>-0.26367694696542593</v>
      </c>
      <c r="I41" s="70">
        <f ca="1">+Output!I97/(-Output!I100-Output!I105)</f>
        <v>3.551454550190436</v>
      </c>
      <c r="J41" s="70">
        <f ca="1">+Output!J97/(-Output!J100-Output!J105)</f>
        <v>0.46439024657857053</v>
      </c>
      <c r="K41" s="70">
        <f ca="1">+Output!K97/(-Output!K100-Output!K105)</f>
        <v>5.6883858981475459</v>
      </c>
      <c r="L41" s="70">
        <f ca="1">+Output!L97/(-Output!L100-Output!L105)</f>
        <v>1.1121331844087081</v>
      </c>
      <c r="M41" s="70">
        <f ca="1">+Output!M97/(-Output!M100-Output!M105)</f>
        <v>9.2128173540631764</v>
      </c>
    </row>
    <row r="42" spans="2:13" ht="12.95" customHeight="1" x14ac:dyDescent="0.2">
      <c r="B42" s="18"/>
      <c r="D42" s="161"/>
      <c r="E42" s="162"/>
      <c r="F42" s="162"/>
      <c r="G42" s="163"/>
      <c r="H42" s="52"/>
      <c r="I42" s="52"/>
      <c r="J42" s="52"/>
      <c r="K42" s="52"/>
      <c r="L42" s="52"/>
      <c r="M42" s="52"/>
    </row>
    <row r="43" spans="2:13" s="45" customFormat="1" ht="12.95" customHeight="1" x14ac:dyDescent="0.2">
      <c r="B43" s="46" t="s">
        <v>168</v>
      </c>
      <c r="C43" s="46"/>
      <c r="D43" s="176"/>
      <c r="E43" s="177"/>
      <c r="F43" s="177"/>
      <c r="G43" s="178"/>
      <c r="H43" s="46"/>
      <c r="I43" s="46"/>
      <c r="J43" s="46"/>
      <c r="K43" s="46"/>
      <c r="L43" s="46"/>
      <c r="M43" s="46"/>
    </row>
    <row r="44" spans="2:13" ht="5.0999999999999996" customHeight="1" x14ac:dyDescent="0.2">
      <c r="D44" s="43"/>
      <c r="E44" s="45"/>
      <c r="F44" s="45"/>
      <c r="G44" s="164"/>
      <c r="L44" s="45"/>
      <c r="M44" s="45"/>
    </row>
    <row r="45" spans="2:13" ht="12.95" customHeight="1" x14ac:dyDescent="0.2">
      <c r="B45" s="18" t="s">
        <v>169</v>
      </c>
      <c r="D45" s="215">
        <f>+Originals!D62/Originals!D87</f>
        <v>1.9453053783044683</v>
      </c>
      <c r="E45" s="216">
        <f>+Originals!E62/Originals!E87</f>
        <v>2.4627239452899263</v>
      </c>
      <c r="F45" s="216">
        <f>+Originals!F62/Originals!F87</f>
        <v>2.5942656765676535</v>
      </c>
      <c r="G45" s="217">
        <f>+Originals!G62/Originals!G87</f>
        <v>2.1335294117647061</v>
      </c>
      <c r="H45" s="69"/>
      <c r="I45" s="69"/>
      <c r="J45" s="69"/>
      <c r="K45" s="69"/>
      <c r="L45" s="69"/>
      <c r="M45" s="69"/>
    </row>
    <row r="46" spans="2:13" ht="12.95" customHeight="1" x14ac:dyDescent="0.2">
      <c r="B46" s="18" t="s">
        <v>170</v>
      </c>
      <c r="D46" s="215">
        <f>+(Originals!D62-Originals!D55)/Originals!D87</f>
        <v>1.3412944393801287</v>
      </c>
      <c r="E46" s="216">
        <f>+(Originals!E62-Originals!E55)/Originals!E87</f>
        <v>1.6264688884607983</v>
      </c>
      <c r="F46" s="216">
        <f>+(Originals!F62-Originals!F55)/Originals!F87</f>
        <v>1.6813118811881167</v>
      </c>
      <c r="G46" s="217">
        <f>+(Originals!G62-Originals!G55)/Originals!G87</f>
        <v>1.1982352941176473</v>
      </c>
      <c r="H46" s="69"/>
      <c r="I46" s="69"/>
      <c r="J46" s="69"/>
      <c r="K46" s="69"/>
      <c r="L46" s="69"/>
      <c r="M46" s="69"/>
    </row>
    <row r="47" spans="2:13" ht="12.95" customHeight="1" x14ac:dyDescent="0.2">
      <c r="B47" s="18"/>
      <c r="D47" s="161"/>
      <c r="E47" s="162"/>
      <c r="F47" s="162"/>
      <c r="G47" s="163"/>
      <c r="H47" s="52"/>
      <c r="I47" s="52"/>
      <c r="J47" s="52"/>
      <c r="K47" s="52"/>
      <c r="L47" s="52"/>
      <c r="M47" s="52"/>
    </row>
    <row r="48" spans="2:13" s="45" customFormat="1" ht="12.95" customHeight="1" x14ac:dyDescent="0.2">
      <c r="B48" s="46" t="s">
        <v>171</v>
      </c>
      <c r="C48" s="46"/>
      <c r="D48" s="176"/>
      <c r="E48" s="177"/>
      <c r="F48" s="177"/>
      <c r="G48" s="178"/>
      <c r="H48" s="46"/>
      <c r="I48" s="46"/>
      <c r="J48" s="46"/>
      <c r="K48" s="46"/>
      <c r="L48" s="46"/>
      <c r="M48" s="46"/>
    </row>
    <row r="49" spans="2:13" ht="5.0999999999999996" customHeight="1" x14ac:dyDescent="0.2">
      <c r="D49" s="43"/>
      <c r="E49" s="45"/>
      <c r="F49" s="45"/>
      <c r="G49" s="164"/>
      <c r="L49" s="45"/>
      <c r="M49" s="45"/>
    </row>
    <row r="50" spans="2:13" ht="12.95" customHeight="1" x14ac:dyDescent="0.2">
      <c r="B50" s="18" t="s">
        <v>175</v>
      </c>
      <c r="D50" s="218"/>
      <c r="E50" s="219">
        <f>+Output!E38/Output!D68</f>
        <v>0.10312683841674065</v>
      </c>
      <c r="F50" s="219">
        <f>+Output!F38/Output!E68</f>
        <v>8.7090808932581809E-2</v>
      </c>
      <c r="G50" s="219">
        <f>+Output!G38/Output!F68</f>
        <v>8.915458705600357E-2</v>
      </c>
      <c r="H50" s="219">
        <f>+Output!H38/Output!G68</f>
        <v>9.2958149162619963E-2</v>
      </c>
      <c r="I50" s="219">
        <f>+Output!I38/Output!H68</f>
        <v>9.7642925976351699E-2</v>
      </c>
      <c r="J50" s="219">
        <f>+Output!J38/Output!I68</f>
        <v>0.10294949340338283</v>
      </c>
      <c r="K50" s="219">
        <f>+Output!K38/Output!J68</f>
        <v>0.10848579312324372</v>
      </c>
      <c r="L50" s="219">
        <f>+Output!L38/Output!K68</f>
        <v>0.11424161576365999</v>
      </c>
      <c r="M50" s="219">
        <f ca="1">+Output!M38/Output!L68</f>
        <v>0.11806231529141713</v>
      </c>
    </row>
    <row r="51" spans="2:13" ht="5.0999999999999996" customHeight="1" x14ac:dyDescent="0.2">
      <c r="D51" s="43"/>
      <c r="E51" s="45"/>
      <c r="F51" s="45"/>
      <c r="G51" s="164"/>
      <c r="L51" s="45"/>
      <c r="M51" s="45"/>
    </row>
    <row r="52" spans="2:13" ht="12.95" customHeight="1" x14ac:dyDescent="0.2">
      <c r="B52" s="74" t="s">
        <v>173</v>
      </c>
      <c r="D52" s="161"/>
      <c r="E52" s="162"/>
      <c r="F52" s="162"/>
      <c r="G52" s="163"/>
      <c r="H52" s="52"/>
      <c r="I52" s="52"/>
      <c r="J52" s="52"/>
      <c r="K52" s="52"/>
      <c r="L52" s="52"/>
      <c r="M52" s="52"/>
    </row>
    <row r="53" spans="2:13" ht="12.95" customHeight="1" x14ac:dyDescent="0.2">
      <c r="B53" s="71" t="s">
        <v>172</v>
      </c>
      <c r="C53" s="72"/>
      <c r="D53" s="221"/>
      <c r="E53" s="222">
        <f>+Calculations!E141</f>
        <v>0.314</v>
      </c>
      <c r="F53" s="222">
        <f>+Calculations!F141</f>
        <v>0.314</v>
      </c>
      <c r="G53" s="223">
        <f>+Calculations!G141</f>
        <v>0.314</v>
      </c>
      <c r="H53" s="73">
        <f>+Calculations!H141</f>
        <v>0.314</v>
      </c>
      <c r="I53" s="73">
        <f>+Calculations!I141</f>
        <v>0.314</v>
      </c>
      <c r="J53" s="73">
        <f>+Calculations!J141</f>
        <v>0.314</v>
      </c>
      <c r="K53" s="73">
        <f>+Calculations!K141</f>
        <v>0.314</v>
      </c>
      <c r="L53" s="73">
        <f>+Calculations!L141</f>
        <v>0.314</v>
      </c>
      <c r="M53" s="73">
        <f>+Calculations!M141</f>
        <v>0.314</v>
      </c>
    </row>
    <row r="54" spans="2:13" ht="12.95" customHeight="1" x14ac:dyDescent="0.2">
      <c r="B54" s="71" t="s">
        <v>153</v>
      </c>
      <c r="C54" s="72"/>
      <c r="D54" s="221"/>
      <c r="E54" s="222">
        <f>+Output!E23</f>
        <v>0.2271778042959427</v>
      </c>
      <c r="F54" s="222">
        <f>+Output!F23</f>
        <v>0.19657502788530923</v>
      </c>
      <c r="G54" s="223">
        <f>+Output!G23</f>
        <v>0.19115384615384626</v>
      </c>
      <c r="H54" s="73">
        <f>+Output!H23</f>
        <v>0.20757805418958292</v>
      </c>
      <c r="I54" s="73">
        <f>+Output!I23</f>
        <v>0.20757805418958289</v>
      </c>
      <c r="J54" s="73">
        <f>+Output!J23</f>
        <v>0.20757805418958292</v>
      </c>
      <c r="K54" s="73">
        <f>+Output!K23</f>
        <v>0.20757805418958297</v>
      </c>
      <c r="L54" s="73">
        <f>+Output!L23</f>
        <v>0.20757805418958283</v>
      </c>
      <c r="M54" s="73">
        <f ca="1">+Output!M23</f>
        <v>0.21718382119676824</v>
      </c>
    </row>
    <row r="55" spans="2:13" ht="12.95" customHeight="1" x14ac:dyDescent="0.2">
      <c r="B55" s="71" t="s">
        <v>174</v>
      </c>
      <c r="C55" s="72"/>
      <c r="D55" s="221"/>
      <c r="E55" s="222">
        <f>+Output!E10/Output!D68</f>
        <v>0.66173131971177557</v>
      </c>
      <c r="F55" s="222">
        <f>+Output!F10/Output!E68</f>
        <v>0.64583245052756455</v>
      </c>
      <c r="G55" s="222">
        <f>+Output!G10/Output!F68</f>
        <v>0.67988668555240817</v>
      </c>
      <c r="H55" s="222">
        <f>+Output!H10/Output!G68</f>
        <v>0.65280266065216552</v>
      </c>
      <c r="I55" s="222">
        <f>+Output!I10/Output!H68</f>
        <v>0.68570171034403959</v>
      </c>
      <c r="J55" s="222">
        <f>+Output!J10/Output!I68</f>
        <v>0.72296731176254347</v>
      </c>
      <c r="K55" s="222">
        <f>+Output!K10/Output!J68</f>
        <v>0.76184621823657961</v>
      </c>
      <c r="L55" s="222">
        <f>+Output!L10/Output!K68</f>
        <v>0.80226673400365434</v>
      </c>
      <c r="M55" s="222">
        <f ca="1">+Output!M10/Output!L68</f>
        <v>0.79242781288428343</v>
      </c>
    </row>
    <row r="56" spans="2:13" ht="12.95" customHeight="1" x14ac:dyDescent="0.2">
      <c r="B56" s="20" t="s">
        <v>175</v>
      </c>
      <c r="C56" s="66"/>
      <c r="D56" s="224"/>
      <c r="E56" s="75">
        <f>+E55*(1-E53)*E54</f>
        <v>0.10312683841674065</v>
      </c>
      <c r="F56" s="75">
        <f t="shared" ref="F56:M56" si="6">+F55*(1-F53)*F54</f>
        <v>8.7090808932581809E-2</v>
      </c>
      <c r="G56" s="225">
        <f t="shared" si="6"/>
        <v>8.9154587056003556E-2</v>
      </c>
      <c r="H56" s="75">
        <f t="shared" si="6"/>
        <v>9.2958149162619949E-2</v>
      </c>
      <c r="I56" s="75">
        <f t="shared" si="6"/>
        <v>9.7642925976351713E-2</v>
      </c>
      <c r="J56" s="75">
        <f t="shared" si="6"/>
        <v>0.10294949340338283</v>
      </c>
      <c r="K56" s="75">
        <f t="shared" si="6"/>
        <v>0.10848579312324372</v>
      </c>
      <c r="L56" s="75">
        <f t="shared" si="6"/>
        <v>0.11424161576365999</v>
      </c>
      <c r="M56" s="75">
        <f t="shared" ca="1" si="6"/>
        <v>0.11806231529141713</v>
      </c>
    </row>
    <row r="57" spans="2:13" ht="5.0999999999999996" customHeight="1" x14ac:dyDescent="0.2">
      <c r="D57" s="43"/>
      <c r="E57" s="45"/>
      <c r="F57" s="45"/>
      <c r="G57" s="164"/>
      <c r="L57" s="45"/>
      <c r="M57" s="45"/>
    </row>
    <row r="58" spans="2:13" ht="12.95" customHeight="1" x14ac:dyDescent="0.2">
      <c r="B58" s="18" t="s">
        <v>351</v>
      </c>
      <c r="D58" s="161"/>
      <c r="E58" s="219">
        <f>+Output!E31/Output!D81</f>
        <v>0.11481643995904633</v>
      </c>
      <c r="F58" s="219">
        <f>+Output!F31/Output!E81</f>
        <v>0.10494731700509373</v>
      </c>
      <c r="G58" s="219">
        <f>+Output!G31/Output!F81</f>
        <v>9.2751754762928088E-2</v>
      </c>
      <c r="H58" s="219">
        <f ca="1">+Output!H31/Output!G81</f>
        <v>0.12518759366730645</v>
      </c>
      <c r="I58" s="219">
        <f ca="1">+Output!I31/Output!H81</f>
        <v>0.12876101005935939</v>
      </c>
      <c r="J58" s="219">
        <f ca="1">+Output!J31/Output!I81</f>
        <v>0.13218283365381583</v>
      </c>
      <c r="K58" s="219">
        <f ca="1">+Output!K31/Output!J81</f>
        <v>0.13530325900431839</v>
      </c>
      <c r="L58" s="219">
        <f ca="1">+Output!L31/Output!K81</f>
        <v>0.13814097451363386</v>
      </c>
      <c r="M58" s="219">
        <f ca="1">+Output!M31/Output!L81</f>
        <v>0.13553117928496686</v>
      </c>
    </row>
    <row r="59" spans="2:13" ht="12.95" customHeight="1" x14ac:dyDescent="0.2">
      <c r="B59" s="18" t="s">
        <v>341</v>
      </c>
      <c r="D59" s="161"/>
      <c r="E59" s="219">
        <f>-Output!E25/(AVERAGE(Output!D74:E74))</f>
        <v>6.155398587285571E-2</v>
      </c>
      <c r="F59" s="219">
        <f>-Output!F25/(AVERAGE(Output!E74:F74))</f>
        <v>6.4325242452468387E-2</v>
      </c>
      <c r="G59" s="220">
        <f>-Output!G25/(AVERAGE(Output!F74:G74))</f>
        <v>6.1834350118912237E-2</v>
      </c>
      <c r="H59" s="69">
        <f ca="1">-Output!H25/(AVERAGE(Output!G74:H74))</f>
        <v>6.1834350118912217E-2</v>
      </c>
      <c r="I59" s="69">
        <f ca="1">-Output!I25/(AVERAGE(Output!H74:I74))</f>
        <v>6.183435011891221E-2</v>
      </c>
      <c r="J59" s="69">
        <f ca="1">-Output!J25/(AVERAGE(Output!I74:J74))</f>
        <v>6.183435011891221E-2</v>
      </c>
      <c r="K59" s="69">
        <f ca="1">-Output!K25/(AVERAGE(Output!J74:K74))</f>
        <v>6.183435011891221E-2</v>
      </c>
      <c r="L59" s="69">
        <f ca="1">-Output!L25/(AVERAGE(Output!K74:L74))</f>
        <v>6.183435011891221E-2</v>
      </c>
      <c r="M59" s="69">
        <f ca="1">-Output!M25/(AVERAGE(Output!L74:M74))</f>
        <v>6.1834350118912217E-2</v>
      </c>
    </row>
    <row r="60" spans="2:13" ht="12.95" customHeight="1" x14ac:dyDescent="0.2">
      <c r="B60" s="18"/>
      <c r="D60" s="161"/>
      <c r="E60" s="162"/>
      <c r="F60" s="162"/>
      <c r="G60" s="163"/>
      <c r="H60" s="52"/>
      <c r="I60" s="52"/>
      <c r="J60" s="52"/>
      <c r="K60" s="52"/>
      <c r="L60" s="52"/>
      <c r="M60" s="52"/>
    </row>
    <row r="61" spans="2:13" ht="12.95" customHeight="1" x14ac:dyDescent="0.2">
      <c r="D61" s="43"/>
      <c r="E61" s="45"/>
      <c r="F61" s="45"/>
      <c r="G61" s="164"/>
    </row>
    <row r="62" spans="2:13" ht="12.95" customHeight="1" x14ac:dyDescent="0.2">
      <c r="D62" s="43"/>
      <c r="E62" s="45"/>
      <c r="F62" s="45"/>
      <c r="G62" s="164"/>
    </row>
    <row r="63" spans="2:13" ht="12.95" customHeight="1" x14ac:dyDescent="0.2">
      <c r="D63" s="43"/>
      <c r="E63" s="45"/>
      <c r="F63" s="45"/>
      <c r="G63" s="164"/>
    </row>
    <row r="64" spans="2:13" ht="12.95" customHeight="1" x14ac:dyDescent="0.2">
      <c r="D64" s="43"/>
      <c r="E64" s="45"/>
      <c r="F64" s="45"/>
      <c r="G64" s="164"/>
    </row>
    <row r="65" spans="4:7" ht="12.95" customHeight="1" x14ac:dyDescent="0.2">
      <c r="D65" s="43"/>
      <c r="E65" s="45"/>
      <c r="F65" s="45"/>
      <c r="G65" s="164"/>
    </row>
    <row r="66" spans="4:7" ht="12.95" customHeight="1" x14ac:dyDescent="0.2">
      <c r="D66" s="43"/>
      <c r="E66" s="45"/>
      <c r="F66" s="45"/>
      <c r="G66" s="164"/>
    </row>
    <row r="67" spans="4:7" ht="12.95" customHeight="1" x14ac:dyDescent="0.2">
      <c r="D67" s="43"/>
      <c r="E67" s="45"/>
      <c r="F67" s="45"/>
      <c r="G67" s="164"/>
    </row>
    <row r="68" spans="4:7" ht="12.95" customHeight="1" x14ac:dyDescent="0.2">
      <c r="D68" s="43"/>
      <c r="E68" s="45"/>
      <c r="F68" s="45"/>
      <c r="G68" s="164"/>
    </row>
    <row r="69" spans="4:7" ht="12.95" customHeight="1" x14ac:dyDescent="0.2">
      <c r="D69" s="43"/>
      <c r="E69" s="45"/>
      <c r="F69" s="45"/>
      <c r="G69" s="164"/>
    </row>
    <row r="70" spans="4:7" ht="12.95" customHeight="1" x14ac:dyDescent="0.2">
      <c r="D70" s="43"/>
      <c r="E70" s="45"/>
      <c r="F70" s="45"/>
      <c r="G70" s="164"/>
    </row>
    <row r="71" spans="4:7" ht="12.95" customHeight="1" x14ac:dyDescent="0.2">
      <c r="D71" s="43"/>
      <c r="E71" s="45"/>
      <c r="F71" s="45"/>
      <c r="G71" s="164"/>
    </row>
    <row r="72" spans="4:7" ht="12.95" customHeight="1" x14ac:dyDescent="0.2">
      <c r="D72" s="43"/>
      <c r="E72" s="45"/>
      <c r="F72" s="45"/>
      <c r="G72" s="164"/>
    </row>
    <row r="73" spans="4:7" ht="12.95" customHeight="1" x14ac:dyDescent="0.2">
      <c r="D73" s="43"/>
      <c r="E73" s="45"/>
      <c r="F73" s="45"/>
      <c r="G73" s="164"/>
    </row>
    <row r="74" spans="4:7" ht="12.95" customHeight="1" x14ac:dyDescent="0.2">
      <c r="D74" s="43"/>
      <c r="E74" s="45"/>
      <c r="F74" s="45"/>
      <c r="G74" s="164"/>
    </row>
    <row r="75" spans="4:7" ht="12.95" customHeight="1" x14ac:dyDescent="0.2">
      <c r="D75" s="43"/>
      <c r="E75" s="45"/>
      <c r="F75" s="45"/>
      <c r="G75" s="164"/>
    </row>
    <row r="76" spans="4:7" ht="12.95" customHeight="1" x14ac:dyDescent="0.2">
      <c r="D76" s="43"/>
      <c r="E76" s="45"/>
      <c r="F76" s="45"/>
      <c r="G76" s="164"/>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33CC"/>
  </sheetPr>
  <dimension ref="B1:M33"/>
  <sheetViews>
    <sheetView showGridLines="0" workbookViewId="0">
      <selection activeCell="B8" sqref="B8"/>
    </sheetView>
  </sheetViews>
  <sheetFormatPr defaultColWidth="13.83203125" defaultRowHeight="12.95" customHeight="1" x14ac:dyDescent="0.2"/>
  <cols>
    <col min="1" max="1" width="9.33203125" customWidth="1"/>
    <col min="2" max="2" width="27.83203125" customWidth="1"/>
    <col min="3" max="3" width="10" bestFit="1" customWidth="1"/>
    <col min="4" max="4" width="11.1640625" bestFit="1" customWidth="1"/>
    <col min="6" max="7" width="12" customWidth="1"/>
    <col min="8" max="8" width="10.33203125" bestFit="1" customWidth="1"/>
    <col min="9" max="9" width="14.5" bestFit="1" customWidth="1"/>
    <col min="10" max="10" width="12.6640625" customWidth="1"/>
    <col min="11" max="11" width="16.5" customWidth="1"/>
    <col min="12" max="12" width="14" customWidth="1"/>
    <col min="13" max="13" width="13" bestFit="1" customWidth="1"/>
  </cols>
  <sheetData>
    <row r="1" spans="2:13" ht="12.95" customHeight="1" x14ac:dyDescent="0.25">
      <c r="B1" s="7"/>
      <c r="E1" s="43"/>
      <c r="G1" s="43"/>
      <c r="J1" s="43"/>
    </row>
    <row r="2" spans="2:13" ht="20.100000000000001" customHeight="1" x14ac:dyDescent="0.2">
      <c r="B2" s="9" t="s">
        <v>235</v>
      </c>
      <c r="C2" s="8"/>
      <c r="D2" s="8"/>
      <c r="E2" s="44"/>
      <c r="F2" s="8"/>
      <c r="G2" s="43"/>
      <c r="H2" s="8"/>
      <c r="J2" s="43"/>
    </row>
    <row r="3" spans="2:13" ht="12.95" customHeight="1" x14ac:dyDescent="0.2">
      <c r="B3" s="3"/>
      <c r="C3" s="26"/>
      <c r="D3" s="26"/>
      <c r="E3" s="52"/>
      <c r="F3" s="52"/>
      <c r="G3" s="52"/>
      <c r="H3" s="52"/>
      <c r="I3" s="52"/>
      <c r="J3" s="52"/>
      <c r="K3" s="52"/>
    </row>
    <row r="4" spans="2:13" s="45" customFormat="1" ht="22.5" x14ac:dyDescent="0.2">
      <c r="B4" s="128" t="s">
        <v>2</v>
      </c>
      <c r="C4" s="127" t="s">
        <v>232</v>
      </c>
      <c r="D4" s="127" t="s">
        <v>305</v>
      </c>
      <c r="E4" s="129" t="s">
        <v>258</v>
      </c>
      <c r="F4" s="129" t="s">
        <v>317</v>
      </c>
      <c r="G4" s="129" t="s">
        <v>76</v>
      </c>
      <c r="H4" s="129" t="s">
        <v>177</v>
      </c>
      <c r="I4" s="129" t="s">
        <v>239</v>
      </c>
      <c r="J4" s="129" t="s">
        <v>237</v>
      </c>
      <c r="K4" s="129" t="s">
        <v>238</v>
      </c>
      <c r="L4" s="129" t="s">
        <v>212</v>
      </c>
      <c r="M4" s="129" t="s">
        <v>241</v>
      </c>
    </row>
    <row r="5" spans="2:13" ht="5.0999999999999996" customHeight="1" x14ac:dyDescent="0.2"/>
    <row r="6" spans="2:13" ht="12.95" customHeight="1" x14ac:dyDescent="0.2">
      <c r="B6" s="3" t="s">
        <v>228</v>
      </c>
      <c r="C6" s="3" t="s">
        <v>234</v>
      </c>
      <c r="D6" s="248" t="s">
        <v>306</v>
      </c>
      <c r="E6" s="125">
        <v>46465.4954</v>
      </c>
      <c r="F6" s="125">
        <v>0</v>
      </c>
      <c r="G6" s="125">
        <v>1485</v>
      </c>
      <c r="H6" s="125">
        <v>9320</v>
      </c>
      <c r="I6" s="35">
        <f>+H6/(E6+F6+G6)</f>
        <v>0.19436712639260867</v>
      </c>
      <c r="J6" s="126">
        <v>1.074589</v>
      </c>
      <c r="K6" s="122">
        <f>+J6*2/3+1/3</f>
        <v>1.0497259999999999</v>
      </c>
      <c r="L6" s="158">
        <v>0.23</v>
      </c>
      <c r="M6" s="130">
        <f>+K6/(1+I6*(1-L6))</f>
        <v>0.91307303574836174</v>
      </c>
    </row>
    <row r="7" spans="2:13" ht="12.95" customHeight="1" x14ac:dyDescent="0.2">
      <c r="B7" s="3" t="s">
        <v>229</v>
      </c>
      <c r="C7" s="3" t="s">
        <v>233</v>
      </c>
      <c r="D7" s="248" t="s">
        <v>307</v>
      </c>
      <c r="E7" s="125">
        <v>24487.797399999999</v>
      </c>
      <c r="F7" s="125">
        <v>0</v>
      </c>
      <c r="G7" s="125">
        <v>167</v>
      </c>
      <c r="H7" s="125">
        <v>8946</v>
      </c>
      <c r="I7" s="35">
        <f>+H7/(E7+F7+G7)</f>
        <v>0.36285027432429845</v>
      </c>
      <c r="J7" s="126">
        <v>0.82497949999999998</v>
      </c>
      <c r="K7" s="122">
        <f t="shared" ref="K7:K9" si="0">+J7*2/3+1/3</f>
        <v>0.88331966666666673</v>
      </c>
      <c r="L7" s="158">
        <v>0.33329999999999999</v>
      </c>
      <c r="M7" s="130">
        <f>+K7/(1+I7*(1-L7))</f>
        <v>0.71125769701382691</v>
      </c>
    </row>
    <row r="8" spans="2:13" ht="12.95" customHeight="1" x14ac:dyDescent="0.2">
      <c r="B8" s="3" t="s">
        <v>230</v>
      </c>
      <c r="C8" s="3" t="s">
        <v>233</v>
      </c>
      <c r="D8" s="248" t="s">
        <v>307</v>
      </c>
      <c r="E8" s="125">
        <v>2696.5997000000002</v>
      </c>
      <c r="F8" s="125">
        <v>0</v>
      </c>
      <c r="G8" s="125">
        <v>1.4</v>
      </c>
      <c r="H8" s="125">
        <v>466.6</v>
      </c>
      <c r="I8" s="35">
        <f>+H8/(E8+F8+G8)</f>
        <v>0.1729429399121134</v>
      </c>
      <c r="J8" s="126">
        <v>0.81574570000000002</v>
      </c>
      <c r="K8" s="122">
        <f t="shared" si="0"/>
        <v>0.87716379999999994</v>
      </c>
      <c r="L8" s="158">
        <v>0.33329999999999999</v>
      </c>
      <c r="M8" s="130">
        <f>+K8/(1+I8*(1-L8))</f>
        <v>0.78648163531914073</v>
      </c>
    </row>
    <row r="9" spans="2:13" ht="12.95" customHeight="1" x14ac:dyDescent="0.2">
      <c r="B9" s="3" t="s">
        <v>231</v>
      </c>
      <c r="C9" s="3" t="s">
        <v>240</v>
      </c>
      <c r="D9" s="248" t="s">
        <v>308</v>
      </c>
      <c r="E9" s="125">
        <v>18564.859400000001</v>
      </c>
      <c r="F9" s="125">
        <v>0</v>
      </c>
      <c r="G9" s="125">
        <v>0</v>
      </c>
      <c r="H9" s="125">
        <v>818</v>
      </c>
      <c r="I9" s="35">
        <f>+H9/(E9+F9+G9)</f>
        <v>4.4061739568035725E-2</v>
      </c>
      <c r="J9" s="126">
        <v>1.6276487413169984</v>
      </c>
      <c r="K9" s="122">
        <f t="shared" si="0"/>
        <v>1.4184324942113322</v>
      </c>
      <c r="L9" s="158">
        <v>0.4</v>
      </c>
      <c r="M9" s="130">
        <f>+K9/(1+I9*(1-L9))</f>
        <v>1.3818991655268931</v>
      </c>
    </row>
    <row r="10" spans="2:13" s="45" customFormat="1" ht="12.95" customHeight="1" x14ac:dyDescent="0.2">
      <c r="B10" s="5" t="s">
        <v>242</v>
      </c>
      <c r="C10" s="66"/>
      <c r="D10" s="66"/>
      <c r="E10" s="66"/>
      <c r="F10" s="108"/>
      <c r="G10" s="108"/>
      <c r="H10" s="66"/>
      <c r="I10" s="139">
        <f>+AVERAGE(I6:I9)</f>
        <v>0.19355552004926405</v>
      </c>
      <c r="J10" s="66"/>
      <c r="K10" s="66"/>
      <c r="L10" s="66"/>
      <c r="M10" s="131">
        <f>+AVERAGE(M6:M9)</f>
        <v>0.94817788340205555</v>
      </c>
    </row>
    <row r="11" spans="2:13" ht="12.95" customHeight="1" x14ac:dyDescent="0.2">
      <c r="E11" s="123"/>
      <c r="H11" s="4"/>
    </row>
    <row r="12" spans="2:13" ht="15" customHeight="1" x14ac:dyDescent="0.2">
      <c r="B12" s="1" t="s">
        <v>179</v>
      </c>
      <c r="C12" s="1"/>
      <c r="D12" s="1"/>
      <c r="E12" s="1"/>
      <c r="F12" s="1"/>
      <c r="G12" s="1"/>
      <c r="H12" s="1"/>
      <c r="I12" s="1"/>
      <c r="J12" s="1"/>
      <c r="K12" s="1"/>
    </row>
    <row r="13" spans="2:13" ht="5.0999999999999996" customHeight="1" x14ac:dyDescent="0.2"/>
    <row r="14" spans="2:13" ht="12.95" customHeight="1" x14ac:dyDescent="0.2">
      <c r="B14" s="137" t="s">
        <v>345</v>
      </c>
      <c r="C14" s="135"/>
      <c r="D14" s="135"/>
      <c r="E14" s="135"/>
      <c r="F14" s="135"/>
      <c r="G14" s="135"/>
      <c r="H14" s="135"/>
      <c r="I14" s="135"/>
      <c r="J14" s="135"/>
      <c r="K14" s="149">
        <v>2.8714137931034469E-2</v>
      </c>
      <c r="L14" s="142"/>
    </row>
    <row r="15" spans="2:13" ht="12.95" customHeight="1" x14ac:dyDescent="0.2">
      <c r="B15" s="138" t="s">
        <v>248</v>
      </c>
      <c r="C15" s="134"/>
      <c r="D15" s="134"/>
      <c r="E15" s="134"/>
      <c r="F15" s="134"/>
      <c r="G15" s="134"/>
      <c r="H15" s="134"/>
      <c r="I15" s="134"/>
      <c r="J15" s="134"/>
      <c r="K15" s="150">
        <v>1.4E-2</v>
      </c>
    </row>
    <row r="16" spans="2:13" ht="12.95" customHeight="1" x14ac:dyDescent="0.2">
      <c r="B16" s="133" t="s">
        <v>245</v>
      </c>
      <c r="C16" s="132"/>
      <c r="D16" s="132"/>
      <c r="E16" s="132"/>
      <c r="F16" s="132"/>
      <c r="G16" s="132"/>
      <c r="H16" s="132"/>
      <c r="I16" s="132"/>
      <c r="J16" s="132"/>
      <c r="K16" s="151">
        <f>+K14+K15</f>
        <v>4.2714137931034471E-2</v>
      </c>
    </row>
    <row r="17" spans="2:11" ht="5.0999999999999996" customHeight="1" x14ac:dyDescent="0.2"/>
    <row r="18" spans="2:11" ht="12.95" customHeight="1" x14ac:dyDescent="0.2">
      <c r="B18" s="137" t="s">
        <v>345</v>
      </c>
      <c r="C18" s="135"/>
      <c r="D18" s="135"/>
      <c r="E18" s="135"/>
      <c r="F18" s="135"/>
      <c r="G18" s="135"/>
      <c r="H18" s="135"/>
      <c r="I18" s="135"/>
      <c r="J18" s="135"/>
      <c r="K18" s="152">
        <f>+K14</f>
        <v>2.8714137931034469E-2</v>
      </c>
    </row>
    <row r="19" spans="2:11" ht="12.95" customHeight="1" x14ac:dyDescent="0.2">
      <c r="B19" s="137" t="s">
        <v>246</v>
      </c>
      <c r="C19" s="136"/>
      <c r="D19" s="136"/>
      <c r="E19" s="136"/>
      <c r="F19" s="136"/>
      <c r="G19" s="136"/>
      <c r="H19" s="136"/>
      <c r="I19" s="136"/>
      <c r="J19" s="136"/>
      <c r="K19" s="136">
        <f>+M10</f>
        <v>0.94817788340205555</v>
      </c>
    </row>
    <row r="20" spans="2:11" ht="12.95" customHeight="1" x14ac:dyDescent="0.2">
      <c r="B20" s="137" t="s">
        <v>239</v>
      </c>
      <c r="C20" s="135"/>
      <c r="D20" s="135"/>
      <c r="E20" s="135"/>
      <c r="F20" s="135"/>
      <c r="G20" s="135"/>
      <c r="H20" s="135"/>
      <c r="I20" s="135"/>
      <c r="J20" s="135"/>
      <c r="K20" s="152">
        <f>+I10</f>
        <v>0.19355552004926405</v>
      </c>
    </row>
    <row r="21" spans="2:11" ht="12.95" customHeight="1" x14ac:dyDescent="0.2">
      <c r="B21" s="137" t="s">
        <v>244</v>
      </c>
      <c r="C21" s="136"/>
      <c r="D21" s="136"/>
      <c r="E21" s="136"/>
      <c r="F21" s="136"/>
      <c r="G21" s="136"/>
      <c r="H21" s="136"/>
      <c r="I21" s="136"/>
      <c r="J21" s="136"/>
      <c r="K21" s="136">
        <f>K19*(1+(1-K25)*K20)</f>
        <v>1.0812335543098497</v>
      </c>
    </row>
    <row r="22" spans="2:11" ht="12.95" customHeight="1" x14ac:dyDescent="0.2">
      <c r="B22" s="137" t="s">
        <v>247</v>
      </c>
      <c r="C22" s="135"/>
      <c r="D22" s="135"/>
      <c r="E22" s="135"/>
      <c r="F22" s="135"/>
      <c r="G22" s="135"/>
      <c r="H22" s="135"/>
      <c r="I22" s="135"/>
      <c r="J22" s="135"/>
      <c r="K22" s="149">
        <v>5.5E-2</v>
      </c>
    </row>
    <row r="23" spans="2:11" ht="12.95" customHeight="1" x14ac:dyDescent="0.2">
      <c r="B23" s="140" t="s">
        <v>256</v>
      </c>
      <c r="C23" s="141"/>
      <c r="D23" s="141"/>
      <c r="E23" s="141"/>
      <c r="F23" s="141"/>
      <c r="G23" s="141"/>
      <c r="H23" s="141"/>
      <c r="I23" s="141"/>
      <c r="J23" s="141"/>
      <c r="K23" s="153">
        <f>+K18+K21*K22</f>
        <v>8.8181983418076204E-2</v>
      </c>
    </row>
    <row r="24" spans="2:11" ht="5.0999999999999996" customHeight="1" x14ac:dyDescent="0.2"/>
    <row r="25" spans="2:11" ht="12.95" customHeight="1" x14ac:dyDescent="0.2">
      <c r="B25" s="143" t="s">
        <v>243</v>
      </c>
      <c r="C25" s="144"/>
      <c r="D25" s="144"/>
      <c r="E25" s="144"/>
      <c r="F25" s="144"/>
      <c r="G25" s="144"/>
      <c r="H25" s="144"/>
      <c r="I25" s="144"/>
      <c r="J25" s="144"/>
      <c r="K25" s="154">
        <f>+'Valuation DCF EP APV'!G15</f>
        <v>0.27500000000000002</v>
      </c>
    </row>
    <row r="26" spans="2:11" ht="5.0999999999999996" customHeight="1" x14ac:dyDescent="0.2"/>
    <row r="27" spans="2:11" ht="12.95" customHeight="1" x14ac:dyDescent="0.2">
      <c r="B27" s="11" t="s">
        <v>179</v>
      </c>
      <c r="C27" s="12"/>
      <c r="D27" s="12"/>
      <c r="E27" s="50"/>
      <c r="F27" s="50"/>
      <c r="G27" s="50"/>
      <c r="H27" s="50"/>
      <c r="I27" s="50"/>
      <c r="J27" s="50"/>
      <c r="K27" s="145">
        <f>+K16*(1-K25)*(K20/(1+K20))+K23*(1/(1+K20))</f>
        <v>7.8903713142891491E-2</v>
      </c>
    </row>
    <row r="29" spans="2:11" ht="12.95" customHeight="1" x14ac:dyDescent="0.2">
      <c r="B29" s="11" t="s">
        <v>257</v>
      </c>
      <c r="C29" s="12"/>
      <c r="D29" s="12"/>
      <c r="E29" s="50"/>
      <c r="F29" s="50"/>
      <c r="G29" s="50"/>
      <c r="H29" s="50"/>
      <c r="I29" s="50"/>
      <c r="J29" s="50"/>
      <c r="K29" s="145">
        <f>+K18+K19*K22</f>
        <v>8.086392151814753E-2</v>
      </c>
    </row>
    <row r="33" s="45" customFormat="1" ht="12.95" customHeight="1" x14ac:dyDescent="0.2"/>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3333CC"/>
  </sheetPr>
  <dimension ref="A1:Q179"/>
  <sheetViews>
    <sheetView showGridLines="0" zoomScaleNormal="100" workbookViewId="0">
      <pane xSplit="3" ySplit="6" topLeftCell="D51" activePane="bottomRight" state="frozen"/>
      <selection pane="topRight"/>
      <selection pane="bottomLeft"/>
      <selection pane="bottomRight" activeCell="D66" sqref="D66"/>
    </sheetView>
  </sheetViews>
  <sheetFormatPr defaultColWidth="13.83203125" defaultRowHeight="12.95" customHeight="1" x14ac:dyDescent="0.2"/>
  <cols>
    <col min="2" max="2" width="50" customWidth="1"/>
    <col min="3" max="3" width="10.33203125" bestFit="1" customWidth="1"/>
  </cols>
  <sheetData>
    <row r="1" spans="1:15" ht="12.95" customHeight="1" x14ac:dyDescent="0.25">
      <c r="A1" s="7"/>
      <c r="B1" s="7"/>
    </row>
    <row r="2" spans="1:15" ht="20.100000000000001" customHeight="1" x14ac:dyDescent="0.2">
      <c r="B2" s="9" t="s">
        <v>185</v>
      </c>
      <c r="C2" s="8"/>
      <c r="D2" s="8"/>
      <c r="E2" s="8"/>
      <c r="F2" s="8"/>
      <c r="G2" s="8"/>
    </row>
    <row r="3" spans="1:15" ht="12.95" customHeight="1" x14ac:dyDescent="0.2">
      <c r="B3" s="10"/>
      <c r="C3" s="8"/>
      <c r="D3" s="40" t="s">
        <v>98</v>
      </c>
      <c r="E3" s="39"/>
      <c r="F3" s="39"/>
      <c r="G3" s="39"/>
      <c r="H3" s="40" t="s">
        <v>99</v>
      </c>
      <c r="I3" s="38"/>
      <c r="J3" s="38"/>
      <c r="K3" s="38"/>
      <c r="L3" s="38"/>
    </row>
    <row r="4" spans="1:15" ht="5.0999999999999996" customHeight="1" x14ac:dyDescent="0.2">
      <c r="D4" s="43"/>
      <c r="H4" s="43"/>
    </row>
    <row r="5" spans="1:15" ht="15" customHeight="1" x14ac:dyDescent="0.2">
      <c r="B5" s="1"/>
      <c r="C5" s="13" t="s">
        <v>2</v>
      </c>
      <c r="D5" s="41">
        <v>40908</v>
      </c>
      <c r="E5" s="42">
        <f t="shared" ref="E5:L5" si="0">+EOMONTH(D5,12)</f>
        <v>41274</v>
      </c>
      <c r="F5" s="42">
        <f t="shared" si="0"/>
        <v>41639</v>
      </c>
      <c r="G5" s="42">
        <f t="shared" si="0"/>
        <v>42004</v>
      </c>
      <c r="H5" s="37">
        <f t="shared" si="0"/>
        <v>42369</v>
      </c>
      <c r="I5" s="2">
        <f t="shared" si="0"/>
        <v>42735</v>
      </c>
      <c r="J5" s="2">
        <f t="shared" si="0"/>
        <v>43100</v>
      </c>
      <c r="K5" s="2">
        <f t="shared" si="0"/>
        <v>43465</v>
      </c>
      <c r="L5" s="2">
        <f t="shared" si="0"/>
        <v>43830</v>
      </c>
      <c r="M5" s="85" t="s">
        <v>183</v>
      </c>
    </row>
    <row r="6" spans="1:15" s="45" customFormat="1" ht="5.0999999999999996" customHeight="1" x14ac:dyDescent="0.2"/>
    <row r="7" spans="1:15" s="45" customFormat="1" ht="5.0999999999999996" customHeight="1" x14ac:dyDescent="0.2"/>
    <row r="8" spans="1:15" ht="15" customHeight="1" x14ac:dyDescent="0.2">
      <c r="B8" s="1" t="s">
        <v>208</v>
      </c>
      <c r="C8" s="13"/>
      <c r="D8" s="13"/>
      <c r="E8" s="13"/>
      <c r="F8" s="13"/>
      <c r="G8" s="13"/>
      <c r="H8" s="13"/>
      <c r="I8" s="13"/>
      <c r="J8" s="13"/>
      <c r="K8" s="13"/>
      <c r="L8" s="13"/>
      <c r="M8" s="13"/>
    </row>
    <row r="9" spans="1:15" s="45" customFormat="1" ht="5.0999999999999996" customHeight="1" x14ac:dyDescent="0.2">
      <c r="O9"/>
    </row>
    <row r="10" spans="1:15" ht="12.95" customHeight="1" x14ac:dyDescent="0.2">
      <c r="B10" s="107" t="s">
        <v>209</v>
      </c>
      <c r="C10" s="108"/>
      <c r="D10" s="76"/>
      <c r="E10" s="76"/>
      <c r="F10" s="76"/>
      <c r="G10" s="109">
        <f ca="1">+Calculations!M20</f>
        <v>0.02</v>
      </c>
      <c r="H10" s="61"/>
      <c r="I10" s="61"/>
      <c r="J10" s="61"/>
      <c r="K10" s="61"/>
      <c r="L10" s="61"/>
      <c r="M10" s="31"/>
    </row>
    <row r="11" spans="1:15" ht="12.95" customHeight="1" x14ac:dyDescent="0.2">
      <c r="B11" s="93" t="s">
        <v>179</v>
      </c>
      <c r="C11" s="45"/>
      <c r="D11" s="95"/>
      <c r="E11" s="95"/>
      <c r="F11" s="95"/>
      <c r="G11" s="155">
        <f>+WACC!K27</f>
        <v>7.8903713142891491E-2</v>
      </c>
      <c r="H11" s="61"/>
      <c r="I11" s="61"/>
      <c r="J11" s="61"/>
      <c r="K11" s="61"/>
      <c r="L11" s="61"/>
      <c r="M11" s="31"/>
    </row>
    <row r="12" spans="1:15" ht="12.95" customHeight="1" x14ac:dyDescent="0.2">
      <c r="B12" s="93" t="s">
        <v>210</v>
      </c>
      <c r="C12" s="45"/>
      <c r="D12" s="95"/>
      <c r="E12" s="95"/>
      <c r="F12" s="95"/>
      <c r="G12" s="155">
        <f>+WACC!K29</f>
        <v>8.086392151814753E-2</v>
      </c>
      <c r="H12" s="61"/>
      <c r="I12" s="61"/>
      <c r="J12" s="61"/>
      <c r="K12" s="61"/>
      <c r="L12" s="61"/>
      <c r="M12" s="31"/>
    </row>
    <row r="13" spans="1:15" ht="12.95" customHeight="1" x14ac:dyDescent="0.2">
      <c r="B13" s="93" t="s">
        <v>324</v>
      </c>
      <c r="C13" s="45"/>
      <c r="D13" s="95"/>
      <c r="E13" s="95"/>
      <c r="F13" s="95"/>
      <c r="G13" s="155">
        <f>WACC!$K$23</f>
        <v>8.8181983418076204E-2</v>
      </c>
      <c r="H13" s="61"/>
      <c r="I13" s="61"/>
      <c r="J13" s="61"/>
      <c r="K13" s="61"/>
      <c r="L13" s="61"/>
      <c r="M13" s="31"/>
    </row>
    <row r="14" spans="1:15" ht="12.95" customHeight="1" x14ac:dyDescent="0.2">
      <c r="B14" s="93" t="s">
        <v>211</v>
      </c>
      <c r="C14" s="45"/>
      <c r="D14" s="95"/>
      <c r="E14" s="95"/>
      <c r="F14" s="95"/>
      <c r="G14" s="155">
        <f>+WACC!K16</f>
        <v>4.2714137931034471E-2</v>
      </c>
      <c r="H14" s="61"/>
      <c r="I14" s="61"/>
      <c r="J14" s="61"/>
      <c r="K14" s="61"/>
      <c r="L14" s="61"/>
      <c r="M14" s="31"/>
    </row>
    <row r="15" spans="1:15" ht="12.95" customHeight="1" x14ac:dyDescent="0.2">
      <c r="B15" s="110" t="s">
        <v>212</v>
      </c>
      <c r="C15" s="111"/>
      <c r="D15" s="79"/>
      <c r="E15" s="79"/>
      <c r="F15" s="79"/>
      <c r="G15" s="112">
        <f>+Calculations!G83</f>
        <v>0.27500000000000002</v>
      </c>
      <c r="H15" s="61"/>
      <c r="I15" s="61"/>
      <c r="J15" s="61"/>
      <c r="K15" s="61"/>
      <c r="L15" s="61"/>
      <c r="M15" s="31"/>
    </row>
    <row r="16" spans="1:15" ht="12.95" customHeight="1" x14ac:dyDescent="0.2">
      <c r="B16" s="228"/>
      <c r="C16" s="226"/>
      <c r="D16" s="227"/>
      <c r="E16" s="227"/>
      <c r="F16" s="227"/>
      <c r="G16" s="227"/>
      <c r="H16" s="227"/>
      <c r="I16" s="227"/>
      <c r="J16" s="227"/>
      <c r="K16" s="227"/>
      <c r="L16" s="227"/>
      <c r="M16" s="227"/>
    </row>
    <row r="17" spans="2:15" ht="15" customHeight="1" x14ac:dyDescent="0.2">
      <c r="B17" s="1" t="s">
        <v>332</v>
      </c>
      <c r="C17" s="13"/>
      <c r="D17" s="13"/>
      <c r="E17" s="13"/>
      <c r="F17" s="13"/>
      <c r="G17" s="13"/>
      <c r="H17" s="13"/>
      <c r="I17" s="13"/>
      <c r="J17" s="13"/>
      <c r="K17" s="13"/>
      <c r="L17" s="13"/>
      <c r="M17" s="13"/>
    </row>
    <row r="18" spans="2:15" ht="12.95" customHeight="1" x14ac:dyDescent="0.2">
      <c r="B18" s="27"/>
      <c r="C18" s="28"/>
      <c r="D18" s="61"/>
      <c r="E18" s="61"/>
      <c r="F18" s="61"/>
      <c r="G18" s="61"/>
      <c r="H18" s="61"/>
      <c r="I18" s="61"/>
      <c r="J18" s="61"/>
      <c r="K18" s="61"/>
      <c r="L18" s="61"/>
      <c r="M18" s="31"/>
    </row>
    <row r="19" spans="2:15" ht="12.95" customHeight="1" x14ac:dyDescent="0.2">
      <c r="B19" s="27" t="s">
        <v>191</v>
      </c>
      <c r="C19" s="28"/>
      <c r="D19" s="61"/>
      <c r="E19" s="61">
        <f>+Output!D61</f>
        <v>2006.8000000000004</v>
      </c>
      <c r="F19" s="61">
        <f>+Output!E61</f>
        <v>2318.1000000000004</v>
      </c>
      <c r="G19" s="61">
        <f>+Output!F61</f>
        <v>2258.8999999999992</v>
      </c>
      <c r="H19" s="61">
        <f>+Output!G61</f>
        <v>2538.2000000000003</v>
      </c>
      <c r="I19" s="61">
        <f>+Output!H61</f>
        <v>2636.7346007737278</v>
      </c>
      <c r="J19" s="61">
        <f>+Output!I61</f>
        <v>2733.2338739576376</v>
      </c>
      <c r="K19" s="61">
        <f>+Output!J61</f>
        <v>2839.6265086549324</v>
      </c>
      <c r="L19" s="61">
        <f>+Output!K61</f>
        <v>2957.0884075584959</v>
      </c>
      <c r="M19" s="61">
        <f>+Output!L61</f>
        <v>3086.9429326099767</v>
      </c>
      <c r="N19" s="61">
        <f ca="1">+Output!M61</f>
        <v>3086.9429326099767</v>
      </c>
    </row>
    <row r="20" spans="2:15" ht="12.95" customHeight="1" x14ac:dyDescent="0.2">
      <c r="B20" s="27" t="s">
        <v>146</v>
      </c>
      <c r="C20" s="28"/>
      <c r="D20" s="61">
        <f>+Output!D38</f>
        <v>204.90819999999999</v>
      </c>
      <c r="E20" s="61">
        <f>+Output!E38</f>
        <v>208.95559999999998</v>
      </c>
      <c r="F20" s="61">
        <f>+Output!F38</f>
        <v>205.52559999999986</v>
      </c>
      <c r="G20" s="61">
        <f>+Output!G38</f>
        <v>204.56520000000012</v>
      </c>
      <c r="H20" s="61">
        <f>+Output!H38</f>
        <v>243.16922239449758</v>
      </c>
      <c r="I20" s="61">
        <f>+Output!I38</f>
        <v>265.04533679099688</v>
      </c>
      <c r="J20" s="61">
        <f>+Output!J38</f>
        <v>289.38421831434715</v>
      </c>
      <c r="K20" s="61">
        <f>+Output!K38</f>
        <v>316.48848009089386</v>
      </c>
      <c r="L20" s="61">
        <f>+Output!L38</f>
        <v>346.69913118030723</v>
      </c>
      <c r="M20" s="61">
        <f ca="1">+Output!M38</f>
        <v>373.62507169455398</v>
      </c>
    </row>
    <row r="21" spans="2:15" ht="12.95" customHeight="1" x14ac:dyDescent="0.2">
      <c r="B21" s="27" t="s">
        <v>193</v>
      </c>
      <c r="C21" s="28"/>
      <c r="D21" s="61"/>
      <c r="E21" s="86">
        <f t="shared" ref="E21:M21" si="1">+E20/E19</f>
        <v>0.10412377915088696</v>
      </c>
      <c r="F21" s="86">
        <f t="shared" si="1"/>
        <v>8.8661231180708261E-2</v>
      </c>
      <c r="G21" s="86">
        <f t="shared" si="1"/>
        <v>9.055965292841657E-2</v>
      </c>
      <c r="H21" s="86">
        <f t="shared" si="1"/>
        <v>9.5803806790047102E-2</v>
      </c>
      <c r="I21" s="86">
        <f t="shared" si="1"/>
        <v>0.10052029381843039</v>
      </c>
      <c r="J21" s="86">
        <f t="shared" si="1"/>
        <v>0.10587612756874253</v>
      </c>
      <c r="K21" s="86">
        <f t="shared" si="1"/>
        <v>0.1114542631315297</v>
      </c>
      <c r="L21" s="86">
        <f t="shared" si="1"/>
        <v>0.11724341088150202</v>
      </c>
      <c r="M21" s="86">
        <f t="shared" ca="1" si="1"/>
        <v>0.12103400673450676</v>
      </c>
    </row>
    <row r="22" spans="2:15" ht="12.95" customHeight="1" x14ac:dyDescent="0.2">
      <c r="B22" s="27" t="s">
        <v>297</v>
      </c>
      <c r="C22" s="28"/>
      <c r="D22" s="61"/>
      <c r="E22" s="86">
        <f t="shared" ref="E22:M22" si="2">+F19/E19-1</f>
        <v>0.15512258321706196</v>
      </c>
      <c r="F22" s="86">
        <f t="shared" si="2"/>
        <v>-2.5538156248652411E-2</v>
      </c>
      <c r="G22" s="86">
        <f t="shared" si="2"/>
        <v>0.12364425162689852</v>
      </c>
      <c r="H22" s="86">
        <f t="shared" si="2"/>
        <v>3.8820660615289437E-2</v>
      </c>
      <c r="I22" s="86">
        <f t="shared" si="2"/>
        <v>3.6598022855843348E-2</v>
      </c>
      <c r="J22" s="86">
        <f t="shared" si="2"/>
        <v>3.8925551051817386E-2</v>
      </c>
      <c r="K22" s="86">
        <f t="shared" si="2"/>
        <v>4.1365263546297326E-2</v>
      </c>
      <c r="L22" s="86">
        <f t="shared" si="2"/>
        <v>4.3912966795164099E-2</v>
      </c>
      <c r="M22" s="86">
        <f t="shared" ca="1" si="2"/>
        <v>0</v>
      </c>
    </row>
    <row r="23" spans="2:15" ht="12.95" customHeight="1" x14ac:dyDescent="0.2">
      <c r="B23" s="27" t="s">
        <v>194</v>
      </c>
      <c r="C23" s="28"/>
      <c r="D23" s="61"/>
      <c r="E23" s="86">
        <f>+E22/E21</f>
        <v>1.4897901755205414</v>
      </c>
      <c r="F23" s="86">
        <f t="shared" ref="F23:M23" si="3">+F22/F21</f>
        <v>-0.28804197627935985</v>
      </c>
      <c r="G23" s="86">
        <f t="shared" si="3"/>
        <v>1.3653348663409064</v>
      </c>
      <c r="H23" s="86">
        <f t="shared" si="3"/>
        <v>0.40521000068780616</v>
      </c>
      <c r="I23" s="86">
        <f t="shared" si="3"/>
        <v>0.36408591206418761</v>
      </c>
      <c r="J23" s="86">
        <f t="shared" si="3"/>
        <v>0.36765182053474776</v>
      </c>
      <c r="K23" s="86">
        <f t="shared" si="3"/>
        <v>0.37114115139302695</v>
      </c>
      <c r="L23" s="86">
        <f t="shared" si="3"/>
        <v>0.3745452854450555</v>
      </c>
      <c r="M23" s="86">
        <f t="shared" ca="1" si="3"/>
        <v>0</v>
      </c>
      <c r="N23" s="86"/>
    </row>
    <row r="24" spans="2:15" ht="12.95" customHeight="1" x14ac:dyDescent="0.2">
      <c r="B24" s="245" t="s">
        <v>333</v>
      </c>
      <c r="C24" s="94"/>
      <c r="D24" s="95"/>
      <c r="E24" s="95">
        <f t="shared" ref="E24:M24" si="4">+E20*(1-E23)</f>
        <v>-102.34440000000002</v>
      </c>
      <c r="F24" s="95">
        <f t="shared" si="4"/>
        <v>264.72560000000101</v>
      </c>
      <c r="G24" s="95">
        <f t="shared" si="4"/>
        <v>-74.734800000000831</v>
      </c>
      <c r="H24" s="95">
        <f t="shared" si="4"/>
        <v>144.63462162076993</v>
      </c>
      <c r="I24" s="95">
        <f t="shared" si="4"/>
        <v>168.54606360708701</v>
      </c>
      <c r="J24" s="95">
        <f t="shared" si="4"/>
        <v>182.99158361705253</v>
      </c>
      <c r="K24" s="95">
        <f t="shared" si="4"/>
        <v>199.02658118733044</v>
      </c>
      <c r="L24" s="95">
        <f t="shared" si="4"/>
        <v>216.84460612882631</v>
      </c>
      <c r="M24" s="95">
        <f t="shared" ca="1" si="4"/>
        <v>373.62507169455398</v>
      </c>
    </row>
    <row r="25" spans="2:15" ht="12.95" customHeight="1" x14ac:dyDescent="0.2">
      <c r="B25" s="228" t="s">
        <v>334</v>
      </c>
      <c r="C25" s="226"/>
      <c r="D25" s="227"/>
      <c r="E25" s="227">
        <f t="shared" ref="E25:M25" si="5">+E24-E27</f>
        <v>0</v>
      </c>
      <c r="F25" s="227">
        <f t="shared" si="5"/>
        <v>0</v>
      </c>
      <c r="G25" s="227">
        <f t="shared" si="5"/>
        <v>-2.5579538487363607E-13</v>
      </c>
      <c r="H25" s="227">
        <f t="shared" si="5"/>
        <v>0</v>
      </c>
      <c r="I25" s="227">
        <f t="shared" si="5"/>
        <v>0</v>
      </c>
      <c r="J25" s="227">
        <f t="shared" si="5"/>
        <v>0</v>
      </c>
      <c r="K25" s="227">
        <f t="shared" si="5"/>
        <v>0</v>
      </c>
      <c r="L25" s="227">
        <f t="shared" si="5"/>
        <v>0</v>
      </c>
      <c r="M25" s="227">
        <f t="shared" ca="1" si="5"/>
        <v>0</v>
      </c>
    </row>
    <row r="26" spans="2:15" s="45" customFormat="1" ht="12.95" customHeight="1" x14ac:dyDescent="0.2">
      <c r="O26"/>
    </row>
    <row r="27" spans="2:15" ht="12.95" customHeight="1" x14ac:dyDescent="0.2">
      <c r="B27" s="82" t="s">
        <v>140</v>
      </c>
      <c r="C27" s="83"/>
      <c r="D27" s="84"/>
      <c r="E27" s="84">
        <f>+Output!E97</f>
        <v>-102.34440000000001</v>
      </c>
      <c r="F27" s="84">
        <f>+Output!F97</f>
        <v>264.72560000000067</v>
      </c>
      <c r="G27" s="84">
        <f>+Output!G97</f>
        <v>-74.734800000000575</v>
      </c>
      <c r="H27" s="84">
        <f>+Output!H97</f>
        <v>144.63462162076996</v>
      </c>
      <c r="I27" s="84">
        <f>+Output!I97</f>
        <v>168.54606360708704</v>
      </c>
      <c r="J27" s="84">
        <f>+Output!J97</f>
        <v>182.99158361705253</v>
      </c>
      <c r="K27" s="84">
        <f>+Output!K97</f>
        <v>199.02658118733029</v>
      </c>
      <c r="L27" s="84">
        <f>+Output!L97</f>
        <v>216.84460612882623</v>
      </c>
      <c r="M27" s="84">
        <f ca="1">+Output!M97</f>
        <v>373.62507169455398</v>
      </c>
      <c r="N27" s="35"/>
    </row>
    <row r="28" spans="2:15" ht="5.0999999999999996" customHeight="1" x14ac:dyDescent="0.2">
      <c r="B28" s="27"/>
      <c r="C28" s="28"/>
      <c r="D28" s="61"/>
      <c r="E28" s="61"/>
      <c r="F28" s="61"/>
      <c r="G28" s="61"/>
      <c r="H28" s="61"/>
      <c r="I28" s="61"/>
      <c r="J28" s="61"/>
      <c r="K28" s="61"/>
      <c r="L28" s="61"/>
      <c r="M28" s="31"/>
      <c r="O28" s="4"/>
    </row>
    <row r="29" spans="2:15" ht="12.95" customHeight="1" x14ac:dyDescent="0.2">
      <c r="B29" s="27" t="s">
        <v>178</v>
      </c>
      <c r="C29" s="28"/>
      <c r="D29" s="61"/>
      <c r="E29" s="61"/>
      <c r="F29" s="61"/>
      <c r="G29" s="61"/>
      <c r="H29" s="61">
        <f>+YEAR(H$5)-YEAR($G$5)</f>
        <v>1</v>
      </c>
      <c r="I29" s="61">
        <f>+YEAR(I$5)-YEAR($G$5)</f>
        <v>2</v>
      </c>
      <c r="J29" s="61">
        <f>+YEAR(J$5)-YEAR($G$5)</f>
        <v>3</v>
      </c>
      <c r="K29" s="61">
        <f>+YEAR(K$5)-YEAR($G$5)</f>
        <v>4</v>
      </c>
      <c r="L29" s="61">
        <f>+YEAR(L$5)-YEAR($G$5)</f>
        <v>5</v>
      </c>
      <c r="M29" s="31"/>
    </row>
    <row r="30" spans="2:15" ht="12.95" customHeight="1" x14ac:dyDescent="0.2">
      <c r="B30" s="27" t="s">
        <v>200</v>
      </c>
      <c r="C30" s="28"/>
      <c r="D30" s="61"/>
      <c r="E30" s="61"/>
      <c r="F30" s="61"/>
      <c r="G30" s="61"/>
      <c r="H30" s="78">
        <f>1/((1+$G$11)^H29)</f>
        <v>0.92686677023935549</v>
      </c>
      <c r="I30" s="78">
        <f>1/((1+$G$11)^I29)</f>
        <v>0.85908200977393423</v>
      </c>
      <c r="J30" s="78">
        <f>1/((1+$G$11)^J29)</f>
        <v>0.79625456776990089</v>
      </c>
      <c r="K30" s="78">
        <f>1/((1+$G$11)^K29)</f>
        <v>0.73802189951722208</v>
      </c>
      <c r="L30" s="78">
        <f>1/((1+$G$11)^L29)</f>
        <v>0.68404797437144182</v>
      </c>
      <c r="M30" s="78"/>
    </row>
    <row r="31" spans="2:15" ht="12.95" customHeight="1" x14ac:dyDescent="0.2">
      <c r="B31" s="29" t="s">
        <v>180</v>
      </c>
      <c r="C31" s="30"/>
      <c r="D31" s="62"/>
      <c r="E31" s="62"/>
      <c r="F31" s="62"/>
      <c r="G31" s="62"/>
      <c r="H31" s="62">
        <f>+H30*H27</f>
        <v>134.05702460643431</v>
      </c>
      <c r="I31" s="62">
        <f>+I30*I27</f>
        <v>144.7948910630617</v>
      </c>
      <c r="J31" s="62">
        <f>+J30*J27</f>
        <v>145.70788431852583</v>
      </c>
      <c r="K31" s="62">
        <f>+K30*K27</f>
        <v>146.88597550229213</v>
      </c>
      <c r="L31" s="62">
        <f>+L30*L27</f>
        <v>148.33211357579671</v>
      </c>
      <c r="M31" s="32"/>
    </row>
    <row r="32" spans="2:15" ht="12.95" customHeight="1" x14ac:dyDescent="0.2">
      <c r="O32" s="35"/>
    </row>
    <row r="33" spans="2:15" ht="12.95" customHeight="1" x14ac:dyDescent="0.2">
      <c r="B33" s="91" t="s">
        <v>182</v>
      </c>
      <c r="C33" s="66"/>
      <c r="D33" s="66"/>
      <c r="E33" s="66"/>
      <c r="F33" s="66"/>
      <c r="G33" s="92">
        <f>+SUM(H31:L31)</f>
        <v>719.77788906611067</v>
      </c>
    </row>
    <row r="34" spans="2:15" ht="12.95" customHeight="1" x14ac:dyDescent="0.2">
      <c r="B34" s="93" t="s">
        <v>352</v>
      </c>
      <c r="C34" s="94"/>
      <c r="D34" s="95"/>
      <c r="E34" s="95"/>
      <c r="F34" s="95"/>
      <c r="G34" s="96">
        <f ca="1">+M27/(G11-G10)</f>
        <v>6342.9799542211549</v>
      </c>
      <c r="I34" s="156"/>
      <c r="J34" s="61"/>
      <c r="K34" s="61"/>
      <c r="L34" s="157"/>
    </row>
    <row r="35" spans="2:15" ht="12.95" customHeight="1" x14ac:dyDescent="0.2">
      <c r="B35" s="97" t="s">
        <v>353</v>
      </c>
      <c r="C35" s="87"/>
      <c r="D35" s="88"/>
      <c r="E35" s="88"/>
      <c r="F35" s="88"/>
      <c r="G35" s="98">
        <f ca="1">+G34*L30</f>
        <v>4143.2958516691178</v>
      </c>
      <c r="H35" s="61"/>
      <c r="I35" s="61"/>
      <c r="J35" s="61"/>
      <c r="K35" s="61"/>
      <c r="L35" s="157"/>
      <c r="M35" s="61"/>
    </row>
    <row r="36" spans="2:15" ht="5.0999999999999996" customHeight="1" x14ac:dyDescent="0.2">
      <c r="D36" s="49"/>
      <c r="E36" s="49"/>
      <c r="F36" s="49"/>
      <c r="G36" s="49"/>
      <c r="H36" s="49"/>
      <c r="I36" s="49"/>
      <c r="J36" s="49"/>
      <c r="K36" s="49"/>
      <c r="L36" s="49"/>
      <c r="M36" s="49"/>
    </row>
    <row r="37" spans="2:15" ht="12.95" customHeight="1" x14ac:dyDescent="0.2">
      <c r="B37" s="24" t="s">
        <v>184</v>
      </c>
      <c r="C37" s="25"/>
      <c r="D37" s="58"/>
      <c r="E37" s="58"/>
      <c r="F37" s="58"/>
      <c r="G37" s="58">
        <f ca="1">+G35+G33</f>
        <v>4843.2087947238688</v>
      </c>
      <c r="H37" s="49"/>
      <c r="I37" s="49"/>
      <c r="J37" s="49"/>
      <c r="K37" s="49"/>
      <c r="L37" s="157"/>
      <c r="M37" s="49"/>
    </row>
    <row r="38" spans="2:15" ht="12.95" customHeight="1" x14ac:dyDescent="0.2">
      <c r="B38" s="228"/>
      <c r="C38" s="226"/>
      <c r="D38" s="227"/>
      <c r="E38" s="227"/>
      <c r="F38" s="227"/>
      <c r="G38" s="227"/>
      <c r="I38" s="156"/>
      <c r="J38" s="61"/>
      <c r="K38" s="61"/>
      <c r="L38" s="157"/>
    </row>
    <row r="39" spans="2:15" ht="12.95" customHeight="1" x14ac:dyDescent="0.2">
      <c r="H39" s="61"/>
      <c r="I39" s="61"/>
    </row>
    <row r="40" spans="2:15" ht="15" customHeight="1" x14ac:dyDescent="0.2">
      <c r="B40" s="1" t="s">
        <v>198</v>
      </c>
      <c r="C40" s="13"/>
      <c r="D40" s="13"/>
      <c r="E40" s="13"/>
      <c r="F40" s="13"/>
      <c r="G40" s="13"/>
      <c r="H40" s="13"/>
      <c r="I40" s="13"/>
      <c r="J40" s="13"/>
      <c r="K40" s="13"/>
      <c r="L40" s="13"/>
      <c r="M40" s="13"/>
    </row>
    <row r="41" spans="2:15" s="45" customFormat="1" ht="5.0999999999999996" customHeight="1" x14ac:dyDescent="0.2">
      <c r="O41"/>
    </row>
    <row r="42" spans="2:15" ht="12.95" customHeight="1" x14ac:dyDescent="0.2">
      <c r="B42" s="82" t="s">
        <v>140</v>
      </c>
      <c r="C42" s="28"/>
      <c r="D42" s="49"/>
      <c r="E42" s="81">
        <f t="shared" ref="E42:M42" si="6">+E27</f>
        <v>-102.34440000000001</v>
      </c>
      <c r="F42" s="81">
        <f t="shared" si="6"/>
        <v>264.72560000000067</v>
      </c>
      <c r="G42" s="81">
        <f t="shared" si="6"/>
        <v>-74.734800000000575</v>
      </c>
      <c r="H42" s="81">
        <f t="shared" si="6"/>
        <v>144.63462162076996</v>
      </c>
      <c r="I42" s="81">
        <f t="shared" si="6"/>
        <v>168.54606360708704</v>
      </c>
      <c r="J42" s="81">
        <f t="shared" si="6"/>
        <v>182.99158361705253</v>
      </c>
      <c r="K42" s="81">
        <f t="shared" si="6"/>
        <v>199.02658118733029</v>
      </c>
      <c r="L42" s="81">
        <f t="shared" si="6"/>
        <v>216.84460612882623</v>
      </c>
      <c r="M42" s="81">
        <f t="shared" ca="1" si="6"/>
        <v>373.62507169455398</v>
      </c>
      <c r="N42" s="61"/>
    </row>
    <row r="43" spans="2:15" ht="5.0999999999999996" customHeight="1" x14ac:dyDescent="0.2">
      <c r="B43" s="27"/>
      <c r="C43" s="28"/>
      <c r="D43" s="61"/>
      <c r="E43" s="61"/>
      <c r="F43" s="61"/>
      <c r="G43" s="61"/>
      <c r="H43" s="61"/>
      <c r="I43" s="61"/>
      <c r="J43" s="61"/>
      <c r="K43" s="61"/>
      <c r="L43" s="61"/>
      <c r="M43" s="31"/>
      <c r="O43" s="4"/>
    </row>
    <row r="44" spans="2:15" ht="12.95" customHeight="1" x14ac:dyDescent="0.2">
      <c r="B44" s="27" t="s">
        <v>178</v>
      </c>
      <c r="C44" s="28"/>
      <c r="D44" s="61"/>
      <c r="E44" s="61"/>
      <c r="F44" s="61"/>
      <c r="G44" s="61"/>
      <c r="H44" s="61">
        <f>+YEAR(H$5)-YEAR($G$5)</f>
        <v>1</v>
      </c>
      <c r="I44" s="61">
        <f>+YEAR(I$5)-YEAR($G$5)</f>
        <v>2</v>
      </c>
      <c r="J44" s="61">
        <f>+YEAR(J$5)-YEAR($G$5)</f>
        <v>3</v>
      </c>
      <c r="K44" s="61">
        <f>+YEAR(K$5)-YEAR($G$5)</f>
        <v>4</v>
      </c>
      <c r="L44" s="61">
        <f>+YEAR(L$5)-YEAR($G$5)</f>
        <v>5</v>
      </c>
      <c r="M44" s="31"/>
    </row>
    <row r="45" spans="2:15" ht="12.95" customHeight="1" x14ac:dyDescent="0.2">
      <c r="B45" s="27" t="s">
        <v>201</v>
      </c>
      <c r="C45" s="28"/>
      <c r="D45" s="61"/>
      <c r="E45" s="61"/>
      <c r="F45" s="61"/>
      <c r="G45" s="61"/>
      <c r="H45" s="78">
        <f>1/((1+$G$12)^H44)</f>
        <v>0.92518584448209862</v>
      </c>
      <c r="I45" s="78">
        <f>1/((1+$G$12)^I44)</f>
        <v>0.85596884683005392</v>
      </c>
      <c r="J45" s="78">
        <f>1/((1+$G$12)^J44)</f>
        <v>0.7919302604048315</v>
      </c>
      <c r="K45" s="78">
        <f>1/((1+$G$12)^K44)</f>
        <v>0.73268266674357241</v>
      </c>
      <c r="L45" s="78">
        <f>1/((1+$G$12)^L44)</f>
        <v>0.67786763176854803</v>
      </c>
      <c r="M45" s="78"/>
    </row>
    <row r="46" spans="2:15" ht="12.95" customHeight="1" x14ac:dyDescent="0.2">
      <c r="B46" s="29" t="s">
        <v>180</v>
      </c>
      <c r="C46" s="30"/>
      <c r="D46" s="62"/>
      <c r="E46" s="62"/>
      <c r="F46" s="62"/>
      <c r="G46" s="62"/>
      <c r="H46" s="62">
        <f>+H45*H42</f>
        <v>133.81390454556086</v>
      </c>
      <c r="I46" s="62">
        <f>+I45*I42</f>
        <v>144.2701797035032</v>
      </c>
      <c r="J46" s="62">
        <f>+J45*J42</f>
        <v>144.91657246574491</v>
      </c>
      <c r="K46" s="62">
        <f>+K45*K42</f>
        <v>145.82332625718928</v>
      </c>
      <c r="L46" s="62">
        <f>+L45*L42</f>
        <v>146.991939618331</v>
      </c>
      <c r="M46" s="32"/>
    </row>
    <row r="47" spans="2:15" ht="5.0999999999999996" customHeight="1" x14ac:dyDescent="0.2">
      <c r="B47" s="27"/>
      <c r="C47" s="28"/>
      <c r="D47" s="61"/>
      <c r="E47" s="61"/>
      <c r="F47" s="61"/>
      <c r="G47" s="61"/>
      <c r="H47" s="61"/>
      <c r="I47" s="61"/>
      <c r="J47" s="61"/>
      <c r="K47" s="61"/>
      <c r="L47" s="61"/>
      <c r="M47" s="31"/>
      <c r="O47" s="4"/>
    </row>
    <row r="48" spans="2:15" ht="12.95" customHeight="1" x14ac:dyDescent="0.2">
      <c r="B48" s="27" t="s">
        <v>177</v>
      </c>
      <c r="C48" s="28"/>
      <c r="D48" s="61">
        <f>+Restatements!D74</f>
        <v>658.8</v>
      </c>
      <c r="E48" s="61">
        <f>+Restatements!E74</f>
        <v>926.80000000000007</v>
      </c>
      <c r="F48" s="61">
        <f>+Restatements!F74</f>
        <v>898.3</v>
      </c>
      <c r="G48" s="61">
        <f>+Restatements!G74</f>
        <v>1035.9000000000001</v>
      </c>
      <c r="H48" s="61">
        <f ca="1">+Output!H74</f>
        <v>988.32135750839939</v>
      </c>
      <c r="I48" s="61">
        <f ca="1">+Output!I74</f>
        <v>920.63888776223746</v>
      </c>
      <c r="J48" s="61">
        <f ca="1">+Output!J74</f>
        <v>842.45526215278028</v>
      </c>
      <c r="K48" s="61">
        <f ca="1">+Output!K74</f>
        <v>752.5353742501411</v>
      </c>
      <c r="L48" s="61">
        <f ca="1">+Output!L74</f>
        <v>649.49632259278155</v>
      </c>
      <c r="M48" s="61">
        <f ca="1">+Output!M74</f>
        <v>649.49632259278144</v>
      </c>
    </row>
    <row r="49" spans="2:15" ht="12.95" customHeight="1" x14ac:dyDescent="0.2">
      <c r="B49" s="29" t="s">
        <v>147</v>
      </c>
      <c r="C49" s="30"/>
      <c r="D49" s="62"/>
      <c r="E49" s="62">
        <f t="shared" ref="E49:M49" si="7">+AVERAGE(D48:E48)*$G$15*$G$14</f>
        <v>9.3125363517241357</v>
      </c>
      <c r="F49" s="62">
        <f t="shared" si="7"/>
        <v>10.719166306465516</v>
      </c>
      <c r="G49" s="62">
        <f t="shared" si="7"/>
        <v>11.359931768103447</v>
      </c>
      <c r="H49" s="62">
        <f t="shared" ca="1" si="7"/>
        <v>11.888644661789449</v>
      </c>
      <c r="I49" s="62">
        <f t="shared" ca="1" si="7"/>
        <v>11.211693792935813</v>
      </c>
      <c r="J49" s="62">
        <f t="shared" ca="1" si="7"/>
        <v>10.354993921919629</v>
      </c>
      <c r="K49" s="62">
        <f t="shared" ca="1" si="7"/>
        <v>9.3676893807781401</v>
      </c>
      <c r="L49" s="62">
        <f t="shared" ca="1" si="7"/>
        <v>8.2344041013617506</v>
      </c>
      <c r="M49" s="62">
        <f t="shared" ca="1" si="7"/>
        <v>7.6292357649551272</v>
      </c>
    </row>
    <row r="50" spans="2:15" ht="5.0999999999999996" customHeight="1" x14ac:dyDescent="0.2">
      <c r="B50" s="27"/>
      <c r="C50" s="28"/>
      <c r="D50" s="61"/>
      <c r="E50" s="61"/>
      <c r="F50" s="61"/>
      <c r="G50" s="61"/>
      <c r="H50" s="61"/>
      <c r="I50" s="61"/>
      <c r="J50" s="61"/>
      <c r="K50" s="61"/>
      <c r="L50" s="61"/>
      <c r="M50" s="31"/>
      <c r="O50" s="4"/>
    </row>
    <row r="51" spans="2:15" ht="12.95" customHeight="1" x14ac:dyDescent="0.2">
      <c r="B51" s="27" t="s">
        <v>178</v>
      </c>
      <c r="C51" s="28"/>
      <c r="D51" s="61"/>
      <c r="E51" s="61"/>
      <c r="F51" s="61"/>
      <c r="G51" s="61"/>
      <c r="H51" s="61">
        <f>+YEAR(H$5)-YEAR($G$5)</f>
        <v>1</v>
      </c>
      <c r="I51" s="61">
        <f>+YEAR(I$5)-YEAR($G$5)</f>
        <v>2</v>
      </c>
      <c r="J51" s="61">
        <f>+YEAR(J$5)-YEAR($G$5)</f>
        <v>3</v>
      </c>
      <c r="K51" s="61">
        <f>+YEAR(K$5)-YEAR($G$5)</f>
        <v>4</v>
      </c>
      <c r="L51" s="61">
        <f>+YEAR(L$5)-YEAR($G$5)</f>
        <v>5</v>
      </c>
      <c r="M51" s="31"/>
    </row>
    <row r="52" spans="2:15" ht="12.95" customHeight="1" x14ac:dyDescent="0.2">
      <c r="B52" s="27" t="s">
        <v>202</v>
      </c>
      <c r="C52" s="28"/>
      <c r="D52" s="61"/>
      <c r="E52" s="61"/>
      <c r="F52" s="61"/>
      <c r="G52" s="61"/>
      <c r="H52" s="78">
        <f>1/((1+$G$14)^H51)</f>
        <v>0.95903562023644529</v>
      </c>
      <c r="I52" s="78">
        <f>1/((1+$G$14)^I51)</f>
        <v>0.91974932088230321</v>
      </c>
      <c r="J52" s="78">
        <f>1/((1+$G$14)^J51)</f>
        <v>0.88207236041440884</v>
      </c>
      <c r="K52" s="78">
        <f>1/((1+$G$14)^K51)</f>
        <v>0.84593881326345799</v>
      </c>
      <c r="L52" s="78">
        <f>1/((1+$G$14)^L51)</f>
        <v>0.81128545446020295</v>
      </c>
      <c r="M52" s="78"/>
    </row>
    <row r="53" spans="2:15" ht="12.95" customHeight="1" x14ac:dyDescent="0.2">
      <c r="B53" s="29" t="s">
        <v>204</v>
      </c>
      <c r="C53" s="30"/>
      <c r="D53" s="62"/>
      <c r="E53" s="62"/>
      <c r="F53" s="62"/>
      <c r="G53" s="62"/>
      <c r="H53" s="62">
        <f ca="1">+H52*H49</f>
        <v>11.40163370698995</v>
      </c>
      <c r="I53" s="62">
        <f ca="1">+I52*I49</f>
        <v>10.311947751993049</v>
      </c>
      <c r="J53" s="62">
        <f ca="1">+J52*J49</f>
        <v>9.1338539307845039</v>
      </c>
      <c r="K53" s="62">
        <f ca="1">+K52*K49</f>
        <v>7.9244920377961572</v>
      </c>
      <c r="L53" s="62">
        <f ca="1">+L52*L49</f>
        <v>6.6804522735822269</v>
      </c>
      <c r="M53" s="32"/>
    </row>
    <row r="54" spans="2:15" ht="12.95" customHeight="1" x14ac:dyDescent="0.2">
      <c r="B54" s="27"/>
      <c r="C54" s="28"/>
      <c r="D54" s="61"/>
      <c r="E54" s="61"/>
      <c r="F54" s="61"/>
      <c r="G54" s="61"/>
      <c r="H54" s="61"/>
      <c r="I54" s="61"/>
      <c r="J54" s="61"/>
      <c r="K54" s="61"/>
      <c r="L54" s="61"/>
      <c r="M54" s="31"/>
    </row>
    <row r="55" spans="2:15" ht="12.95" customHeight="1" x14ac:dyDescent="0.2">
      <c r="B55" s="91" t="s">
        <v>182</v>
      </c>
      <c r="C55" s="66"/>
      <c r="D55" s="66"/>
      <c r="E55" s="66"/>
      <c r="F55" s="66"/>
      <c r="G55" s="92">
        <f>+SUM(H46:L46)</f>
        <v>715.81592259032925</v>
      </c>
    </row>
    <row r="56" spans="2:15" ht="12.95" customHeight="1" x14ac:dyDescent="0.2">
      <c r="B56" s="93" t="s">
        <v>352</v>
      </c>
      <c r="C56" s="94"/>
      <c r="D56" s="95"/>
      <c r="E56" s="95"/>
      <c r="F56" s="95"/>
      <c r="G56" s="96">
        <f ca="1">+M42/(G12-G10)</f>
        <v>7345.5813186022206</v>
      </c>
      <c r="H56" s="61"/>
      <c r="I56" s="61"/>
      <c r="J56" s="61"/>
      <c r="K56" s="61"/>
      <c r="L56" s="61"/>
      <c r="M56" s="61"/>
    </row>
    <row r="57" spans="2:15" ht="12.95" customHeight="1" x14ac:dyDescent="0.2">
      <c r="B57" s="101" t="s">
        <v>353</v>
      </c>
      <c r="C57" s="90"/>
      <c r="D57" s="77"/>
      <c r="E57" s="77"/>
      <c r="F57" s="77"/>
      <c r="G57" s="102">
        <f ca="1">+G56*L45</f>
        <v>4979.3318124041753</v>
      </c>
      <c r="H57" s="61"/>
      <c r="I57" s="61"/>
      <c r="J57" s="61"/>
      <c r="K57" s="61"/>
      <c r="L57" s="61"/>
      <c r="M57" s="61"/>
      <c r="N57" s="35"/>
    </row>
    <row r="58" spans="2:15" ht="12.95" customHeight="1" x14ac:dyDescent="0.2">
      <c r="B58" s="103" t="s">
        <v>205</v>
      </c>
      <c r="C58" s="104"/>
      <c r="D58" s="105"/>
      <c r="E58" s="105"/>
      <c r="F58" s="105"/>
      <c r="G58" s="106">
        <f ca="1">+G57+G55</f>
        <v>5695.1477349945044</v>
      </c>
      <c r="H58" s="61"/>
      <c r="I58" s="61"/>
      <c r="J58" s="61"/>
      <c r="K58" s="61"/>
      <c r="L58" s="61"/>
      <c r="M58" s="61"/>
      <c r="N58" s="35"/>
    </row>
    <row r="59" spans="2:15" ht="5.0999999999999996" customHeight="1" x14ac:dyDescent="0.2">
      <c r="D59" s="49"/>
      <c r="E59" s="49"/>
      <c r="F59" s="49"/>
      <c r="G59" s="49"/>
      <c r="H59" s="49"/>
      <c r="I59" s="49"/>
      <c r="J59" s="49"/>
      <c r="K59" s="49"/>
      <c r="L59" s="49"/>
      <c r="M59" s="49"/>
    </row>
    <row r="60" spans="2:15" ht="12.95" customHeight="1" x14ac:dyDescent="0.2">
      <c r="B60" s="91" t="s">
        <v>203</v>
      </c>
      <c r="C60" s="66"/>
      <c r="D60" s="66"/>
      <c r="E60" s="66"/>
      <c r="F60" s="66"/>
      <c r="G60" s="92">
        <f ca="1">+SUM(H53:L53)</f>
        <v>45.452379701145887</v>
      </c>
    </row>
    <row r="61" spans="2:15" ht="12.95" customHeight="1" x14ac:dyDescent="0.2">
      <c r="B61" s="93" t="s">
        <v>352</v>
      </c>
      <c r="C61" s="94"/>
      <c r="D61" s="95"/>
      <c r="E61" s="95"/>
      <c r="F61" s="95"/>
      <c r="G61" s="96">
        <f ca="1">+M49/(G14-G10)</f>
        <v>335.88048941673696</v>
      </c>
      <c r="H61" s="61"/>
      <c r="I61" s="61"/>
      <c r="J61" s="61"/>
      <c r="K61" s="61"/>
      <c r="L61" s="61"/>
      <c r="M61" s="61"/>
    </row>
    <row r="62" spans="2:15" ht="12.95" customHeight="1" x14ac:dyDescent="0.2">
      <c r="B62" s="101" t="s">
        <v>353</v>
      </c>
      <c r="C62" s="90"/>
      <c r="D62" s="77"/>
      <c r="E62" s="77"/>
      <c r="F62" s="77"/>
      <c r="G62" s="102">
        <f ca="1">+G61*L52</f>
        <v>272.49495550077285</v>
      </c>
      <c r="H62" s="61"/>
      <c r="I62" s="61"/>
      <c r="J62" s="61"/>
      <c r="K62" s="61"/>
      <c r="L62" s="61"/>
      <c r="M62" s="61"/>
      <c r="N62" s="35"/>
    </row>
    <row r="63" spans="2:15" ht="12.95" customHeight="1" x14ac:dyDescent="0.2">
      <c r="B63" s="103" t="s">
        <v>206</v>
      </c>
      <c r="C63" s="104"/>
      <c r="D63" s="105"/>
      <c r="E63" s="105"/>
      <c r="F63" s="105"/>
      <c r="G63" s="106">
        <f ca="1">+G62+G60</f>
        <v>317.94733520191875</v>
      </c>
      <c r="H63" s="61"/>
      <c r="I63" s="61"/>
      <c r="J63" s="61"/>
      <c r="K63" s="61"/>
      <c r="L63" s="61"/>
      <c r="M63" s="61"/>
      <c r="N63" s="35"/>
    </row>
    <row r="64" spans="2:15" ht="5.0999999999999996" customHeight="1" x14ac:dyDescent="0.2">
      <c r="D64" s="49"/>
      <c r="E64" s="49"/>
      <c r="F64" s="49"/>
      <c r="G64" s="49"/>
      <c r="H64" s="49"/>
      <c r="I64" s="49"/>
      <c r="J64" s="49"/>
      <c r="K64" s="49"/>
      <c r="L64" s="49"/>
      <c r="M64" s="49"/>
    </row>
    <row r="65" spans="2:17" ht="12.95" customHeight="1" x14ac:dyDescent="0.2">
      <c r="B65" s="24" t="s">
        <v>184</v>
      </c>
      <c r="C65" s="25"/>
      <c r="D65" s="58"/>
      <c r="E65" s="58"/>
      <c r="F65" s="58"/>
      <c r="G65" s="58">
        <f ca="1">+G63+G58</f>
        <v>5154.5859112811913</v>
      </c>
      <c r="H65" s="61"/>
      <c r="I65" s="61"/>
      <c r="J65" s="61"/>
      <c r="K65" s="61"/>
      <c r="L65" s="61"/>
      <c r="M65" s="61"/>
    </row>
    <row r="66" spans="2:17" ht="12.95" customHeight="1" x14ac:dyDescent="0.2">
      <c r="B66" s="89"/>
      <c r="C66" s="90"/>
      <c r="D66" s="77"/>
      <c r="E66" s="77"/>
      <c r="F66" s="77"/>
      <c r="G66" s="77"/>
      <c r="H66" s="77"/>
      <c r="I66" s="77"/>
      <c r="J66" s="77"/>
      <c r="K66" s="77"/>
      <c r="L66" s="77"/>
      <c r="M66" s="77"/>
    </row>
    <row r="67" spans="2:17" ht="15" customHeight="1" x14ac:dyDescent="0.2">
      <c r="B67" s="1" t="s">
        <v>331</v>
      </c>
      <c r="C67" s="13"/>
      <c r="D67" s="13"/>
      <c r="E67" s="13"/>
      <c r="F67" s="13"/>
      <c r="G67" s="13"/>
      <c r="H67" s="13"/>
      <c r="I67" s="13"/>
      <c r="J67" s="13"/>
      <c r="K67" s="13"/>
      <c r="L67" s="13"/>
      <c r="M67" s="13"/>
    </row>
    <row r="68" spans="2:17" ht="12.95" customHeight="1" x14ac:dyDescent="0.2">
      <c r="B68" s="228"/>
      <c r="C68" s="226"/>
      <c r="D68" s="227"/>
      <c r="E68" s="227"/>
      <c r="F68" s="227"/>
      <c r="G68" s="227"/>
      <c r="H68" s="227"/>
      <c r="I68" s="227"/>
      <c r="J68" s="227"/>
      <c r="K68" s="227"/>
      <c r="L68" s="227"/>
      <c r="M68" s="227"/>
    </row>
    <row r="69" spans="2:17" ht="12.95" customHeight="1" x14ac:dyDescent="0.2">
      <c r="B69" s="245" t="s">
        <v>329</v>
      </c>
      <c r="C69" s="94"/>
      <c r="D69" s="95"/>
      <c r="E69" s="95">
        <f>+Output!D78</f>
        <v>1363.6999999999998</v>
      </c>
      <c r="F69" s="95">
        <f>+Output!E78</f>
        <v>1428.8999999999999</v>
      </c>
      <c r="G69" s="95">
        <f>+Output!F78</f>
        <v>1391.6999999999998</v>
      </c>
      <c r="H69" s="95">
        <f>+Output!G78</f>
        <v>1574.8999999999999</v>
      </c>
      <c r="I69" s="95">
        <f ca="1">+Output!H78</f>
        <v>1721.0132432653281</v>
      </c>
      <c r="J69" s="95">
        <f ca="1">+Output!I78</f>
        <v>1885.1949861953999</v>
      </c>
      <c r="K69" s="95">
        <f ca="1">+Output!J78</f>
        <v>2069.7712465021518</v>
      </c>
      <c r="L69" s="95">
        <f ca="1">+Output!K78</f>
        <v>2277.1530333083547</v>
      </c>
      <c r="M69" s="95">
        <f ca="1">+Output!L78</f>
        <v>2510.0466100171952</v>
      </c>
      <c r="N69" s="95">
        <f ca="1">+Output!M78</f>
        <v>2510.0466100171952</v>
      </c>
      <c r="O69" s="159"/>
      <c r="P69" s="159"/>
      <c r="Q69" s="159"/>
    </row>
    <row r="70" spans="2:17" ht="12.95" customHeight="1" x14ac:dyDescent="0.2">
      <c r="B70" s="245" t="s">
        <v>264</v>
      </c>
      <c r="C70" s="94"/>
      <c r="D70" s="95"/>
      <c r="E70" s="95">
        <f>+Output!E31</f>
        <v>156.99999999999994</v>
      </c>
      <c r="F70" s="95">
        <f>+Output!F31</f>
        <v>150.39999999999981</v>
      </c>
      <c r="G70" s="95">
        <f>+Output!G31</f>
        <v>129.50000000000017</v>
      </c>
      <c r="H70" s="95">
        <f ca="1">+Output!H31</f>
        <v>197.79639799434415</v>
      </c>
      <c r="I70" s="95">
        <f ca="1">+Output!I31</f>
        <v>222.25608467968038</v>
      </c>
      <c r="J70" s="95">
        <f ca="1">+Output!J31</f>
        <v>249.86454771690865</v>
      </c>
      <c r="K70" s="95">
        <f ca="1">+Output!K31</f>
        <v>280.7368416660936</v>
      </c>
      <c r="L70" s="95">
        <f ca="1">+Output!L31</f>
        <v>315.272658107913</v>
      </c>
      <c r="M70" s="95">
        <f ca="1">+Output!M31</f>
        <v>340.88078613021707</v>
      </c>
      <c r="N70" s="159"/>
      <c r="O70" s="159"/>
    </row>
    <row r="71" spans="2:17" ht="12.95" customHeight="1" x14ac:dyDescent="0.2">
      <c r="B71" s="27" t="s">
        <v>327</v>
      </c>
      <c r="C71" s="28"/>
      <c r="D71" s="61"/>
      <c r="E71" s="86">
        <f t="shared" ref="E71:M71" si="8">+E70/E69</f>
        <v>0.11512796069516754</v>
      </c>
      <c r="F71" s="86">
        <f t="shared" si="8"/>
        <v>0.10525579116803123</v>
      </c>
      <c r="G71" s="86">
        <f t="shared" si="8"/>
        <v>9.3051663433211321E-2</v>
      </c>
      <c r="H71" s="86">
        <f t="shared" ca="1" si="8"/>
        <v>0.12559298875759994</v>
      </c>
      <c r="I71" s="86">
        <f t="shared" ca="1" si="8"/>
        <v>0.12914257664745651</v>
      </c>
      <c r="J71" s="86">
        <f t="shared" ca="1" si="8"/>
        <v>0.13254042661187634</v>
      </c>
      <c r="K71" s="86">
        <f t="shared" ca="1" si="8"/>
        <v>0.13563665170270869</v>
      </c>
      <c r="L71" s="86">
        <f t="shared" ca="1" si="8"/>
        <v>0.13845036038261782</v>
      </c>
      <c r="M71" s="86">
        <f t="shared" ca="1" si="8"/>
        <v>0.13580655624872315</v>
      </c>
      <c r="N71" s="86"/>
    </row>
    <row r="72" spans="2:17" ht="12.95" customHeight="1" x14ac:dyDescent="0.2">
      <c r="B72" s="27" t="s">
        <v>328</v>
      </c>
      <c r="C72" s="226"/>
      <c r="D72" s="227"/>
      <c r="E72" s="86">
        <f t="shared" ref="E72:L72" si="9">+F69/E69-1</f>
        <v>4.7811102148566542E-2</v>
      </c>
      <c r="F72" s="86">
        <f t="shared" si="9"/>
        <v>-2.6034012177199251E-2</v>
      </c>
      <c r="G72" s="86">
        <f t="shared" si="9"/>
        <v>0.13163756556729189</v>
      </c>
      <c r="H72" s="86">
        <f t="shared" ca="1" si="9"/>
        <v>9.2776203736953722E-2</v>
      </c>
      <c r="I72" s="86">
        <f t="shared" ca="1" si="9"/>
        <v>9.5398303047665722E-2</v>
      </c>
      <c r="J72" s="86">
        <f t="shared" ca="1" si="9"/>
        <v>9.7908312751910032E-2</v>
      </c>
      <c r="K72" s="86">
        <f t="shared" ca="1" si="9"/>
        <v>0.10019551056991038</v>
      </c>
      <c r="L72" s="86">
        <f t="shared" ca="1" si="9"/>
        <v>0.10227401202390074</v>
      </c>
      <c r="M72" s="86">
        <f ca="1">+N69/M69-1</f>
        <v>0</v>
      </c>
    </row>
    <row r="73" spans="2:17" ht="12.95" customHeight="1" x14ac:dyDescent="0.2">
      <c r="B73" s="27" t="s">
        <v>330</v>
      </c>
      <c r="C73" s="28"/>
      <c r="D73" s="61"/>
      <c r="E73" s="86">
        <f>+E72/E71</f>
        <v>0.41528662420382295</v>
      </c>
      <c r="F73" s="86">
        <f t="shared" ref="F73" si="10">+F72/F71</f>
        <v>-0.24734042553191524</v>
      </c>
      <c r="G73" s="86">
        <f t="shared" ref="G73" si="11">+G72/G71</f>
        <v>1.4146718146718136</v>
      </c>
      <c r="H73" s="86">
        <f t="shared" ref="H73" ca="1" si="12">+H72/H71</f>
        <v>0.73870527849302103</v>
      </c>
      <c r="I73" s="86">
        <f t="shared" ref="I73" ca="1" si="13">+I72/I71</f>
        <v>0.73870527849302137</v>
      </c>
      <c r="J73" s="86">
        <f ca="1">+J72/J71</f>
        <v>0.73870527849302181</v>
      </c>
      <c r="K73" s="86">
        <f t="shared" ref="K73" ca="1" si="14">+K72/K71</f>
        <v>0.73870527849302148</v>
      </c>
      <c r="L73" s="86">
        <f t="shared" ref="L73" ca="1" si="15">+L72/L71</f>
        <v>0.73870527849302048</v>
      </c>
      <c r="M73" s="86">
        <f t="shared" ref="M73" ca="1" si="16">+M72/M71</f>
        <v>0</v>
      </c>
      <c r="N73" s="86"/>
    </row>
    <row r="74" spans="2:17" ht="12.95" customHeight="1" x14ac:dyDescent="0.2">
      <c r="B74" s="245" t="s">
        <v>335</v>
      </c>
      <c r="C74" s="94"/>
      <c r="D74" s="95"/>
      <c r="E74" s="31">
        <f>+E70*(1-E73)</f>
        <v>91.79999999999977</v>
      </c>
      <c r="F74" s="31">
        <f t="shared" ref="F74:M74" si="17">+F70*(1-F73)</f>
        <v>187.5999999999998</v>
      </c>
      <c r="G74" s="31">
        <f t="shared" si="17"/>
        <v>-53.699999999999932</v>
      </c>
      <c r="H74" s="31">
        <f t="shared" ca="1" si="17"/>
        <v>51.683154729015726</v>
      </c>
      <c r="I74" s="31">
        <f t="shared" ca="1" si="17"/>
        <v>58.07434174960855</v>
      </c>
      <c r="J74" s="31">
        <f t="shared" ca="1" si="17"/>
        <v>65.288287410156713</v>
      </c>
      <c r="K74" s="31">
        <f t="shared" ca="1" si="17"/>
        <v>73.355054859890657</v>
      </c>
      <c r="L74" s="31">
        <f t="shared" ca="1" si="17"/>
        <v>82.379081399072291</v>
      </c>
      <c r="M74" s="31">
        <f t="shared" ca="1" si="17"/>
        <v>340.88078613021707</v>
      </c>
    </row>
    <row r="75" spans="2:17" ht="12.95" customHeight="1" x14ac:dyDescent="0.2">
      <c r="B75" s="228" t="s">
        <v>334</v>
      </c>
      <c r="C75" s="226"/>
      <c r="D75" s="227"/>
      <c r="E75" s="227">
        <f t="shared" ref="E75:M75" si="18">+E74-E77</f>
        <v>-27.800000000000253</v>
      </c>
      <c r="F75" s="227">
        <f t="shared" si="18"/>
        <v>-1.4000000000006594</v>
      </c>
      <c r="G75" s="227">
        <f t="shared" si="18"/>
        <v>213.90000000000043</v>
      </c>
      <c r="H75" s="227">
        <f t="shared" ca="1" si="18"/>
        <v>-658.69149169160062</v>
      </c>
      <c r="I75" s="227">
        <f t="shared" ca="1" si="18"/>
        <v>-79.243808647671244</v>
      </c>
      <c r="J75" s="227">
        <f t="shared" ca="1" si="18"/>
        <v>261.35348417727141</v>
      </c>
      <c r="K75" s="227">
        <f t="shared" ca="1" si="18"/>
        <v>-104.24425787046241</v>
      </c>
      <c r="L75" s="227">
        <f t="shared" ca="1" si="18"/>
        <v>48.594878255904248</v>
      </c>
      <c r="M75" s="227">
        <f t="shared" ca="1" si="18"/>
        <v>0</v>
      </c>
    </row>
    <row r="76" spans="2:17" s="45" customFormat="1" ht="12.95" customHeight="1" x14ac:dyDescent="0.2">
      <c r="O76"/>
    </row>
    <row r="77" spans="2:17" ht="12.95" customHeight="1" x14ac:dyDescent="0.2">
      <c r="B77" s="82" t="s">
        <v>322</v>
      </c>
      <c r="C77" s="83"/>
      <c r="D77" s="84"/>
      <c r="E77" s="84">
        <f>+Output!E106</f>
        <v>119.60000000000002</v>
      </c>
      <c r="F77" s="84">
        <f>+Output!F106</f>
        <v>189.00000000000045</v>
      </c>
      <c r="G77" s="84">
        <f>+Output!G106</f>
        <v>-267.60000000000036</v>
      </c>
      <c r="H77" s="84">
        <f ca="1">+Output!H106</f>
        <v>710.37464642061639</v>
      </c>
      <c r="I77" s="84">
        <f ca="1">+Output!I106</f>
        <v>137.31815039727979</v>
      </c>
      <c r="J77" s="84">
        <f ca="1">+Output!J106</f>
        <v>-196.06519676711468</v>
      </c>
      <c r="K77" s="84">
        <f ca="1">+Output!K106</f>
        <v>177.59931273035306</v>
      </c>
      <c r="L77" s="84">
        <f ca="1">+Output!L106</f>
        <v>33.784203143168043</v>
      </c>
      <c r="M77" s="84">
        <f ca="1">+Output!M106</f>
        <v>340.88078613021713</v>
      </c>
      <c r="N77" s="35"/>
    </row>
    <row r="78" spans="2:17" ht="5.0999999999999996" customHeight="1" x14ac:dyDescent="0.2">
      <c r="B78" s="27"/>
      <c r="C78" s="28"/>
      <c r="D78" s="61"/>
      <c r="E78" s="61"/>
      <c r="F78" s="61"/>
      <c r="G78" s="61"/>
      <c r="H78" s="61"/>
      <c r="I78" s="61"/>
      <c r="J78" s="61"/>
      <c r="K78" s="61"/>
      <c r="L78" s="61"/>
      <c r="M78" s="31"/>
      <c r="O78" s="4"/>
    </row>
    <row r="79" spans="2:17" ht="12.95" customHeight="1" x14ac:dyDescent="0.2">
      <c r="B79" s="27" t="s">
        <v>178</v>
      </c>
      <c r="C79" s="28"/>
      <c r="D79" s="61"/>
      <c r="E79" s="61"/>
      <c r="F79" s="61"/>
      <c r="G79" s="61"/>
      <c r="H79" s="61">
        <f>+YEAR(H$5)-YEAR($G$5)</f>
        <v>1</v>
      </c>
      <c r="I79" s="61">
        <f>+YEAR(I$5)-YEAR($G$5)</f>
        <v>2</v>
      </c>
      <c r="J79" s="61">
        <f>+YEAR(J$5)-YEAR($G$5)</f>
        <v>3</v>
      </c>
      <c r="K79" s="61">
        <f>+YEAR(K$5)-YEAR($G$5)</f>
        <v>4</v>
      </c>
      <c r="L79" s="61">
        <f>+YEAR(L$5)-YEAR($G$5)</f>
        <v>5</v>
      </c>
      <c r="M79" s="31"/>
    </row>
    <row r="80" spans="2:17" ht="12.95" customHeight="1" x14ac:dyDescent="0.2">
      <c r="B80" s="27" t="s">
        <v>323</v>
      </c>
      <c r="C80" s="28"/>
      <c r="D80" s="61"/>
      <c r="E80" s="61"/>
      <c r="F80" s="61"/>
      <c r="G80" s="61"/>
      <c r="H80" s="78">
        <f>1/((1+$G$13)^H79)</f>
        <v>0.91896393731764547</v>
      </c>
      <c r="I80" s="78">
        <f>1/((1+$G$13)^I79)</f>
        <v>0.84449471809034926</v>
      </c>
      <c r="J80" s="78">
        <f>1/((1+$G$13)^J79)</f>
        <v>0.77606019118026237</v>
      </c>
      <c r="K80" s="78">
        <f>1/((1+$G$13)^K79)</f>
        <v>0.71317132888249846</v>
      </c>
      <c r="L80" s="78">
        <f>1/((1+$G$13)^L79)</f>
        <v>0.65537873237191824</v>
      </c>
      <c r="M80" s="78"/>
    </row>
    <row r="81" spans="2:15" ht="12.95" customHeight="1" x14ac:dyDescent="0.2">
      <c r="B81" s="29" t="s">
        <v>325</v>
      </c>
      <c r="C81" s="30"/>
      <c r="D81" s="62"/>
      <c r="E81" s="62"/>
      <c r="F81" s="62"/>
      <c r="G81" s="62"/>
      <c r="H81" s="62">
        <f ca="1">+H80*H77</f>
        <v>652.80868204531987</v>
      </c>
      <c r="I81" s="62">
        <f ca="1">+I80*I77</f>
        <v>115.96445270843898</v>
      </c>
      <c r="J81" s="62">
        <f ca="1">+J80*J77</f>
        <v>-152.15839408688279</v>
      </c>
      <c r="K81" s="62">
        <f ca="1">+K80*K77</f>
        <v>126.65873786852431</v>
      </c>
      <c r="L81" s="62">
        <f ca="1">+L80*L77</f>
        <v>22.141448230164848</v>
      </c>
      <c r="M81" s="32"/>
    </row>
    <row r="82" spans="2:15" ht="12.95" customHeight="1" x14ac:dyDescent="0.2">
      <c r="O82" s="35"/>
    </row>
    <row r="83" spans="2:15" ht="12.95" customHeight="1" x14ac:dyDescent="0.2">
      <c r="B83" s="91" t="s">
        <v>326</v>
      </c>
      <c r="C83" s="66"/>
      <c r="D83" s="66"/>
      <c r="E83" s="66"/>
      <c r="F83" s="66"/>
      <c r="G83" s="92">
        <f ca="1">+SUM(H81:L81)</f>
        <v>765.41492676556527</v>
      </c>
    </row>
    <row r="84" spans="2:15" ht="12.95" customHeight="1" x14ac:dyDescent="0.2">
      <c r="B84" s="93" t="s">
        <v>352</v>
      </c>
      <c r="C84" s="94"/>
      <c r="D84" s="95"/>
      <c r="E84" s="95"/>
      <c r="F84" s="95"/>
      <c r="G84" s="96">
        <f ca="1">+M77/(G13-G10)</f>
        <v>4999.5727469530293</v>
      </c>
      <c r="I84" s="156"/>
      <c r="J84" s="61"/>
      <c r="K84" s="61"/>
      <c r="L84" s="157"/>
    </row>
    <row r="85" spans="2:15" ht="12.95" customHeight="1" x14ac:dyDescent="0.2">
      <c r="B85" s="97" t="s">
        <v>353</v>
      </c>
      <c r="C85" s="87"/>
      <c r="D85" s="88"/>
      <c r="E85" s="88"/>
      <c r="F85" s="88"/>
      <c r="G85" s="98">
        <f ca="1">+G84*L80</f>
        <v>3276.6136492992655</v>
      </c>
      <c r="H85" s="61"/>
      <c r="I85" s="61"/>
      <c r="J85" s="61"/>
      <c r="K85" s="61"/>
      <c r="L85" s="157"/>
      <c r="M85" s="61"/>
    </row>
    <row r="86" spans="2:15" ht="5.0999999999999996" customHeight="1" x14ac:dyDescent="0.2">
      <c r="D86" s="49"/>
      <c r="E86" s="49"/>
      <c r="F86" s="49"/>
      <c r="G86" s="49"/>
      <c r="H86" s="49"/>
      <c r="I86" s="49"/>
      <c r="J86" s="49"/>
      <c r="K86" s="49"/>
      <c r="L86" s="49"/>
      <c r="M86" s="49"/>
    </row>
    <row r="87" spans="2:15" ht="12.95" customHeight="1" x14ac:dyDescent="0.2">
      <c r="B87" s="24" t="s">
        <v>188</v>
      </c>
      <c r="C87" s="25"/>
      <c r="D87" s="58"/>
      <c r="E87" s="58"/>
      <c r="F87" s="58"/>
      <c r="G87" s="58">
        <f ca="1">+G85+G83</f>
        <v>4042.0285760648308</v>
      </c>
      <c r="H87" s="49"/>
      <c r="I87" s="49"/>
      <c r="J87" s="49"/>
      <c r="K87" s="49"/>
      <c r="L87" s="157"/>
      <c r="M87" s="49"/>
    </row>
    <row r="88" spans="2:15" ht="12.95" customHeight="1" x14ac:dyDescent="0.2">
      <c r="B88" s="228"/>
      <c r="C88" s="226"/>
      <c r="D88" s="227"/>
      <c r="E88" s="227"/>
      <c r="F88" s="227"/>
      <c r="G88" s="227"/>
      <c r="I88" s="156"/>
      <c r="J88" s="61"/>
      <c r="K88" s="61"/>
      <c r="L88" s="157"/>
    </row>
    <row r="89" spans="2:15" ht="12.95" customHeight="1" x14ac:dyDescent="0.2">
      <c r="H89" s="61"/>
      <c r="I89" s="61"/>
      <c r="J89" s="61"/>
      <c r="K89" s="61"/>
      <c r="L89" s="61"/>
      <c r="M89" s="31"/>
    </row>
    <row r="90" spans="2:15" ht="15" customHeight="1" x14ac:dyDescent="0.2">
      <c r="B90" s="1" t="s">
        <v>300</v>
      </c>
      <c r="C90" s="13"/>
      <c r="D90" s="2" t="s">
        <v>337</v>
      </c>
      <c r="E90" s="2" t="s">
        <v>207</v>
      </c>
      <c r="F90" s="2"/>
      <c r="G90" s="2"/>
      <c r="H90" s="13"/>
      <c r="I90" s="13"/>
      <c r="J90" s="2" t="s">
        <v>336</v>
      </c>
      <c r="K90" s="13"/>
      <c r="L90" s="13"/>
      <c r="M90" s="13"/>
    </row>
    <row r="91" spans="2:15" ht="12.95" customHeight="1" x14ac:dyDescent="0.2">
      <c r="D91" s="4"/>
      <c r="E91" s="4"/>
    </row>
    <row r="92" spans="2:15" ht="12.95" customHeight="1" x14ac:dyDescent="0.2">
      <c r="B92" s="24" t="s">
        <v>184</v>
      </c>
      <c r="C92" s="25"/>
      <c r="D92" s="58">
        <f ca="1">+G37</f>
        <v>4843.2087947238688</v>
      </c>
      <c r="E92" s="58">
        <f ca="1">+G65</f>
        <v>5154.5859112811913</v>
      </c>
      <c r="F92" s="45"/>
      <c r="G92" s="45"/>
      <c r="H92" s="24" t="s">
        <v>188</v>
      </c>
      <c r="I92" s="24"/>
      <c r="J92" s="58">
        <f ca="1">+G87</f>
        <v>4042.0285760648308</v>
      </c>
    </row>
    <row r="93" spans="2:15" ht="12.95" customHeight="1" x14ac:dyDescent="0.2">
      <c r="B93" s="27" t="s">
        <v>186</v>
      </c>
      <c r="C93" s="28"/>
      <c r="D93" s="61">
        <f>-Output!$G$74</f>
        <v>-1035.8999999999999</v>
      </c>
      <c r="E93" s="61">
        <f>-Output!$G$74</f>
        <v>-1035.8999999999999</v>
      </c>
      <c r="H93" s="27" t="s">
        <v>177</v>
      </c>
      <c r="J93" s="61">
        <f>Output!$G$74</f>
        <v>1035.8999999999999</v>
      </c>
    </row>
    <row r="94" spans="2:15" ht="12.95" customHeight="1" x14ac:dyDescent="0.2">
      <c r="B94" s="27" t="s">
        <v>346</v>
      </c>
      <c r="C94" s="28"/>
      <c r="D94" s="61">
        <f>+Output!$G$66</f>
        <v>77.7</v>
      </c>
      <c r="E94" s="61">
        <f>+Output!$G$66</f>
        <v>77.7</v>
      </c>
      <c r="H94" s="27" t="s">
        <v>350</v>
      </c>
      <c r="J94" s="61">
        <f>-Output!$G$66</f>
        <v>-77.7</v>
      </c>
    </row>
    <row r="95" spans="2:15" ht="12.95" customHeight="1" x14ac:dyDescent="0.2">
      <c r="B95" s="27" t="s">
        <v>187</v>
      </c>
      <c r="C95" s="28"/>
      <c r="D95" s="61">
        <f>-Output!$G$80</f>
        <v>-5.0999999999999996</v>
      </c>
      <c r="E95" s="61">
        <f>-Output!$G$80</f>
        <v>-5.0999999999999996</v>
      </c>
      <c r="H95" s="27" t="s">
        <v>76</v>
      </c>
      <c r="J95" s="61">
        <f>Output!$G$80</f>
        <v>5.0999999999999996</v>
      </c>
    </row>
    <row r="96" spans="2:15" ht="12.95" customHeight="1" x14ac:dyDescent="0.2">
      <c r="B96" s="24" t="s">
        <v>188</v>
      </c>
      <c r="C96" s="25"/>
      <c r="D96" s="58">
        <f ca="1">SUM(D92:D95)</f>
        <v>3879.9087947238691</v>
      </c>
      <c r="E96" s="58">
        <f ca="1">SUM(E92:E95)</f>
        <v>4191.2859112811911</v>
      </c>
      <c r="H96" s="24" t="s">
        <v>184</v>
      </c>
      <c r="I96" s="24"/>
      <c r="J96" s="58">
        <f ca="1">+SUM(J92:J95)</f>
        <v>5005.3285760648314</v>
      </c>
    </row>
    <row r="97" spans="2:14" ht="12.95" customHeight="1" x14ac:dyDescent="0.2">
      <c r="B97" s="27" t="s">
        <v>189</v>
      </c>
      <c r="C97" s="28"/>
      <c r="D97" s="258">
        <f>Originals!$G$41</f>
        <v>573.03</v>
      </c>
      <c r="E97" s="258">
        <f>Originals!$G$41</f>
        <v>573.03</v>
      </c>
      <c r="H97" s="27" t="s">
        <v>189</v>
      </c>
      <c r="I97" s="27"/>
      <c r="J97" s="258">
        <f>Originals!$G$41</f>
        <v>573.03</v>
      </c>
    </row>
    <row r="98" spans="2:14" ht="12.95" customHeight="1" x14ac:dyDescent="0.2">
      <c r="B98" s="24" t="s">
        <v>338</v>
      </c>
      <c r="C98" s="25"/>
      <c r="D98" s="58">
        <f ca="1">+D96/D97</f>
        <v>6.7708650414880012</v>
      </c>
      <c r="E98" s="58">
        <f ca="1">+E96/E97</f>
        <v>7.3142521530830695</v>
      </c>
      <c r="H98" s="24" t="s">
        <v>190</v>
      </c>
      <c r="I98" s="24"/>
      <c r="J98" s="58">
        <f ca="1">+J92/J97</f>
        <v>7.0537817846619388</v>
      </c>
    </row>
    <row r="103" spans="2:14" ht="12.95" customHeight="1" x14ac:dyDescent="0.2">
      <c r="B103" s="27" t="s">
        <v>301</v>
      </c>
      <c r="C103" s="28"/>
      <c r="D103" s="244">
        <f>+MIN(I111:K113)</f>
        <v>3318.0863746239816</v>
      </c>
      <c r="E103" s="244">
        <f>+MIN(I120:K122)</f>
        <v>4191.2859112811911</v>
      </c>
      <c r="F103" s="244"/>
      <c r="G103" s="244"/>
      <c r="H103" s="244"/>
      <c r="I103" s="244"/>
      <c r="J103" s="244">
        <f>+MIN(I129:K131)</f>
        <v>4042.0285760648308</v>
      </c>
      <c r="K103" s="61"/>
      <c r="L103" s="61"/>
      <c r="M103" s="31"/>
    </row>
    <row r="104" spans="2:14" ht="12.95" customHeight="1" x14ac:dyDescent="0.2">
      <c r="B104" s="245" t="s">
        <v>303</v>
      </c>
      <c r="C104" s="94"/>
      <c r="D104" s="246">
        <f>+MAX(I111:K113)</f>
        <v>5089.7092739477202</v>
      </c>
      <c r="E104" s="246">
        <f>+MAX(I120:K122)</f>
        <v>4191.2859112811911</v>
      </c>
      <c r="F104" s="246"/>
      <c r="G104" s="246"/>
      <c r="H104" s="246"/>
      <c r="I104" s="246"/>
      <c r="J104" s="246">
        <f>+MAX(I129:K131)</f>
        <v>4042.0285760648308</v>
      </c>
      <c r="K104" s="61"/>
      <c r="L104" s="61"/>
      <c r="M104" s="31"/>
    </row>
    <row r="105" spans="2:14" ht="12.95" customHeight="1" x14ac:dyDescent="0.2">
      <c r="B105" s="29" t="s">
        <v>242</v>
      </c>
      <c r="C105" s="30"/>
      <c r="D105" s="247">
        <f>+AVERAGE(I111:K113)</f>
        <v>4103.4413614483128</v>
      </c>
      <c r="E105" s="247">
        <f>+AVERAGE(I120:K122)</f>
        <v>4191.2859112811921</v>
      </c>
      <c r="F105" s="247"/>
      <c r="G105" s="247"/>
      <c r="H105" s="247"/>
      <c r="I105" s="247"/>
      <c r="J105" s="247">
        <f>+AVERAGE(I129:K131)</f>
        <v>4042.0285760648308</v>
      </c>
      <c r="K105" s="61"/>
      <c r="L105" s="61"/>
      <c r="M105" s="31"/>
    </row>
    <row r="106" spans="2:14" ht="12.95" customHeight="1" x14ac:dyDescent="0.2">
      <c r="B106" s="89"/>
      <c r="C106" s="90"/>
      <c r="D106" s="254"/>
      <c r="E106" s="254"/>
      <c r="F106" s="61"/>
      <c r="G106" s="61"/>
      <c r="H106" s="61"/>
      <c r="I106" s="61"/>
      <c r="J106" s="61"/>
      <c r="K106" s="61"/>
      <c r="L106" s="61"/>
      <c r="M106" s="31"/>
    </row>
    <row r="107" spans="2:14" ht="12.95" customHeight="1" x14ac:dyDescent="0.2">
      <c r="G107" s="232" t="s">
        <v>339</v>
      </c>
      <c r="H107" s="61"/>
      <c r="I107" s="61"/>
      <c r="J107" s="61"/>
      <c r="K107" s="61"/>
      <c r="L107" s="61"/>
    </row>
    <row r="108" spans="2:14" ht="12.95" customHeight="1" thickBot="1" x14ac:dyDescent="0.25">
      <c r="G108" s="61"/>
      <c r="H108" s="61"/>
      <c r="I108" s="61"/>
      <c r="K108" s="61"/>
      <c r="L108" s="61"/>
    </row>
    <row r="109" spans="2:14" ht="12.95" customHeight="1" thickTop="1" thickBot="1" x14ac:dyDescent="0.25">
      <c r="G109" s="231">
        <f ca="1">+D96</f>
        <v>3879.9087947238691</v>
      </c>
      <c r="H109" s="229">
        <f>+I109-0.5%</f>
        <v>9.9999999999999985E-3</v>
      </c>
      <c r="I109" s="229">
        <f>+J109-0.5%</f>
        <v>1.4999999999999999E-2</v>
      </c>
      <c r="J109" s="229">
        <v>0.02</v>
      </c>
      <c r="K109" s="229">
        <f>+J109+0.5%</f>
        <v>2.5000000000000001E-2</v>
      </c>
      <c r="L109" s="229">
        <f>+K109+0.5%</f>
        <v>3.0000000000000002E-2</v>
      </c>
      <c r="M109" s="255">
        <f ca="1">+G10</f>
        <v>3.0000000000000002E-2</v>
      </c>
      <c r="N109" s="256">
        <f ca="1">+M109-J109</f>
        <v>1.0000000000000002E-2</v>
      </c>
    </row>
    <row r="110" spans="2:14" ht="12.95" customHeight="1" thickTop="1" thickBot="1" x14ac:dyDescent="0.25">
      <c r="G110" s="229">
        <f>+G111-0.5%</f>
        <v>6.8903713142891482E-2</v>
      </c>
      <c r="H110" s="235">
        <f t="dataTable" ref="H110:L114" dt2D="1" dtr="1" r1="G10" r2="G11" ca="1"/>
        <v>4234.6559335420025</v>
      </c>
      <c r="I110" s="236">
        <v>4672.2315297229488</v>
      </c>
      <c r="J110" s="236">
        <v>5199.2840936143848</v>
      </c>
      <c r="K110" s="236">
        <v>5846.3840353155374</v>
      </c>
      <c r="L110" s="237">
        <v>6659.8176992823273</v>
      </c>
      <c r="M110" s="256">
        <f>+G11</f>
        <v>7.8903713142891491E-2</v>
      </c>
      <c r="N110" s="256">
        <f>+M110-G112</f>
        <v>0</v>
      </c>
    </row>
    <row r="111" spans="2:14" ht="12.95" customHeight="1" thickTop="1" thickBot="1" x14ac:dyDescent="0.25">
      <c r="G111" s="229">
        <f>+G112-0.5%</f>
        <v>7.3903713142891486E-2</v>
      </c>
      <c r="H111" s="238">
        <v>3780.6456928522416</v>
      </c>
      <c r="I111" s="233">
        <v>4142.9209295049886</v>
      </c>
      <c r="J111" s="233">
        <v>4572.4040105769891</v>
      </c>
      <c r="K111" s="233">
        <v>5089.7092739477202</v>
      </c>
      <c r="L111" s="239">
        <v>5724.8417611086343</v>
      </c>
      <c r="M111" s="256"/>
      <c r="N111" s="256">
        <f ca="1">+J112-D96</f>
        <v>173.34641564992853</v>
      </c>
    </row>
    <row r="112" spans="2:14" ht="12.95" customHeight="1" thickTop="1" thickBot="1" x14ac:dyDescent="0.25">
      <c r="G112" s="230">
        <v>7.8903713142891491E-2</v>
      </c>
      <c r="H112" s="199">
        <v>3393.6520361198923</v>
      </c>
      <c r="I112" s="233">
        <v>3697.6490517355228</v>
      </c>
      <c r="J112" s="234">
        <v>4053.2552103737976</v>
      </c>
      <c r="K112" s="233">
        <v>4474.8319929087202</v>
      </c>
      <c r="L112" s="240">
        <v>4982.614250537762</v>
      </c>
      <c r="M112" s="256"/>
      <c r="N112" s="256"/>
    </row>
    <row r="113" spans="7:14" ht="12.95" customHeight="1" thickTop="1" thickBot="1" x14ac:dyDescent="0.25">
      <c r="G113" s="230">
        <f>+G112+0.5%</f>
        <v>8.3903713142891495E-2</v>
      </c>
      <c r="H113" s="199">
        <v>3060.0403995776701</v>
      </c>
      <c r="I113" s="233">
        <v>3318.0863746239816</v>
      </c>
      <c r="J113" s="233">
        <v>3616.5127849150026</v>
      </c>
      <c r="K113" s="233">
        <v>3965.602624448094</v>
      </c>
      <c r="L113" s="240">
        <v>4379.4542065735213</v>
      </c>
      <c r="M113" s="256"/>
      <c r="N113" s="256"/>
    </row>
    <row r="114" spans="7:14" ht="12.95" customHeight="1" thickTop="1" thickBot="1" x14ac:dyDescent="0.25">
      <c r="G114" s="230">
        <f>+G113+0.5%</f>
        <v>8.89037131428915E-2</v>
      </c>
      <c r="H114" s="241">
        <v>2769.6333020793622</v>
      </c>
      <c r="I114" s="242">
        <v>2990.8649098940673</v>
      </c>
      <c r="J114" s="242">
        <v>3244.2038741520923</v>
      </c>
      <c r="K114" s="242">
        <v>3537.1866950497983</v>
      </c>
      <c r="L114" s="243">
        <v>3879.9087947238691</v>
      </c>
      <c r="M114" s="256"/>
      <c r="N114" s="256"/>
    </row>
    <row r="115" spans="7:14" ht="12.95" customHeight="1" thickTop="1" x14ac:dyDescent="0.2">
      <c r="M115" s="256"/>
      <c r="N115" s="256"/>
    </row>
    <row r="116" spans="7:14" ht="12.95" customHeight="1" x14ac:dyDescent="0.2">
      <c r="G116" s="232" t="s">
        <v>299</v>
      </c>
      <c r="H116" s="61"/>
      <c r="I116" s="61"/>
      <c r="J116" s="61"/>
      <c r="K116" s="61"/>
      <c r="L116" s="61"/>
    </row>
    <row r="117" spans="7:14" ht="12.95" customHeight="1" thickBot="1" x14ac:dyDescent="0.25">
      <c r="G117" s="61"/>
      <c r="H117" s="61"/>
      <c r="I117" s="61"/>
      <c r="J117" s="61"/>
      <c r="K117" s="61"/>
      <c r="L117" s="61"/>
    </row>
    <row r="118" spans="7:14" ht="12.95" customHeight="1" thickTop="1" thickBot="1" x14ac:dyDescent="0.25">
      <c r="G118" s="231">
        <f ca="1">+E96</f>
        <v>4191.2859112811911</v>
      </c>
      <c r="H118" s="229">
        <f>+I118-0.25%</f>
        <v>3.7714137931034467E-2</v>
      </c>
      <c r="I118" s="229">
        <f>+J118-0.25%</f>
        <v>4.0214137931034469E-2</v>
      </c>
      <c r="J118" s="229">
        <v>4.2714137931034471E-2</v>
      </c>
      <c r="K118" s="229">
        <f>+J118+0.25%</f>
        <v>4.5214137931034473E-2</v>
      </c>
      <c r="L118" s="229">
        <f>+K118+0.25%</f>
        <v>4.7714137931034475E-2</v>
      </c>
      <c r="M118" s="256">
        <f>+G14</f>
        <v>4.2714137931034471E-2</v>
      </c>
      <c r="N118" s="256">
        <f>+M118-J118</f>
        <v>0</v>
      </c>
    </row>
    <row r="119" spans="7:14" ht="12.95" customHeight="1" thickTop="1" thickBot="1" x14ac:dyDescent="0.25">
      <c r="G119" s="229">
        <f>+G120-0.5%</f>
        <v>7.0863921518147521E-2</v>
      </c>
      <c r="H119" s="235">
        <f t="dataTable" ref="H119:L123" dt2D="1" dtr="1" r1="G14" r2="G12" ca="1"/>
        <v>4191.2859112811911</v>
      </c>
      <c r="I119" s="236">
        <v>4191.2859112811911</v>
      </c>
      <c r="J119" s="236">
        <v>4191.2859112811911</v>
      </c>
      <c r="K119" s="236">
        <v>4191.2859112811911</v>
      </c>
      <c r="L119" s="237">
        <v>4191.2859112811911</v>
      </c>
      <c r="M119" s="256">
        <f>+G12</f>
        <v>8.086392151814753E-2</v>
      </c>
      <c r="N119" s="256">
        <f>+M119-G121</f>
        <v>0</v>
      </c>
    </row>
    <row r="120" spans="7:14" ht="12.95" customHeight="1" thickTop="1" thickBot="1" x14ac:dyDescent="0.25">
      <c r="G120" s="229">
        <f>+G121-0.5%</f>
        <v>7.5863921518147526E-2</v>
      </c>
      <c r="H120" s="238">
        <v>4191.2859112811911</v>
      </c>
      <c r="I120" s="233">
        <v>4191.2859112811911</v>
      </c>
      <c r="J120" s="233">
        <v>4191.2859112811911</v>
      </c>
      <c r="K120" s="233">
        <v>4191.2859112811911</v>
      </c>
      <c r="L120" s="239">
        <v>4191.2859112811911</v>
      </c>
      <c r="N120" s="257">
        <f ca="1">+J121-E96</f>
        <v>0</v>
      </c>
    </row>
    <row r="121" spans="7:14" ht="12.95" customHeight="1" thickTop="1" thickBot="1" x14ac:dyDescent="0.25">
      <c r="G121" s="230">
        <v>8.086392151814753E-2</v>
      </c>
      <c r="H121" s="199">
        <v>4191.2859112811911</v>
      </c>
      <c r="I121" s="233">
        <v>4191.2859112811911</v>
      </c>
      <c r="J121" s="234">
        <v>4191.2859112811911</v>
      </c>
      <c r="K121" s="233">
        <v>4191.2859112811911</v>
      </c>
      <c r="L121" s="240">
        <v>4191.2859112811911</v>
      </c>
    </row>
    <row r="122" spans="7:14" ht="12.95" customHeight="1" thickTop="1" thickBot="1" x14ac:dyDescent="0.25">
      <c r="G122" s="230">
        <f>+G121+0.5%</f>
        <v>8.5863921518147535E-2</v>
      </c>
      <c r="H122" s="199">
        <v>4191.2859112811911</v>
      </c>
      <c r="I122" s="233">
        <v>4191.2859112811911</v>
      </c>
      <c r="J122" s="233">
        <v>4191.2859112811911</v>
      </c>
      <c r="K122" s="233">
        <v>4191.2859112811911</v>
      </c>
      <c r="L122" s="240">
        <v>4191.2859112811911</v>
      </c>
    </row>
    <row r="123" spans="7:14" ht="12.95" customHeight="1" thickTop="1" thickBot="1" x14ac:dyDescent="0.25">
      <c r="G123" s="230">
        <f>+G122+0.5%</f>
        <v>9.0863921518147539E-2</v>
      </c>
      <c r="H123" s="241">
        <v>4191.2859112811911</v>
      </c>
      <c r="I123" s="242">
        <v>4191.2859112811911</v>
      </c>
      <c r="J123" s="242">
        <v>4191.2859112811911</v>
      </c>
      <c r="K123" s="242">
        <v>4191.2859112811911</v>
      </c>
      <c r="L123" s="243">
        <v>4191.2859112811911</v>
      </c>
    </row>
    <row r="124" spans="7:14" ht="12.95" customHeight="1" thickTop="1" x14ac:dyDescent="0.2">
      <c r="G124" s="4"/>
      <c r="H124" s="4"/>
      <c r="I124" s="4"/>
    </row>
    <row r="125" spans="7:14" ht="12.95" customHeight="1" x14ac:dyDescent="0.2">
      <c r="G125" s="232" t="s">
        <v>340</v>
      </c>
      <c r="H125" s="61"/>
      <c r="I125" s="61"/>
      <c r="J125" s="61"/>
      <c r="K125" s="61"/>
      <c r="L125" s="61"/>
    </row>
    <row r="126" spans="7:14" ht="12.95" customHeight="1" thickBot="1" x14ac:dyDescent="0.25">
      <c r="G126" s="61"/>
      <c r="H126" s="61"/>
      <c r="I126" s="61"/>
      <c r="J126" s="61"/>
      <c r="K126" s="61"/>
      <c r="L126" s="61"/>
    </row>
    <row r="127" spans="7:14" ht="12.95" customHeight="1" thickTop="1" thickBot="1" x14ac:dyDescent="0.25">
      <c r="G127" s="231">
        <f ca="1">+J92</f>
        <v>4042.0285760648308</v>
      </c>
      <c r="H127" s="229">
        <f>+I127-0.25%</f>
        <v>1.5000000000000001E-2</v>
      </c>
      <c r="I127" s="229">
        <f>+J127-0.25%</f>
        <v>1.7500000000000002E-2</v>
      </c>
      <c r="J127" s="229">
        <v>0.02</v>
      </c>
      <c r="K127" s="229">
        <f>+J127+0.25%</f>
        <v>2.2499999999999999E-2</v>
      </c>
      <c r="L127" s="229">
        <f>+K127+0.25%</f>
        <v>2.4999999999999998E-2</v>
      </c>
      <c r="M127" s="256">
        <f ca="1">+G10</f>
        <v>3.0000000000000002E-2</v>
      </c>
      <c r="N127" s="256">
        <f ca="1">+M127-J127</f>
        <v>1.0000000000000002E-2</v>
      </c>
    </row>
    <row r="128" spans="7:14" ht="12.95" customHeight="1" thickTop="1" thickBot="1" x14ac:dyDescent="0.25">
      <c r="G128" s="229">
        <f>+G129-0.5%</f>
        <v>7.8181983418076195E-2</v>
      </c>
      <c r="H128" s="235">
        <f t="dataTable" ref="H128:L132" dt2D="1" dtr="1" r1="G10" r2="G13" ca="1"/>
        <v>4042.0285760648308</v>
      </c>
      <c r="I128" s="236">
        <v>4042.0285760648308</v>
      </c>
      <c r="J128" s="236">
        <v>4042.0285760648308</v>
      </c>
      <c r="K128" s="236">
        <v>4042.0285760648308</v>
      </c>
      <c r="L128" s="237">
        <v>4042.0285760648308</v>
      </c>
      <c r="M128" s="256">
        <f>+G13</f>
        <v>8.8181983418076204E-2</v>
      </c>
      <c r="N128" s="256">
        <f>+M128-G130</f>
        <v>0</v>
      </c>
    </row>
    <row r="129" spans="2:15" ht="12.95" customHeight="1" thickTop="1" thickBot="1" x14ac:dyDescent="0.25">
      <c r="G129" s="229">
        <f>+G130-0.5%</f>
        <v>8.31819834180762E-2</v>
      </c>
      <c r="H129" s="238">
        <v>4042.0285760648308</v>
      </c>
      <c r="I129" s="233">
        <v>4042.0285760648308</v>
      </c>
      <c r="J129" s="233">
        <v>4042.0285760648308</v>
      </c>
      <c r="K129" s="233">
        <v>4042.0285760648308</v>
      </c>
      <c r="L129" s="239">
        <v>4042.0285760648308</v>
      </c>
      <c r="N129" s="257">
        <f ca="1">+J130-J92</f>
        <v>0</v>
      </c>
    </row>
    <row r="130" spans="2:15" ht="12.95" customHeight="1" thickTop="1" thickBot="1" x14ac:dyDescent="0.25">
      <c r="G130" s="230">
        <v>8.8181983418076204E-2</v>
      </c>
      <c r="H130" s="199">
        <v>4042.0285760648308</v>
      </c>
      <c r="I130" s="233">
        <v>4042.0285760648308</v>
      </c>
      <c r="J130" s="234">
        <v>4042.0285760648308</v>
      </c>
      <c r="K130" s="233">
        <v>4042.0285760648308</v>
      </c>
      <c r="L130" s="240">
        <v>4042.0285760648308</v>
      </c>
    </row>
    <row r="131" spans="2:15" ht="12.95" customHeight="1" thickTop="1" thickBot="1" x14ac:dyDescent="0.25">
      <c r="G131" s="230">
        <f>+G130+0.5%</f>
        <v>9.3181983418076209E-2</v>
      </c>
      <c r="H131" s="199">
        <v>4042.0285760648308</v>
      </c>
      <c r="I131" s="233">
        <v>4042.0285760648308</v>
      </c>
      <c r="J131" s="233">
        <v>4042.0285760648308</v>
      </c>
      <c r="K131" s="233">
        <v>4042.0285760648308</v>
      </c>
      <c r="L131" s="240">
        <v>4042.0285760648308</v>
      </c>
    </row>
    <row r="132" spans="2:15" ht="12.95" customHeight="1" thickTop="1" thickBot="1" x14ac:dyDescent="0.25">
      <c r="G132" s="230">
        <f>+G131+0.5%</f>
        <v>9.8181983418076213E-2</v>
      </c>
      <c r="H132" s="241">
        <v>4042.0285760648308</v>
      </c>
      <c r="I132" s="242">
        <v>4042.0285760648308</v>
      </c>
      <c r="J132" s="242">
        <v>4042.0285760648308</v>
      </c>
      <c r="K132" s="242">
        <v>4042.0285760648308</v>
      </c>
      <c r="L132" s="243">
        <v>4042.0285760648308</v>
      </c>
    </row>
    <row r="133" spans="2:15" ht="12.95" customHeight="1" thickTop="1" x14ac:dyDescent="0.2"/>
    <row r="142" spans="2:15" ht="15" hidden="1" customHeight="1" x14ac:dyDescent="0.2">
      <c r="B142" s="1" t="s">
        <v>192</v>
      </c>
      <c r="C142" s="13"/>
      <c r="D142" s="13"/>
      <c r="E142" s="13"/>
      <c r="F142" s="13"/>
      <c r="G142" s="13"/>
      <c r="H142" s="13"/>
      <c r="I142" s="13"/>
      <c r="J142" s="13"/>
      <c r="K142" s="13"/>
      <c r="L142" s="13"/>
      <c r="M142" s="13"/>
    </row>
    <row r="143" spans="2:15" s="45" customFormat="1" ht="5.0999999999999996" hidden="1" customHeight="1" x14ac:dyDescent="0.2">
      <c r="O143"/>
    </row>
    <row r="144" spans="2:15" ht="12.95" hidden="1" customHeight="1" x14ac:dyDescent="0.2">
      <c r="B144" s="89" t="s">
        <v>192</v>
      </c>
      <c r="C144" s="90"/>
      <c r="D144" s="77"/>
      <c r="E144" s="77">
        <f t="shared" ref="E144:M144" si="19">+E19*(E21-$G$11)</f>
        <v>50.61162846484531</v>
      </c>
      <c r="F144" s="77">
        <f t="shared" si="19"/>
        <v>22.61890256346306</v>
      </c>
      <c r="G144" s="77">
        <f t="shared" si="19"/>
        <v>26.329602381522594</v>
      </c>
      <c r="H144" s="77">
        <f t="shared" si="19"/>
        <v>42.895817695210376</v>
      </c>
      <c r="I144" s="77">
        <f t="shared" si="19"/>
        <v>56.997186217610135</v>
      </c>
      <c r="J144" s="77">
        <f t="shared" si="19"/>
        <v>73.721916771159698</v>
      </c>
      <c r="K144" s="77">
        <f t="shared" si="19"/>
        <v>92.431404619034566</v>
      </c>
      <c r="L144" s="77">
        <f t="shared" si="19"/>
        <v>113.37387573214187</v>
      </c>
      <c r="M144" s="77">
        <f t="shared" ca="1" si="19"/>
        <v>99.184382725320347</v>
      </c>
    </row>
    <row r="145" spans="2:13" ht="12.95" hidden="1" customHeight="1" x14ac:dyDescent="0.2">
      <c r="B145" s="27"/>
      <c r="C145" s="28"/>
      <c r="D145" s="61"/>
      <c r="E145" s="86"/>
      <c r="F145" s="86"/>
      <c r="G145" s="86"/>
      <c r="H145" s="86"/>
      <c r="I145" s="86"/>
      <c r="J145" s="86"/>
      <c r="K145" s="86"/>
      <c r="L145" s="86"/>
    </row>
    <row r="146" spans="2:13" ht="12.95" hidden="1" customHeight="1" x14ac:dyDescent="0.2">
      <c r="B146" s="27" t="s">
        <v>178</v>
      </c>
      <c r="C146" s="28"/>
      <c r="D146" s="61"/>
      <c r="E146" s="61"/>
      <c r="F146" s="61"/>
      <c r="G146" s="61"/>
      <c r="H146" s="61">
        <f>+YEAR(H$5)-YEAR($G$5)</f>
        <v>1</v>
      </c>
      <c r="I146" s="61">
        <f>+YEAR(I$5)-YEAR($G$5)</f>
        <v>2</v>
      </c>
      <c r="J146" s="61">
        <f>+YEAR(J$5)-YEAR($G$5)</f>
        <v>3</v>
      </c>
      <c r="K146" s="61">
        <f>+YEAR(K$5)-YEAR($G$5)</f>
        <v>4</v>
      </c>
      <c r="L146" s="61">
        <f>+YEAR(L$5)-YEAR($G$5)</f>
        <v>5</v>
      </c>
      <c r="M146" s="31"/>
    </row>
    <row r="147" spans="2:13" ht="12.95" hidden="1" customHeight="1" x14ac:dyDescent="0.2">
      <c r="B147" s="27" t="s">
        <v>200</v>
      </c>
      <c r="C147" s="28"/>
      <c r="D147" s="61"/>
      <c r="E147" s="61"/>
      <c r="F147" s="61"/>
      <c r="G147" s="61"/>
      <c r="H147" s="78">
        <f>1/((1+$G$11)^H146)</f>
        <v>0.92686677023935549</v>
      </c>
      <c r="I147" s="78">
        <f>1/((1+$G$11)^I146)</f>
        <v>0.85908200977393423</v>
      </c>
      <c r="J147" s="78">
        <f>1/((1+$G$11)^J146)</f>
        <v>0.79625456776990089</v>
      </c>
      <c r="K147" s="78">
        <f>1/((1+$G$11)^K146)</f>
        <v>0.73802189951722208</v>
      </c>
      <c r="L147" s="78">
        <f>1/((1+$G$11)^L146)</f>
        <v>0.68404797437144182</v>
      </c>
      <c r="M147" s="78"/>
    </row>
    <row r="148" spans="2:13" ht="12.95" hidden="1" customHeight="1" x14ac:dyDescent="0.2">
      <c r="B148" s="29" t="s">
        <v>195</v>
      </c>
      <c r="C148" s="30"/>
      <c r="D148" s="62"/>
      <c r="E148" s="62"/>
      <c r="F148" s="62"/>
      <c r="G148" s="62"/>
      <c r="H148" s="62">
        <f>+H144*H147</f>
        <v>39.758708003935837</v>
      </c>
      <c r="I148" s="62">
        <f>+I144*I147</f>
        <v>48.965257287283698</v>
      </c>
      <c r="J148" s="62">
        <f>+J144*J147</f>
        <v>58.701412973788372</v>
      </c>
      <c r="K148" s="62">
        <f>+K144*K147</f>
        <v>68.216400811984826</v>
      </c>
      <c r="L148" s="62">
        <f>+L144*L147</f>
        <v>77.553170041211217</v>
      </c>
      <c r="M148" s="62"/>
    </row>
    <row r="149" spans="2:13" ht="12.95" hidden="1" customHeight="1" x14ac:dyDescent="0.2">
      <c r="B149" s="27"/>
      <c r="C149" s="28"/>
      <c r="D149" s="61"/>
      <c r="E149" s="61"/>
      <c r="F149" s="61"/>
      <c r="G149" s="61"/>
      <c r="H149" s="61"/>
      <c r="I149" s="61"/>
      <c r="J149" s="61"/>
      <c r="K149" s="61"/>
      <c r="L149" s="61"/>
      <c r="M149" s="61"/>
    </row>
    <row r="150" spans="2:13" ht="12.95" hidden="1" customHeight="1" x14ac:dyDescent="0.2">
      <c r="B150" s="99" t="s">
        <v>199</v>
      </c>
      <c r="C150" s="30"/>
      <c r="D150" s="62"/>
      <c r="E150" s="62"/>
      <c r="F150" s="62"/>
      <c r="G150" s="100">
        <f>+H19</f>
        <v>2538.2000000000003</v>
      </c>
      <c r="H150" s="61"/>
      <c r="I150" s="61"/>
      <c r="J150" s="61"/>
      <c r="K150" s="61"/>
      <c r="L150" s="61"/>
      <c r="M150" s="61"/>
    </row>
    <row r="151" spans="2:13" ht="12.95" hidden="1" customHeight="1" x14ac:dyDescent="0.2">
      <c r="B151" s="101" t="s">
        <v>196</v>
      </c>
      <c r="C151" s="90"/>
      <c r="D151" s="77"/>
      <c r="E151" s="77"/>
      <c r="F151" s="77"/>
      <c r="G151" s="102">
        <f>+SUM(H148:L148)</f>
        <v>293.19494911820397</v>
      </c>
      <c r="H151" s="86"/>
      <c r="I151" s="86"/>
      <c r="J151" s="86"/>
      <c r="K151" s="86"/>
      <c r="L151" s="86"/>
      <c r="M151" s="86"/>
    </row>
    <row r="152" spans="2:13" ht="12.95" hidden="1" customHeight="1" x14ac:dyDescent="0.2">
      <c r="B152" s="93" t="s">
        <v>298</v>
      </c>
      <c r="C152" s="94"/>
      <c r="D152" s="95"/>
      <c r="E152" s="95"/>
      <c r="F152" s="95"/>
      <c r="G152" s="96">
        <f ca="1">+M144/(G11-G10)</f>
        <v>1683.8392256310572</v>
      </c>
      <c r="H152" s="61"/>
      <c r="I152" s="4"/>
      <c r="J152" s="61"/>
      <c r="K152" s="61"/>
      <c r="L152" s="61"/>
      <c r="M152" s="31"/>
    </row>
    <row r="153" spans="2:13" ht="12.95" hidden="1" customHeight="1" x14ac:dyDescent="0.2">
      <c r="B153" s="97" t="s">
        <v>197</v>
      </c>
      <c r="C153" s="87"/>
      <c r="D153" s="88"/>
      <c r="E153" s="88"/>
      <c r="F153" s="88"/>
      <c r="G153" s="98">
        <f ca="1">+G152*L147</f>
        <v>1099.9000672849438</v>
      </c>
      <c r="H153" s="61"/>
      <c r="I153" s="61"/>
      <c r="J153" s="61"/>
      <c r="K153" s="61"/>
      <c r="L153" s="61"/>
      <c r="M153" s="31"/>
    </row>
    <row r="154" spans="2:13" ht="5.0999999999999996" hidden="1" customHeight="1" x14ac:dyDescent="0.2">
      <c r="B154" s="82"/>
      <c r="C154" s="83"/>
      <c r="D154" s="84"/>
      <c r="E154" s="84"/>
      <c r="F154" s="84"/>
      <c r="G154" s="84"/>
      <c r="H154" s="86"/>
      <c r="I154" s="86"/>
      <c r="J154" s="86"/>
      <c r="K154" s="86"/>
      <c r="L154" s="86"/>
      <c r="M154" s="86"/>
    </row>
    <row r="155" spans="2:13" ht="12.95" hidden="1" customHeight="1" x14ac:dyDescent="0.2">
      <c r="B155" s="24" t="s">
        <v>184</v>
      </c>
      <c r="C155" s="25"/>
      <c r="D155" s="58"/>
      <c r="E155" s="58"/>
      <c r="F155" s="58"/>
      <c r="G155" s="58">
        <f ca="1">+G150+G151+G153</f>
        <v>3816.2339890171688</v>
      </c>
      <c r="H155" s="61"/>
      <c r="I155" s="61"/>
      <c r="J155" s="61"/>
      <c r="K155" s="61"/>
      <c r="L155" s="61"/>
      <c r="M155" s="61"/>
    </row>
    <row r="156" spans="2:13" ht="12.95" hidden="1" customHeight="1" x14ac:dyDescent="0.2">
      <c r="B156" s="27"/>
      <c r="C156" s="28"/>
      <c r="D156" s="61"/>
      <c r="E156" s="61"/>
      <c r="F156" s="61"/>
      <c r="G156" s="61"/>
      <c r="H156" s="61"/>
      <c r="I156" s="61"/>
      <c r="J156" s="61"/>
      <c r="K156" s="61"/>
      <c r="L156" s="61"/>
      <c r="M156" s="61"/>
    </row>
    <row r="157" spans="2:13" ht="12.95" hidden="1" customHeight="1" x14ac:dyDescent="0.2"/>
    <row r="158" spans="2:13" ht="12.95" hidden="1" customHeight="1" x14ac:dyDescent="0.2"/>
    <row r="159" spans="2:13" ht="12.95" hidden="1" customHeight="1" x14ac:dyDescent="0.2">
      <c r="B159" s="263" t="s">
        <v>355</v>
      </c>
      <c r="C159" s="72"/>
      <c r="D159" s="264"/>
      <c r="E159" s="264"/>
      <c r="F159" s="264"/>
      <c r="G159" s="264">
        <f ca="1">+(M20*(1-M22/M21)/(G11-G10))</f>
        <v>6342.9799542211549</v>
      </c>
      <c r="H159" s="4">
        <f ca="1">+G159-G34</f>
        <v>0</v>
      </c>
    </row>
    <row r="160" spans="2:13" ht="12.95" hidden="1" customHeight="1" x14ac:dyDescent="0.2">
      <c r="B160" s="265" t="s">
        <v>354</v>
      </c>
      <c r="C160" s="266"/>
      <c r="D160" s="264"/>
      <c r="E160" s="264"/>
      <c r="F160" s="264"/>
      <c r="G160" s="264">
        <f ca="1">+(M70*(1-M72/M71)/(G13-G10))</f>
        <v>4999.5727469530284</v>
      </c>
      <c r="H160" s="4">
        <f ca="1">+G160-G84</f>
        <v>0</v>
      </c>
    </row>
    <row r="164" spans="8:13" ht="12.95" customHeight="1" x14ac:dyDescent="0.2">
      <c r="H164" s="45"/>
      <c r="I164" s="45"/>
      <c r="J164" s="45"/>
      <c r="K164" s="45"/>
      <c r="L164" s="45"/>
      <c r="M164" s="45"/>
    </row>
    <row r="165" spans="8:13" ht="12.95" customHeight="1" x14ac:dyDescent="0.2">
      <c r="H165" s="61"/>
      <c r="I165" s="61"/>
      <c r="J165" s="61"/>
      <c r="K165" s="61"/>
      <c r="L165" s="61"/>
      <c r="M165" s="61"/>
    </row>
    <row r="166" spans="8:13" ht="12.95" customHeight="1" x14ac:dyDescent="0.2">
      <c r="H166" s="80"/>
      <c r="I166" s="80"/>
      <c r="J166" s="80"/>
      <c r="K166" s="80"/>
      <c r="L166" s="80"/>
      <c r="M166" s="80"/>
    </row>
    <row r="175" spans="8:13" ht="12.95" customHeight="1" x14ac:dyDescent="0.2">
      <c r="H175" s="4"/>
      <c r="I175" s="4"/>
      <c r="J175" s="80"/>
      <c r="K175" s="80"/>
      <c r="L175" s="80"/>
      <c r="M175" s="80"/>
    </row>
    <row r="176" spans="8:13" ht="12.95" customHeight="1" x14ac:dyDescent="0.2">
      <c r="H176" s="61"/>
      <c r="I176" s="61"/>
      <c r="J176" s="61"/>
      <c r="K176" s="61"/>
      <c r="L176" s="61"/>
      <c r="M176" s="61"/>
    </row>
    <row r="177" spans="4:10" ht="12.95" customHeight="1" x14ac:dyDescent="0.2">
      <c r="D177" s="4"/>
      <c r="E177" s="4"/>
      <c r="F177" s="4"/>
      <c r="G177" s="4"/>
      <c r="H177" s="4"/>
      <c r="I177" s="4"/>
      <c r="J177" s="4"/>
    </row>
    <row r="178" spans="4:10" ht="12.95" customHeight="1" x14ac:dyDescent="0.2">
      <c r="D178" s="35"/>
      <c r="E178" s="35"/>
      <c r="F178" s="35"/>
      <c r="G178" s="35"/>
      <c r="H178" s="35"/>
      <c r="I178" s="35"/>
      <c r="J178" s="35"/>
    </row>
    <row r="179" spans="4:10" ht="12.95" customHeight="1" x14ac:dyDescent="0.2">
      <c r="D179" s="4"/>
      <c r="E179" s="4"/>
      <c r="F179" s="4"/>
      <c r="G179" s="4"/>
      <c r="H179" s="4"/>
      <c r="I179" s="4"/>
      <c r="J179" s="4"/>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11</vt:i4>
      </vt:variant>
    </vt:vector>
  </HeadingPairs>
  <TitlesOfParts>
    <vt:vector size="11" baseType="lpstr">
      <vt:lpstr>Cover</vt:lpstr>
      <vt:lpstr>Instructions</vt:lpstr>
      <vt:lpstr>Originals</vt:lpstr>
      <vt:lpstr>Restatements</vt:lpstr>
      <vt:lpstr>Calculations</vt:lpstr>
      <vt:lpstr>Output</vt:lpstr>
      <vt:lpstr>Analysis</vt:lpstr>
      <vt:lpstr>WACC</vt:lpstr>
      <vt:lpstr>Valuation DCF EP APV</vt:lpstr>
      <vt:lpstr>Valuation Multiples</vt:lpstr>
      <vt:lpstr>Summary</vt:lpstr>
    </vt:vector>
  </TitlesOfParts>
  <Company>Deloitte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Ghezzi, Alberto Maria (IT - Milano)</dc:creator>
  <cp:lastModifiedBy>Costanza Consolandi</cp:lastModifiedBy>
  <dcterms:created xsi:type="dcterms:W3CDTF">2013-01-24T11:23:59Z</dcterms:created>
  <dcterms:modified xsi:type="dcterms:W3CDTF">2019-03-26T12:31:00Z</dcterms:modified>
</cp:coreProperties>
</file>