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imon\OneDrive\Desktop\Corporate-project-\Project\Work in progress\"/>
    </mc:Choice>
  </mc:AlternateContent>
  <xr:revisionPtr revIDLastSave="205" documentId="13_ncr:1_{D0D5034D-52DF-4A1C-9555-C6ED2DB183B2}" xr6:coauthVersionLast="45" xr6:coauthVersionMax="45" xr10:uidLastSave="{2B37F345-1893-4E46-A7EE-6E8E07F790E2}"/>
  <bookViews>
    <workbookView xWindow="-108" yWindow="-108" windowWidth="23256" windowHeight="12576" activeTab="3" xr2:uid="{00000000-000D-0000-FFFF-FFFF00000000}"/>
  </bookViews>
  <sheets>
    <sheet name="IS" sheetId="2" r:id="rId1"/>
    <sheet name="Reorganized IS" sheetId="6" r:id="rId2"/>
    <sheet name="IS Trailing 12 months " sheetId="8" r:id="rId3"/>
    <sheet name="Analysis " sheetId="9" r:id="rId4"/>
    <sheet name="Bottom up Beta" sheetId="11" r:id="rId5"/>
    <sheet name="FCFE Computation" sheetId="7" r:id="rId6"/>
    <sheet name="Forecasts " sheetId="12" r:id="rId7"/>
    <sheet name="CF S 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2" i="9" l="1"/>
  <c r="B92" i="9"/>
  <c r="E89" i="9"/>
  <c r="B89" i="9"/>
  <c r="B91" i="9" s="1"/>
  <c r="B20" i="11"/>
  <c r="E87" i="9"/>
  <c r="I92" i="9"/>
  <c r="I91" i="9"/>
  <c r="I89" i="9"/>
  <c r="I87" i="9"/>
  <c r="D116" i="9"/>
  <c r="C116" i="9"/>
  <c r="D114" i="9"/>
  <c r="C114" i="9"/>
  <c r="I82" i="9"/>
  <c r="I79" i="9"/>
  <c r="E82" i="9"/>
  <c r="B82" i="9"/>
  <c r="E80" i="9"/>
  <c r="I105" i="9"/>
  <c r="F25" i="9" l="1"/>
  <c r="G25" i="9"/>
  <c r="H25" i="9"/>
  <c r="F23" i="9"/>
  <c r="G23" i="9"/>
  <c r="H23" i="9"/>
  <c r="F19" i="9"/>
  <c r="G19" i="9"/>
  <c r="H19" i="9"/>
  <c r="B23" i="9"/>
  <c r="D23" i="9"/>
  <c r="C23" i="9"/>
  <c r="B14" i="9"/>
  <c r="B15" i="9"/>
  <c r="B17" i="9"/>
  <c r="B18" i="9"/>
  <c r="B21" i="9"/>
  <c r="B22" i="9"/>
  <c r="D16" i="9"/>
  <c r="C16" i="9"/>
  <c r="C19" i="9" s="1"/>
  <c r="C25" i="9" s="1"/>
  <c r="K24" i="9"/>
  <c r="T23" i="9"/>
  <c r="P23" i="9"/>
  <c r="L23" i="9"/>
  <c r="K23" i="9"/>
  <c r="C18" i="11"/>
  <c r="C16" i="11"/>
  <c r="C21" i="11"/>
  <c r="C20" i="11"/>
  <c r="C17" i="11"/>
  <c r="B17" i="11"/>
  <c r="B18" i="11"/>
  <c r="L15" i="11"/>
  <c r="L17" i="11"/>
  <c r="B13" i="9"/>
  <c r="B16" i="9" l="1"/>
  <c r="D19" i="9"/>
  <c r="B19" i="9" l="1"/>
  <c r="D25" i="9"/>
  <c r="B25" i="9" s="1"/>
  <c r="C5" i="11"/>
  <c r="C3" i="11"/>
  <c r="B87" i="9" l="1"/>
  <c r="B80" i="9"/>
  <c r="K15" i="11" l="1"/>
  <c r="K17" i="11"/>
  <c r="F7" i="11"/>
  <c r="C10" i="11"/>
  <c r="D8" i="11" s="1"/>
  <c r="F8" i="11" s="1"/>
  <c r="F94" i="6"/>
  <c r="D9" i="11" l="1"/>
  <c r="F9" i="11" s="1"/>
  <c r="D3" i="11"/>
  <c r="D4" i="11"/>
  <c r="F4" i="11" s="1"/>
  <c r="D5" i="11"/>
  <c r="F5" i="11" s="1"/>
  <c r="D6" i="11"/>
  <c r="F6" i="11" s="1"/>
  <c r="K8" i="9"/>
  <c r="K5" i="9"/>
  <c r="P3" i="9"/>
  <c r="P4" i="9"/>
  <c r="P6" i="9"/>
  <c r="L3" i="9"/>
  <c r="L4" i="9"/>
  <c r="L6" i="9"/>
  <c r="P8" i="9"/>
  <c r="Q8" i="9"/>
  <c r="R8" i="9"/>
  <c r="S8" i="9"/>
  <c r="N8" i="9"/>
  <c r="O8" i="9"/>
  <c r="L8" i="9" s="1"/>
  <c r="M8" i="9"/>
  <c r="F8" i="9"/>
  <c r="G8" i="9"/>
  <c r="C8" i="9"/>
  <c r="D8" i="9"/>
  <c r="B4" i="9"/>
  <c r="B6" i="9"/>
  <c r="B3" i="9"/>
  <c r="K6" i="9" l="1"/>
  <c r="K4" i="9"/>
  <c r="K3" i="9"/>
  <c r="F3" i="11"/>
  <c r="F10" i="11" s="1"/>
  <c r="B16" i="11" s="1"/>
  <c r="D10" i="11"/>
  <c r="X12" i="7"/>
  <c r="V12" i="7"/>
  <c r="S11" i="7"/>
  <c r="S10" i="7"/>
  <c r="X9" i="7"/>
  <c r="W9" i="7"/>
  <c r="W12" i="7" s="1"/>
  <c r="V9" i="7"/>
  <c r="T9" i="7"/>
  <c r="S9" i="7" s="1"/>
  <c r="R9" i="7"/>
  <c r="R12" i="7" s="1"/>
  <c r="S8" i="7"/>
  <c r="S7" i="7"/>
  <c r="S6" i="7"/>
  <c r="C5" i="8"/>
  <c r="C6" i="8"/>
  <c r="C7" i="8"/>
  <c r="C8" i="8"/>
  <c r="C9" i="8"/>
  <c r="C10" i="8"/>
  <c r="B10" i="8" s="1"/>
  <c r="C11" i="8"/>
  <c r="B11" i="8" s="1"/>
  <c r="C12" i="8"/>
  <c r="B12" i="8" s="1"/>
  <c r="C13" i="8"/>
  <c r="C14" i="8"/>
  <c r="C15" i="8"/>
  <c r="C16" i="8"/>
  <c r="C17" i="8"/>
  <c r="C18" i="8"/>
  <c r="B18" i="8" s="1"/>
  <c r="C4" i="8"/>
  <c r="B4" i="8" s="1"/>
  <c r="B5" i="8"/>
  <c r="B6" i="8"/>
  <c r="B7" i="8"/>
  <c r="B8" i="8"/>
  <c r="B9" i="8"/>
  <c r="B13" i="8"/>
  <c r="B14" i="8"/>
  <c r="B15" i="8"/>
  <c r="B16" i="8"/>
  <c r="B17" i="8"/>
  <c r="D14" i="8"/>
  <c r="D15" i="8"/>
  <c r="D18" i="8"/>
  <c r="D10" i="8"/>
  <c r="D12" i="8"/>
  <c r="D7" i="8"/>
  <c r="D9" i="8"/>
  <c r="E18" i="8"/>
  <c r="F18" i="8"/>
  <c r="E12" i="8"/>
  <c r="F12" i="8"/>
  <c r="E9" i="8"/>
  <c r="F9" i="8"/>
  <c r="E7" i="8"/>
  <c r="F7" i="8"/>
  <c r="G14" i="8"/>
  <c r="G16" i="8" s="1"/>
  <c r="G12" i="8"/>
  <c r="G9" i="8"/>
  <c r="G7" i="8"/>
  <c r="D4" i="8"/>
  <c r="C9" i="2"/>
  <c r="B21" i="11" l="1"/>
  <c r="T12" i="7"/>
  <c r="S12" i="7" s="1"/>
  <c r="G18" i="8"/>
  <c r="G83" i="6"/>
  <c r="H83" i="6"/>
  <c r="I83" i="6"/>
  <c r="G82" i="6"/>
  <c r="H82" i="6"/>
  <c r="I82" i="6"/>
  <c r="H80" i="6"/>
  <c r="G72" i="6"/>
  <c r="H72" i="6"/>
  <c r="I72" i="6"/>
  <c r="G36" i="6"/>
  <c r="H36" i="6"/>
  <c r="I36" i="6"/>
  <c r="I69" i="6"/>
  <c r="H69" i="6"/>
  <c r="G69" i="6"/>
  <c r="I58" i="6"/>
  <c r="I61" i="6" s="1"/>
  <c r="H56" i="6"/>
  <c r="H58" i="6" s="1"/>
  <c r="H61" i="6" s="1"/>
  <c r="G56" i="6"/>
  <c r="G58" i="6" s="1"/>
  <c r="G61" i="6" s="1"/>
  <c r="G33" i="6"/>
  <c r="H33" i="6"/>
  <c r="I33" i="6"/>
  <c r="G15" i="6"/>
  <c r="G17" i="6" s="1"/>
  <c r="H15" i="6"/>
  <c r="H17" i="6" s="1"/>
  <c r="I15" i="6"/>
  <c r="I17" i="6" s="1"/>
  <c r="G23" i="6"/>
  <c r="G25" i="6" s="1"/>
  <c r="H23" i="6"/>
  <c r="H25" i="6" s="1"/>
  <c r="I23" i="6"/>
  <c r="I25" i="6" s="1"/>
  <c r="I7" i="6"/>
  <c r="I9" i="6" s="1"/>
  <c r="I80" i="6" s="1"/>
  <c r="H7" i="6"/>
  <c r="H9" i="6" s="1"/>
  <c r="G7" i="6"/>
  <c r="G9" i="6" s="1"/>
  <c r="C88" i="2"/>
  <c r="E69" i="6"/>
  <c r="E72" i="6" s="1"/>
  <c r="E56" i="6"/>
  <c r="E58" i="6" s="1"/>
  <c r="E49" i="6"/>
  <c r="E33" i="6"/>
  <c r="E36" i="6" s="1"/>
  <c r="E23" i="6"/>
  <c r="E25" i="6" s="1"/>
  <c r="E15" i="6"/>
  <c r="E17" i="6" s="1"/>
  <c r="E7" i="6"/>
  <c r="E9" i="6" s="1"/>
  <c r="C69" i="6"/>
  <c r="C72" i="6" s="1"/>
  <c r="C56" i="6"/>
  <c r="C58" i="6" s="1"/>
  <c r="C49" i="6"/>
  <c r="C33" i="6"/>
  <c r="C36" i="6" s="1"/>
  <c r="C23" i="6"/>
  <c r="C25" i="6" s="1"/>
  <c r="C15" i="6"/>
  <c r="C17" i="6" s="1"/>
  <c r="C7" i="6"/>
  <c r="C9" i="6" s="1"/>
  <c r="E104" i="6"/>
  <c r="C104" i="6"/>
  <c r="E94" i="6"/>
  <c r="C94" i="6"/>
  <c r="F72" i="2"/>
  <c r="G72" i="2"/>
  <c r="H72" i="2"/>
  <c r="G68" i="2"/>
  <c r="H68" i="2"/>
  <c r="I68" i="2"/>
  <c r="G65" i="2"/>
  <c r="H65" i="2"/>
  <c r="H69" i="2" s="1"/>
  <c r="I65" i="2"/>
  <c r="F69" i="2"/>
  <c r="G69" i="2"/>
  <c r="G59" i="2"/>
  <c r="H59" i="2"/>
  <c r="G57" i="2"/>
  <c r="H57" i="2"/>
  <c r="I57" i="2"/>
  <c r="G54" i="2"/>
  <c r="H54" i="2"/>
  <c r="I54" i="2"/>
  <c r="G52" i="2"/>
  <c r="H52" i="2"/>
  <c r="G37" i="2"/>
  <c r="H37" i="2"/>
  <c r="G35" i="2"/>
  <c r="H35" i="2"/>
  <c r="I35" i="2"/>
  <c r="G32" i="2"/>
  <c r="H32" i="2"/>
  <c r="I32" i="2"/>
  <c r="G26" i="2"/>
  <c r="H26" i="2"/>
  <c r="G24" i="2"/>
  <c r="H24" i="2"/>
  <c r="G22" i="2"/>
  <c r="H22" i="2"/>
  <c r="I22" i="2"/>
  <c r="I24" i="2" s="1"/>
  <c r="I26" i="2" s="1"/>
  <c r="I37" i="2" s="1"/>
  <c r="I59" i="2" s="1"/>
  <c r="I69" i="2" s="1"/>
  <c r="I72" i="2" s="1"/>
  <c r="G16" i="2"/>
  <c r="H16" i="2"/>
  <c r="I16" i="2"/>
  <c r="G14" i="2"/>
  <c r="H14" i="2"/>
  <c r="I14" i="2"/>
  <c r="G9" i="2"/>
  <c r="I9" i="2"/>
  <c r="G7" i="2"/>
  <c r="H7" i="2"/>
  <c r="H9" i="2" s="1"/>
  <c r="I7" i="2"/>
  <c r="E89" i="2"/>
  <c r="G89" i="2"/>
  <c r="H89" i="2"/>
  <c r="I89" i="2"/>
  <c r="E90" i="2"/>
  <c r="G90" i="2"/>
  <c r="H90" i="2"/>
  <c r="I90" i="2"/>
  <c r="E88" i="2"/>
  <c r="G88" i="2"/>
  <c r="H88" i="2"/>
  <c r="I88" i="2"/>
  <c r="B8" i="9" l="1"/>
  <c r="I27" i="6"/>
  <c r="I28" i="6" s="1"/>
  <c r="H27" i="6"/>
  <c r="H28" i="6" s="1"/>
  <c r="G80" i="6"/>
  <c r="G27" i="6"/>
  <c r="G28" i="6" s="1"/>
  <c r="C61" i="6"/>
  <c r="C10" i="6"/>
  <c r="H38" i="6"/>
  <c r="E61" i="6"/>
  <c r="E27" i="6"/>
  <c r="C27" i="6"/>
  <c r="C28" i="6" s="1"/>
  <c r="D12" i="2"/>
  <c r="D13" i="2"/>
  <c r="D14" i="2"/>
  <c r="D15" i="2"/>
  <c r="D16" i="2"/>
  <c r="D18" i="2"/>
  <c r="D19" i="2"/>
  <c r="D20" i="2"/>
  <c r="D21" i="2"/>
  <c r="D22" i="2"/>
  <c r="D23" i="2"/>
  <c r="D24" i="2"/>
  <c r="D26" i="2"/>
  <c r="D29" i="2"/>
  <c r="D30" i="2"/>
  <c r="D31" i="2"/>
  <c r="D32" i="2"/>
  <c r="D33" i="2"/>
  <c r="D34" i="2"/>
  <c r="D35" i="2"/>
  <c r="D39" i="2"/>
  <c r="D44" i="2"/>
  <c r="D45" i="2"/>
  <c r="D47" i="2"/>
  <c r="D48" i="2"/>
  <c r="D49" i="2"/>
  <c r="D50" i="2"/>
  <c r="D51" i="2"/>
  <c r="D52" i="2"/>
  <c r="D54" i="2"/>
  <c r="D55" i="2"/>
  <c r="D57" i="2"/>
  <c r="D62" i="2"/>
  <c r="D63" i="2"/>
  <c r="D64" i="2"/>
  <c r="D65" i="2"/>
  <c r="D66" i="2"/>
  <c r="D67" i="2"/>
  <c r="D68" i="2"/>
  <c r="D70" i="2"/>
  <c r="D6" i="2"/>
  <c r="D7" i="2"/>
  <c r="D8" i="2"/>
  <c r="D9" i="2"/>
  <c r="D5" i="2"/>
  <c r="E75" i="2"/>
  <c r="E72" i="2"/>
  <c r="E69" i="2"/>
  <c r="E68" i="2"/>
  <c r="C68" i="2"/>
  <c r="E65" i="2"/>
  <c r="C65" i="2"/>
  <c r="E59" i="2"/>
  <c r="E57" i="2"/>
  <c r="C57" i="2"/>
  <c r="E54" i="2"/>
  <c r="C54" i="2"/>
  <c r="E52" i="2"/>
  <c r="C52" i="2"/>
  <c r="E45" i="2"/>
  <c r="C45" i="2"/>
  <c r="E37" i="2"/>
  <c r="E35" i="2"/>
  <c r="C35" i="2"/>
  <c r="E32" i="2"/>
  <c r="C32" i="2"/>
  <c r="E26" i="2"/>
  <c r="C26" i="2"/>
  <c r="C37" i="2" s="1"/>
  <c r="E24" i="2"/>
  <c r="C24" i="2"/>
  <c r="E22" i="2"/>
  <c r="C22" i="2"/>
  <c r="E16" i="2"/>
  <c r="C16" i="2"/>
  <c r="E14" i="2"/>
  <c r="C14" i="2"/>
  <c r="C7" i="2"/>
  <c r="E9" i="2"/>
  <c r="E7" i="2"/>
  <c r="C59" i="2" l="1"/>
  <c r="D37" i="2"/>
  <c r="I38" i="6"/>
  <c r="I39" i="6" s="1"/>
  <c r="G38" i="6"/>
  <c r="G39" i="6" s="1"/>
  <c r="H39" i="6"/>
  <c r="H41" i="6"/>
  <c r="C38" i="6"/>
  <c r="C41" i="6" s="1"/>
  <c r="E38" i="6"/>
  <c r="E28" i="6"/>
  <c r="C69" i="2" l="1"/>
  <c r="D59" i="2"/>
  <c r="I41" i="6"/>
  <c r="I42" i="6" s="1"/>
  <c r="I63" i="6"/>
  <c r="I73" i="6" s="1"/>
  <c r="I76" i="6" s="1"/>
  <c r="G41" i="6"/>
  <c r="G42" i="6" s="1"/>
  <c r="H42" i="6"/>
  <c r="H63" i="6"/>
  <c r="H73" i="6" s="1"/>
  <c r="H76" i="6" s="1"/>
  <c r="C39" i="6"/>
  <c r="E39" i="6"/>
  <c r="E41" i="6"/>
  <c r="C42" i="6"/>
  <c r="C63" i="6"/>
  <c r="D69" i="2" l="1"/>
  <c r="C72" i="2"/>
  <c r="G63" i="6"/>
  <c r="G73" i="6" s="1"/>
  <c r="G76" i="6" s="1"/>
  <c r="E42" i="6"/>
  <c r="E63" i="6"/>
  <c r="C64" i="6"/>
  <c r="C73" i="6"/>
  <c r="C76" i="6" s="1"/>
  <c r="C79" i="6" s="1"/>
  <c r="D72" i="2" l="1"/>
  <c r="C75" i="2"/>
  <c r="C80" i="6"/>
  <c r="C82" i="6"/>
  <c r="C83" i="6" s="1"/>
  <c r="E64" i="6"/>
  <c r="E73" i="6"/>
  <c r="E76" i="6" s="1"/>
  <c r="E79" i="6" s="1"/>
  <c r="C89" i="2" l="1"/>
  <c r="C90" i="2" s="1"/>
  <c r="D75" i="2"/>
  <c r="E82" i="6"/>
  <c r="E83" i="6" s="1"/>
  <c r="E80" i="6"/>
</calcChain>
</file>

<file path=xl/sharedStrings.xml><?xml version="1.0" encoding="utf-8"?>
<sst xmlns="http://schemas.openxmlformats.org/spreadsheetml/2006/main" count="651" uniqueCount="428">
  <si>
    <t>Ricavi</t>
  </si>
  <si>
    <t>Altri ricavi operativi</t>
  </si>
  <si>
    <t>Totale ricavi</t>
  </si>
  <si>
    <t>Costi operativi</t>
  </si>
  <si>
    <t>Altri costi operativi</t>
  </si>
  <si>
    <t>Totale costi operativi</t>
  </si>
  <si>
    <t>Costi per il personale</t>
  </si>
  <si>
    <t>Margine operativo lordo</t>
  </si>
  <si>
    <t>Ammortamenti, accantonamenti e svalutazioni</t>
  </si>
  <si>
    <t>Risultato operativo netto</t>
  </si>
  <si>
    <t>Risultato da transazioni non ricorrenti</t>
  </si>
  <si>
    <t>Gestione finanziaria</t>
  </si>
  <si>
    <t>Proventi finanziari</t>
  </si>
  <si>
    <t>Oneri finanziari</t>
  </si>
  <si>
    <t>Totale gestione finanziaria</t>
  </si>
  <si>
    <t>Risultato al lordo delle imposte</t>
  </si>
  <si>
    <t>Oneri/Proventi per imposte sui redditi</t>
  </si>
  <si>
    <t>Risultato di attività operative in esercizio al netto delle imposte</t>
  </si>
  <si>
    <t>Risultato da cessione di altre partecipazioni (AFS)</t>
  </si>
  <si>
    <t>Risultato netto da attività operative cessate/destinate alla vendita</t>
  </si>
  <si>
    <t>Risultato netto</t>
  </si>
  <si>
    <t>Risultato di pertinenza di terzi</t>
  </si>
  <si>
    <t>Risultato d’esercizio di pertinenza del Gruppo</t>
  </si>
  <si>
    <t>Risultato per azione (in euro):</t>
  </si>
  <si>
    <t xml:space="preserve"> di base</t>
  </si>
  <si>
    <t>di base da attività di funzionamento</t>
  </si>
  <si>
    <t>di base da attività destinate alla vendita</t>
  </si>
  <si>
    <t>diluito</t>
  </si>
  <si>
    <t>diluito da attività di funzionamento</t>
  </si>
  <si>
    <t>diluito da attività destinate alla vendita</t>
  </si>
  <si>
    <t>Risultato d’esercizio (A)</t>
  </si>
  <si>
    <t>Utili/(perdite) attuariali su benefici a dipendenti iscritti a Patrimonio netto</t>
  </si>
  <si>
    <t>Effetto fiscale relativo agli altri utili/(perdite) attuariali</t>
  </si>
  <si>
    <t>Totale utili/(perdite) attuariali al netto dell’effetto fiscale (B)</t>
  </si>
  <si>
    <t>Parte efficace degli utili/(perdite) sugli strumenti di copertura degli strumenti finanziari (“cash flow hedge”)</t>
  </si>
  <si>
    <t>Effetto fiscale relativo agli altri utili/(perdite)</t>
  </si>
  <si>
    <t>Totale Altri utili/(perdite) al netto dell’effetto fiscale (C)</t>
  </si>
  <si>
    <t>Utili/(perdite) dalla rideterminazione di attività finanziarie disponibili per la vendita (D)</t>
  </si>
  <si>
    <t>Totale Risultato d’esercizio complessivo ( A ) + ( B ) + ( C ) + ( D )</t>
  </si>
  <si>
    <t>Totale risultato d’esercizio complessivo attribuibile a:</t>
  </si>
  <si>
    <t>Soci della controllante</t>
  </si>
  <si>
    <t>Interessenze di pertinenza di terzi</t>
  </si>
  <si>
    <t>DISPONIBILITÀ LIQUIDE E MEZZI EQUIVALENTI ALL’INIZIO DELL’ESERCIZIO</t>
  </si>
  <si>
    <t>Attività operativa</t>
  </si>
  <si>
    <t>Ammortamenti immobilizzazioni materiali</t>
  </si>
  <si>
    <t>Ammortamenti immobilizzazioni immateriali</t>
  </si>
  <si>
    <t>Svalutazioni/smobilizzi immobilizzazioni materiali e immateriali</t>
  </si>
  <si>
    <t>Interessi netti pagati</t>
  </si>
  <si>
    <t>Imposte nette pagate/crediti per imposte cedute (a)</t>
  </si>
  <si>
    <t>Variazione delle attività e delle passività al lordo delle imposte pagate (b)</t>
  </si>
  <si>
    <t>Totale variazione delle attività e delle passività (a+b) (*)</t>
  </si>
  <si>
    <t>Flussi finanziari netti da attività operativa</t>
  </si>
  <si>
    <t>Attività di investimento</t>
  </si>
  <si>
    <t>Investimenti in immobilizzazioni materiali</t>
  </si>
  <si>
    <t>Investimenti in immobilizzazioni immateriali e avviamento</t>
  </si>
  <si>
    <t>Investimenti in partecipazioni e titoli (*)</t>
  </si>
  <si>
    <t>Cessione di immobilizzazioni e partecipazioni</t>
  </si>
  <si>
    <t>Flussi finanziari netti da attività di investimento</t>
  </si>
  <si>
    <t>FREE CASH FLOW</t>
  </si>
  <si>
    <t>Attività di finanziamento</t>
  </si>
  <si>
    <t>Variazioni delle attività finanziarie</t>
  </si>
  <si>
    <t xml:space="preserve">Variazioni monetarie: </t>
  </si>
  <si>
    <t>Nuovi finanziamenti</t>
  </si>
  <si>
    <t>Incasso rimborso finanziamenti</t>
  </si>
  <si>
    <t>Altre variazioni monetarie</t>
  </si>
  <si>
    <t>Totale variazioni monetarie</t>
  </si>
  <si>
    <t>Variazioni non monetarie:</t>
  </si>
  <si>
    <t>Altre variazioni non monetarie</t>
  </si>
  <si>
    <t>Totale variazioni non monetarie</t>
  </si>
  <si>
    <t>Variazione delle attività finanziarie (*)</t>
  </si>
  <si>
    <t>Variazioni delle passività finanziarie</t>
  </si>
  <si>
    <t>Variazioni monetarie:</t>
  </si>
  <si>
    <t>Nuovi finanziamenti/bond</t>
  </si>
  <si>
    <t>Rimborso finanziamenti/bond</t>
  </si>
  <si>
    <t>Valutazioni a costo ammortizzato</t>
  </si>
  <si>
    <t>Variazione delle passività finanziarie (*)</t>
  </si>
  <si>
    <t>Flussi finanziari netti da attività di finanziamento</t>
  </si>
  <si>
    <t>VARIAZIONE DELLE DISPONIBILITÀ LIQUIDE</t>
  </si>
  <si>
    <t>DISPONIBILITÀ LIQUIDE E MEZZI EQUIVALENTI ALLA FINE DELL’ESERCIZIO</t>
  </si>
  <si>
    <t>Effetto cambio metodo consolidamento EPCG</t>
  </si>
  <si>
    <t>Risultato netto (**)</t>
  </si>
  <si>
    <t>Risultato di partecipazioni valutate ad equity</t>
  </si>
  <si>
    <t>Svalutazioni di attività destinate alla vendita</t>
  </si>
  <si>
    <t>Interessi netti di competenza dell’esercizio</t>
  </si>
  <si>
    <t>Dividendi incassati da partecipazioni valutate ad equity e altre partecipazioni</t>
  </si>
  <si>
    <t>Rimborso leasing</t>
  </si>
  <si>
    <t xml:space="preserve">Dividendi pagati dalla capogruppo </t>
  </si>
  <si>
    <t>Dividendi pagati dalle controllate</t>
  </si>
  <si>
    <t>Scissione ramo Edipower a favore di Cellina Energy(solo 16/17)</t>
  </si>
  <si>
    <t>Apporto primo consolidamento acquisizioni (16/17/18)</t>
  </si>
  <si>
    <t>Deferred tax assets</t>
  </si>
  <si>
    <t>Minority interests</t>
  </si>
  <si>
    <t>Revenues</t>
  </si>
  <si>
    <t>Total revenues</t>
  </si>
  <si>
    <t>Other operating expenses</t>
  </si>
  <si>
    <t>Total operating expenses</t>
  </si>
  <si>
    <t>Depreciation, amortization, provisions and write-downs</t>
  </si>
  <si>
    <t>Financial balance</t>
  </si>
  <si>
    <t>Affiliates</t>
  </si>
  <si>
    <t>Result from disposal of other shareholdings</t>
  </si>
  <si>
    <t>Total financial balance</t>
  </si>
  <si>
    <t>Income taxes</t>
  </si>
  <si>
    <t>Result after taxes from operating activities</t>
  </si>
  <si>
    <t>Net result from discontinued operations</t>
  </si>
  <si>
    <t>Net result</t>
  </si>
  <si>
    <t>Minorities</t>
  </si>
  <si>
    <t>Group result of the year</t>
  </si>
  <si>
    <t>Result per share (in euro):</t>
  </si>
  <si>
    <t>basic</t>
  </si>
  <si>
    <t xml:space="preserve"> basic from continuing operations</t>
  </si>
  <si>
    <t>basic from assets held for sale</t>
  </si>
  <si>
    <t>diluted</t>
  </si>
  <si>
    <t>diluted from continuing operations</t>
  </si>
  <si>
    <t>diluted from assets held for sale</t>
  </si>
  <si>
    <t>Net result of the year (A)</t>
  </si>
  <si>
    <t>Actuarial gains/(losses) on employee’s benefits booked in the Net equity</t>
  </si>
  <si>
    <t>Tax effect of other actuarial gains/(losses)</t>
  </si>
  <si>
    <t>Total actuarial gains/(losses) net of the tax effect (B)</t>
  </si>
  <si>
    <t>Effective part of gains/(losses) on cash flow hedge</t>
  </si>
  <si>
    <t>Tax effect of other gains/(losses)</t>
  </si>
  <si>
    <t>Other gains/(losses) of companies valued at equity net of the tax effect (D)</t>
  </si>
  <si>
    <t>otal comprehensive result ( A ) + ( B ) + ( C ) + ( D )</t>
  </si>
  <si>
    <t>Total comprehensive result attributable to:</t>
  </si>
  <si>
    <t>Shareholders of the parent company</t>
  </si>
  <si>
    <t>CASH AND CASH EQUIVALENTS AT THE BEGINNING OF THE YEAR</t>
  </si>
  <si>
    <t>Operating activities</t>
  </si>
  <si>
    <t>Tangible assets depreciation</t>
  </si>
  <si>
    <t>Intangible assets amortization</t>
  </si>
  <si>
    <t>Fixed assets write-downs/disposals</t>
  </si>
  <si>
    <t>Result from affiliates</t>
  </si>
  <si>
    <t>Net financial interests</t>
  </si>
  <si>
    <t>Net financial interests paid</t>
  </si>
  <si>
    <t>Net taxes paid (a)</t>
  </si>
  <si>
    <t>Gross change in assets and liabilities (b)</t>
  </si>
  <si>
    <t>Cash flow from operating activities</t>
  </si>
  <si>
    <t>Investment activities</t>
  </si>
  <si>
    <t>Investments in tangible assets</t>
  </si>
  <si>
    <t>Investments in intangible assets and goodwill</t>
  </si>
  <si>
    <t>Disposal of fixed assets and shareholdings</t>
  </si>
  <si>
    <t>Dividends received</t>
  </si>
  <si>
    <t>Cash flow from investment activities</t>
  </si>
  <si>
    <t>Financing activities</t>
  </si>
  <si>
    <t>Changes in financial assets</t>
  </si>
  <si>
    <t>Monetary changes:</t>
  </si>
  <si>
    <t>Issuance of loans</t>
  </si>
  <si>
    <t>Proceeds from loans</t>
  </si>
  <si>
    <t>Other monetary changes</t>
  </si>
  <si>
    <t>Total monetary changes</t>
  </si>
  <si>
    <t>Non-monetary changes:</t>
  </si>
  <si>
    <t>Other non-monetary changes</t>
  </si>
  <si>
    <t>Total non-monetary changes</t>
  </si>
  <si>
    <t>Changes in financial liabilities</t>
  </si>
  <si>
    <t>Borrowings/bonds issued</t>
  </si>
  <si>
    <t>Repayment of borrowings/bond</t>
  </si>
  <si>
    <t>Lease payments</t>
  </si>
  <si>
    <t>Dividends paid by the parent company</t>
  </si>
  <si>
    <t>Dividends paid by the subsidiaries</t>
  </si>
  <si>
    <t>Amortized cost valuations</t>
  </si>
  <si>
    <t>Cash flow from financing activities</t>
  </si>
  <si>
    <t>CHANGE IN CASH AND CASH EQUIVALENTS</t>
  </si>
  <si>
    <t>CASH AND CASH EQUIVALENTS AT THE END OF THE YEAR</t>
  </si>
  <si>
    <t>Total other gains/(losses) net of the tax effect of companies consolidated on a line-by-line basis (C)</t>
  </si>
  <si>
    <t>Quota dei proventi e degli oneri derivanti dalla valutazione secondo il Patrimonio netto delle partecipazioni</t>
  </si>
  <si>
    <t>Contribution of first consolidation of acquisitions of EPCG (2017 ONLY)</t>
  </si>
  <si>
    <t>Contribution of first consolidation of acquisitions of LGH and others (2016 ONLY)</t>
  </si>
  <si>
    <t>Demerger of the Edipower branch in favor of Cellina Energy</t>
  </si>
  <si>
    <t xml:space="preserve">Contribution of first consolidation of acquisitions of </t>
  </si>
  <si>
    <t>Write-downs of assets held for sale</t>
  </si>
  <si>
    <t xml:space="preserve">Total change of assets and liabilities (a+b) </t>
  </si>
  <si>
    <t xml:space="preserve">Investments in shareholdings and securities </t>
  </si>
  <si>
    <t xml:space="preserve">Total changes in financial liabilities </t>
  </si>
  <si>
    <t xml:space="preserve">Total changes in financial assets </t>
  </si>
  <si>
    <t xml:space="preserve">Net Result </t>
  </si>
  <si>
    <t xml:space="preserve">CONSOLIDATED STATEMENT OF COMPREHENSIVE INCOME </t>
  </si>
  <si>
    <t>CONSOLIDATED CASH-FLOW STATEMENT</t>
  </si>
  <si>
    <t>gross cash flow</t>
  </si>
  <si>
    <t xml:space="preserve">NOPLAT + depreciation </t>
  </si>
  <si>
    <t xml:space="preserve">Historical results </t>
  </si>
  <si>
    <t>Revenues from the sale of goods</t>
  </si>
  <si>
    <t>Gross operating income - (EBITDA)</t>
  </si>
  <si>
    <t>Net operating income - (EBIT)</t>
  </si>
  <si>
    <t>Result from non-recur. Transactions</t>
  </si>
  <si>
    <t>Result before taxes (EBT)</t>
  </si>
  <si>
    <t>INCOME STATEMENT (Detailed)</t>
  </si>
  <si>
    <t xml:space="preserve">Changes % </t>
  </si>
  <si>
    <t xml:space="preserve">Revenues from services </t>
  </si>
  <si>
    <t xml:space="preserve">Total revenues from sale of goods and serv </t>
  </si>
  <si>
    <t>Other operating revenues</t>
  </si>
  <si>
    <t xml:space="preserve">(Operating expenses) </t>
  </si>
  <si>
    <t xml:space="preserve">Expenses for raw materials </t>
  </si>
  <si>
    <t>Expenses for  services</t>
  </si>
  <si>
    <t xml:space="preserve">Total for raw materials and services </t>
  </si>
  <si>
    <t>(Labour costs)</t>
  </si>
  <si>
    <t xml:space="preserve">Wages and salaries </t>
  </si>
  <si>
    <t xml:space="preserve">Social security charges </t>
  </si>
  <si>
    <t>TFR</t>
  </si>
  <si>
    <t xml:space="preserve">Other costs </t>
  </si>
  <si>
    <t>Total labour costs before capitalizations</t>
  </si>
  <si>
    <t xml:space="preserve">Capitalized labour costs </t>
  </si>
  <si>
    <t xml:space="preserve">Total labour costs    </t>
  </si>
  <si>
    <t>#Of which 69 from consolidation of ACSM-AGAM</t>
  </si>
  <si>
    <t xml:space="preserve">Amortization of intangible assets </t>
  </si>
  <si>
    <t xml:space="preserve">Depreciation of tangible assets </t>
  </si>
  <si>
    <t xml:space="preserve">Net-write downs of fixed assets </t>
  </si>
  <si>
    <t xml:space="preserve">Total amortization, depr and write downs </t>
  </si>
  <si>
    <t xml:space="preserve">Provisions for risks </t>
  </si>
  <si>
    <t xml:space="preserve">Bad debt provision on receivables recog as current assets </t>
  </si>
  <si>
    <t>Total depr, amort, provisions and write-downs</t>
  </si>
  <si>
    <t>Gains on disposals of financial assets</t>
  </si>
  <si>
    <t xml:space="preserve">Other financial income </t>
  </si>
  <si>
    <t xml:space="preserve">Total financial income </t>
  </si>
  <si>
    <t>Financial income of which:</t>
  </si>
  <si>
    <t xml:space="preserve">Interest on bond loans </t>
  </si>
  <si>
    <t xml:space="preserve">Interest charged by banks </t>
  </si>
  <si>
    <t xml:space="preserve">Realized on financial derivatives </t>
  </si>
  <si>
    <t xml:space="preserve">Decommisioning costs </t>
  </si>
  <si>
    <t>Other financial expenses</t>
  </si>
  <si>
    <t>Financial expenses of which:</t>
  </si>
  <si>
    <t xml:space="preserve">Total before capitalization </t>
  </si>
  <si>
    <t xml:space="preserve">Capitalized financial expenses </t>
  </si>
  <si>
    <t xml:space="preserve">Total financial expenses </t>
  </si>
  <si>
    <t>Current IRES</t>
  </si>
  <si>
    <t>Current IRAP</t>
  </si>
  <si>
    <t xml:space="preserve">Effect of differences- taxes of previous years </t>
  </si>
  <si>
    <t xml:space="preserve">Deferred tax liabilities </t>
  </si>
  <si>
    <t xml:space="preserve">Total losses/gains for income taxes </t>
  </si>
  <si>
    <t>Total current taxes</t>
  </si>
  <si>
    <t>Reconciliation between the tax burden posted and theoretical tax liabilities</t>
  </si>
  <si>
    <t xml:space="preserve">Pre-tax result </t>
  </si>
  <si>
    <t>Write-down assets</t>
  </si>
  <si>
    <t xml:space="preserve">Pre-tax result adjusted by write downs </t>
  </si>
  <si>
    <t>Theoretical rates based on applicable tax rates (using a theoretical IreS of 24%</t>
  </si>
  <si>
    <t xml:space="preserve">Tax effect of write downs </t>
  </si>
  <si>
    <t>Permanent differences</t>
  </si>
  <si>
    <t xml:space="preserve">Total taxes charged to income statement </t>
  </si>
  <si>
    <t xml:space="preserve">Current Irap </t>
  </si>
  <si>
    <t xml:space="preserve">Total without Irap  </t>
  </si>
  <si>
    <t xml:space="preserve">Weighted average number of outstanding shares for calculation of earnings per share </t>
  </si>
  <si>
    <t xml:space="preserve">Ricavi di vendita </t>
  </si>
  <si>
    <t xml:space="preserve">Ricavi da prestazioni </t>
  </si>
  <si>
    <t xml:space="preserve">Totale ricavi di vendita e da prestazioni </t>
  </si>
  <si>
    <t xml:space="preserve">Costi per materie prime </t>
  </si>
  <si>
    <t xml:space="preserve">Costi per servizi </t>
  </si>
  <si>
    <t xml:space="preserve">Costi per materie prime e servizi </t>
  </si>
  <si>
    <t xml:space="preserve">Salari e stipendi </t>
  </si>
  <si>
    <t xml:space="preserve">Oneri sociali </t>
  </si>
  <si>
    <t xml:space="preserve">Altri costi   </t>
  </si>
  <si>
    <t xml:space="preserve">Totale costi per il personale prima della capitalizzazione </t>
  </si>
  <si>
    <t xml:space="preserve">Costi per il personale capitalizzati </t>
  </si>
  <si>
    <t xml:space="preserve">Ammortamento immobilizzazioni immateriali </t>
  </si>
  <si>
    <t xml:space="preserve">Ammortamento immobilizzazioni materiali </t>
  </si>
  <si>
    <t xml:space="preserve">Svalutazioni nette nelle immobilizzazioni </t>
  </si>
  <si>
    <t xml:space="preserve">Totale ammortamenti, accantonamenti e svalutazioni </t>
  </si>
  <si>
    <t xml:space="preserve">Accantonamento per rischi </t>
  </si>
  <si>
    <t xml:space="preserve">Accantonamento per rischi su crediti nell'attivo circolante </t>
  </si>
  <si>
    <t xml:space="preserve">Totale ammortamenti e svalutazioni </t>
  </si>
  <si>
    <t xml:space="preserve">Interessi su prestiti obbligazionari </t>
  </si>
  <si>
    <t xml:space="preserve">Interessi verso istituti di credito </t>
  </si>
  <si>
    <t xml:space="preserve">Realized su derivari finanziari </t>
  </si>
  <si>
    <t>Oneri da decommisioning</t>
  </si>
  <si>
    <t xml:space="preserve">Altri oneri finanziari </t>
  </si>
  <si>
    <t xml:space="preserve">Totale prima della capitalizzazione </t>
  </si>
  <si>
    <t xml:space="preserve">Oneri finanziari capitalizzati </t>
  </si>
  <si>
    <t xml:space="preserve">Totale oneri finanziari </t>
  </si>
  <si>
    <t>IRES</t>
  </si>
  <si>
    <t>IRAP</t>
  </si>
  <si>
    <t xml:space="preserve">Effetto differenze imposte esercizi precedenti </t>
  </si>
  <si>
    <t xml:space="preserve">Totale tasse correnti </t>
  </si>
  <si>
    <t xml:space="preserve">Imposte anticipate </t>
  </si>
  <si>
    <t xml:space="preserve">Imposte differite </t>
  </si>
  <si>
    <t xml:space="preserve">Totale oneri/proventi per imposte sui redditi </t>
  </si>
  <si>
    <t xml:space="preserve">REORGANIZED INCOME STATEMENT </t>
  </si>
  <si>
    <t xml:space="preserve"> EBITDA</t>
  </si>
  <si>
    <t xml:space="preserve">Margin </t>
  </si>
  <si>
    <t>EBIT</t>
  </si>
  <si>
    <t>EBT</t>
  </si>
  <si>
    <t xml:space="preserve">EBITA </t>
  </si>
  <si>
    <t xml:space="preserve">Dividends information </t>
  </si>
  <si>
    <t xml:space="preserve">Dividend per share </t>
  </si>
  <si>
    <t xml:space="preserve">Total amount of dividend </t>
  </si>
  <si>
    <t xml:space="preserve">Retention ratio </t>
  </si>
  <si>
    <t>Year 2019</t>
  </si>
  <si>
    <t>Year 2017</t>
  </si>
  <si>
    <t>Year 2016</t>
  </si>
  <si>
    <t xml:space="preserve">Dividend Payout ratio </t>
  </si>
  <si>
    <t xml:space="preserve">Year 2018 </t>
  </si>
  <si>
    <t xml:space="preserve">Year 2015 </t>
  </si>
  <si>
    <t xml:space="preserve">Financial targets </t>
  </si>
  <si>
    <t>Ebitda</t>
  </si>
  <si>
    <t>Generation</t>
  </si>
  <si>
    <t xml:space="preserve">Market </t>
  </si>
  <si>
    <t>Waste</t>
  </si>
  <si>
    <t>Networks</t>
  </si>
  <si>
    <t>Other</t>
  </si>
  <si>
    <t xml:space="preserve">Total </t>
  </si>
  <si>
    <t>2019/23</t>
  </si>
  <si>
    <t>Gas tenders</t>
  </si>
  <si>
    <t xml:space="preserve">Generation </t>
  </si>
  <si>
    <t xml:space="preserve">M&amp;A </t>
  </si>
  <si>
    <t>Market</t>
  </si>
  <si>
    <t xml:space="preserve">Other </t>
  </si>
  <si>
    <t>Total</t>
  </si>
  <si>
    <t xml:space="preserve">Development </t>
  </si>
  <si>
    <t>Maintenance</t>
  </si>
  <si>
    <t xml:space="preserve">Capex plan </t>
  </si>
  <si>
    <t>Cash flow generation 2018/23</t>
  </si>
  <si>
    <t>NFP 2018</t>
  </si>
  <si>
    <t>EBITDA</t>
  </si>
  <si>
    <t xml:space="preserve">Change in NWC </t>
  </si>
  <si>
    <t>Use of funds</t>
  </si>
  <si>
    <t xml:space="preserve">taxes </t>
  </si>
  <si>
    <t xml:space="preserve">Net fin expenses </t>
  </si>
  <si>
    <t xml:space="preserve">Dividends </t>
  </si>
  <si>
    <t xml:space="preserve">Capex for organic growth </t>
  </si>
  <si>
    <t xml:space="preserve">Gas tenders </t>
  </si>
  <si>
    <t xml:space="preserve">NFP 2023 ordinary </t>
  </si>
  <si>
    <t xml:space="preserve">IFRS 16 </t>
  </si>
  <si>
    <t xml:space="preserve">NFP 2023   </t>
  </si>
  <si>
    <t>Margin</t>
  </si>
  <si>
    <t xml:space="preserve">Total  income taxes </t>
  </si>
  <si>
    <t xml:space="preserve">Dividend distribution </t>
  </si>
  <si>
    <t>Payout</t>
  </si>
  <si>
    <t xml:space="preserve">Retained distribution </t>
  </si>
  <si>
    <t xml:space="preserve">Sales Growth </t>
  </si>
  <si>
    <t xml:space="preserve">Income statement: trailing 12 months (1/04/19 - 1/04/20) </t>
  </si>
  <si>
    <t>Trailing 12</t>
  </si>
  <si>
    <t xml:space="preserve">EBIT </t>
  </si>
  <si>
    <r>
      <t xml:space="preserve">D  </t>
    </r>
    <r>
      <rPr>
        <sz val="11"/>
        <color theme="1"/>
        <rFont val="Calibri Light"/>
        <family val="2"/>
        <scheme val="major"/>
      </rPr>
      <t>(1° quarter)</t>
    </r>
  </si>
  <si>
    <t xml:space="preserve">D% </t>
  </si>
  <si>
    <t xml:space="preserve">Operating expenses </t>
  </si>
  <si>
    <t xml:space="preserve">Labour costs </t>
  </si>
  <si>
    <t xml:space="preserve">Depr, amort, prov and write downs </t>
  </si>
  <si>
    <t xml:space="preserve">Financial balance </t>
  </si>
  <si>
    <t xml:space="preserve">Net income </t>
  </si>
  <si>
    <t xml:space="preserve">Net income of group </t>
  </si>
  <si>
    <t xml:space="preserve">Net result from non rec operations </t>
  </si>
  <si>
    <t xml:space="preserve">Result after taxes from operating activities </t>
  </si>
  <si>
    <t xml:space="preserve">Net result from discounted operations </t>
  </si>
  <si>
    <t xml:space="preserve">Delta </t>
  </si>
  <si>
    <t xml:space="preserve">Change </t>
  </si>
  <si>
    <t>Payables to other lenders</t>
  </si>
  <si>
    <t xml:space="preserve">Trade receivables </t>
  </si>
  <si>
    <t>Inventories (remainances)</t>
  </si>
  <si>
    <t>Payables</t>
  </si>
  <si>
    <t>Total WC</t>
  </si>
  <si>
    <t xml:space="preserve">Change in working capital: Delta WC  (simple formulation) </t>
  </si>
  <si>
    <t xml:space="preserve">Historical </t>
  </si>
  <si>
    <t xml:space="preserve">Inventories </t>
  </si>
  <si>
    <t>Trailing (1/4/20- 1/4/19)</t>
  </si>
  <si>
    <t>Trailing (1/4/19- 1/4/18)</t>
  </si>
  <si>
    <t>Change WC</t>
  </si>
  <si>
    <t xml:space="preserve">NET CAPEX  (detailed) </t>
  </si>
  <si>
    <t>WE PROCEED WITH EBIT</t>
  </si>
  <si>
    <t>Change %</t>
  </si>
  <si>
    <t xml:space="preserve">Adjusted EBIT </t>
  </si>
  <si>
    <t>Percentage</t>
  </si>
  <si>
    <t xml:space="preserve">Adj Unlev Beta </t>
  </si>
  <si>
    <t>Utility (general)</t>
  </si>
  <si>
    <t>Utility (water)</t>
  </si>
  <si>
    <t xml:space="preserve">Environmental and Waste </t>
  </si>
  <si>
    <t xml:space="preserve">Oil/gas distribution </t>
  </si>
  <si>
    <t>Investment &amp; Asset management</t>
  </si>
  <si>
    <t>TOTAL</t>
  </si>
  <si>
    <t>Green and renewable energy (25%)</t>
  </si>
  <si>
    <t xml:space="preserve">Weighted Unlevered Beta </t>
  </si>
  <si>
    <t xml:space="preserve">Bottom up unlevered beta computation </t>
  </si>
  <si>
    <t xml:space="preserve">Bottom up levered beta computation </t>
  </si>
  <si>
    <t xml:space="preserve">Unlevered Beta </t>
  </si>
  <si>
    <t>Debt to equity ratio (book value)</t>
  </si>
  <si>
    <t xml:space="preserve">Debt to equity ratio market value </t>
  </si>
  <si>
    <t xml:space="preserve">Marginal taxes </t>
  </si>
  <si>
    <t xml:space="preserve">Debt (Bv) </t>
  </si>
  <si>
    <t xml:space="preserve">Debt( Fair value) </t>
  </si>
  <si>
    <t xml:space="preserve">Total non current financial liabilities </t>
  </si>
  <si>
    <t xml:space="preserve">Fair value of bonds an bank debt </t>
  </si>
  <si>
    <t xml:space="preserve">Non curr fin payables for rights of use </t>
  </si>
  <si>
    <t xml:space="preserve">Equity pertaining to group </t>
  </si>
  <si>
    <t>Equity (bv)</t>
  </si>
  <si>
    <t xml:space="preserve">Equity market </t>
  </si>
  <si>
    <t xml:space="preserve">Levered Beta book value </t>
  </si>
  <si>
    <t xml:space="preserve">Levered Beta market value </t>
  </si>
  <si>
    <t xml:space="preserve">WACC </t>
  </si>
  <si>
    <t xml:space="preserve">Cost of debt </t>
  </si>
  <si>
    <t xml:space="preserve">Cost of equity </t>
  </si>
  <si>
    <t xml:space="preserve">Tax Rate </t>
  </si>
  <si>
    <t>Risk free rate</t>
  </si>
  <si>
    <t>Spread on debt</t>
  </si>
  <si>
    <t xml:space="preserve">Risk free rate  (German bunds 10 Y spot rates, daily obs over past two years) </t>
  </si>
  <si>
    <t xml:space="preserve">Default spread on debt (A2A BBB) </t>
  </si>
  <si>
    <t xml:space="preserve">Stable market risk premium </t>
  </si>
  <si>
    <t xml:space="preserve">Country risk premium </t>
  </si>
  <si>
    <t>Market cap (at 31/12/19)</t>
  </si>
  <si>
    <t>Outstanding bonds</t>
  </si>
  <si>
    <t>Bond2022</t>
  </si>
  <si>
    <t>Bond2025</t>
  </si>
  <si>
    <t>bond2027</t>
  </si>
  <si>
    <t>bond2029</t>
  </si>
  <si>
    <t>Yield to maturity</t>
  </si>
  <si>
    <t>Residual Coup</t>
  </si>
  <si>
    <t>Average Kd</t>
  </si>
  <si>
    <t xml:space="preserve">Trailing change in working capital: Delta WC (simple formulation)  </t>
  </si>
  <si>
    <t xml:space="preserve">Change in working capital: Delta WC  (detailed formulation) </t>
  </si>
  <si>
    <t>At 31/12/19</t>
  </si>
  <si>
    <t>Current value</t>
  </si>
  <si>
    <t>Current values</t>
  </si>
  <si>
    <t xml:space="preserve">Operating cash </t>
  </si>
  <si>
    <t xml:space="preserve">Other current assets </t>
  </si>
  <si>
    <t xml:space="preserve">Operating assets </t>
  </si>
  <si>
    <t xml:space="preserve">Current tax assets </t>
  </si>
  <si>
    <t xml:space="preserve">Cash balances </t>
  </si>
  <si>
    <t xml:space="preserve">Cash  </t>
  </si>
  <si>
    <t>Average delta</t>
  </si>
  <si>
    <t xml:space="preserve">Other current liabilities </t>
  </si>
  <si>
    <t xml:space="preserve">Operating liabilities </t>
  </si>
  <si>
    <t xml:space="preserve">Approach 1 </t>
  </si>
  <si>
    <t xml:space="preserve">Approach 2 </t>
  </si>
  <si>
    <t xml:space="preserve">Approach 1: risk free rate, default spread, regression beta </t>
  </si>
  <si>
    <t xml:space="preserve">Approach 3: average cost of debt, regression beta </t>
  </si>
  <si>
    <t xml:space="preserve">Approach 3 </t>
  </si>
  <si>
    <t>Net of taxes cost of debt</t>
  </si>
  <si>
    <t xml:space="preserve">Net of taxes cost of debt </t>
  </si>
  <si>
    <t>Risk free rate (A)</t>
  </si>
  <si>
    <t>Equity risk premium (B)</t>
  </si>
  <si>
    <t>Regression (levered Beta) (C)</t>
  </si>
  <si>
    <t>Bottom up levered beta (C )</t>
  </si>
  <si>
    <t>WACC (book value)</t>
  </si>
  <si>
    <t xml:space="preserve">WACC (market value) </t>
  </si>
  <si>
    <t xml:space="preserve">Approach 2: risk free rate, default sprea, bottom up beta (at market values)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</si>
</sst>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%"/>
    <numFmt numFmtId="165" formatCode="0.000"/>
    <numFmt numFmtId="166" formatCode="0.00000%"/>
    <numFmt numFmtId="167" formatCode="0.000000%"/>
    <numFmt numFmtId="168" formatCode="_-* #,##0.0000_-;\-* #,##0.0000_-;_-* &quot;-&quot;??_-;_-@_-"/>
    <numFmt numFmtId="169" formatCode="0.000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 Light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99"/>
        <bgColor indexed="64"/>
      </patternFill>
    </fill>
  </fills>
  <borders count="6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65">
    <xf numFmtId="0" fontId="0" fillId="0" borderId="0" xfId="0"/>
    <xf numFmtId="14" fontId="0" fillId="3" borderId="1" xfId="0" applyNumberFormat="1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0" xfId="0" applyFont="1" applyFill="1" applyBorder="1"/>
    <xf numFmtId="0" fontId="0" fillId="5" borderId="3" xfId="0" applyFill="1" applyBorder="1"/>
    <xf numFmtId="0" fontId="0" fillId="0" borderId="0" xfId="0" applyFill="1"/>
    <xf numFmtId="0" fontId="0" fillId="5" borderId="6" xfId="0" applyFill="1" applyBorder="1"/>
    <xf numFmtId="0" fontId="3" fillId="5" borderId="3" xfId="0" applyFont="1" applyFill="1" applyBorder="1"/>
    <xf numFmtId="0" fontId="0" fillId="0" borderId="3" xfId="0" applyFill="1" applyBorder="1"/>
    <xf numFmtId="0" fontId="0" fillId="0" borderId="3" xfId="0" applyFont="1" applyBorder="1"/>
    <xf numFmtId="0" fontId="0" fillId="0" borderId="3" xfId="0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13" xfId="0" applyFont="1" applyBorder="1"/>
    <xf numFmtId="0" fontId="1" fillId="0" borderId="12" xfId="0" applyFont="1" applyBorder="1"/>
    <xf numFmtId="0" fontId="0" fillId="0" borderId="12" xfId="0" applyBorder="1"/>
    <xf numFmtId="0" fontId="1" fillId="0" borderId="12" xfId="0" applyFont="1" applyBorder="1" applyAlignment="1">
      <alignment wrapText="1"/>
    </xf>
    <xf numFmtId="0" fontId="1" fillId="5" borderId="12" xfId="0" applyFont="1" applyFill="1" applyBorder="1"/>
    <xf numFmtId="0" fontId="1" fillId="0" borderId="12" xfId="0" applyFont="1" applyFill="1" applyBorder="1"/>
    <xf numFmtId="0" fontId="1" fillId="0" borderId="3" xfId="0" applyFont="1" applyBorder="1"/>
    <xf numFmtId="0" fontId="1" fillId="5" borderId="3" xfId="0" applyFont="1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7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8" xfId="0" applyFill="1" applyBorder="1"/>
    <xf numFmtId="0" fontId="0" fillId="0" borderId="14" xfId="0" applyFill="1" applyBorder="1"/>
    <xf numFmtId="0" fontId="0" fillId="0" borderId="15" xfId="0" applyFill="1" applyBorder="1"/>
    <xf numFmtId="0" fontId="2" fillId="0" borderId="8" xfId="0" applyFont="1" applyFill="1" applyBorder="1"/>
    <xf numFmtId="0" fontId="0" fillId="0" borderId="5" xfId="0" applyFill="1" applyBorder="1" applyAlignment="1">
      <alignment wrapText="1"/>
    </xf>
    <xf numFmtId="0" fontId="0" fillId="0" borderId="5" xfId="0" applyFill="1" applyBorder="1"/>
    <xf numFmtId="0" fontId="0" fillId="0" borderId="16" xfId="0" applyFill="1" applyBorder="1"/>
    <xf numFmtId="0" fontId="0" fillId="2" borderId="16" xfId="0" applyFill="1" applyBorder="1"/>
    <xf numFmtId="0" fontId="0" fillId="5" borderId="16" xfId="0" applyFill="1" applyBorder="1"/>
    <xf numFmtId="0" fontId="1" fillId="0" borderId="16" xfId="0" applyFont="1" applyFill="1" applyBorder="1"/>
    <xf numFmtId="0" fontId="0" fillId="6" borderId="18" xfId="0" applyFill="1" applyBorder="1"/>
    <xf numFmtId="0" fontId="0" fillId="6" borderId="19" xfId="0" applyFill="1" applyBorder="1"/>
    <xf numFmtId="14" fontId="0" fillId="3" borderId="20" xfId="0" applyNumberFormat="1" applyFill="1" applyBorder="1"/>
    <xf numFmtId="14" fontId="0" fillId="3" borderId="21" xfId="0" applyNumberFormat="1" applyFill="1" applyBorder="1"/>
    <xf numFmtId="14" fontId="0" fillId="5" borderId="26" xfId="0" applyNumberFormat="1" applyFill="1" applyBorder="1"/>
    <xf numFmtId="0" fontId="1" fillId="5" borderId="16" xfId="0" applyFont="1" applyFill="1" applyBorder="1"/>
    <xf numFmtId="0" fontId="0" fillId="5" borderId="16" xfId="0" applyFill="1" applyBorder="1" applyAlignment="1">
      <alignment wrapText="1"/>
    </xf>
    <xf numFmtId="14" fontId="0" fillId="3" borderId="28" xfId="0" applyNumberFormat="1" applyFill="1" applyBorder="1"/>
    <xf numFmtId="0" fontId="0" fillId="5" borderId="16" xfId="0" applyFont="1" applyFill="1" applyBorder="1"/>
    <xf numFmtId="0" fontId="0" fillId="7" borderId="0" xfId="0" applyFill="1"/>
    <xf numFmtId="0" fontId="7" fillId="5" borderId="16" xfId="0" applyFont="1" applyFill="1" applyBorder="1"/>
    <xf numFmtId="0" fontId="0" fillId="7" borderId="27" xfId="0" applyFill="1" applyBorder="1"/>
    <xf numFmtId="0" fontId="0" fillId="7" borderId="28" xfId="0" applyFill="1" applyBorder="1"/>
    <xf numFmtId="0" fontId="0" fillId="7" borderId="29" xfId="0" applyFill="1" applyBorder="1"/>
    <xf numFmtId="14" fontId="0" fillId="0" borderId="0" xfId="0" applyNumberFormat="1" applyFill="1" applyBorder="1"/>
    <xf numFmtId="0" fontId="0" fillId="7" borderId="18" xfId="0" applyFill="1" applyBorder="1"/>
    <xf numFmtId="0" fontId="0" fillId="7" borderId="19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1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5" xfId="0" applyFill="1" applyBorder="1"/>
    <xf numFmtId="14" fontId="0" fillId="0" borderId="36" xfId="0" applyNumberFormat="1" applyFill="1" applyBorder="1"/>
    <xf numFmtId="14" fontId="0" fillId="0" borderId="37" xfId="0" applyNumberFormat="1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38" xfId="0" applyFill="1" applyBorder="1"/>
    <xf numFmtId="0" fontId="0" fillId="0" borderId="25" xfId="0" applyFill="1" applyBorder="1"/>
    <xf numFmtId="0" fontId="1" fillId="8" borderId="16" xfId="0" applyFont="1" applyFill="1" applyBorder="1"/>
    <xf numFmtId="0" fontId="0" fillId="8" borderId="16" xfId="0" applyFill="1" applyBorder="1"/>
    <xf numFmtId="0" fontId="1" fillId="9" borderId="16" xfId="0" applyFont="1" applyFill="1" applyBorder="1"/>
    <xf numFmtId="0" fontId="0" fillId="9" borderId="16" xfId="0" applyFill="1" applyBorder="1"/>
    <xf numFmtId="0" fontId="1" fillId="7" borderId="16" xfId="0" applyFont="1" applyFill="1" applyBorder="1"/>
    <xf numFmtId="0" fontId="0" fillId="7" borderId="16" xfId="0" applyFill="1" applyBorder="1"/>
    <xf numFmtId="0" fontId="1" fillId="2" borderId="16" xfId="0" applyFont="1" applyFill="1" applyBorder="1"/>
    <xf numFmtId="0" fontId="1" fillId="6" borderId="16" xfId="0" applyFont="1" applyFill="1" applyBorder="1"/>
    <xf numFmtId="0" fontId="0" fillId="6" borderId="16" xfId="0" applyFill="1" applyBorder="1"/>
    <xf numFmtId="0" fontId="1" fillId="10" borderId="16" xfId="0" applyFont="1" applyFill="1" applyBorder="1"/>
    <xf numFmtId="0" fontId="0" fillId="10" borderId="16" xfId="0" applyFill="1" applyBorder="1"/>
    <xf numFmtId="0" fontId="7" fillId="0" borderId="16" xfId="0" applyFont="1" applyFill="1" applyBorder="1"/>
    <xf numFmtId="164" fontId="0" fillId="5" borderId="16" xfId="1" applyNumberFormat="1" applyFont="1" applyFill="1" applyBorder="1"/>
    <xf numFmtId="14" fontId="1" fillId="3" borderId="20" xfId="0" applyNumberFormat="1" applyFont="1" applyFill="1" applyBorder="1"/>
    <xf numFmtId="14" fontId="1" fillId="3" borderId="21" xfId="0" applyNumberFormat="1" applyFont="1" applyFill="1" applyBorder="1"/>
    <xf numFmtId="0" fontId="1" fillId="6" borderId="17" xfId="0" applyFont="1" applyFill="1" applyBorder="1"/>
    <xf numFmtId="0" fontId="0" fillId="7" borderId="16" xfId="0" applyFont="1" applyFill="1" applyBorder="1"/>
    <xf numFmtId="0" fontId="0" fillId="2" borderId="18" xfId="0" applyFill="1" applyBorder="1"/>
    <xf numFmtId="0" fontId="0" fillId="2" borderId="19" xfId="0" applyFill="1" applyBorder="1"/>
    <xf numFmtId="0" fontId="4" fillId="2" borderId="17" xfId="0" applyFont="1" applyFill="1" applyBorder="1"/>
    <xf numFmtId="0" fontId="4" fillId="0" borderId="0" xfId="0" applyFont="1" applyFill="1" applyBorder="1"/>
    <xf numFmtId="164" fontId="1" fillId="5" borderId="16" xfId="1" applyNumberFormat="1" applyFont="1" applyFill="1" applyBorder="1"/>
    <xf numFmtId="164" fontId="1" fillId="0" borderId="16" xfId="1" applyNumberFormat="1" applyFont="1" applyFill="1" applyBorder="1"/>
    <xf numFmtId="43" fontId="1" fillId="2" borderId="16" xfId="2" applyFont="1" applyFill="1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16" xfId="0" applyBorder="1"/>
    <xf numFmtId="0" fontId="0" fillId="0" borderId="36" xfId="0" applyFill="1" applyBorder="1"/>
    <xf numFmtId="0" fontId="0" fillId="0" borderId="36" xfId="0" applyBorder="1"/>
    <xf numFmtId="0" fontId="0" fillId="0" borderId="37" xfId="0" applyBorder="1"/>
    <xf numFmtId="0" fontId="0" fillId="0" borderId="23" xfId="0" applyBorder="1"/>
    <xf numFmtId="0" fontId="0" fillId="0" borderId="38" xfId="0" applyBorder="1"/>
    <xf numFmtId="0" fontId="0" fillId="0" borderId="25" xfId="0" applyBorder="1"/>
    <xf numFmtId="0" fontId="0" fillId="5" borderId="36" xfId="0" applyFill="1" applyBorder="1"/>
    <xf numFmtId="0" fontId="0" fillId="5" borderId="22" xfId="0" applyFill="1" applyBorder="1"/>
    <xf numFmtId="0" fontId="0" fillId="5" borderId="38" xfId="0" applyFill="1" applyBorder="1"/>
    <xf numFmtId="0" fontId="1" fillId="5" borderId="42" xfId="0" applyFont="1" applyFill="1" applyBorder="1"/>
    <xf numFmtId="0" fontId="0" fillId="5" borderId="42" xfId="0" applyFill="1" applyBorder="1"/>
    <xf numFmtId="0" fontId="0" fillId="5" borderId="43" xfId="0" applyFill="1" applyBorder="1"/>
    <xf numFmtId="0" fontId="1" fillId="8" borderId="35" xfId="0" applyFont="1" applyFill="1" applyBorder="1"/>
    <xf numFmtId="0" fontId="0" fillId="8" borderId="36" xfId="0" applyFill="1" applyBorder="1"/>
    <xf numFmtId="0" fontId="0" fillId="5" borderId="37" xfId="0" applyFill="1" applyBorder="1"/>
    <xf numFmtId="0" fontId="0" fillId="5" borderId="23" xfId="0" applyFill="1" applyBorder="1"/>
    <xf numFmtId="0" fontId="7" fillId="5" borderId="22" xfId="0" applyFont="1" applyFill="1" applyBorder="1"/>
    <xf numFmtId="0" fontId="1" fillId="8" borderId="22" xfId="0" applyFont="1" applyFill="1" applyBorder="1"/>
    <xf numFmtId="0" fontId="1" fillId="5" borderId="22" xfId="0" applyFont="1" applyFill="1" applyBorder="1"/>
    <xf numFmtId="0" fontId="1" fillId="9" borderId="22" xfId="0" applyFont="1" applyFill="1" applyBorder="1"/>
    <xf numFmtId="0" fontId="1" fillId="7" borderId="22" xfId="0" applyFont="1" applyFill="1" applyBorder="1"/>
    <xf numFmtId="0" fontId="0" fillId="5" borderId="22" xfId="0" applyFont="1" applyFill="1" applyBorder="1"/>
    <xf numFmtId="0" fontId="1" fillId="2" borderId="22" xfId="0" applyFont="1" applyFill="1" applyBorder="1"/>
    <xf numFmtId="0" fontId="7" fillId="0" borderId="22" xfId="0" applyFont="1" applyFill="1" applyBorder="1"/>
    <xf numFmtId="0" fontId="1" fillId="0" borderId="22" xfId="0" applyFont="1" applyFill="1" applyBorder="1"/>
    <xf numFmtId="0" fontId="1" fillId="6" borderId="22" xfId="0" applyFont="1" applyFill="1" applyBorder="1"/>
    <xf numFmtId="0" fontId="1" fillId="10" borderId="22" xfId="0" applyFont="1" applyFill="1" applyBorder="1"/>
    <xf numFmtId="0" fontId="1" fillId="2" borderId="24" xfId="0" applyFont="1" applyFill="1" applyBorder="1"/>
    <xf numFmtId="0" fontId="0" fillId="2" borderId="38" xfId="0" applyFill="1" applyBorder="1"/>
    <xf numFmtId="0" fontId="1" fillId="2" borderId="38" xfId="0" applyFont="1" applyFill="1" applyBorder="1"/>
    <xf numFmtId="164" fontId="0" fillId="5" borderId="38" xfId="1" applyNumberFormat="1" applyFont="1" applyFill="1" applyBorder="1"/>
    <xf numFmtId="0" fontId="0" fillId="2" borderId="25" xfId="0" applyFill="1" applyBorder="1"/>
    <xf numFmtId="0" fontId="0" fillId="11" borderId="44" xfId="0" applyFill="1" applyBorder="1"/>
    <xf numFmtId="0" fontId="0" fillId="0" borderId="45" xfId="0" applyFill="1" applyBorder="1"/>
    <xf numFmtId="0" fontId="0" fillId="0" borderId="13" xfId="0" applyFill="1" applyBorder="1"/>
    <xf numFmtId="0" fontId="0" fillId="5" borderId="46" xfId="0" applyFill="1" applyBorder="1"/>
    <xf numFmtId="0" fontId="0" fillId="5" borderId="47" xfId="0" applyFill="1" applyBorder="1"/>
    <xf numFmtId="0" fontId="0" fillId="5" borderId="48" xfId="0" applyFill="1" applyBorder="1"/>
    <xf numFmtId="0" fontId="1" fillId="4" borderId="40" xfId="0" applyFont="1" applyFill="1" applyBorder="1"/>
    <xf numFmtId="0" fontId="0" fillId="5" borderId="49" xfId="0" applyFill="1" applyBorder="1"/>
    <xf numFmtId="0" fontId="0" fillId="5" borderId="50" xfId="0" applyFill="1" applyBorder="1"/>
    <xf numFmtId="0" fontId="0" fillId="0" borderId="41" xfId="0" applyFill="1" applyBorder="1"/>
    <xf numFmtId="0" fontId="0" fillId="6" borderId="17" xfId="0" applyFill="1" applyBorder="1"/>
    <xf numFmtId="0" fontId="0" fillId="6" borderId="51" xfId="0" applyFill="1" applyBorder="1"/>
    <xf numFmtId="0" fontId="0" fillId="0" borderId="44" xfId="0" applyFill="1" applyBorder="1"/>
    <xf numFmtId="0" fontId="0" fillId="6" borderId="52" xfId="0" applyFill="1" applyBorder="1"/>
    <xf numFmtId="4" fontId="0" fillId="0" borderId="41" xfId="0" applyNumberFormat="1" applyFill="1" applyBorder="1"/>
    <xf numFmtId="4" fontId="0" fillId="0" borderId="38" xfId="0" applyNumberFormat="1" applyFill="1" applyBorder="1"/>
    <xf numFmtId="165" fontId="0" fillId="0" borderId="16" xfId="0" applyNumberFormat="1" applyFill="1" applyBorder="1"/>
    <xf numFmtId="164" fontId="0" fillId="0" borderId="16" xfId="1" applyNumberFormat="1" applyFont="1" applyFill="1" applyBorder="1"/>
    <xf numFmtId="164" fontId="0" fillId="0" borderId="38" xfId="0" applyNumberFormat="1" applyFill="1" applyBorder="1"/>
    <xf numFmtId="0" fontId="0" fillId="0" borderId="27" xfId="0" applyBorder="1"/>
    <xf numFmtId="0" fontId="0" fillId="0" borderId="30" xfId="0" applyBorder="1"/>
    <xf numFmtId="0" fontId="0" fillId="0" borderId="32" xfId="0" applyBorder="1"/>
    <xf numFmtId="0" fontId="0" fillId="11" borderId="12" xfId="0" applyFill="1" applyBorder="1"/>
    <xf numFmtId="0" fontId="1" fillId="0" borderId="31" xfId="0" applyFont="1" applyBorder="1"/>
    <xf numFmtId="0" fontId="1" fillId="0" borderId="34" xfId="0" applyFont="1" applyBorder="1"/>
    <xf numFmtId="164" fontId="0" fillId="0" borderId="16" xfId="1" applyNumberFormat="1" applyFont="1" applyBorder="1"/>
    <xf numFmtId="0" fontId="0" fillId="0" borderId="16" xfId="0" applyFont="1" applyFill="1" applyBorder="1"/>
    <xf numFmtId="0" fontId="1" fillId="0" borderId="0" xfId="0" applyFont="1" applyFill="1" applyBorder="1"/>
    <xf numFmtId="43" fontId="1" fillId="0" borderId="16" xfId="2" applyFont="1" applyFill="1" applyBorder="1"/>
    <xf numFmtId="165" fontId="0" fillId="0" borderId="0" xfId="0" applyNumberFormat="1" applyFill="1" applyBorder="1"/>
    <xf numFmtId="0" fontId="1" fillId="0" borderId="39" xfId="0" applyFont="1" applyFill="1" applyBorder="1"/>
    <xf numFmtId="14" fontId="0" fillId="3" borderId="12" xfId="0" applyNumberFormat="1" applyFill="1" applyBorder="1"/>
    <xf numFmtId="14" fontId="1" fillId="3" borderId="29" xfId="0" applyNumberFormat="1" applyFont="1" applyFill="1" applyBorder="1"/>
    <xf numFmtId="14" fontId="1" fillId="3" borderId="12" xfId="0" applyNumberFormat="1" applyFont="1" applyFill="1" applyBorder="1"/>
    <xf numFmtId="0" fontId="0" fillId="5" borderId="41" xfId="0" applyFill="1" applyBorder="1"/>
    <xf numFmtId="0" fontId="8" fillId="2" borderId="17" xfId="0" applyFont="1" applyFill="1" applyBorder="1"/>
    <xf numFmtId="0" fontId="0" fillId="0" borderId="30" xfId="0" applyFill="1" applyBorder="1"/>
    <xf numFmtId="10" fontId="0" fillId="0" borderId="16" xfId="1" applyNumberFormat="1" applyFont="1" applyBorder="1"/>
    <xf numFmtId="10" fontId="0" fillId="10" borderId="16" xfId="1" applyNumberFormat="1" applyFont="1" applyFill="1" applyBorder="1"/>
    <xf numFmtId="0" fontId="0" fillId="10" borderId="23" xfId="0" applyFill="1" applyBorder="1"/>
    <xf numFmtId="0" fontId="0" fillId="10" borderId="17" xfId="0" applyFill="1" applyBorder="1"/>
    <xf numFmtId="0" fontId="0" fillId="10" borderId="51" xfId="0" applyFill="1" applyBorder="1"/>
    <xf numFmtId="0" fontId="0" fillId="10" borderId="54" xfId="0" applyFill="1" applyBorder="1"/>
    <xf numFmtId="0" fontId="0" fillId="12" borderId="30" xfId="0" applyFill="1" applyBorder="1"/>
    <xf numFmtId="0" fontId="0" fillId="12" borderId="55" xfId="0" applyFill="1" applyBorder="1"/>
    <xf numFmtId="0" fontId="0" fillId="12" borderId="53" xfId="0" applyFill="1" applyBorder="1"/>
    <xf numFmtId="0" fontId="0" fillId="12" borderId="52" xfId="0" applyFill="1" applyBorder="1"/>
    <xf numFmtId="0" fontId="0" fillId="13" borderId="12" xfId="0" applyFill="1" applyBorder="1"/>
    <xf numFmtId="0" fontId="9" fillId="13" borderId="12" xfId="0" applyFont="1" applyFill="1" applyBorder="1"/>
    <xf numFmtId="14" fontId="9" fillId="13" borderId="12" xfId="0" applyNumberFormat="1" applyFont="1" applyFill="1" applyBorder="1"/>
    <xf numFmtId="14" fontId="0" fillId="13" borderId="12" xfId="0" applyNumberFormat="1" applyFill="1" applyBorder="1"/>
    <xf numFmtId="10" fontId="0" fillId="0" borderId="16" xfId="1" applyNumberFormat="1" applyFont="1" applyFill="1" applyBorder="1"/>
    <xf numFmtId="0" fontId="0" fillId="10" borderId="56" xfId="0" applyFill="1" applyBorder="1"/>
    <xf numFmtId="0" fontId="0" fillId="0" borderId="56" xfId="0" applyBorder="1"/>
    <xf numFmtId="10" fontId="0" fillId="12" borderId="28" xfId="1" applyNumberFormat="1" applyFont="1" applyFill="1" applyBorder="1"/>
    <xf numFmtId="0" fontId="0" fillId="13" borderId="44" xfId="0" applyFill="1" applyBorder="1"/>
    <xf numFmtId="0" fontId="9" fillId="13" borderId="44" xfId="0" applyFont="1" applyFill="1" applyBorder="1"/>
    <xf numFmtId="0" fontId="0" fillId="12" borderId="16" xfId="0" applyFill="1" applyBorder="1"/>
    <xf numFmtId="0" fontId="0" fillId="0" borderId="39" xfId="0" applyFill="1" applyBorder="1"/>
    <xf numFmtId="10" fontId="0" fillId="10" borderId="57" xfId="1" applyNumberFormat="1" applyFont="1" applyFill="1" applyBorder="1"/>
    <xf numFmtId="10" fontId="0" fillId="0" borderId="39" xfId="1" applyNumberFormat="1" applyFont="1" applyFill="1" applyBorder="1"/>
    <xf numFmtId="0" fontId="0" fillId="0" borderId="39" xfId="0" applyBorder="1"/>
    <xf numFmtId="0" fontId="0" fillId="0" borderId="58" xfId="0" applyBorder="1"/>
    <xf numFmtId="0" fontId="0" fillId="10" borderId="16" xfId="0" applyFont="1" applyFill="1" applyBorder="1"/>
    <xf numFmtId="164" fontId="0" fillId="10" borderId="16" xfId="1" applyNumberFormat="1" applyFont="1" applyFill="1" applyBorder="1"/>
    <xf numFmtId="14" fontId="0" fillId="0" borderId="16" xfId="0" applyNumberFormat="1" applyBorder="1"/>
    <xf numFmtId="0" fontId="0" fillId="0" borderId="0" xfId="0" applyFont="1" applyFill="1" applyBorder="1"/>
    <xf numFmtId="164" fontId="0" fillId="0" borderId="0" xfId="1" applyNumberFormat="1" applyFont="1" applyFill="1" applyBorder="1"/>
    <xf numFmtId="0" fontId="7" fillId="0" borderId="0" xfId="0" applyFont="1" applyFill="1" applyBorder="1"/>
    <xf numFmtId="0" fontId="0" fillId="2" borderId="0" xfId="0" applyFill="1"/>
    <xf numFmtId="0" fontId="0" fillId="2" borderId="12" xfId="0" applyFill="1" applyBorder="1"/>
    <xf numFmtId="0" fontId="0" fillId="2" borderId="17" xfId="0" applyFill="1" applyBorder="1"/>
    <xf numFmtId="0" fontId="0" fillId="0" borderId="22" xfId="0" applyBorder="1"/>
    <xf numFmtId="0" fontId="0" fillId="0" borderId="59" xfId="0" applyBorder="1"/>
    <xf numFmtId="14" fontId="0" fillId="0" borderId="41" xfId="0" applyNumberFormat="1" applyBorder="1"/>
    <xf numFmtId="0" fontId="0" fillId="10" borderId="24" xfId="0" applyFill="1" applyBorder="1"/>
    <xf numFmtId="0" fontId="0" fillId="10" borderId="38" xfId="0" applyFill="1" applyBorder="1"/>
    <xf numFmtId="0" fontId="0" fillId="14" borderId="41" xfId="0" applyFill="1" applyBorder="1"/>
    <xf numFmtId="0" fontId="0" fillId="14" borderId="38" xfId="0" applyFill="1" applyBorder="1"/>
    <xf numFmtId="14" fontId="0" fillId="0" borderId="41" xfId="0" applyNumberFormat="1" applyFill="1" applyBorder="1"/>
    <xf numFmtId="14" fontId="0" fillId="0" borderId="60" xfId="0" applyNumberFormat="1" applyBorder="1"/>
    <xf numFmtId="0" fontId="0" fillId="10" borderId="25" xfId="0" applyFill="1" applyBorder="1"/>
    <xf numFmtId="0" fontId="0" fillId="0" borderId="61" xfId="0" applyBorder="1"/>
    <xf numFmtId="0" fontId="0" fillId="10" borderId="62" xfId="0" applyFill="1" applyBorder="1"/>
    <xf numFmtId="0" fontId="0" fillId="12" borderId="41" xfId="0" applyFill="1" applyBorder="1"/>
    <xf numFmtId="14" fontId="0" fillId="0" borderId="63" xfId="0" applyNumberFormat="1" applyBorder="1"/>
    <xf numFmtId="14" fontId="0" fillId="0" borderId="64" xfId="0" applyNumberFormat="1" applyBorder="1"/>
    <xf numFmtId="0" fontId="0" fillId="0" borderId="47" xfId="0" applyBorder="1"/>
    <xf numFmtId="0" fontId="0" fillId="10" borderId="48" xfId="0" applyFill="1" applyBorder="1"/>
    <xf numFmtId="0" fontId="0" fillId="2" borderId="54" xfId="0" applyFill="1" applyBorder="1"/>
    <xf numFmtId="0" fontId="0" fillId="12" borderId="60" xfId="0" applyFill="1" applyBorder="1"/>
    <xf numFmtId="164" fontId="0" fillId="0" borderId="0" xfId="1" applyNumberFormat="1" applyFont="1" applyBorder="1"/>
    <xf numFmtId="0" fontId="0" fillId="0" borderId="45" xfId="0" applyBorder="1"/>
    <xf numFmtId="164" fontId="0" fillId="0" borderId="13" xfId="1" applyNumberFormat="1" applyFont="1" applyBorder="1"/>
    <xf numFmtId="0" fontId="0" fillId="7" borderId="44" xfId="0" applyFill="1" applyBorder="1"/>
    <xf numFmtId="0" fontId="0" fillId="2" borderId="0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6" fontId="0" fillId="0" borderId="0" xfId="1" applyNumberFormat="1" applyFont="1" applyBorder="1"/>
    <xf numFmtId="167" fontId="0" fillId="0" borderId="0" xfId="1" applyNumberFormat="1" applyFont="1" applyBorder="1"/>
    <xf numFmtId="10" fontId="0" fillId="0" borderId="0" xfId="0" applyNumberFormat="1" applyBorder="1"/>
    <xf numFmtId="167" fontId="0" fillId="0" borderId="0" xfId="0" applyNumberFormat="1" applyBorder="1"/>
    <xf numFmtId="166" fontId="0" fillId="0" borderId="0" xfId="0" applyNumberFormat="1" applyBorder="1"/>
    <xf numFmtId="166" fontId="0" fillId="2" borderId="0" xfId="1" applyNumberFormat="1" applyFont="1" applyFill="1"/>
    <xf numFmtId="0" fontId="0" fillId="2" borderId="27" xfId="0" applyFill="1" applyBorder="1"/>
    <xf numFmtId="14" fontId="0" fillId="0" borderId="28" xfId="0" applyNumberFormat="1" applyBorder="1"/>
    <xf numFmtId="3" fontId="0" fillId="0" borderId="0" xfId="0" applyNumberFormat="1" applyBorder="1"/>
    <xf numFmtId="0" fontId="0" fillId="10" borderId="34" xfId="0" applyFill="1" applyBorder="1"/>
    <xf numFmtId="0" fontId="7" fillId="0" borderId="22" xfId="0" applyFont="1" applyBorder="1"/>
    <xf numFmtId="14" fontId="0" fillId="0" borderId="29" xfId="0" applyNumberFormat="1" applyBorder="1"/>
    <xf numFmtId="0" fontId="4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66" fontId="0" fillId="0" borderId="0" xfId="1" applyNumberFormat="1" applyFont="1" applyFill="1" applyBorder="1"/>
    <xf numFmtId="166" fontId="0" fillId="0" borderId="31" xfId="1" applyNumberFormat="1" applyFont="1" applyFill="1" applyBorder="1"/>
    <xf numFmtId="0" fontId="0" fillId="0" borderId="32" xfId="0" applyFill="1" applyBorder="1"/>
    <xf numFmtId="167" fontId="0" fillId="0" borderId="33" xfId="0" applyNumberFormat="1" applyFill="1" applyBorder="1"/>
    <xf numFmtId="167" fontId="0" fillId="0" borderId="33" xfId="0" applyNumberFormat="1" applyBorder="1"/>
    <xf numFmtId="166" fontId="0" fillId="0" borderId="0" xfId="0" applyNumberFormat="1" applyFill="1" applyBorder="1"/>
    <xf numFmtId="9" fontId="0" fillId="0" borderId="0" xfId="1" applyFont="1" applyFill="1" applyBorder="1"/>
    <xf numFmtId="168" fontId="0" fillId="0" borderId="33" xfId="2" applyNumberFormat="1" applyFont="1" applyFill="1" applyBorder="1"/>
    <xf numFmtId="0" fontId="0" fillId="8" borderId="30" xfId="0" applyFont="1" applyFill="1" applyBorder="1"/>
    <xf numFmtId="0" fontId="0" fillId="8" borderId="0" xfId="0" applyFill="1" applyBorder="1"/>
    <xf numFmtId="0" fontId="0" fillId="8" borderId="27" xfId="0" applyFill="1" applyBorder="1"/>
    <xf numFmtId="0" fontId="0" fillId="8" borderId="30" xfId="0" applyFill="1" applyBorder="1"/>
    <xf numFmtId="0" fontId="0" fillId="8" borderId="32" xfId="0" applyFill="1" applyBorder="1"/>
    <xf numFmtId="169" fontId="0" fillId="7" borderId="0" xfId="1" applyNumberFormat="1" applyFont="1" applyFill="1" applyBorder="1"/>
    <xf numFmtId="0" fontId="0" fillId="7" borderId="0" xfId="0" applyFill="1" applyBorder="1"/>
    <xf numFmtId="166" fontId="0" fillId="7" borderId="0" xfId="1" applyNumberFormat="1" applyFont="1" applyFill="1" applyBorder="1"/>
    <xf numFmtId="0" fontId="0" fillId="15" borderId="30" xfId="0" applyFill="1" applyBorder="1"/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FFF99"/>
      <color rgb="FFFF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70</xdr:row>
      <xdr:rowOff>53340</xdr:rowOff>
    </xdr:from>
    <xdr:to>
      <xdr:col>17</xdr:col>
      <xdr:colOff>60960</xdr:colOff>
      <xdr:row>82</xdr:row>
      <xdr:rowOff>160020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3A74817B-5C1C-4147-B002-AC8EE7090FB2}"/>
            </a:ext>
          </a:extLst>
        </xdr:cNvPr>
        <xdr:cNvSpPr txBox="1"/>
      </xdr:nvSpPr>
      <xdr:spPr>
        <a:xfrm>
          <a:off x="8610600" y="12984480"/>
          <a:ext cx="4770120" cy="2316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100"/>
        </a:p>
        <a:p>
          <a:endParaRPr lang="it-IT" sz="1100"/>
        </a:p>
        <a:p>
          <a:r>
            <a:rPr lang="it-IT" sz="1100"/>
            <a:t>The “Result of minorities” was negative for the Group for 4 million euro and mainly included the portion attributable to minority interests of the LGH Group and the ACSM-AGAM Group. In the previous year, the item showed a negative balance for the Group for 10 million euro.</a:t>
          </a:r>
        </a:p>
        <a:p>
          <a:endParaRPr lang="it-IT" sz="1100"/>
        </a:p>
        <a:p>
          <a:r>
            <a:rPr lang="it-IT" sz="1100"/>
            <a:t>The “Group result of the year” was positive for 389 million euro (positive for 344 million euro at December 31, 2018).</a:t>
          </a:r>
        </a:p>
      </xdr:txBody>
    </xdr:sp>
    <xdr:clientData/>
  </xdr:twoCellAnchor>
  <xdr:twoCellAnchor>
    <xdr:from>
      <xdr:col>10</xdr:col>
      <xdr:colOff>15240</xdr:colOff>
      <xdr:row>84</xdr:row>
      <xdr:rowOff>160020</xdr:rowOff>
    </xdr:from>
    <xdr:to>
      <xdr:col>14</xdr:col>
      <xdr:colOff>297180</xdr:colOff>
      <xdr:row>93</xdr:row>
      <xdr:rowOff>53340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328B526-F1BD-4E36-BEC5-FC7520EC05EA}"/>
            </a:ext>
          </a:extLst>
        </xdr:cNvPr>
        <xdr:cNvSpPr txBox="1"/>
      </xdr:nvSpPr>
      <xdr:spPr>
        <a:xfrm>
          <a:off x="8656320" y="15674340"/>
          <a:ext cx="3131820" cy="1569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Payout</a:t>
          </a:r>
          <a:r>
            <a:rPr lang="it-IT" sz="1100" baseline="0"/>
            <a:t> computed over group result of the year and not only over parent's net income .</a:t>
          </a:r>
        </a:p>
        <a:p>
          <a:endParaRPr lang="it-IT" sz="1100" baseline="0"/>
        </a:p>
        <a:p>
          <a:r>
            <a:rPr lang="it-IT" sz="1100" baseline="0"/>
            <a:t>Dividend policy: </a:t>
          </a: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Strategic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plan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2020-2024 confirms a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sustainable growth dividend policy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(DPS at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8,0 cents in 2020, with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minimum growth of 5% per year in future years).</a:t>
          </a:r>
          <a:endParaRPr lang="it-I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it-IT" sz="1100" baseline="0"/>
        </a:p>
        <a:p>
          <a:endParaRPr lang="it-IT" sz="1100" baseline="0"/>
        </a:p>
        <a:p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586740</xdr:colOff>
      <xdr:row>30</xdr:row>
      <xdr:rowOff>0</xdr:rowOff>
    </xdr:from>
    <xdr:to>
      <xdr:col>20</xdr:col>
      <xdr:colOff>182880</xdr:colOff>
      <xdr:row>44</xdr:row>
      <xdr:rowOff>137160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4AF07CC-8DAA-4AD6-A310-B05568694C8D}"/>
            </a:ext>
          </a:extLst>
        </xdr:cNvPr>
        <xdr:cNvSpPr txBox="1"/>
      </xdr:nvSpPr>
      <xdr:spPr>
        <a:xfrm>
          <a:off x="8001000" y="5394960"/>
          <a:ext cx="5082540" cy="2697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TO DO:</a:t>
          </a:r>
          <a:r>
            <a:rPr lang="it-IT" sz="1100" baseline="0"/>
            <a:t> </a:t>
          </a:r>
        </a:p>
        <a:p>
          <a:endParaRPr lang="it-IT" sz="1100" baseline="0"/>
        </a:p>
        <a:p>
          <a:r>
            <a:rPr lang="it-IT" sz="1100" baseline="0"/>
            <a:t>1) REORGANIZE </a:t>
          </a:r>
        </a:p>
        <a:p>
          <a:endParaRPr lang="it-IT" sz="1100" baseline="0"/>
        </a:p>
        <a:p>
          <a:r>
            <a:rPr lang="it-IT" sz="1100" baseline="0"/>
            <a:t>2) HIGHLIGHT ADJUSTMENTS ACCORDING TO DAMODARAN </a:t>
          </a:r>
        </a:p>
        <a:p>
          <a:endParaRPr lang="it-IT" sz="1100" baseline="0"/>
        </a:p>
        <a:p>
          <a:r>
            <a:rPr lang="it-IT" sz="1100" baseline="0"/>
            <a:t>3) COMPUTE NET CAPEX AND CHANGES IN WC </a:t>
          </a:r>
        </a:p>
        <a:p>
          <a:endParaRPr lang="it-IT" sz="1100" baseline="0"/>
        </a:p>
        <a:p>
          <a:r>
            <a:rPr lang="it-IT" sz="1100" baseline="0"/>
            <a:t>4) TRY TO COMPUTE FCFE </a:t>
          </a:r>
        </a:p>
        <a:p>
          <a:endParaRPr lang="it-IT" sz="1100" baseline="0"/>
        </a:p>
        <a:p>
          <a:r>
            <a:rPr lang="it-IT" sz="1100" baseline="0"/>
            <a:t>5) TRY TO COMPUTE SOME RATIOS </a:t>
          </a:r>
        </a:p>
        <a:p>
          <a:endParaRPr lang="it-IT" sz="1100"/>
        </a:p>
      </xdr:txBody>
    </xdr:sp>
    <xdr:clientData/>
  </xdr:twoCellAnchor>
  <xdr:twoCellAnchor>
    <xdr:from>
      <xdr:col>12</xdr:col>
      <xdr:colOff>198120</xdr:colOff>
      <xdr:row>2</xdr:row>
      <xdr:rowOff>30480</xdr:rowOff>
    </xdr:from>
    <xdr:to>
      <xdr:col>21</xdr:col>
      <xdr:colOff>7620</xdr:colOff>
      <xdr:row>24</xdr:row>
      <xdr:rowOff>68580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A3F8B279-3EAF-4C3A-BCC1-6F1DE9E8F4D1}"/>
            </a:ext>
          </a:extLst>
        </xdr:cNvPr>
        <xdr:cNvSpPr txBox="1"/>
      </xdr:nvSpPr>
      <xdr:spPr>
        <a:xfrm>
          <a:off x="8221980" y="487680"/>
          <a:ext cx="5295900" cy="3878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What about R&amp;D? Operating leases?</a:t>
          </a:r>
        </a:p>
        <a:p>
          <a:endParaRPr lang="it-IT" sz="1100"/>
        </a:p>
        <a:p>
          <a:r>
            <a:rPr lang="it-IT" sz="11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106680</xdr:colOff>
      <xdr:row>3</xdr:row>
      <xdr:rowOff>83820</xdr:rowOff>
    </xdr:from>
    <xdr:to>
      <xdr:col>23</xdr:col>
      <xdr:colOff>190500</xdr:colOff>
      <xdr:row>7</xdr:row>
      <xdr:rowOff>68580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EC89BD5-7987-4DE3-9491-32278873407D}"/>
            </a:ext>
          </a:extLst>
        </xdr:cNvPr>
        <xdr:cNvSpPr txBox="1"/>
      </xdr:nvSpPr>
      <xdr:spPr>
        <a:xfrm>
          <a:off x="11894820" y="640080"/>
          <a:ext cx="130302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Add other current assets</a:t>
          </a:r>
          <a:r>
            <a:rPr lang="it-IT" sz="1100" baseline="0"/>
            <a:t> and other current liabilities </a:t>
          </a:r>
          <a:endParaRPr lang="it-IT" sz="1100"/>
        </a:p>
      </xdr:txBody>
    </xdr:sp>
    <xdr:clientData/>
  </xdr:twoCellAnchor>
  <xdr:oneCellAnchor>
    <xdr:from>
      <xdr:col>10</xdr:col>
      <xdr:colOff>22860</xdr:colOff>
      <xdr:row>24</xdr:row>
      <xdr:rowOff>106680</xdr:rowOff>
    </xdr:from>
    <xdr:ext cx="914400" cy="781240"/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F5BF0421-B2C8-4B84-AF66-01535742F738}"/>
            </a:ext>
          </a:extLst>
        </xdr:cNvPr>
        <xdr:cNvSpPr txBox="1"/>
      </xdr:nvSpPr>
      <xdr:spPr>
        <a:xfrm>
          <a:off x="8923020" y="4526280"/>
          <a:ext cx="91440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t-IT" sz="1100"/>
            <a:t>This is a proxy for operating cash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7D94-1688-46C5-820A-0D435FF36E90}">
  <dimension ref="A1:Q119"/>
  <sheetViews>
    <sheetView topLeftCell="A28" zoomScale="83" zoomScaleNormal="83" workbookViewId="0">
      <selection activeCell="C89" sqref="C89"/>
    </sheetView>
  </sheetViews>
  <sheetFormatPr defaultRowHeight="14.4" x14ac:dyDescent="0.3"/>
  <cols>
    <col min="1" max="1" width="36.77734375" customWidth="1"/>
    <col min="2" max="2" width="58.88671875" hidden="1" customWidth="1"/>
    <col min="3" max="3" width="11.44140625" customWidth="1"/>
    <col min="4" max="4" width="11.109375" customWidth="1"/>
    <col min="5" max="5" width="11.6640625" customWidth="1"/>
    <col min="6" max="7" width="10.6640625" bestFit="1" customWidth="1"/>
    <col min="8" max="8" width="11.6640625" customWidth="1"/>
    <col min="9" max="9" width="13.109375" customWidth="1"/>
    <col min="11" max="11" width="11.5546875" bestFit="1" customWidth="1"/>
    <col min="12" max="13" width="10.5546875" bestFit="1" customWidth="1"/>
  </cols>
  <sheetData>
    <row r="1" spans="1:10" ht="21.6" thickBot="1" x14ac:dyDescent="0.45">
      <c r="A1" s="245" t="s">
        <v>183</v>
      </c>
      <c r="B1" s="246"/>
      <c r="C1" s="246"/>
      <c r="D1" s="246"/>
      <c r="E1" s="246"/>
      <c r="F1" s="247"/>
    </row>
    <row r="2" spans="1:10" ht="15" thickBot="1" x14ac:dyDescent="0.35">
      <c r="G2" s="84" t="s">
        <v>177</v>
      </c>
      <c r="H2" s="39"/>
      <c r="I2" s="40"/>
      <c r="J2" s="2"/>
    </row>
    <row r="3" spans="1:10" ht="15" thickBot="1" x14ac:dyDescent="0.35">
      <c r="C3" s="41">
        <v>43830</v>
      </c>
      <c r="D3" s="46" t="s">
        <v>184</v>
      </c>
      <c r="E3" s="42">
        <v>43465</v>
      </c>
      <c r="F3" s="43"/>
      <c r="G3" s="82">
        <v>43100</v>
      </c>
      <c r="H3" s="83">
        <v>42735</v>
      </c>
      <c r="I3" s="83">
        <v>42369</v>
      </c>
    </row>
    <row r="4" spans="1:10" s="9" customFormat="1" x14ac:dyDescent="0.3">
      <c r="A4" s="111" t="s">
        <v>92</v>
      </c>
      <c r="B4" s="112" t="s">
        <v>0</v>
      </c>
      <c r="C4" s="105"/>
      <c r="D4" s="105"/>
      <c r="E4" s="105"/>
      <c r="F4" s="105"/>
      <c r="G4" s="105"/>
      <c r="H4" s="105"/>
      <c r="I4" s="113"/>
      <c r="J4"/>
    </row>
    <row r="5" spans="1:10" x14ac:dyDescent="0.3">
      <c r="A5" s="106" t="s">
        <v>178</v>
      </c>
      <c r="B5" s="37" t="s">
        <v>238</v>
      </c>
      <c r="C5" s="37">
        <v>6046</v>
      </c>
      <c r="D5" s="81">
        <f>(SUM(C5,-E5))/E5</f>
        <v>0.14768413059984814</v>
      </c>
      <c r="E5" s="37">
        <v>5268</v>
      </c>
      <c r="F5" s="37"/>
      <c r="G5" s="37">
        <v>4633</v>
      </c>
      <c r="H5" s="37">
        <v>3734</v>
      </c>
      <c r="I5" s="114">
        <v>3947</v>
      </c>
    </row>
    <row r="6" spans="1:10" x14ac:dyDescent="0.3">
      <c r="A6" s="106" t="s">
        <v>185</v>
      </c>
      <c r="B6" s="37" t="s">
        <v>239</v>
      </c>
      <c r="C6" s="37">
        <v>1076</v>
      </c>
      <c r="D6" s="81">
        <f t="shared" ref="D6:D69" si="0">(SUM(C6,-E6))/E6</f>
        <v>7.278165503489531E-2</v>
      </c>
      <c r="E6" s="37">
        <v>1003</v>
      </c>
      <c r="F6" s="37"/>
      <c r="G6" s="37">
        <v>957</v>
      </c>
      <c r="H6" s="37">
        <v>847</v>
      </c>
      <c r="I6" s="114">
        <v>785</v>
      </c>
    </row>
    <row r="7" spans="1:10" x14ac:dyDescent="0.3">
      <c r="A7" s="115" t="s">
        <v>186</v>
      </c>
      <c r="B7" s="37" t="s">
        <v>240</v>
      </c>
      <c r="C7" s="49">
        <f>SUM(C5:C6)</f>
        <v>7122</v>
      </c>
      <c r="D7" s="81">
        <f t="shared" si="0"/>
        <v>0.13570403444426726</v>
      </c>
      <c r="E7" s="49">
        <f t="shared" ref="E7:I7" si="1">SUM(E5:E6)</f>
        <v>6271</v>
      </c>
      <c r="F7" s="49"/>
      <c r="G7" s="49">
        <f t="shared" si="1"/>
        <v>5590</v>
      </c>
      <c r="H7" s="49">
        <f t="shared" si="1"/>
        <v>4581</v>
      </c>
      <c r="I7" s="49">
        <f t="shared" si="1"/>
        <v>4732</v>
      </c>
    </row>
    <row r="8" spans="1:10" x14ac:dyDescent="0.3">
      <c r="A8" s="106" t="s">
        <v>187</v>
      </c>
      <c r="B8" s="37" t="s">
        <v>1</v>
      </c>
      <c r="C8" s="37">
        <v>202</v>
      </c>
      <c r="D8" s="81">
        <f t="shared" si="0"/>
        <v>-9.417040358744394E-2</v>
      </c>
      <c r="E8" s="37">
        <v>223</v>
      </c>
      <c r="F8" s="37"/>
      <c r="G8" s="37">
        <v>206</v>
      </c>
      <c r="H8" s="37">
        <v>279</v>
      </c>
      <c r="I8" s="114">
        <v>189</v>
      </c>
    </row>
    <row r="9" spans="1:10" x14ac:dyDescent="0.3">
      <c r="A9" s="116" t="s">
        <v>93</v>
      </c>
      <c r="B9" s="70" t="s">
        <v>2</v>
      </c>
      <c r="C9" s="69">
        <f>SUM(C7:C8)</f>
        <v>7324</v>
      </c>
      <c r="D9" s="81">
        <f t="shared" si="0"/>
        <v>0.12781028641823222</v>
      </c>
      <c r="E9" s="69">
        <f>SUM(E7:E8)</f>
        <v>6494</v>
      </c>
      <c r="F9" s="69"/>
      <c r="G9" s="69">
        <f t="shared" ref="G9:I9" si="2">SUM(G7:G8)</f>
        <v>5796</v>
      </c>
      <c r="H9" s="69">
        <f t="shared" si="2"/>
        <v>4860</v>
      </c>
      <c r="I9" s="69">
        <f t="shared" si="2"/>
        <v>4921</v>
      </c>
    </row>
    <row r="10" spans="1:10" x14ac:dyDescent="0.3">
      <c r="A10" s="117"/>
      <c r="B10" s="37"/>
      <c r="C10" s="44"/>
      <c r="D10" s="81"/>
      <c r="E10" s="44"/>
      <c r="F10" s="37"/>
      <c r="G10" s="37"/>
      <c r="H10" s="37"/>
      <c r="I10" s="114"/>
    </row>
    <row r="11" spans="1:10" x14ac:dyDescent="0.3">
      <c r="A11" s="118" t="s">
        <v>188</v>
      </c>
      <c r="B11" s="72" t="s">
        <v>3</v>
      </c>
      <c r="C11" s="37"/>
      <c r="D11" s="81"/>
      <c r="E11" s="37"/>
      <c r="F11" s="37"/>
      <c r="G11" s="37"/>
      <c r="H11" s="37"/>
      <c r="I11" s="114"/>
    </row>
    <row r="12" spans="1:10" x14ac:dyDescent="0.3">
      <c r="A12" s="106" t="s">
        <v>189</v>
      </c>
      <c r="B12" s="37" t="s">
        <v>241</v>
      </c>
      <c r="C12" s="37">
        <v>4004</v>
      </c>
      <c r="D12" s="81">
        <f t="shared" si="0"/>
        <v>0.19665271966527198</v>
      </c>
      <c r="E12" s="37">
        <v>3346</v>
      </c>
      <c r="F12" s="37"/>
      <c r="G12" s="37">
        <v>2831</v>
      </c>
      <c r="H12" s="37">
        <v>2101</v>
      </c>
      <c r="I12" s="114">
        <v>2286</v>
      </c>
    </row>
    <row r="13" spans="1:10" x14ac:dyDescent="0.3">
      <c r="A13" s="106" t="s">
        <v>190</v>
      </c>
      <c r="B13" s="37" t="s">
        <v>242</v>
      </c>
      <c r="C13" s="37">
        <v>1152</v>
      </c>
      <c r="D13" s="81">
        <f t="shared" si="0"/>
        <v>0.16835699797160245</v>
      </c>
      <c r="E13" s="37">
        <v>986</v>
      </c>
      <c r="F13" s="37"/>
      <c r="G13" s="37">
        <v>850</v>
      </c>
      <c r="H13" s="37">
        <v>758</v>
      </c>
      <c r="I13" s="114">
        <v>706</v>
      </c>
    </row>
    <row r="14" spans="1:10" x14ac:dyDescent="0.3">
      <c r="A14" s="115" t="s">
        <v>191</v>
      </c>
      <c r="B14" s="37" t="s">
        <v>243</v>
      </c>
      <c r="C14" s="49">
        <f>SUM(C12:C13)</f>
        <v>5156</v>
      </c>
      <c r="D14" s="81">
        <f t="shared" si="0"/>
        <v>0.19021237303785779</v>
      </c>
      <c r="E14" s="49">
        <f t="shared" ref="E14:I14" si="3">SUM(E12:E13)</f>
        <v>4332</v>
      </c>
      <c r="F14" s="49"/>
      <c r="G14" s="49">
        <f t="shared" si="3"/>
        <v>3681</v>
      </c>
      <c r="H14" s="49">
        <f t="shared" si="3"/>
        <v>2859</v>
      </c>
      <c r="I14" s="49">
        <f t="shared" si="3"/>
        <v>2992</v>
      </c>
    </row>
    <row r="15" spans="1:10" x14ac:dyDescent="0.3">
      <c r="A15" s="106" t="s">
        <v>94</v>
      </c>
      <c r="B15" s="37" t="s">
        <v>4</v>
      </c>
      <c r="C15" s="37">
        <v>234</v>
      </c>
      <c r="D15" s="81">
        <f t="shared" si="0"/>
        <v>-0.12030075187969924</v>
      </c>
      <c r="E15" s="37">
        <v>266</v>
      </c>
      <c r="F15" s="37"/>
      <c r="G15" s="37">
        <v>281</v>
      </c>
      <c r="H15" s="37">
        <v>243</v>
      </c>
      <c r="I15" s="114">
        <v>252</v>
      </c>
    </row>
    <row r="16" spans="1:10" x14ac:dyDescent="0.3">
      <c r="A16" s="118" t="s">
        <v>95</v>
      </c>
      <c r="B16" s="72" t="s">
        <v>5</v>
      </c>
      <c r="C16" s="71">
        <f>SUM(C14:C15)</f>
        <v>5390</v>
      </c>
      <c r="D16" s="81">
        <f t="shared" si="0"/>
        <v>0.17224880382775121</v>
      </c>
      <c r="E16" s="71">
        <f t="shared" ref="E16:I16" si="4">SUM(E14:E15)</f>
        <v>4598</v>
      </c>
      <c r="F16" s="71"/>
      <c r="G16" s="71">
        <f t="shared" si="4"/>
        <v>3962</v>
      </c>
      <c r="H16" s="71">
        <f t="shared" si="4"/>
        <v>3102</v>
      </c>
      <c r="I16" s="71">
        <f t="shared" si="4"/>
        <v>3244</v>
      </c>
    </row>
    <row r="17" spans="1:14" x14ac:dyDescent="0.3">
      <c r="A17" s="119" t="s">
        <v>192</v>
      </c>
      <c r="B17" s="74" t="s">
        <v>6</v>
      </c>
      <c r="C17" s="37"/>
      <c r="D17" s="81"/>
      <c r="E17" s="37"/>
      <c r="F17" s="37"/>
      <c r="G17" s="37"/>
      <c r="H17" s="37"/>
      <c r="I17" s="114"/>
    </row>
    <row r="18" spans="1:14" x14ac:dyDescent="0.3">
      <c r="A18" s="120" t="s">
        <v>193</v>
      </c>
      <c r="B18" s="37" t="s">
        <v>244</v>
      </c>
      <c r="C18" s="37">
        <v>527</v>
      </c>
      <c r="D18" s="81">
        <f t="shared" si="0"/>
        <v>6.6801619433198386E-2</v>
      </c>
      <c r="E18" s="37">
        <v>494</v>
      </c>
      <c r="F18" s="37"/>
      <c r="G18" s="37">
        <v>471</v>
      </c>
      <c r="H18" s="37">
        <v>433</v>
      </c>
      <c r="I18" s="114">
        <v>441</v>
      </c>
    </row>
    <row r="19" spans="1:14" x14ac:dyDescent="0.3">
      <c r="A19" s="120" t="s">
        <v>194</v>
      </c>
      <c r="B19" s="37" t="s">
        <v>245</v>
      </c>
      <c r="C19" s="37">
        <v>179</v>
      </c>
      <c r="D19" s="81">
        <f t="shared" si="0"/>
        <v>3.4682080924855488E-2</v>
      </c>
      <c r="E19" s="37">
        <v>173</v>
      </c>
      <c r="F19" s="37"/>
      <c r="G19" s="37">
        <v>160</v>
      </c>
      <c r="H19" s="37">
        <v>146</v>
      </c>
      <c r="I19" s="114">
        <v>163</v>
      </c>
    </row>
    <row r="20" spans="1:14" x14ac:dyDescent="0.3">
      <c r="A20" s="120" t="s">
        <v>195</v>
      </c>
      <c r="B20" s="37" t="s">
        <v>195</v>
      </c>
      <c r="C20" s="37">
        <v>31</v>
      </c>
      <c r="D20" s="81">
        <f t="shared" si="0"/>
        <v>0</v>
      </c>
      <c r="E20" s="37">
        <v>31</v>
      </c>
      <c r="F20" s="37"/>
      <c r="G20" s="37">
        <v>29</v>
      </c>
      <c r="H20" s="37">
        <v>26</v>
      </c>
      <c r="I20" s="114">
        <v>25</v>
      </c>
    </row>
    <row r="21" spans="1:14" x14ac:dyDescent="0.3">
      <c r="A21" s="120" t="s">
        <v>196</v>
      </c>
      <c r="B21" s="37" t="s">
        <v>246</v>
      </c>
      <c r="C21" s="37">
        <v>42</v>
      </c>
      <c r="D21" s="81">
        <f t="shared" si="0"/>
        <v>0.27272727272727271</v>
      </c>
      <c r="E21" s="37">
        <v>33</v>
      </c>
      <c r="F21" s="37"/>
      <c r="G21" s="37">
        <v>27</v>
      </c>
      <c r="H21" s="37">
        <v>36</v>
      </c>
      <c r="I21" s="114">
        <v>27</v>
      </c>
    </row>
    <row r="22" spans="1:14" x14ac:dyDescent="0.3">
      <c r="A22" s="115" t="s">
        <v>197</v>
      </c>
      <c r="B22" s="37" t="s">
        <v>247</v>
      </c>
      <c r="C22" s="49">
        <f>SUM(C18:C21)</f>
        <v>779</v>
      </c>
      <c r="D22" s="81">
        <f t="shared" si="0"/>
        <v>6.5663474692202461E-2</v>
      </c>
      <c r="E22" s="49">
        <f t="shared" ref="E22:I22" si="5">SUM(E18:E21)</f>
        <v>731</v>
      </c>
      <c r="F22" s="49"/>
      <c r="G22" s="49">
        <f t="shared" si="5"/>
        <v>687</v>
      </c>
      <c r="H22" s="49">
        <f t="shared" si="5"/>
        <v>641</v>
      </c>
      <c r="I22" s="49">
        <f t="shared" si="5"/>
        <v>656</v>
      </c>
    </row>
    <row r="23" spans="1:14" x14ac:dyDescent="0.3">
      <c r="A23" s="120" t="s">
        <v>198</v>
      </c>
      <c r="B23" s="37" t="s">
        <v>248</v>
      </c>
      <c r="C23" s="37">
        <v>-79</v>
      </c>
      <c r="D23" s="81">
        <f t="shared" si="0"/>
        <v>0.19696969696969696</v>
      </c>
      <c r="E23" s="37">
        <v>-66</v>
      </c>
      <c r="F23" s="37"/>
      <c r="G23" s="37">
        <v>-52</v>
      </c>
      <c r="H23" s="37">
        <v>-45</v>
      </c>
      <c r="I23" s="114">
        <v>-27</v>
      </c>
    </row>
    <row r="24" spans="1:14" x14ac:dyDescent="0.3">
      <c r="A24" s="119" t="s">
        <v>199</v>
      </c>
      <c r="B24" s="74" t="s">
        <v>247</v>
      </c>
      <c r="C24" s="74">
        <f>SUM(C22:C23)</f>
        <v>700</v>
      </c>
      <c r="D24" s="81">
        <f t="shared" si="0"/>
        <v>5.2631578947368418E-2</v>
      </c>
      <c r="E24" s="74">
        <f t="shared" ref="E24:I24" si="6">SUM(E22:E23)</f>
        <v>665</v>
      </c>
      <c r="F24" s="74"/>
      <c r="G24" s="74">
        <f t="shared" si="6"/>
        <v>635</v>
      </c>
      <c r="H24" s="74">
        <f t="shared" si="6"/>
        <v>596</v>
      </c>
      <c r="I24" s="74">
        <f t="shared" si="6"/>
        <v>629</v>
      </c>
    </row>
    <row r="25" spans="1:14" x14ac:dyDescent="0.3">
      <c r="A25" s="117"/>
      <c r="B25" s="37"/>
      <c r="C25" s="37"/>
      <c r="D25" s="81"/>
      <c r="E25" s="37"/>
      <c r="F25" s="37"/>
      <c r="G25" s="37"/>
      <c r="H25" s="37"/>
      <c r="I25" s="114"/>
    </row>
    <row r="26" spans="1:14" x14ac:dyDescent="0.3">
      <c r="A26" s="121" t="s">
        <v>179</v>
      </c>
      <c r="B26" s="36" t="s">
        <v>7</v>
      </c>
      <c r="C26" s="75">
        <f>SUM(C9,-C16,-C24)</f>
        <v>1234</v>
      </c>
      <c r="D26" s="81">
        <f t="shared" si="0"/>
        <v>2.437043054427295E-3</v>
      </c>
      <c r="E26" s="75">
        <f t="shared" ref="E26:I26" si="7">SUM(E9,-E16,-E24)</f>
        <v>1231</v>
      </c>
      <c r="F26" s="75"/>
      <c r="G26" s="75">
        <f t="shared" si="7"/>
        <v>1199</v>
      </c>
      <c r="H26" s="75">
        <f t="shared" si="7"/>
        <v>1162</v>
      </c>
      <c r="I26" s="75">
        <f t="shared" si="7"/>
        <v>1048</v>
      </c>
      <c r="J26" s="48" t="s">
        <v>200</v>
      </c>
      <c r="K26" s="48"/>
      <c r="L26" s="48"/>
      <c r="M26" s="48"/>
      <c r="N26" s="48"/>
    </row>
    <row r="27" spans="1:14" x14ac:dyDescent="0.3">
      <c r="A27" s="117"/>
      <c r="B27" s="37"/>
      <c r="C27" s="44"/>
      <c r="D27" s="81"/>
      <c r="E27" s="44"/>
      <c r="F27" s="37"/>
      <c r="G27" s="37"/>
      <c r="H27" s="37"/>
      <c r="I27" s="114"/>
    </row>
    <row r="28" spans="1:14" x14ac:dyDescent="0.3">
      <c r="A28" s="118" t="s">
        <v>96</v>
      </c>
      <c r="B28" s="72" t="s">
        <v>8</v>
      </c>
      <c r="C28" s="71"/>
      <c r="D28" s="81"/>
      <c r="E28" s="44"/>
      <c r="F28" s="37"/>
      <c r="G28" s="37"/>
      <c r="H28" s="37"/>
      <c r="I28" s="114"/>
    </row>
    <row r="29" spans="1:14" x14ac:dyDescent="0.3">
      <c r="A29" s="120" t="s">
        <v>201</v>
      </c>
      <c r="B29" s="37" t="s">
        <v>249</v>
      </c>
      <c r="C29" s="47">
        <v>123</v>
      </c>
      <c r="D29" s="81">
        <f t="shared" si="0"/>
        <v>0.35164835164835168</v>
      </c>
      <c r="E29" s="47">
        <v>91</v>
      </c>
      <c r="F29" s="37"/>
      <c r="G29" s="37">
        <v>72</v>
      </c>
      <c r="H29" s="37">
        <v>55</v>
      </c>
      <c r="I29" s="114">
        <v>54</v>
      </c>
    </row>
    <row r="30" spans="1:14" x14ac:dyDescent="0.3">
      <c r="A30" s="120" t="s">
        <v>202</v>
      </c>
      <c r="B30" s="37" t="s">
        <v>250</v>
      </c>
      <c r="C30" s="47">
        <v>379</v>
      </c>
      <c r="D30" s="81">
        <f t="shared" si="0"/>
        <v>1.8817204301075269E-2</v>
      </c>
      <c r="E30" s="47">
        <v>372</v>
      </c>
      <c r="F30" s="37"/>
      <c r="G30" s="37">
        <v>338</v>
      </c>
      <c r="H30" s="37">
        <v>348</v>
      </c>
      <c r="I30" s="114">
        <v>341</v>
      </c>
    </row>
    <row r="31" spans="1:14" x14ac:dyDescent="0.3">
      <c r="A31" s="120" t="s">
        <v>203</v>
      </c>
      <c r="B31" s="37" t="s">
        <v>251</v>
      </c>
      <c r="C31" s="47">
        <v>9</v>
      </c>
      <c r="D31" s="81">
        <f t="shared" si="0"/>
        <v>-0.94374999999999998</v>
      </c>
      <c r="E31" s="47">
        <v>160</v>
      </c>
      <c r="F31" s="37"/>
      <c r="G31" s="37">
        <v>34</v>
      </c>
      <c r="H31" s="37">
        <v>245</v>
      </c>
      <c r="I31" s="114">
        <v>359</v>
      </c>
    </row>
    <row r="32" spans="1:14" x14ac:dyDescent="0.3">
      <c r="A32" s="122" t="s">
        <v>204</v>
      </c>
      <c r="B32" s="35" t="s">
        <v>255</v>
      </c>
      <c r="C32" s="80">
        <f>SUM(C29:C31)</f>
        <v>511</v>
      </c>
      <c r="D32" s="81">
        <f t="shared" si="0"/>
        <v>-0.1797752808988764</v>
      </c>
      <c r="E32" s="80">
        <f t="shared" ref="E32:I32" si="8">SUM(E29:E31)</f>
        <v>623</v>
      </c>
      <c r="F32" s="80"/>
      <c r="G32" s="80">
        <f t="shared" si="8"/>
        <v>444</v>
      </c>
      <c r="H32" s="80">
        <f t="shared" si="8"/>
        <v>648</v>
      </c>
      <c r="I32" s="80">
        <f t="shared" si="8"/>
        <v>754</v>
      </c>
    </row>
    <row r="33" spans="1:9" x14ac:dyDescent="0.3">
      <c r="A33" s="120" t="s">
        <v>205</v>
      </c>
      <c r="B33" s="37" t="s">
        <v>253</v>
      </c>
      <c r="C33" s="47">
        <v>21</v>
      </c>
      <c r="D33" s="81">
        <f t="shared" si="0"/>
        <v>-5.2</v>
      </c>
      <c r="E33" s="47">
        <v>-5</v>
      </c>
      <c r="F33" s="37"/>
      <c r="G33" s="37">
        <v>10</v>
      </c>
      <c r="H33" s="37">
        <v>50</v>
      </c>
      <c r="I33" s="114">
        <v>57</v>
      </c>
    </row>
    <row r="34" spans="1:9" x14ac:dyDescent="0.3">
      <c r="A34" s="120" t="s">
        <v>206</v>
      </c>
      <c r="B34" s="37" t="s">
        <v>254</v>
      </c>
      <c r="C34" s="47">
        <v>15</v>
      </c>
      <c r="D34" s="81">
        <f t="shared" si="0"/>
        <v>-0.4</v>
      </c>
      <c r="E34" s="47">
        <v>25</v>
      </c>
      <c r="F34" s="37"/>
      <c r="G34" s="37">
        <v>35</v>
      </c>
      <c r="H34" s="37">
        <v>21</v>
      </c>
      <c r="I34" s="114">
        <v>22</v>
      </c>
    </row>
    <row r="35" spans="1:9" x14ac:dyDescent="0.3">
      <c r="A35" s="118" t="s">
        <v>207</v>
      </c>
      <c r="B35" s="72" t="s">
        <v>252</v>
      </c>
      <c r="C35" s="71">
        <f>SUM(C32:C34)</f>
        <v>547</v>
      </c>
      <c r="D35" s="81">
        <f t="shared" si="0"/>
        <v>-0.14930015552099535</v>
      </c>
      <c r="E35" s="71">
        <f t="shared" ref="E35:I35" si="9">SUM(E32:E34)</f>
        <v>643</v>
      </c>
      <c r="F35" s="71"/>
      <c r="G35" s="71">
        <f t="shared" si="9"/>
        <v>489</v>
      </c>
      <c r="H35" s="71">
        <f t="shared" si="9"/>
        <v>719</v>
      </c>
      <c r="I35" s="71">
        <f t="shared" si="9"/>
        <v>833</v>
      </c>
    </row>
    <row r="36" spans="1:9" x14ac:dyDescent="0.3">
      <c r="A36" s="117"/>
      <c r="B36" s="37"/>
      <c r="C36" s="44"/>
      <c r="D36" s="81"/>
      <c r="E36" s="44"/>
      <c r="F36" s="37"/>
      <c r="G36" s="37"/>
      <c r="H36" s="37"/>
      <c r="I36" s="114"/>
    </row>
    <row r="37" spans="1:9" x14ac:dyDescent="0.3">
      <c r="A37" s="121" t="s">
        <v>180</v>
      </c>
      <c r="B37" s="36" t="s">
        <v>9</v>
      </c>
      <c r="C37" s="75">
        <f>SUM(C26,-C35)</f>
        <v>687</v>
      </c>
      <c r="D37" s="81">
        <f t="shared" si="0"/>
        <v>0.1683673469387755</v>
      </c>
      <c r="E37" s="75">
        <f t="shared" ref="E37:I37" si="10">SUM(E26,-E35)</f>
        <v>588</v>
      </c>
      <c r="F37" s="75"/>
      <c r="G37" s="75">
        <f t="shared" si="10"/>
        <v>710</v>
      </c>
      <c r="H37" s="75">
        <f t="shared" si="10"/>
        <v>443</v>
      </c>
      <c r="I37" s="75">
        <f t="shared" si="10"/>
        <v>215</v>
      </c>
    </row>
    <row r="38" spans="1:9" x14ac:dyDescent="0.3">
      <c r="A38" s="123"/>
      <c r="B38" s="35"/>
      <c r="C38" s="38"/>
      <c r="D38" s="81"/>
      <c r="E38" s="38"/>
      <c r="F38" s="35"/>
      <c r="G38" s="35"/>
      <c r="H38" s="35"/>
      <c r="I38" s="65"/>
    </row>
    <row r="39" spans="1:9" x14ac:dyDescent="0.3">
      <c r="A39" s="117" t="s">
        <v>181</v>
      </c>
      <c r="B39" s="37" t="s">
        <v>10</v>
      </c>
      <c r="C39" s="44">
        <v>4</v>
      </c>
      <c r="D39" s="81">
        <f t="shared" si="0"/>
        <v>-0.7142857142857143</v>
      </c>
      <c r="E39" s="44">
        <v>14</v>
      </c>
      <c r="F39" s="37"/>
      <c r="G39" s="37">
        <v>0</v>
      </c>
      <c r="H39" s="37">
        <v>52</v>
      </c>
      <c r="I39" s="114">
        <v>1</v>
      </c>
    </row>
    <row r="40" spans="1:9" x14ac:dyDescent="0.3">
      <c r="A40" s="117"/>
      <c r="B40" s="37"/>
      <c r="C40" s="44"/>
      <c r="D40" s="81"/>
      <c r="E40" s="44"/>
      <c r="F40" s="37"/>
      <c r="G40" s="37"/>
      <c r="H40" s="37"/>
      <c r="I40" s="114"/>
    </row>
    <row r="41" spans="1:9" x14ac:dyDescent="0.3">
      <c r="A41" s="124" t="s">
        <v>97</v>
      </c>
      <c r="B41" s="77" t="s">
        <v>11</v>
      </c>
      <c r="C41" s="37"/>
      <c r="D41" s="81"/>
      <c r="E41" s="37"/>
      <c r="F41" s="37"/>
      <c r="G41" s="37"/>
      <c r="H41" s="37"/>
      <c r="I41" s="114"/>
    </row>
    <row r="42" spans="1:9" x14ac:dyDescent="0.3">
      <c r="A42" s="106" t="s">
        <v>211</v>
      </c>
      <c r="B42" s="37" t="s">
        <v>12</v>
      </c>
      <c r="C42" s="37"/>
      <c r="D42" s="81"/>
      <c r="E42" s="37"/>
      <c r="F42" s="37"/>
      <c r="G42" s="37"/>
      <c r="H42" s="37"/>
      <c r="I42" s="114"/>
    </row>
    <row r="43" spans="1:9" x14ac:dyDescent="0.3">
      <c r="A43" s="106" t="s">
        <v>208</v>
      </c>
      <c r="B43" s="37"/>
      <c r="C43" s="37">
        <v>4</v>
      </c>
      <c r="D43" s="81"/>
      <c r="E43" s="37">
        <v>0</v>
      </c>
      <c r="F43" s="37"/>
      <c r="G43" s="37"/>
      <c r="H43" s="37"/>
      <c r="I43" s="114"/>
    </row>
    <row r="44" spans="1:9" x14ac:dyDescent="0.3">
      <c r="A44" s="106" t="s">
        <v>209</v>
      </c>
      <c r="B44" s="37"/>
      <c r="C44" s="37">
        <v>12</v>
      </c>
      <c r="D44" s="81">
        <f t="shared" si="0"/>
        <v>-0.25</v>
      </c>
      <c r="E44" s="37">
        <v>16</v>
      </c>
      <c r="F44" s="37"/>
      <c r="G44" s="37"/>
      <c r="H44" s="37"/>
      <c r="I44" s="114"/>
    </row>
    <row r="45" spans="1:9" x14ac:dyDescent="0.3">
      <c r="A45" s="115" t="s">
        <v>210</v>
      </c>
      <c r="B45" s="37"/>
      <c r="C45" s="37">
        <f>SUM(C43:C44)</f>
        <v>16</v>
      </c>
      <c r="D45" s="81">
        <f t="shared" si="0"/>
        <v>0</v>
      </c>
      <c r="E45" s="37">
        <f t="shared" ref="E45" si="11">SUM(E43:E44)</f>
        <v>16</v>
      </c>
      <c r="F45" s="37"/>
      <c r="G45" s="37">
        <v>19</v>
      </c>
      <c r="H45" s="37">
        <v>34</v>
      </c>
      <c r="I45" s="114">
        <v>28</v>
      </c>
    </row>
    <row r="46" spans="1:9" x14ac:dyDescent="0.3">
      <c r="A46" s="106" t="s">
        <v>217</v>
      </c>
      <c r="B46" s="37" t="s">
        <v>13</v>
      </c>
      <c r="C46" s="37"/>
      <c r="D46" s="81"/>
      <c r="E46" s="37"/>
      <c r="F46" s="37"/>
      <c r="G46" s="37"/>
      <c r="H46" s="37"/>
      <c r="I46" s="114"/>
    </row>
    <row r="47" spans="1:9" x14ac:dyDescent="0.3">
      <c r="A47" s="106" t="s">
        <v>212</v>
      </c>
      <c r="B47" s="37" t="s">
        <v>256</v>
      </c>
      <c r="C47" s="37">
        <v>94</v>
      </c>
      <c r="D47" s="81">
        <f t="shared" si="0"/>
        <v>-7.8431372549019607E-2</v>
      </c>
      <c r="E47" s="37">
        <v>102</v>
      </c>
      <c r="F47" s="37"/>
      <c r="G47" s="37">
        <v>104</v>
      </c>
      <c r="H47" s="37">
        <v>125</v>
      </c>
      <c r="I47" s="114">
        <v>125</v>
      </c>
    </row>
    <row r="48" spans="1:9" x14ac:dyDescent="0.3">
      <c r="A48" s="106" t="s">
        <v>213</v>
      </c>
      <c r="B48" s="37" t="s">
        <v>257</v>
      </c>
      <c r="C48" s="37">
        <v>4</v>
      </c>
      <c r="D48" s="81">
        <f t="shared" si="0"/>
        <v>-0.33333333333333331</v>
      </c>
      <c r="E48" s="37">
        <v>6</v>
      </c>
      <c r="F48" s="37"/>
      <c r="G48" s="37">
        <v>9</v>
      </c>
      <c r="H48" s="37">
        <v>9</v>
      </c>
      <c r="I48" s="114">
        <v>15</v>
      </c>
    </row>
    <row r="49" spans="1:17" x14ac:dyDescent="0.3">
      <c r="A49" s="106" t="s">
        <v>214</v>
      </c>
      <c r="B49" s="37" t="s">
        <v>258</v>
      </c>
      <c r="C49" s="37">
        <v>7</v>
      </c>
      <c r="D49" s="81">
        <f t="shared" si="0"/>
        <v>-0.125</v>
      </c>
      <c r="E49" s="37">
        <v>8</v>
      </c>
      <c r="F49" s="37"/>
      <c r="G49" s="37">
        <v>8</v>
      </c>
      <c r="H49" s="37">
        <v>6</v>
      </c>
      <c r="I49" s="114">
        <v>5</v>
      </c>
    </row>
    <row r="50" spans="1:17" x14ac:dyDescent="0.3">
      <c r="A50" s="106" t="s">
        <v>215</v>
      </c>
      <c r="B50" s="37" t="s">
        <v>259</v>
      </c>
      <c r="C50" s="37">
        <v>1</v>
      </c>
      <c r="D50" s="81">
        <f t="shared" si="0"/>
        <v>-0.5</v>
      </c>
      <c r="E50" s="37">
        <v>2</v>
      </c>
      <c r="F50" s="37"/>
      <c r="G50" s="37">
        <v>2</v>
      </c>
      <c r="H50" s="37">
        <v>1</v>
      </c>
      <c r="I50" s="114">
        <v>0</v>
      </c>
    </row>
    <row r="51" spans="1:17" x14ac:dyDescent="0.3">
      <c r="A51" s="106" t="s">
        <v>216</v>
      </c>
      <c r="B51" s="37" t="s">
        <v>260</v>
      </c>
      <c r="C51" s="37">
        <v>24</v>
      </c>
      <c r="D51" s="81">
        <f t="shared" si="0"/>
        <v>0.7142857142857143</v>
      </c>
      <c r="E51" s="37">
        <v>14</v>
      </c>
      <c r="F51" s="37"/>
      <c r="G51" s="37">
        <v>35</v>
      </c>
      <c r="H51" s="37">
        <v>51</v>
      </c>
      <c r="I51" s="114">
        <v>17</v>
      </c>
    </row>
    <row r="52" spans="1:17" x14ac:dyDescent="0.3">
      <c r="A52" s="115" t="s">
        <v>218</v>
      </c>
      <c r="B52" s="37" t="s">
        <v>261</v>
      </c>
      <c r="C52" s="37">
        <f>SUM(C47:C51)</f>
        <v>130</v>
      </c>
      <c r="D52" s="81">
        <f t="shared" si="0"/>
        <v>-1.5151515151515152E-2</v>
      </c>
      <c r="E52" s="37">
        <f t="shared" ref="E52:H52" si="12">SUM(E47:E51)</f>
        <v>132</v>
      </c>
      <c r="F52" s="37"/>
      <c r="G52" s="37">
        <f t="shared" si="12"/>
        <v>158</v>
      </c>
      <c r="H52" s="37">
        <f t="shared" si="12"/>
        <v>192</v>
      </c>
      <c r="I52" s="114">
        <v>162</v>
      </c>
    </row>
    <row r="53" spans="1:17" x14ac:dyDescent="0.3">
      <c r="A53" s="106" t="s">
        <v>219</v>
      </c>
      <c r="B53" s="37" t="s">
        <v>262</v>
      </c>
      <c r="C53" s="37">
        <v>0</v>
      </c>
      <c r="D53" s="81"/>
      <c r="E53" s="37">
        <v>0</v>
      </c>
      <c r="F53" s="37"/>
      <c r="G53" s="37">
        <v>0</v>
      </c>
      <c r="H53" s="37">
        <v>0</v>
      </c>
      <c r="I53" s="114">
        <v>0</v>
      </c>
    </row>
    <row r="54" spans="1:17" x14ac:dyDescent="0.3">
      <c r="A54" s="115" t="s">
        <v>220</v>
      </c>
      <c r="B54" s="37" t="s">
        <v>263</v>
      </c>
      <c r="C54" s="37">
        <f>SUM(C52:C53)</f>
        <v>130</v>
      </c>
      <c r="D54" s="81">
        <f t="shared" si="0"/>
        <v>-1.5151515151515152E-2</v>
      </c>
      <c r="E54" s="37">
        <f t="shared" ref="E54:I54" si="13">SUM(E52:E53)</f>
        <v>132</v>
      </c>
      <c r="F54" s="37"/>
      <c r="G54" s="37">
        <f t="shared" si="13"/>
        <v>158</v>
      </c>
      <c r="H54" s="37">
        <f t="shared" si="13"/>
        <v>192</v>
      </c>
      <c r="I54" s="37">
        <f t="shared" si="13"/>
        <v>162</v>
      </c>
    </row>
    <row r="55" spans="1:17" ht="13.8" customHeight="1" x14ac:dyDescent="0.3">
      <c r="A55" s="115" t="s">
        <v>98</v>
      </c>
      <c r="B55" s="45" t="s">
        <v>162</v>
      </c>
      <c r="C55" s="37">
        <v>4</v>
      </c>
      <c r="D55" s="81">
        <f t="shared" si="0"/>
        <v>0</v>
      </c>
      <c r="E55" s="37">
        <v>4</v>
      </c>
      <c r="F55" s="37"/>
      <c r="G55" s="37">
        <v>5</v>
      </c>
      <c r="H55" s="37">
        <v>-3</v>
      </c>
      <c r="I55" s="114">
        <v>-4</v>
      </c>
    </row>
    <row r="56" spans="1:17" x14ac:dyDescent="0.3">
      <c r="A56" s="106" t="s">
        <v>99</v>
      </c>
      <c r="B56" s="37" t="s">
        <v>18</v>
      </c>
      <c r="C56" s="37">
        <v>0</v>
      </c>
      <c r="D56" s="81"/>
      <c r="E56" s="37">
        <v>0</v>
      </c>
      <c r="F56" s="37"/>
      <c r="G56" s="37">
        <v>0</v>
      </c>
      <c r="H56" s="37">
        <v>0</v>
      </c>
      <c r="I56" s="114"/>
    </row>
    <row r="57" spans="1:17" x14ac:dyDescent="0.3">
      <c r="A57" s="124" t="s">
        <v>100</v>
      </c>
      <c r="B57" s="77" t="s">
        <v>14</v>
      </c>
      <c r="C57" s="76">
        <f>SUM(C45,-C54,C55)</f>
        <v>-110</v>
      </c>
      <c r="D57" s="81">
        <f t="shared" si="0"/>
        <v>-1.7857142857142856E-2</v>
      </c>
      <c r="E57" s="76">
        <f t="shared" ref="E57:I57" si="14">SUM(E45,-E54,E55)</f>
        <v>-112</v>
      </c>
      <c r="F57" s="76"/>
      <c r="G57" s="76">
        <f t="shared" si="14"/>
        <v>-134</v>
      </c>
      <c r="H57" s="76">
        <f t="shared" si="14"/>
        <v>-161</v>
      </c>
      <c r="I57" s="76">
        <f t="shared" si="14"/>
        <v>-138</v>
      </c>
    </row>
    <row r="58" spans="1:17" ht="15" thickBot="1" x14ac:dyDescent="0.35">
      <c r="A58" s="117"/>
      <c r="B58" s="37"/>
      <c r="C58" s="44"/>
      <c r="D58" s="81"/>
      <c r="E58" s="44"/>
      <c r="F58" s="37"/>
      <c r="G58" s="37"/>
      <c r="H58" s="37"/>
      <c r="I58" s="114"/>
    </row>
    <row r="59" spans="1:17" ht="15" thickBot="1" x14ac:dyDescent="0.35">
      <c r="A59" s="121" t="s">
        <v>182</v>
      </c>
      <c r="B59" s="36" t="s">
        <v>15</v>
      </c>
      <c r="C59" s="75">
        <f>SUM(C37,C39,C57)</f>
        <v>581</v>
      </c>
      <c r="D59" s="81">
        <f t="shared" si="0"/>
        <v>0.18571428571428572</v>
      </c>
      <c r="E59" s="75">
        <f t="shared" ref="E59:I59" si="15">SUM(E37,E39,E57)</f>
        <v>490</v>
      </c>
      <c r="F59" s="75"/>
      <c r="G59" s="75">
        <f t="shared" si="15"/>
        <v>576</v>
      </c>
      <c r="H59" s="75">
        <f t="shared" si="15"/>
        <v>334</v>
      </c>
      <c r="I59" s="75">
        <f t="shared" si="15"/>
        <v>78</v>
      </c>
      <c r="K59" s="50" t="s">
        <v>227</v>
      </c>
      <c r="L59" s="51"/>
      <c r="M59" s="51"/>
      <c r="N59" s="54"/>
      <c r="O59" s="54"/>
      <c r="P59" s="54"/>
      <c r="Q59" s="55"/>
    </row>
    <row r="60" spans="1:17" ht="15" thickBot="1" x14ac:dyDescent="0.35">
      <c r="A60" s="123"/>
      <c r="B60" s="35"/>
      <c r="C60" s="38"/>
      <c r="D60" s="81"/>
      <c r="E60" s="38"/>
      <c r="F60" s="35"/>
      <c r="G60" s="35"/>
      <c r="H60" s="35"/>
      <c r="I60" s="65"/>
      <c r="K60" s="50"/>
      <c r="L60" s="51"/>
      <c r="M60" s="51"/>
      <c r="N60" s="51"/>
      <c r="O60" s="51"/>
      <c r="P60" s="51"/>
      <c r="Q60" s="52"/>
    </row>
    <row r="61" spans="1:17" x14ac:dyDescent="0.3">
      <c r="A61" s="119" t="s">
        <v>101</v>
      </c>
      <c r="B61" s="85" t="s">
        <v>16</v>
      </c>
      <c r="C61" s="44"/>
      <c r="D61" s="81"/>
      <c r="E61" s="44"/>
      <c r="F61" s="37"/>
      <c r="G61" s="37"/>
      <c r="H61" s="37"/>
      <c r="I61" s="114"/>
      <c r="K61" s="61"/>
      <c r="L61" s="62">
        <v>43830</v>
      </c>
      <c r="M61" s="63">
        <v>43465</v>
      </c>
      <c r="N61" s="56"/>
      <c r="O61" s="56"/>
      <c r="P61" s="56"/>
      <c r="Q61" s="57"/>
    </row>
    <row r="62" spans="1:17" x14ac:dyDescent="0.3">
      <c r="A62" s="120" t="s">
        <v>221</v>
      </c>
      <c r="B62" s="37" t="s">
        <v>264</v>
      </c>
      <c r="C62" s="47">
        <v>147</v>
      </c>
      <c r="D62" s="81">
        <f t="shared" si="0"/>
        <v>6.8493150684931503E-3</v>
      </c>
      <c r="E62" s="47">
        <v>146</v>
      </c>
      <c r="F62" s="37"/>
      <c r="G62" s="37">
        <v>107</v>
      </c>
      <c r="H62" s="37">
        <v>138</v>
      </c>
      <c r="I62" s="114">
        <v>105</v>
      </c>
      <c r="K62" s="64" t="s">
        <v>228</v>
      </c>
      <c r="L62" s="35">
        <v>581</v>
      </c>
      <c r="M62" s="65">
        <v>490</v>
      </c>
      <c r="N62" s="2"/>
      <c r="O62" s="2"/>
      <c r="P62" s="2"/>
      <c r="Q62" s="58"/>
    </row>
    <row r="63" spans="1:17" x14ac:dyDescent="0.3">
      <c r="A63" s="120" t="s">
        <v>222</v>
      </c>
      <c r="B63" s="37" t="s">
        <v>265</v>
      </c>
      <c r="C63" s="47">
        <v>30</v>
      </c>
      <c r="D63" s="81">
        <f t="shared" si="0"/>
        <v>0</v>
      </c>
      <c r="E63" s="47">
        <v>30</v>
      </c>
      <c r="F63" s="37"/>
      <c r="G63" s="37">
        <v>26</v>
      </c>
      <c r="H63" s="37">
        <v>25</v>
      </c>
      <c r="I63" s="114">
        <v>23</v>
      </c>
      <c r="K63" s="64" t="s">
        <v>229</v>
      </c>
      <c r="L63" s="35">
        <v>9</v>
      </c>
      <c r="M63" s="65">
        <v>160</v>
      </c>
      <c r="N63" s="2"/>
      <c r="O63" s="2"/>
      <c r="P63" s="2"/>
      <c r="Q63" s="58"/>
    </row>
    <row r="64" spans="1:17" x14ac:dyDescent="0.3">
      <c r="A64" s="120" t="s">
        <v>223</v>
      </c>
      <c r="B64" s="37" t="s">
        <v>266</v>
      </c>
      <c r="C64" s="47">
        <v>5</v>
      </c>
      <c r="D64" s="81">
        <f t="shared" si="0"/>
        <v>1.5</v>
      </c>
      <c r="E64" s="47">
        <v>2</v>
      </c>
      <c r="F64" s="37"/>
      <c r="G64" s="37">
        <v>-1</v>
      </c>
      <c r="H64" s="37">
        <v>4</v>
      </c>
      <c r="I64" s="114">
        <v>-17</v>
      </c>
      <c r="K64" s="64" t="s">
        <v>230</v>
      </c>
      <c r="L64" s="35">
        <v>590</v>
      </c>
      <c r="M64" s="65">
        <v>650</v>
      </c>
      <c r="N64" s="2"/>
      <c r="O64" s="2"/>
      <c r="P64" s="2"/>
      <c r="Q64" s="58"/>
    </row>
    <row r="65" spans="1:17" x14ac:dyDescent="0.3">
      <c r="A65" s="115" t="s">
        <v>226</v>
      </c>
      <c r="B65" s="37" t="s">
        <v>267</v>
      </c>
      <c r="C65" s="49">
        <f>SUM(C62:C64)</f>
        <v>182</v>
      </c>
      <c r="D65" s="81">
        <f t="shared" si="0"/>
        <v>2.247191011235955E-2</v>
      </c>
      <c r="E65" s="49">
        <f t="shared" ref="E65:I65" si="16">SUM(E62:E64)</f>
        <v>178</v>
      </c>
      <c r="F65" s="49"/>
      <c r="G65" s="49">
        <f t="shared" si="16"/>
        <v>132</v>
      </c>
      <c r="H65" s="49">
        <f t="shared" si="16"/>
        <v>167</v>
      </c>
      <c r="I65" s="49">
        <f t="shared" si="16"/>
        <v>111</v>
      </c>
      <c r="K65" s="64" t="s">
        <v>231</v>
      </c>
      <c r="L65" s="35">
        <v>142</v>
      </c>
      <c r="M65" s="65">
        <v>156</v>
      </c>
      <c r="N65" s="2"/>
      <c r="O65" s="2"/>
      <c r="P65" s="2"/>
      <c r="Q65" s="58"/>
    </row>
    <row r="66" spans="1:17" x14ac:dyDescent="0.3">
      <c r="A66" s="120" t="s">
        <v>90</v>
      </c>
      <c r="B66" s="37" t="s">
        <v>268</v>
      </c>
      <c r="C66" s="47">
        <v>71</v>
      </c>
      <c r="D66" s="81">
        <f t="shared" si="0"/>
        <v>1.1515151515151516</v>
      </c>
      <c r="E66" s="47">
        <v>33</v>
      </c>
      <c r="F66" s="37"/>
      <c r="G66" s="37">
        <v>88</v>
      </c>
      <c r="H66" s="37">
        <v>44</v>
      </c>
      <c r="I66" s="114">
        <v>142</v>
      </c>
      <c r="K66" s="64" t="s">
        <v>232</v>
      </c>
      <c r="L66" s="35">
        <v>-2</v>
      </c>
      <c r="M66" s="65">
        <v>-38</v>
      </c>
      <c r="N66" s="2"/>
      <c r="O66" s="2"/>
      <c r="P66" s="2"/>
      <c r="Q66" s="58"/>
    </row>
    <row r="67" spans="1:17" x14ac:dyDescent="0.3">
      <c r="A67" s="120" t="s">
        <v>224</v>
      </c>
      <c r="B67" s="37" t="s">
        <v>269</v>
      </c>
      <c r="C67" s="47">
        <v>-64</v>
      </c>
      <c r="D67" s="81">
        <f t="shared" si="0"/>
        <v>0.18518518518518517</v>
      </c>
      <c r="E67" s="47">
        <v>-54</v>
      </c>
      <c r="F67" s="37"/>
      <c r="G67" s="37">
        <v>-28</v>
      </c>
      <c r="H67" s="37">
        <v>-89</v>
      </c>
      <c r="I67" s="114">
        <v>-120</v>
      </c>
      <c r="K67" s="64" t="s">
        <v>233</v>
      </c>
      <c r="L67" s="35">
        <v>19</v>
      </c>
      <c r="M67" s="65">
        <v>9</v>
      </c>
      <c r="N67" s="2"/>
      <c r="O67" s="2"/>
      <c r="P67" s="2"/>
      <c r="Q67" s="58"/>
    </row>
    <row r="68" spans="1:17" x14ac:dyDescent="0.3">
      <c r="A68" s="119" t="s">
        <v>225</v>
      </c>
      <c r="B68" s="74" t="s">
        <v>270</v>
      </c>
      <c r="C68" s="73">
        <f>SUM(C65:C67)</f>
        <v>189</v>
      </c>
      <c r="D68" s="81">
        <f t="shared" si="0"/>
        <v>0.20382165605095542</v>
      </c>
      <c r="E68" s="73">
        <f t="shared" ref="E68:I68" si="17">SUM(E65:E67)</f>
        <v>157</v>
      </c>
      <c r="F68" s="73"/>
      <c r="G68" s="73">
        <f t="shared" si="17"/>
        <v>192</v>
      </c>
      <c r="H68" s="73">
        <f t="shared" si="17"/>
        <v>122</v>
      </c>
      <c r="I68" s="73">
        <f t="shared" si="17"/>
        <v>133</v>
      </c>
      <c r="K68" s="64" t="s">
        <v>236</v>
      </c>
      <c r="L68" s="35">
        <v>159</v>
      </c>
      <c r="M68" s="65">
        <v>127</v>
      </c>
      <c r="N68" s="2"/>
      <c r="O68" s="2"/>
      <c r="P68" s="2"/>
      <c r="Q68" s="58"/>
    </row>
    <row r="69" spans="1:17" x14ac:dyDescent="0.3">
      <c r="A69" s="121" t="s">
        <v>102</v>
      </c>
      <c r="B69" s="36" t="s">
        <v>17</v>
      </c>
      <c r="C69" s="75">
        <f>SUM(C59,-C68)</f>
        <v>392</v>
      </c>
      <c r="D69" s="81">
        <f t="shared" si="0"/>
        <v>0.17717717717717718</v>
      </c>
      <c r="E69" s="75">
        <f t="shared" ref="E69:I69" si="18">SUM(E59,-E68)</f>
        <v>333</v>
      </c>
      <c r="F69" s="75">
        <f t="shared" si="18"/>
        <v>0</v>
      </c>
      <c r="G69" s="75">
        <f t="shared" si="18"/>
        <v>384</v>
      </c>
      <c r="H69" s="75">
        <f t="shared" si="18"/>
        <v>212</v>
      </c>
      <c r="I69" s="75">
        <f t="shared" si="18"/>
        <v>-55</v>
      </c>
      <c r="K69" s="64" t="s">
        <v>235</v>
      </c>
      <c r="L69" s="35">
        <v>30</v>
      </c>
      <c r="M69" s="65">
        <v>30</v>
      </c>
      <c r="N69" s="2"/>
      <c r="O69" s="2"/>
      <c r="P69" s="2"/>
      <c r="Q69" s="58"/>
    </row>
    <row r="70" spans="1:17" ht="15" thickBot="1" x14ac:dyDescent="0.35">
      <c r="A70" s="117" t="s">
        <v>103</v>
      </c>
      <c r="B70" s="37" t="s">
        <v>19</v>
      </c>
      <c r="C70" s="44">
        <v>1</v>
      </c>
      <c r="D70" s="81">
        <f t="shared" ref="D70:D75" si="19">(SUM(C70,-E70))/E70</f>
        <v>-0.95238095238095233</v>
      </c>
      <c r="E70" s="44">
        <v>21</v>
      </c>
      <c r="F70" s="37"/>
      <c r="G70" s="37">
        <v>-85</v>
      </c>
      <c r="H70" s="37">
        <v>19</v>
      </c>
      <c r="I70" s="114">
        <v>0</v>
      </c>
      <c r="K70" s="66" t="s">
        <v>234</v>
      </c>
      <c r="L70" s="67">
        <v>189</v>
      </c>
      <c r="M70" s="68">
        <v>157</v>
      </c>
      <c r="N70" s="59"/>
      <c r="O70" s="59"/>
      <c r="P70" s="59"/>
      <c r="Q70" s="60"/>
    </row>
    <row r="71" spans="1:17" x14ac:dyDescent="0.3">
      <c r="A71" s="117"/>
      <c r="B71" s="37"/>
      <c r="C71" s="44"/>
      <c r="D71" s="81"/>
      <c r="E71" s="44"/>
      <c r="F71" s="37"/>
      <c r="G71" s="37"/>
      <c r="H71" s="37"/>
      <c r="I71" s="114"/>
      <c r="K71" s="2"/>
      <c r="L71" s="2"/>
      <c r="M71" s="2"/>
      <c r="N71" s="2"/>
      <c r="O71" s="2"/>
      <c r="P71" s="2"/>
      <c r="Q71" s="2"/>
    </row>
    <row r="72" spans="1:17" x14ac:dyDescent="0.3">
      <c r="A72" s="125" t="s">
        <v>104</v>
      </c>
      <c r="B72" s="79" t="s">
        <v>20</v>
      </c>
      <c r="C72" s="78">
        <f>SUM(C69:C70)</f>
        <v>393</v>
      </c>
      <c r="D72" s="81">
        <f t="shared" si="19"/>
        <v>0.11016949152542373</v>
      </c>
      <c r="E72" s="78">
        <f t="shared" ref="E72:I72" si="20">SUM(E69:E70)</f>
        <v>354</v>
      </c>
      <c r="F72" s="78">
        <f t="shared" si="20"/>
        <v>0</v>
      </c>
      <c r="G72" s="78">
        <f t="shared" si="20"/>
        <v>299</v>
      </c>
      <c r="H72" s="78">
        <f t="shared" si="20"/>
        <v>231</v>
      </c>
      <c r="I72" s="78">
        <f t="shared" si="20"/>
        <v>-55</v>
      </c>
    </row>
    <row r="73" spans="1:17" x14ac:dyDescent="0.3">
      <c r="A73" s="117" t="s">
        <v>105</v>
      </c>
      <c r="B73" s="37" t="s">
        <v>21</v>
      </c>
      <c r="C73" s="44">
        <v>-4</v>
      </c>
      <c r="D73" s="81"/>
      <c r="E73" s="44">
        <v>-10</v>
      </c>
      <c r="F73" s="37"/>
      <c r="G73" s="37">
        <v>-6</v>
      </c>
      <c r="H73" s="37">
        <v>1</v>
      </c>
      <c r="I73" s="114">
        <v>130</v>
      </c>
    </row>
    <row r="74" spans="1:17" x14ac:dyDescent="0.3">
      <c r="A74" s="117"/>
      <c r="B74" s="37"/>
      <c r="C74" s="44"/>
      <c r="D74" s="81"/>
      <c r="E74" s="44"/>
      <c r="F74" s="37"/>
      <c r="G74" s="37"/>
      <c r="H74" s="37"/>
      <c r="I74" s="114"/>
    </row>
    <row r="75" spans="1:17" ht="15" thickBot="1" x14ac:dyDescent="0.35">
      <c r="A75" s="126" t="s">
        <v>106</v>
      </c>
      <c r="B75" s="127" t="s">
        <v>22</v>
      </c>
      <c r="C75" s="128">
        <f>SUM(C72:C73)</f>
        <v>389</v>
      </c>
      <c r="D75" s="129">
        <f t="shared" si="19"/>
        <v>0.1308139534883721</v>
      </c>
      <c r="E75" s="128">
        <f t="shared" ref="E75" si="21">SUM(E72:E73)</f>
        <v>344</v>
      </c>
      <c r="F75" s="127"/>
      <c r="G75" s="127">
        <v>293</v>
      </c>
      <c r="H75" s="127">
        <v>232</v>
      </c>
      <c r="I75" s="130">
        <v>73</v>
      </c>
    </row>
    <row r="76" spans="1:17" ht="15" thickBot="1" x14ac:dyDescent="0.35">
      <c r="A76" s="108"/>
      <c r="B76" s="109"/>
      <c r="C76" s="108"/>
      <c r="D76" s="108"/>
      <c r="E76" s="108"/>
      <c r="F76" s="110"/>
      <c r="G76" s="2"/>
      <c r="H76" s="2"/>
      <c r="I76" s="2"/>
    </row>
    <row r="77" spans="1:17" x14ac:dyDescent="0.3">
      <c r="A77" s="137" t="s">
        <v>107</v>
      </c>
      <c r="B77" s="134" t="s">
        <v>23</v>
      </c>
      <c r="C77" s="105"/>
      <c r="D77" s="105"/>
      <c r="E77" s="105"/>
      <c r="F77" s="105"/>
      <c r="G77" s="105"/>
      <c r="H77" s="105"/>
      <c r="I77" s="101"/>
    </row>
    <row r="78" spans="1:17" x14ac:dyDescent="0.3">
      <c r="A78" s="138" t="s">
        <v>108</v>
      </c>
      <c r="B78" s="135" t="s">
        <v>24</v>
      </c>
      <c r="C78" s="37">
        <v>0.1249</v>
      </c>
      <c r="D78" s="37"/>
      <c r="E78" s="37">
        <v>0.1106</v>
      </c>
      <c r="F78" s="37"/>
      <c r="G78" s="37">
        <v>9.4399999999999998E-2</v>
      </c>
      <c r="H78" s="37">
        <v>7.4499999999999997E-2</v>
      </c>
      <c r="I78" s="102"/>
    </row>
    <row r="79" spans="1:17" x14ac:dyDescent="0.3">
      <c r="A79" s="138" t="s">
        <v>109</v>
      </c>
      <c r="B79" s="135" t="s">
        <v>25</v>
      </c>
      <c r="C79" s="37">
        <v>0.12470000000000001</v>
      </c>
      <c r="D79" s="37"/>
      <c r="E79" s="37">
        <v>0.104</v>
      </c>
      <c r="F79" s="37"/>
      <c r="G79" s="37">
        <v>0.1215</v>
      </c>
      <c r="H79" s="37">
        <v>6.8400000000000002E-2</v>
      </c>
      <c r="I79" s="102"/>
    </row>
    <row r="80" spans="1:17" x14ac:dyDescent="0.3">
      <c r="A80" s="138" t="s">
        <v>110</v>
      </c>
      <c r="B80" s="135" t="s">
        <v>26</v>
      </c>
      <c r="C80" s="37">
        <v>2.0000000000000001E-4</v>
      </c>
      <c r="D80" s="37"/>
      <c r="E80" s="37">
        <v>6.6E-3</v>
      </c>
      <c r="F80" s="37"/>
      <c r="G80" s="37">
        <v>-2.7099999999999999E-2</v>
      </c>
      <c r="H80" s="37">
        <v>6.1999999999999998E-3</v>
      </c>
      <c r="I80" s="102"/>
    </row>
    <row r="81" spans="1:9" x14ac:dyDescent="0.3">
      <c r="A81" s="138" t="s">
        <v>111</v>
      </c>
      <c r="B81" s="135" t="s">
        <v>27</v>
      </c>
      <c r="C81" s="37">
        <v>0.1249</v>
      </c>
      <c r="D81" s="37"/>
      <c r="E81" s="37">
        <v>0.1106</v>
      </c>
      <c r="F81" s="37"/>
      <c r="G81" s="37">
        <v>9.4399999999999998E-2</v>
      </c>
      <c r="H81" s="37">
        <v>7.4499999999999997E-2</v>
      </c>
      <c r="I81" s="102"/>
    </row>
    <row r="82" spans="1:9" x14ac:dyDescent="0.3">
      <c r="A82" s="138" t="s">
        <v>112</v>
      </c>
      <c r="B82" s="135" t="s">
        <v>28</v>
      </c>
      <c r="C82" s="37">
        <v>0.12470000000000001</v>
      </c>
      <c r="D82" s="37"/>
      <c r="E82" s="37">
        <v>0.104</v>
      </c>
      <c r="F82" s="37"/>
      <c r="G82" s="37">
        <v>0.1215</v>
      </c>
      <c r="H82" s="37">
        <v>6.8400000000000002E-2</v>
      </c>
      <c r="I82" s="102"/>
    </row>
    <row r="83" spans="1:9" ht="15" thickBot="1" x14ac:dyDescent="0.35">
      <c r="A83" s="139" t="s">
        <v>113</v>
      </c>
      <c r="B83" s="136" t="s">
        <v>29</v>
      </c>
      <c r="C83" s="107">
        <v>2E-3</v>
      </c>
      <c r="D83" s="107"/>
      <c r="E83" s="107">
        <v>6.6E-3</v>
      </c>
      <c r="F83" s="107"/>
      <c r="G83" s="107">
        <v>-2.7099999999999999E-2</v>
      </c>
      <c r="H83" s="107">
        <v>6.1999999999999998E-3</v>
      </c>
      <c r="I83" s="104"/>
    </row>
    <row r="85" spans="1:9" ht="15" thickBot="1" x14ac:dyDescent="0.35">
      <c r="A85" s="6"/>
      <c r="B85" s="6"/>
      <c r="C85" s="6"/>
      <c r="D85" s="6"/>
      <c r="E85" s="6"/>
    </row>
    <row r="86" spans="1:9" x14ac:dyDescent="0.3">
      <c r="A86" s="131" t="s">
        <v>277</v>
      </c>
      <c r="B86" s="56"/>
      <c r="C86" s="62" t="s">
        <v>281</v>
      </c>
      <c r="D86" s="56"/>
      <c r="E86" s="99" t="s">
        <v>285</v>
      </c>
      <c r="F86" s="93"/>
      <c r="G86" s="100" t="s">
        <v>282</v>
      </c>
      <c r="H86" s="100" t="s">
        <v>283</v>
      </c>
      <c r="I86" s="101" t="s">
        <v>286</v>
      </c>
    </row>
    <row r="87" spans="1:9" x14ac:dyDescent="0.3">
      <c r="A87" s="132" t="s">
        <v>278</v>
      </c>
      <c r="B87" s="2"/>
      <c r="C87" s="35">
        <v>7.7499999999999999E-2</v>
      </c>
      <c r="D87" s="53"/>
      <c r="E87" s="35">
        <v>7.0000000000000007E-2</v>
      </c>
      <c r="F87" s="6"/>
      <c r="G87" s="98">
        <v>5.7799999999999997E-2</v>
      </c>
      <c r="H87" s="98">
        <v>4.9200000000000001E-2</v>
      </c>
      <c r="I87" s="102">
        <v>4.1000000000000002E-2</v>
      </c>
    </row>
    <row r="88" spans="1:9" x14ac:dyDescent="0.3">
      <c r="A88" s="132" t="s">
        <v>279</v>
      </c>
      <c r="B88" s="2"/>
      <c r="C88" s="147">
        <f>PRODUCT(C87,C94)</f>
        <v>240.96174884000001</v>
      </c>
      <c r="D88" s="147"/>
      <c r="E88" s="147">
        <f t="shared" ref="E88:I88" si="22">PRODUCT(E87,E94)</f>
        <v>217.64286992000004</v>
      </c>
      <c r="F88" s="147"/>
      <c r="G88" s="147">
        <f t="shared" si="22"/>
        <v>179.71082687679998</v>
      </c>
      <c r="H88" s="147">
        <f t="shared" si="22"/>
        <v>152.9718457152</v>
      </c>
      <c r="I88" s="147">
        <f t="shared" si="22"/>
        <v>127.346</v>
      </c>
    </row>
    <row r="89" spans="1:9" x14ac:dyDescent="0.3">
      <c r="A89" s="132" t="s">
        <v>284</v>
      </c>
      <c r="B89" s="2"/>
      <c r="C89" s="148">
        <f>(C88/C75)</f>
        <v>0.61943894303341906</v>
      </c>
      <c r="D89" s="148"/>
      <c r="E89" s="148">
        <f t="shared" ref="E89:I89" si="23">(E88/E75)</f>
        <v>0.63268276139534896</v>
      </c>
      <c r="F89" s="148"/>
      <c r="G89" s="148">
        <f t="shared" si="23"/>
        <v>0.61334753200273029</v>
      </c>
      <c r="H89" s="148">
        <f t="shared" si="23"/>
        <v>0.65936140394482756</v>
      </c>
      <c r="I89" s="148">
        <f t="shared" si="23"/>
        <v>1.7444657534246575</v>
      </c>
    </row>
    <row r="90" spans="1:9" ht="15" thickBot="1" x14ac:dyDescent="0.35">
      <c r="A90" s="133" t="s">
        <v>280</v>
      </c>
      <c r="B90" s="59"/>
      <c r="C90" s="149">
        <f>SUM(1,-C89)</f>
        <v>0.38056105696658094</v>
      </c>
      <c r="D90" s="149"/>
      <c r="E90" s="149">
        <f t="shared" ref="E90:I90" si="24">SUM(1,-E89)</f>
        <v>0.36731723860465104</v>
      </c>
      <c r="F90" s="149"/>
      <c r="G90" s="149">
        <f t="shared" si="24"/>
        <v>0.38665246799726971</v>
      </c>
      <c r="H90" s="149">
        <f t="shared" si="24"/>
        <v>0.34063859605517244</v>
      </c>
      <c r="I90" s="149">
        <f t="shared" si="24"/>
        <v>-0.74446575342465748</v>
      </c>
    </row>
    <row r="91" spans="1:9" x14ac:dyDescent="0.3">
      <c r="A91" s="6"/>
      <c r="B91" s="6"/>
      <c r="C91" s="6"/>
      <c r="D91" s="6"/>
      <c r="E91" s="6"/>
      <c r="F91" s="6"/>
      <c r="G91" s="6"/>
      <c r="H91" s="6"/>
      <c r="I91" s="6"/>
    </row>
    <row r="92" spans="1:9" ht="15" thickBot="1" x14ac:dyDescent="0.35">
      <c r="A92" s="6"/>
      <c r="B92" s="6"/>
      <c r="C92" s="6"/>
      <c r="D92" s="6"/>
      <c r="E92" s="6"/>
      <c r="F92" s="6"/>
      <c r="G92" s="6"/>
      <c r="H92" s="6"/>
      <c r="I92" s="6"/>
    </row>
    <row r="93" spans="1:9" ht="15" thickBot="1" x14ac:dyDescent="0.35">
      <c r="A93" s="141" t="s">
        <v>237</v>
      </c>
      <c r="B93" s="39"/>
      <c r="C93" s="142"/>
      <c r="D93" s="39"/>
      <c r="E93" s="144"/>
      <c r="F93" s="93"/>
      <c r="G93" s="100"/>
      <c r="H93" s="100"/>
      <c r="I93" s="101"/>
    </row>
    <row r="94" spans="1:9" ht="15" thickBot="1" x14ac:dyDescent="0.35">
      <c r="A94" s="143" t="s">
        <v>108</v>
      </c>
      <c r="B94" s="2"/>
      <c r="C94" s="145">
        <v>3109.1838560000001</v>
      </c>
      <c r="D94" s="2"/>
      <c r="E94" s="146">
        <v>3109.1838560000001</v>
      </c>
      <c r="F94" s="6"/>
      <c r="G94" s="146">
        <v>3109.1838560000001</v>
      </c>
      <c r="H94" s="146">
        <v>3109.1838560000001</v>
      </c>
      <c r="I94" s="102">
        <v>3106</v>
      </c>
    </row>
    <row r="95" spans="1:9" ht="15" thickBot="1" x14ac:dyDescent="0.35">
      <c r="A95" s="133" t="s">
        <v>111</v>
      </c>
      <c r="B95" s="59"/>
      <c r="C95" s="146">
        <v>3109.1838560000001</v>
      </c>
      <c r="D95" s="59"/>
      <c r="E95" s="145">
        <v>3109.1838560000001</v>
      </c>
      <c r="F95" s="96"/>
      <c r="G95" s="103"/>
      <c r="H95" s="103"/>
      <c r="I95" s="104"/>
    </row>
    <row r="96" spans="1:9" x14ac:dyDescent="0.3">
      <c r="A96" s="2"/>
      <c r="B96" s="2"/>
      <c r="C96" s="2"/>
      <c r="D96" s="2"/>
      <c r="E96" s="2"/>
      <c r="F96" s="6"/>
      <c r="G96" s="6"/>
      <c r="H96" s="6"/>
      <c r="I96" s="6"/>
    </row>
    <row r="97" spans="1:9" x14ac:dyDescent="0.3">
      <c r="A97" s="2"/>
      <c r="B97" s="2"/>
      <c r="C97" s="2"/>
      <c r="D97" s="2"/>
      <c r="E97" s="2"/>
      <c r="F97" s="6"/>
      <c r="G97" s="6"/>
      <c r="H97" s="6"/>
      <c r="I97" s="6"/>
    </row>
    <row r="104" spans="1:9" ht="15" thickBot="1" x14ac:dyDescent="0.35"/>
    <row r="105" spans="1:9" ht="19.2" thickTop="1" thickBot="1" x14ac:dyDescent="0.4">
      <c r="A105" s="242" t="s">
        <v>173</v>
      </c>
      <c r="B105" s="243"/>
      <c r="C105" s="243"/>
      <c r="D105" s="243"/>
      <c r="E105" s="243"/>
      <c r="F105" s="243"/>
      <c r="G105" s="244"/>
    </row>
    <row r="106" spans="1:9" ht="15.6" thickTop="1" thickBot="1" x14ac:dyDescent="0.35"/>
    <row r="107" spans="1:9" ht="19.2" thickTop="1" thickBot="1" x14ac:dyDescent="0.4">
      <c r="A107" s="15"/>
      <c r="B107" s="16"/>
      <c r="C107" s="1">
        <v>43830</v>
      </c>
      <c r="D107" s="1"/>
      <c r="E107" s="1">
        <v>43465</v>
      </c>
      <c r="F107" s="1">
        <v>43100</v>
      </c>
      <c r="G107" s="1">
        <v>42735</v>
      </c>
    </row>
    <row r="108" spans="1:9" ht="15.6" thickTop="1" thickBot="1" x14ac:dyDescent="0.35">
      <c r="A108" s="18" t="s">
        <v>114</v>
      </c>
      <c r="B108" s="25" t="s">
        <v>30</v>
      </c>
      <c r="C108" s="3">
        <v>393</v>
      </c>
      <c r="D108" s="3"/>
      <c r="E108" s="3">
        <v>354</v>
      </c>
      <c r="F108" s="3">
        <v>299</v>
      </c>
      <c r="G108" s="3">
        <v>231</v>
      </c>
    </row>
    <row r="109" spans="1:9" ht="30" thickTop="1" thickBot="1" x14ac:dyDescent="0.35">
      <c r="A109" s="19" t="s">
        <v>115</v>
      </c>
      <c r="B109" s="27" t="s">
        <v>31</v>
      </c>
      <c r="C109" s="4">
        <v>-7</v>
      </c>
      <c r="D109" s="4"/>
      <c r="E109" s="4">
        <v>2</v>
      </c>
      <c r="F109" s="4">
        <v>19</v>
      </c>
      <c r="G109" s="4">
        <v>-27</v>
      </c>
    </row>
    <row r="110" spans="1:9" ht="15.6" thickTop="1" thickBot="1" x14ac:dyDescent="0.35">
      <c r="A110" s="19" t="s">
        <v>116</v>
      </c>
      <c r="B110" s="25" t="s">
        <v>32</v>
      </c>
      <c r="C110" s="4">
        <v>2</v>
      </c>
      <c r="D110" s="4"/>
      <c r="E110" s="4">
        <v>-1</v>
      </c>
      <c r="F110" s="4">
        <v>-7</v>
      </c>
      <c r="G110" s="4">
        <v>9</v>
      </c>
    </row>
    <row r="111" spans="1:9" ht="15.6" thickTop="1" thickBot="1" x14ac:dyDescent="0.35">
      <c r="A111" s="18" t="s">
        <v>117</v>
      </c>
      <c r="B111" s="25" t="s">
        <v>33</v>
      </c>
      <c r="C111" s="4">
        <v>-5</v>
      </c>
      <c r="D111" s="4"/>
      <c r="E111" s="4">
        <v>1</v>
      </c>
      <c r="F111" s="4">
        <v>12</v>
      </c>
      <c r="G111" s="4">
        <v>-18</v>
      </c>
    </row>
    <row r="112" spans="1:9" ht="30" thickTop="1" thickBot="1" x14ac:dyDescent="0.35">
      <c r="A112" s="19" t="s">
        <v>118</v>
      </c>
      <c r="B112" s="27" t="s">
        <v>34</v>
      </c>
      <c r="C112" s="4">
        <v>-32</v>
      </c>
      <c r="D112" s="4"/>
      <c r="E112" s="4">
        <v>18</v>
      </c>
      <c r="F112" s="4">
        <v>-26</v>
      </c>
      <c r="G112" s="4">
        <v>31</v>
      </c>
    </row>
    <row r="113" spans="1:7" ht="15.6" thickTop="1" thickBot="1" x14ac:dyDescent="0.35">
      <c r="A113" s="19" t="s">
        <v>119</v>
      </c>
      <c r="B113" s="25" t="s">
        <v>35</v>
      </c>
      <c r="C113" s="4">
        <v>9</v>
      </c>
      <c r="D113" s="4"/>
      <c r="E113" s="4">
        <v>-5</v>
      </c>
      <c r="F113" s="4">
        <v>8</v>
      </c>
      <c r="G113" s="4">
        <v>-8</v>
      </c>
    </row>
    <row r="114" spans="1:7" ht="44.4" thickTop="1" thickBot="1" x14ac:dyDescent="0.35">
      <c r="A114" s="20" t="s">
        <v>161</v>
      </c>
      <c r="B114" s="25" t="s">
        <v>36</v>
      </c>
      <c r="C114" s="4">
        <v>-23</v>
      </c>
      <c r="D114" s="4"/>
      <c r="E114" s="4">
        <v>13</v>
      </c>
      <c r="F114" s="4">
        <v>-18</v>
      </c>
      <c r="G114" s="4">
        <v>23</v>
      </c>
    </row>
    <row r="115" spans="1:7" ht="30" thickTop="1" thickBot="1" x14ac:dyDescent="0.35">
      <c r="A115" s="20" t="s">
        <v>120</v>
      </c>
      <c r="B115" s="27" t="s">
        <v>37</v>
      </c>
      <c r="C115" s="4"/>
      <c r="D115" s="4"/>
      <c r="E115" s="4"/>
      <c r="F115" s="4"/>
      <c r="G115" s="4"/>
    </row>
    <row r="116" spans="1:7" ht="15.6" thickTop="1" thickBot="1" x14ac:dyDescent="0.35">
      <c r="A116" s="18" t="s">
        <v>121</v>
      </c>
      <c r="B116" s="25" t="s">
        <v>38</v>
      </c>
      <c r="C116" s="4">
        <v>365</v>
      </c>
      <c r="D116" s="4"/>
      <c r="E116" s="4">
        <v>368</v>
      </c>
      <c r="F116" s="4">
        <v>293</v>
      </c>
      <c r="G116" s="4">
        <v>236</v>
      </c>
    </row>
    <row r="117" spans="1:7" ht="15" thickBot="1" x14ac:dyDescent="0.35">
      <c r="A117" s="18" t="s">
        <v>122</v>
      </c>
      <c r="B117" s="9" t="s">
        <v>39</v>
      </c>
      <c r="C117" s="4"/>
      <c r="D117" s="4"/>
      <c r="E117" s="4"/>
      <c r="F117" s="4"/>
      <c r="G117" s="4"/>
    </row>
    <row r="118" spans="1:7" ht="15" thickBot="1" x14ac:dyDescent="0.35">
      <c r="A118" s="18" t="s">
        <v>123</v>
      </c>
      <c r="B118" s="9" t="s">
        <v>40</v>
      </c>
      <c r="C118" s="4">
        <v>361</v>
      </c>
      <c r="D118" s="4"/>
      <c r="E118" s="4">
        <v>358</v>
      </c>
      <c r="F118" s="4">
        <v>299</v>
      </c>
      <c r="G118" s="4">
        <v>235</v>
      </c>
    </row>
    <row r="119" spans="1:7" ht="15" thickBot="1" x14ac:dyDescent="0.35">
      <c r="A119" s="18" t="s">
        <v>91</v>
      </c>
      <c r="B119" t="s">
        <v>41</v>
      </c>
      <c r="C119" s="5">
        <v>-4</v>
      </c>
      <c r="D119" s="5"/>
      <c r="E119" s="5">
        <v>-10</v>
      </c>
      <c r="F119" s="5">
        <v>-6</v>
      </c>
      <c r="G119" s="5">
        <v>1</v>
      </c>
    </row>
  </sheetData>
  <mergeCells count="2">
    <mergeCell ref="A105:G105"/>
    <mergeCell ref="A1:F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2618-CC6C-4EA7-A7A1-B3CBE15674E2}">
  <dimension ref="A1:X119"/>
  <sheetViews>
    <sheetView workbookViewId="0">
      <selection activeCell="A36" sqref="A36"/>
    </sheetView>
  </sheetViews>
  <sheetFormatPr defaultRowHeight="14.4" x14ac:dyDescent="0.3"/>
  <cols>
    <col min="1" max="1" width="26.88671875" customWidth="1"/>
    <col min="2" max="2" width="0" hidden="1" customWidth="1"/>
    <col min="3" max="3" width="10.5546875" bestFit="1" customWidth="1"/>
    <col min="5" max="6" width="10.88671875" customWidth="1"/>
    <col min="7" max="7" width="17.6640625" customWidth="1"/>
    <col min="8" max="8" width="18.44140625" customWidth="1"/>
    <col min="9" max="9" width="12.88671875" customWidth="1"/>
    <col min="10" max="11" width="10.5546875" bestFit="1" customWidth="1"/>
    <col min="18" max="18" width="8.77734375" customWidth="1"/>
    <col min="19" max="19" width="12.77734375" customWidth="1"/>
    <col min="20" max="20" width="13" customWidth="1"/>
  </cols>
  <sheetData>
    <row r="1" spans="1:9" ht="18" customHeight="1" thickBot="1" x14ac:dyDescent="0.4">
      <c r="A1" s="88" t="s">
        <v>271</v>
      </c>
      <c r="B1" s="86"/>
      <c r="C1" s="86"/>
      <c r="D1" s="86"/>
      <c r="E1" s="87"/>
      <c r="F1" s="2"/>
    </row>
    <row r="2" spans="1:9" ht="18" customHeight="1" thickBot="1" x14ac:dyDescent="0.4">
      <c r="A2" s="89"/>
      <c r="B2" s="2"/>
      <c r="C2" s="2"/>
      <c r="D2" s="2"/>
      <c r="E2" s="2"/>
      <c r="F2" s="2"/>
      <c r="G2" s="84" t="s">
        <v>177</v>
      </c>
      <c r="H2" s="39"/>
      <c r="I2" s="40"/>
    </row>
    <row r="3" spans="1:9" ht="15" thickBot="1" x14ac:dyDescent="0.35">
      <c r="C3" s="162">
        <v>43830</v>
      </c>
      <c r="E3" s="162">
        <v>43465</v>
      </c>
      <c r="F3" s="53"/>
      <c r="G3" s="164">
        <v>43100</v>
      </c>
      <c r="H3" s="163">
        <v>42735</v>
      </c>
      <c r="I3" s="83">
        <v>42369</v>
      </c>
    </row>
    <row r="4" spans="1:9" x14ac:dyDescent="0.3">
      <c r="A4" s="69" t="s">
        <v>92</v>
      </c>
      <c r="B4" s="70"/>
      <c r="C4" s="165"/>
      <c r="E4" s="105"/>
      <c r="F4" s="140"/>
      <c r="G4" s="105"/>
      <c r="H4" s="105"/>
      <c r="I4" s="113"/>
    </row>
    <row r="5" spans="1:9" hidden="1" x14ac:dyDescent="0.3">
      <c r="A5" s="37" t="s">
        <v>178</v>
      </c>
      <c r="B5" s="37" t="s">
        <v>238</v>
      </c>
      <c r="C5" s="37">
        <v>6046</v>
      </c>
      <c r="E5" s="37">
        <v>5268</v>
      </c>
      <c r="F5" s="35"/>
      <c r="G5" s="37">
        <v>4633</v>
      </c>
      <c r="H5" s="37">
        <v>3734</v>
      </c>
      <c r="I5" s="114">
        <v>3947</v>
      </c>
    </row>
    <row r="6" spans="1:9" hidden="1" x14ac:dyDescent="0.3">
      <c r="A6" s="37" t="s">
        <v>185</v>
      </c>
      <c r="B6" s="37" t="s">
        <v>239</v>
      </c>
      <c r="C6" s="37">
        <v>1076</v>
      </c>
      <c r="E6" s="37">
        <v>1003</v>
      </c>
      <c r="F6" s="35"/>
      <c r="G6" s="37">
        <v>957</v>
      </c>
      <c r="H6" s="37">
        <v>847</v>
      </c>
      <c r="I6" s="114">
        <v>785</v>
      </c>
    </row>
    <row r="7" spans="1:9" x14ac:dyDescent="0.3">
      <c r="A7" s="49" t="s">
        <v>186</v>
      </c>
      <c r="B7" s="37" t="s">
        <v>240</v>
      </c>
      <c r="C7" s="49">
        <f>SUM(C5:C6)</f>
        <v>7122</v>
      </c>
      <c r="E7" s="49">
        <f t="shared" ref="E7:I7" si="0">SUM(E5:E6)</f>
        <v>6271</v>
      </c>
      <c r="F7" s="80"/>
      <c r="G7" s="49">
        <f t="shared" si="0"/>
        <v>5590</v>
      </c>
      <c r="H7" s="49">
        <f t="shared" si="0"/>
        <v>4581</v>
      </c>
      <c r="I7" s="49">
        <f t="shared" si="0"/>
        <v>4732</v>
      </c>
    </row>
    <row r="8" spans="1:9" x14ac:dyDescent="0.3">
      <c r="A8" s="37" t="s">
        <v>187</v>
      </c>
      <c r="B8" s="37" t="s">
        <v>1</v>
      </c>
      <c r="C8" s="37">
        <v>202</v>
      </c>
      <c r="E8" s="37">
        <v>223</v>
      </c>
      <c r="F8" s="35"/>
      <c r="G8" s="37">
        <v>206</v>
      </c>
      <c r="H8" s="37">
        <v>279</v>
      </c>
      <c r="I8" s="114">
        <v>189</v>
      </c>
    </row>
    <row r="9" spans="1:9" x14ac:dyDescent="0.3">
      <c r="A9" s="69" t="s">
        <v>93</v>
      </c>
      <c r="B9" s="70" t="s">
        <v>2</v>
      </c>
      <c r="C9" s="69">
        <f>SUM(C7:C8)</f>
        <v>7324</v>
      </c>
      <c r="E9" s="69">
        <f>SUM(E7:E8)</f>
        <v>6494</v>
      </c>
      <c r="F9" s="38"/>
      <c r="G9" s="69">
        <f t="shared" ref="G9:I9" si="1">SUM(G7:G8)</f>
        <v>5796</v>
      </c>
      <c r="H9" s="69">
        <f t="shared" si="1"/>
        <v>4860</v>
      </c>
      <c r="I9" s="69">
        <f t="shared" si="1"/>
        <v>4921</v>
      </c>
    </row>
    <row r="10" spans="1:9" x14ac:dyDescent="0.3">
      <c r="A10" s="38" t="s">
        <v>323</v>
      </c>
      <c r="B10" s="35"/>
      <c r="C10" s="38">
        <f>SUM(C9,-E9)/E9</f>
        <v>0.12781028641823222</v>
      </c>
      <c r="D10" s="9"/>
      <c r="E10" s="38"/>
      <c r="F10" s="38"/>
      <c r="G10" s="37"/>
      <c r="H10" s="37"/>
      <c r="I10" s="114"/>
    </row>
    <row r="11" spans="1:9" x14ac:dyDescent="0.3">
      <c r="A11" s="44"/>
      <c r="B11" s="37"/>
      <c r="C11" s="44"/>
      <c r="E11" s="44"/>
      <c r="F11" s="38"/>
      <c r="G11" s="37"/>
      <c r="H11" s="37"/>
      <c r="I11" s="114"/>
    </row>
    <row r="12" spans="1:9" x14ac:dyDescent="0.3">
      <c r="A12" s="71" t="s">
        <v>188</v>
      </c>
      <c r="B12" s="72" t="s">
        <v>3</v>
      </c>
      <c r="C12" s="37"/>
      <c r="E12" s="37"/>
      <c r="F12" s="35"/>
      <c r="G12" s="37">
        <v>2831</v>
      </c>
      <c r="H12" s="37">
        <v>2101</v>
      </c>
      <c r="I12" s="114">
        <v>2286</v>
      </c>
    </row>
    <row r="13" spans="1:9" hidden="1" x14ac:dyDescent="0.3">
      <c r="A13" s="37" t="s">
        <v>189</v>
      </c>
      <c r="B13" s="37" t="s">
        <v>241</v>
      </c>
      <c r="C13" s="37">
        <v>4004</v>
      </c>
      <c r="E13" s="37">
        <v>3346</v>
      </c>
      <c r="F13" s="35"/>
      <c r="G13" s="37">
        <v>2831</v>
      </c>
      <c r="H13" s="37">
        <v>2101</v>
      </c>
      <c r="I13" s="114">
        <v>2286</v>
      </c>
    </row>
    <row r="14" spans="1:9" hidden="1" x14ac:dyDescent="0.3">
      <c r="A14" s="37" t="s">
        <v>190</v>
      </c>
      <c r="B14" s="37" t="s">
        <v>242</v>
      </c>
      <c r="C14" s="37">
        <v>1152</v>
      </c>
      <c r="E14" s="37">
        <v>986</v>
      </c>
      <c r="F14" s="35"/>
      <c r="G14" s="37">
        <v>850</v>
      </c>
      <c r="H14" s="37">
        <v>758</v>
      </c>
      <c r="I14" s="114">
        <v>706</v>
      </c>
    </row>
    <row r="15" spans="1:9" x14ac:dyDescent="0.3">
      <c r="A15" s="49" t="s">
        <v>191</v>
      </c>
      <c r="B15" s="37" t="s">
        <v>243</v>
      </c>
      <c r="C15" s="49">
        <f>SUM(C13:C14)</f>
        <v>5156</v>
      </c>
      <c r="E15" s="49">
        <f t="shared" ref="E15" si="2">SUM(E13:E14)</f>
        <v>4332</v>
      </c>
      <c r="F15" s="80"/>
      <c r="G15" s="49">
        <f t="shared" ref="G15:I15" si="3">SUM(G13:G14)</f>
        <v>3681</v>
      </c>
      <c r="H15" s="49">
        <f t="shared" si="3"/>
        <v>2859</v>
      </c>
      <c r="I15" s="49">
        <f t="shared" si="3"/>
        <v>2992</v>
      </c>
    </row>
    <row r="16" spans="1:9" x14ac:dyDescent="0.3">
      <c r="A16" s="37" t="s">
        <v>94</v>
      </c>
      <c r="B16" s="37" t="s">
        <v>4</v>
      </c>
      <c r="C16" s="37">
        <v>234</v>
      </c>
      <c r="E16" s="37">
        <v>266</v>
      </c>
      <c r="F16" s="35"/>
      <c r="G16" s="37">
        <v>281</v>
      </c>
      <c r="H16" s="37">
        <v>243</v>
      </c>
      <c r="I16" s="114">
        <v>252</v>
      </c>
    </row>
    <row r="17" spans="1:9" x14ac:dyDescent="0.3">
      <c r="A17" s="71" t="s">
        <v>95</v>
      </c>
      <c r="B17" s="72" t="s">
        <v>5</v>
      </c>
      <c r="C17" s="71">
        <f>SUM(C15:C16)</f>
        <v>5390</v>
      </c>
      <c r="E17" s="71">
        <f t="shared" ref="E17" si="4">SUM(E15:E16)</f>
        <v>4598</v>
      </c>
      <c r="F17" s="38"/>
      <c r="G17" s="71">
        <f t="shared" ref="G17:I17" si="5">SUM(G15:G16)</f>
        <v>3962</v>
      </c>
      <c r="H17" s="71">
        <f t="shared" si="5"/>
        <v>3102</v>
      </c>
      <c r="I17" s="71">
        <f t="shared" si="5"/>
        <v>3244</v>
      </c>
    </row>
    <row r="18" spans="1:9" x14ac:dyDescent="0.3">
      <c r="A18" s="73" t="s">
        <v>192</v>
      </c>
      <c r="B18" s="74" t="s">
        <v>6</v>
      </c>
      <c r="C18" s="37"/>
      <c r="E18" s="37"/>
      <c r="F18" s="35"/>
      <c r="G18" s="37"/>
      <c r="H18" s="37"/>
      <c r="I18" s="114"/>
    </row>
    <row r="19" spans="1:9" hidden="1" x14ac:dyDescent="0.3">
      <c r="A19" s="47" t="s">
        <v>193</v>
      </c>
      <c r="B19" s="37" t="s">
        <v>244</v>
      </c>
      <c r="C19" s="37">
        <v>527</v>
      </c>
      <c r="E19" s="37">
        <v>494</v>
      </c>
      <c r="F19" s="35"/>
      <c r="G19" s="37">
        <v>471</v>
      </c>
      <c r="H19" s="37">
        <v>433</v>
      </c>
      <c r="I19" s="114">
        <v>441</v>
      </c>
    </row>
    <row r="20" spans="1:9" hidden="1" x14ac:dyDescent="0.3">
      <c r="A20" s="47" t="s">
        <v>194</v>
      </c>
      <c r="B20" s="37" t="s">
        <v>245</v>
      </c>
      <c r="C20" s="37">
        <v>179</v>
      </c>
      <c r="E20" s="37">
        <v>173</v>
      </c>
      <c r="F20" s="35"/>
      <c r="G20" s="37">
        <v>160</v>
      </c>
      <c r="H20" s="37">
        <v>146</v>
      </c>
      <c r="I20" s="114">
        <v>163</v>
      </c>
    </row>
    <row r="21" spans="1:9" hidden="1" x14ac:dyDescent="0.3">
      <c r="A21" s="47" t="s">
        <v>195</v>
      </c>
      <c r="B21" s="37" t="s">
        <v>195</v>
      </c>
      <c r="C21" s="37">
        <v>31</v>
      </c>
      <c r="E21" s="37">
        <v>31</v>
      </c>
      <c r="F21" s="35"/>
      <c r="G21" s="37">
        <v>29</v>
      </c>
      <c r="H21" s="37">
        <v>26</v>
      </c>
      <c r="I21" s="114">
        <v>25</v>
      </c>
    </row>
    <row r="22" spans="1:9" hidden="1" x14ac:dyDescent="0.3">
      <c r="A22" s="47" t="s">
        <v>196</v>
      </c>
      <c r="B22" s="37" t="s">
        <v>246</v>
      </c>
      <c r="C22" s="37">
        <v>42</v>
      </c>
      <c r="E22" s="37">
        <v>33</v>
      </c>
      <c r="F22" s="35"/>
      <c r="G22" s="37">
        <v>27</v>
      </c>
      <c r="H22" s="37">
        <v>36</v>
      </c>
      <c r="I22" s="114">
        <v>27</v>
      </c>
    </row>
    <row r="23" spans="1:9" x14ac:dyDescent="0.3">
      <c r="A23" s="49" t="s">
        <v>197</v>
      </c>
      <c r="B23" s="37" t="s">
        <v>247</v>
      </c>
      <c r="C23" s="49">
        <f>SUM(C19:C22)</f>
        <v>779</v>
      </c>
      <c r="E23" s="49">
        <f t="shared" ref="E23" si="6">SUM(E19:E22)</f>
        <v>731</v>
      </c>
      <c r="F23" s="80"/>
      <c r="G23" s="49">
        <f t="shared" ref="G23:I23" si="7">SUM(G19:G22)</f>
        <v>687</v>
      </c>
      <c r="H23" s="49">
        <f t="shared" si="7"/>
        <v>641</v>
      </c>
      <c r="I23" s="49">
        <f t="shared" si="7"/>
        <v>656</v>
      </c>
    </row>
    <row r="24" spans="1:9" x14ac:dyDescent="0.3">
      <c r="A24" s="47" t="s">
        <v>198</v>
      </c>
      <c r="B24" s="37" t="s">
        <v>248</v>
      </c>
      <c r="C24" s="37">
        <v>-79</v>
      </c>
      <c r="E24" s="37">
        <v>-66</v>
      </c>
      <c r="F24" s="35"/>
      <c r="G24" s="37">
        <v>-52</v>
      </c>
      <c r="H24" s="37">
        <v>-45</v>
      </c>
      <c r="I24" s="114">
        <v>-27</v>
      </c>
    </row>
    <row r="25" spans="1:9" x14ac:dyDescent="0.3">
      <c r="A25" s="73" t="s">
        <v>199</v>
      </c>
      <c r="B25" s="74" t="s">
        <v>247</v>
      </c>
      <c r="C25" s="74">
        <f>SUM(C23:C24)</f>
        <v>700</v>
      </c>
      <c r="E25" s="74">
        <f t="shared" ref="E25" si="8">SUM(E23:E24)</f>
        <v>665</v>
      </c>
      <c r="F25" s="35"/>
      <c r="G25" s="74">
        <f t="shared" ref="G25:I25" si="9">SUM(G23:G24)</f>
        <v>635</v>
      </c>
      <c r="H25" s="74">
        <f t="shared" si="9"/>
        <v>596</v>
      </c>
      <c r="I25" s="74">
        <f t="shared" si="9"/>
        <v>629</v>
      </c>
    </row>
    <row r="26" spans="1:9" x14ac:dyDescent="0.3">
      <c r="A26" s="44"/>
      <c r="B26" s="37"/>
      <c r="C26" s="37"/>
      <c r="E26" s="37"/>
      <c r="F26" s="35"/>
      <c r="G26" s="37"/>
      <c r="H26" s="37"/>
      <c r="I26" s="114"/>
    </row>
    <row r="27" spans="1:9" x14ac:dyDescent="0.3">
      <c r="A27" s="75" t="s">
        <v>272</v>
      </c>
      <c r="B27" s="36" t="s">
        <v>7</v>
      </c>
      <c r="C27" s="75">
        <f>SUM(C9,-C17,-C25)</f>
        <v>1234</v>
      </c>
      <c r="E27" s="75">
        <f t="shared" ref="E27:I27" si="10">SUM(E9,-E17,-E25)</f>
        <v>1231</v>
      </c>
      <c r="F27" s="38"/>
      <c r="G27" s="75">
        <f t="shared" si="10"/>
        <v>1199</v>
      </c>
      <c r="H27" s="75">
        <f t="shared" si="10"/>
        <v>1162</v>
      </c>
      <c r="I27" s="75">
        <f t="shared" si="10"/>
        <v>1048</v>
      </c>
    </row>
    <row r="28" spans="1:9" x14ac:dyDescent="0.3">
      <c r="A28" s="44" t="s">
        <v>273</v>
      </c>
      <c r="B28" s="37"/>
      <c r="C28" s="90">
        <f xml:space="preserve"> (C27/C9)</f>
        <v>0.16848716548334244</v>
      </c>
      <c r="D28" s="90"/>
      <c r="E28" s="90">
        <f xml:space="preserve"> (E27/E9)</f>
        <v>0.18955959347089621</v>
      </c>
      <c r="F28" s="90"/>
      <c r="G28" s="90">
        <f t="shared" ref="G28:I28" si="11" xml:space="preserve"> (G27/G9)</f>
        <v>0.20686680469289165</v>
      </c>
      <c r="H28" s="90">
        <f t="shared" si="11"/>
        <v>0.23909465020576132</v>
      </c>
      <c r="I28" s="90">
        <f t="shared" si="11"/>
        <v>0.21296484454379191</v>
      </c>
    </row>
    <row r="29" spans="1:9" x14ac:dyDescent="0.3">
      <c r="A29" s="71" t="s">
        <v>96</v>
      </c>
      <c r="B29" s="72" t="s">
        <v>8</v>
      </c>
      <c r="C29" s="71"/>
      <c r="E29" s="44"/>
      <c r="F29" s="38"/>
      <c r="G29" s="37">
        <v>72</v>
      </c>
      <c r="H29" s="37">
        <v>55</v>
      </c>
      <c r="I29" s="114">
        <v>54</v>
      </c>
    </row>
    <row r="30" spans="1:9" x14ac:dyDescent="0.3">
      <c r="A30" s="47" t="s">
        <v>201</v>
      </c>
      <c r="B30" s="37" t="s">
        <v>249</v>
      </c>
      <c r="C30" s="47">
        <v>123</v>
      </c>
      <c r="E30" s="47">
        <v>91</v>
      </c>
      <c r="F30" s="157"/>
      <c r="G30" s="37">
        <v>72</v>
      </c>
      <c r="H30" s="37">
        <v>55</v>
      </c>
      <c r="I30" s="114">
        <v>54</v>
      </c>
    </row>
    <row r="31" spans="1:9" x14ac:dyDescent="0.3">
      <c r="A31" s="47" t="s">
        <v>202</v>
      </c>
      <c r="B31" s="37" t="s">
        <v>250</v>
      </c>
      <c r="C31" s="47">
        <v>379</v>
      </c>
      <c r="E31" s="47">
        <v>372</v>
      </c>
      <c r="F31" s="157"/>
      <c r="G31" s="37">
        <v>338</v>
      </c>
      <c r="H31" s="37">
        <v>348</v>
      </c>
      <c r="I31" s="114">
        <v>341</v>
      </c>
    </row>
    <row r="32" spans="1:9" x14ac:dyDescent="0.3">
      <c r="A32" s="47" t="s">
        <v>203</v>
      </c>
      <c r="B32" s="37" t="s">
        <v>251</v>
      </c>
      <c r="C32" s="47">
        <v>9</v>
      </c>
      <c r="E32" s="47">
        <v>160</v>
      </c>
      <c r="F32" s="157"/>
      <c r="G32" s="37">
        <v>34</v>
      </c>
      <c r="H32" s="37">
        <v>245</v>
      </c>
      <c r="I32" s="114">
        <v>359</v>
      </c>
    </row>
    <row r="33" spans="1:10" x14ac:dyDescent="0.3">
      <c r="A33" s="80" t="s">
        <v>204</v>
      </c>
      <c r="B33" s="35" t="s">
        <v>255</v>
      </c>
      <c r="C33" s="80">
        <f>SUM(C30:C32)</f>
        <v>511</v>
      </c>
      <c r="E33" s="80">
        <f t="shared" ref="E33" si="12">SUM(E30:E32)</f>
        <v>623</v>
      </c>
      <c r="F33" s="80"/>
      <c r="G33" s="80">
        <f t="shared" ref="G33:I33" si="13">SUM(G30:G32)</f>
        <v>444</v>
      </c>
      <c r="H33" s="80">
        <f t="shared" si="13"/>
        <v>648</v>
      </c>
      <c r="I33" s="80">
        <f t="shared" si="13"/>
        <v>754</v>
      </c>
    </row>
    <row r="34" spans="1:10" x14ac:dyDescent="0.3">
      <c r="A34" s="47" t="s">
        <v>205</v>
      </c>
      <c r="B34" s="37" t="s">
        <v>253</v>
      </c>
      <c r="C34" s="47">
        <v>21</v>
      </c>
      <c r="E34" s="47">
        <v>-5</v>
      </c>
      <c r="F34" s="157"/>
      <c r="G34" s="37">
        <v>10</v>
      </c>
      <c r="H34" s="37">
        <v>50</v>
      </c>
      <c r="I34" s="114">
        <v>57</v>
      </c>
    </row>
    <row r="35" spans="1:10" x14ac:dyDescent="0.3">
      <c r="A35" s="47" t="s">
        <v>206</v>
      </c>
      <c r="B35" s="37" t="s">
        <v>254</v>
      </c>
      <c r="C35" s="47">
        <v>15</v>
      </c>
      <c r="E35" s="47">
        <v>25</v>
      </c>
      <c r="F35" s="157"/>
      <c r="G35" s="37">
        <v>35</v>
      </c>
      <c r="H35" s="37">
        <v>21</v>
      </c>
      <c r="I35" s="114">
        <v>22</v>
      </c>
    </row>
    <row r="36" spans="1:10" x14ac:dyDescent="0.3">
      <c r="A36" s="71" t="s">
        <v>207</v>
      </c>
      <c r="B36" s="72" t="s">
        <v>252</v>
      </c>
      <c r="C36" s="71">
        <f>SUM(C33:C35)</f>
        <v>547</v>
      </c>
      <c r="E36" s="71">
        <f t="shared" ref="E36:I36" si="14">SUM(E33:E35)</f>
        <v>643</v>
      </c>
      <c r="F36" s="38"/>
      <c r="G36" s="71">
        <f t="shared" si="14"/>
        <v>489</v>
      </c>
      <c r="H36" s="71">
        <f t="shared" si="14"/>
        <v>719</v>
      </c>
      <c r="I36" s="71">
        <f t="shared" si="14"/>
        <v>833</v>
      </c>
    </row>
    <row r="37" spans="1:10" x14ac:dyDescent="0.3">
      <c r="A37" s="44"/>
      <c r="B37" s="37"/>
      <c r="C37" s="44"/>
      <c r="E37" s="44"/>
      <c r="F37" s="158"/>
      <c r="G37" s="158"/>
      <c r="H37" s="2"/>
      <c r="I37" s="158"/>
    </row>
    <row r="38" spans="1:10" x14ac:dyDescent="0.3">
      <c r="A38" s="75" t="s">
        <v>276</v>
      </c>
      <c r="B38" s="36" t="s">
        <v>9</v>
      </c>
      <c r="C38" s="75">
        <f>SUM(C27,-C31,-C32,-C34,-C35)</f>
        <v>810</v>
      </c>
      <c r="D38" s="75"/>
      <c r="E38" s="75">
        <f t="shared" ref="E38:I38" si="15">SUM(E27,-E31,-E32,-E34,-E35)</f>
        <v>679</v>
      </c>
      <c r="F38" s="38"/>
      <c r="G38" s="75">
        <f t="shared" si="15"/>
        <v>782</v>
      </c>
      <c r="H38" s="75">
        <f t="shared" si="15"/>
        <v>498</v>
      </c>
      <c r="I38" s="75">
        <f t="shared" si="15"/>
        <v>269</v>
      </c>
      <c r="J38" t="s">
        <v>352</v>
      </c>
    </row>
    <row r="39" spans="1:10" x14ac:dyDescent="0.3">
      <c r="A39" s="38" t="s">
        <v>273</v>
      </c>
      <c r="B39" s="35"/>
      <c r="C39" s="91">
        <f>(C38/C9)</f>
        <v>0.11059530311305298</v>
      </c>
      <c r="D39" s="91"/>
      <c r="E39" s="91">
        <f>(E38/E9)</f>
        <v>0.10455805358792732</v>
      </c>
      <c r="F39" s="91"/>
      <c r="G39" s="91">
        <f t="shared" ref="G39:I39" si="16">(G38/G9)</f>
        <v>0.13492063492063491</v>
      </c>
      <c r="H39" s="91">
        <f t="shared" si="16"/>
        <v>0.10246913580246914</v>
      </c>
      <c r="I39" s="91">
        <f t="shared" si="16"/>
        <v>5.4663686242633611E-2</v>
      </c>
    </row>
    <row r="40" spans="1:10" x14ac:dyDescent="0.3">
      <c r="A40" s="44"/>
      <c r="B40" s="37" t="s">
        <v>10</v>
      </c>
      <c r="C40" s="44"/>
      <c r="E40" s="44"/>
      <c r="F40" s="158"/>
      <c r="G40" s="158"/>
      <c r="H40" s="2"/>
      <c r="I40" s="158"/>
    </row>
    <row r="41" spans="1:10" x14ac:dyDescent="0.3">
      <c r="A41" s="75" t="s">
        <v>274</v>
      </c>
      <c r="B41" s="36" t="s">
        <v>9</v>
      </c>
      <c r="C41" s="92">
        <f>SUM(C38,-C30)</f>
        <v>687</v>
      </c>
      <c r="D41" s="92"/>
      <c r="E41" s="92">
        <f t="shared" ref="E41:I41" si="17">SUM(E38,-E30)</f>
        <v>588</v>
      </c>
      <c r="F41" s="159"/>
      <c r="G41" s="92">
        <f t="shared" si="17"/>
        <v>710</v>
      </c>
      <c r="H41" s="92">
        <f t="shared" si="17"/>
        <v>443</v>
      </c>
      <c r="I41" s="92">
        <f t="shared" si="17"/>
        <v>215</v>
      </c>
    </row>
    <row r="42" spans="1:10" x14ac:dyDescent="0.3">
      <c r="A42" s="38" t="s">
        <v>273</v>
      </c>
      <c r="B42" s="35"/>
      <c r="C42" s="91">
        <f>(C41/C9)</f>
        <v>9.3801201529219003E-2</v>
      </c>
      <c r="D42" s="91"/>
      <c r="E42" s="91">
        <f>(E41/E9)</f>
        <v>9.0545118570988611E-2</v>
      </c>
      <c r="F42" s="91"/>
      <c r="G42" s="91">
        <f t="shared" ref="G42:I42" si="18">(G41/G9)</f>
        <v>0.12249827467218771</v>
      </c>
      <c r="H42" s="91">
        <f t="shared" si="18"/>
        <v>9.1152263374485593E-2</v>
      </c>
      <c r="I42" s="91">
        <f t="shared" si="18"/>
        <v>4.3690306848201584E-2</v>
      </c>
    </row>
    <row r="43" spans="1:10" x14ac:dyDescent="0.3">
      <c r="A43" s="44" t="s">
        <v>181</v>
      </c>
      <c r="B43" s="37" t="s">
        <v>10</v>
      </c>
      <c r="C43" s="44">
        <v>4</v>
      </c>
      <c r="E43" s="44">
        <v>14</v>
      </c>
      <c r="F43" s="38"/>
      <c r="G43" s="37">
        <v>0</v>
      </c>
      <c r="H43" s="37">
        <v>52</v>
      </c>
      <c r="I43" s="114">
        <v>1</v>
      </c>
    </row>
    <row r="44" spans="1:10" x14ac:dyDescent="0.3">
      <c r="A44" s="44"/>
      <c r="B44" s="37"/>
      <c r="C44" s="44"/>
      <c r="E44" s="37"/>
      <c r="F44" s="35"/>
      <c r="G44" s="37"/>
      <c r="H44" s="37"/>
      <c r="I44" s="114"/>
    </row>
    <row r="45" spans="1:10" x14ac:dyDescent="0.3">
      <c r="A45" s="76" t="s">
        <v>97</v>
      </c>
      <c r="B45" s="76" t="s">
        <v>97</v>
      </c>
      <c r="C45" s="76"/>
      <c r="D45" s="76"/>
      <c r="E45" s="76"/>
      <c r="F45" s="38"/>
      <c r="G45" s="37"/>
      <c r="H45" s="37"/>
      <c r="I45" s="114"/>
    </row>
    <row r="46" spans="1:10" hidden="1" x14ac:dyDescent="0.3">
      <c r="A46" s="37" t="s">
        <v>211</v>
      </c>
      <c r="B46" s="37" t="s">
        <v>12</v>
      </c>
      <c r="C46" s="37"/>
      <c r="E46" s="37"/>
      <c r="F46" s="35"/>
      <c r="G46" s="37"/>
      <c r="H46" s="37"/>
      <c r="I46" s="114"/>
    </row>
    <row r="47" spans="1:10" hidden="1" x14ac:dyDescent="0.3">
      <c r="A47" s="37" t="s">
        <v>208</v>
      </c>
      <c r="B47" s="37"/>
      <c r="C47" s="37">
        <v>4</v>
      </c>
      <c r="E47" s="37">
        <v>0</v>
      </c>
      <c r="F47" s="35"/>
      <c r="G47" s="37"/>
      <c r="H47" s="37"/>
      <c r="I47" s="114"/>
    </row>
    <row r="48" spans="1:10" hidden="1" x14ac:dyDescent="0.3">
      <c r="A48" s="37" t="s">
        <v>209</v>
      </c>
      <c r="B48" s="37"/>
      <c r="C48" s="37">
        <v>12</v>
      </c>
      <c r="E48" s="37">
        <v>16</v>
      </c>
      <c r="F48" s="35"/>
      <c r="G48" s="37"/>
      <c r="H48" s="37"/>
      <c r="I48" s="114"/>
    </row>
    <row r="49" spans="1:24" x14ac:dyDescent="0.3">
      <c r="A49" s="49" t="s">
        <v>210</v>
      </c>
      <c r="B49" s="37"/>
      <c r="C49" s="37">
        <f>SUM(C47:C48)</f>
        <v>16</v>
      </c>
      <c r="E49" s="37">
        <f t="shared" ref="E49" si="19">SUM(E47:E48)</f>
        <v>16</v>
      </c>
      <c r="F49" s="35"/>
      <c r="G49" s="37">
        <v>19</v>
      </c>
      <c r="H49" s="37">
        <v>34</v>
      </c>
      <c r="I49" s="114">
        <v>28</v>
      </c>
    </row>
    <row r="50" spans="1:24" hidden="1" x14ac:dyDescent="0.3">
      <c r="A50" s="37" t="s">
        <v>217</v>
      </c>
      <c r="B50" s="37" t="s">
        <v>13</v>
      </c>
      <c r="C50" s="37"/>
      <c r="E50" s="37"/>
      <c r="F50" s="35"/>
      <c r="G50" s="37"/>
      <c r="H50" s="37"/>
      <c r="I50" s="114"/>
    </row>
    <row r="51" spans="1:24" hidden="1" x14ac:dyDescent="0.3">
      <c r="A51" s="37" t="s">
        <v>212</v>
      </c>
      <c r="B51" s="37" t="s">
        <v>256</v>
      </c>
      <c r="C51" s="37">
        <v>94</v>
      </c>
      <c r="E51" s="37">
        <v>102</v>
      </c>
      <c r="F51" s="35"/>
      <c r="G51" s="37">
        <v>104</v>
      </c>
      <c r="H51" s="37">
        <v>125</v>
      </c>
      <c r="I51" s="114">
        <v>125</v>
      </c>
    </row>
    <row r="52" spans="1:24" hidden="1" x14ac:dyDescent="0.3">
      <c r="A52" s="37" t="s">
        <v>213</v>
      </c>
      <c r="B52" s="37" t="s">
        <v>257</v>
      </c>
      <c r="C52" s="37">
        <v>4</v>
      </c>
      <c r="E52" s="37">
        <v>6</v>
      </c>
      <c r="F52" s="35"/>
      <c r="G52" s="37">
        <v>9</v>
      </c>
      <c r="H52" s="37">
        <v>9</v>
      </c>
      <c r="I52" s="114">
        <v>15</v>
      </c>
    </row>
    <row r="53" spans="1:24" hidden="1" x14ac:dyDescent="0.3">
      <c r="A53" s="37" t="s">
        <v>214</v>
      </c>
      <c r="B53" s="37" t="s">
        <v>258</v>
      </c>
      <c r="C53" s="37">
        <v>7</v>
      </c>
      <c r="E53" s="37">
        <v>8</v>
      </c>
      <c r="F53" s="35"/>
      <c r="G53" s="37">
        <v>8</v>
      </c>
      <c r="H53" s="37">
        <v>6</v>
      </c>
      <c r="I53" s="114">
        <v>5</v>
      </c>
    </row>
    <row r="54" spans="1:24" hidden="1" x14ac:dyDescent="0.3">
      <c r="A54" s="37" t="s">
        <v>215</v>
      </c>
      <c r="B54" s="37" t="s">
        <v>259</v>
      </c>
      <c r="C54" s="37">
        <v>1</v>
      </c>
      <c r="E54" s="37">
        <v>2</v>
      </c>
      <c r="F54" s="35"/>
      <c r="G54" s="37">
        <v>2</v>
      </c>
      <c r="H54" s="37">
        <v>1</v>
      </c>
      <c r="I54" s="114">
        <v>0</v>
      </c>
    </row>
    <row r="55" spans="1:24" hidden="1" x14ac:dyDescent="0.3">
      <c r="A55" s="37" t="s">
        <v>216</v>
      </c>
      <c r="B55" s="37" t="s">
        <v>260</v>
      </c>
      <c r="C55" s="37">
        <v>24</v>
      </c>
      <c r="E55" s="37">
        <v>14</v>
      </c>
      <c r="F55" s="35"/>
      <c r="G55" s="37">
        <v>35</v>
      </c>
      <c r="H55" s="37">
        <v>51</v>
      </c>
      <c r="I55" s="114">
        <v>17</v>
      </c>
    </row>
    <row r="56" spans="1:24" ht="15" customHeight="1" x14ac:dyDescent="0.3">
      <c r="A56" s="49" t="s">
        <v>218</v>
      </c>
      <c r="B56" s="37" t="s">
        <v>261</v>
      </c>
      <c r="C56" s="37">
        <f>SUM(C51:C55)</f>
        <v>130</v>
      </c>
      <c r="E56" s="37">
        <f t="shared" ref="E56:H56" si="20">SUM(E51:E55)</f>
        <v>132</v>
      </c>
      <c r="F56" s="35"/>
      <c r="G56" s="37">
        <f t="shared" si="20"/>
        <v>158</v>
      </c>
      <c r="H56" s="37">
        <f t="shared" si="20"/>
        <v>192</v>
      </c>
      <c r="I56" s="114">
        <v>162</v>
      </c>
    </row>
    <row r="57" spans="1:24" x14ac:dyDescent="0.3">
      <c r="A57" s="37" t="s">
        <v>219</v>
      </c>
      <c r="B57" s="37" t="s">
        <v>262</v>
      </c>
      <c r="C57" s="37">
        <v>0</v>
      </c>
      <c r="E57" s="37">
        <v>0</v>
      </c>
      <c r="F57" s="35"/>
      <c r="G57" s="37">
        <v>0</v>
      </c>
      <c r="H57" s="37">
        <v>0</v>
      </c>
      <c r="I57" s="114">
        <v>0</v>
      </c>
    </row>
    <row r="58" spans="1:24" ht="18" customHeight="1" x14ac:dyDescent="0.3">
      <c r="A58" s="49" t="s">
        <v>220</v>
      </c>
      <c r="B58" s="37" t="s">
        <v>263</v>
      </c>
      <c r="C58" s="37">
        <f>SUM(C56:C57)</f>
        <v>130</v>
      </c>
      <c r="E58" s="37">
        <f t="shared" ref="E58:I58" si="21">SUM(E56:E57)</f>
        <v>132</v>
      </c>
      <c r="F58" s="35"/>
      <c r="G58" s="37">
        <f t="shared" si="21"/>
        <v>158</v>
      </c>
      <c r="H58" s="37">
        <f t="shared" si="21"/>
        <v>192</v>
      </c>
      <c r="I58" s="37">
        <f t="shared" si="21"/>
        <v>162</v>
      </c>
    </row>
    <row r="59" spans="1:24" ht="15.6" customHeight="1" x14ac:dyDescent="0.3">
      <c r="A59" s="49" t="s">
        <v>98</v>
      </c>
      <c r="B59" s="45" t="s">
        <v>162</v>
      </c>
      <c r="C59" s="37">
        <v>4</v>
      </c>
      <c r="E59" s="37">
        <v>4</v>
      </c>
      <c r="F59" s="35"/>
      <c r="G59" s="37">
        <v>5</v>
      </c>
      <c r="H59" s="37">
        <v>-3</v>
      </c>
      <c r="I59" s="114">
        <v>-4</v>
      </c>
    </row>
    <row r="60" spans="1:24" ht="15" thickBot="1" x14ac:dyDescent="0.35">
      <c r="A60" s="37" t="s">
        <v>99</v>
      </c>
      <c r="B60" s="37" t="s">
        <v>18</v>
      </c>
      <c r="C60" s="37">
        <v>0</v>
      </c>
      <c r="E60" s="37">
        <v>0</v>
      </c>
      <c r="F60" s="35"/>
      <c r="G60" s="37">
        <v>0</v>
      </c>
      <c r="H60" s="37">
        <v>0</v>
      </c>
      <c r="I60" s="114"/>
    </row>
    <row r="61" spans="1:24" ht="15" thickBot="1" x14ac:dyDescent="0.35">
      <c r="A61" s="76" t="s">
        <v>100</v>
      </c>
      <c r="B61" s="77" t="s">
        <v>14</v>
      </c>
      <c r="C61" s="76">
        <f>SUM(C49,-C58,C59)</f>
        <v>-110</v>
      </c>
      <c r="E61" s="76">
        <f t="shared" ref="E61:I61" si="22">SUM(E49,-E58,E59)</f>
        <v>-112</v>
      </c>
      <c r="F61" s="38"/>
      <c r="G61" s="76">
        <f t="shared" si="22"/>
        <v>-134</v>
      </c>
      <c r="H61" s="76">
        <f t="shared" si="22"/>
        <v>-161</v>
      </c>
      <c r="I61" s="76">
        <f t="shared" si="22"/>
        <v>-138</v>
      </c>
      <c r="J61" s="2"/>
      <c r="K61" s="2"/>
      <c r="L61" s="2"/>
      <c r="M61" s="2"/>
      <c r="N61" s="2"/>
      <c r="O61" s="2"/>
      <c r="R61" s="50" t="s">
        <v>227</v>
      </c>
      <c r="S61" s="51"/>
      <c r="T61" s="51"/>
      <c r="U61" s="54"/>
      <c r="V61" s="54"/>
      <c r="W61" s="54"/>
      <c r="X61" s="55"/>
    </row>
    <row r="62" spans="1:24" ht="15" thickBot="1" x14ac:dyDescent="0.35">
      <c r="A62" s="44"/>
      <c r="B62" s="37"/>
      <c r="C62" s="44"/>
      <c r="E62" s="44"/>
      <c r="F62" s="38"/>
      <c r="G62" s="37"/>
      <c r="H62" s="37"/>
      <c r="I62" s="114"/>
      <c r="J62" s="2"/>
      <c r="K62" s="2"/>
      <c r="L62" s="2"/>
      <c r="M62" s="2"/>
      <c r="N62" s="2"/>
      <c r="O62" s="2"/>
      <c r="R62" s="50"/>
      <c r="S62" s="51"/>
      <c r="T62" s="51"/>
      <c r="U62" s="51"/>
      <c r="V62" s="51"/>
      <c r="W62" s="51"/>
      <c r="X62" s="52"/>
    </row>
    <row r="63" spans="1:24" x14ac:dyDescent="0.3">
      <c r="A63" s="75" t="s">
        <v>275</v>
      </c>
      <c r="B63" s="36" t="s">
        <v>15</v>
      </c>
      <c r="C63" s="75">
        <f>SUM(C41,C43,C61)</f>
        <v>581</v>
      </c>
      <c r="D63" s="75"/>
      <c r="E63" s="75">
        <f>SUM(E41,E43,E61)</f>
        <v>490</v>
      </c>
      <c r="F63" s="38"/>
      <c r="G63" s="75">
        <f t="shared" ref="G63:I63" si="23">SUM(G41,G43,G61)</f>
        <v>576</v>
      </c>
      <c r="H63" s="75">
        <f t="shared" si="23"/>
        <v>334</v>
      </c>
      <c r="I63" s="75">
        <f t="shared" si="23"/>
        <v>78</v>
      </c>
      <c r="J63" s="53"/>
      <c r="K63" s="53"/>
      <c r="L63" s="2"/>
      <c r="M63" s="2"/>
      <c r="N63" s="2"/>
      <c r="O63" s="2"/>
      <c r="R63" s="61"/>
      <c r="S63" s="62">
        <v>43830</v>
      </c>
      <c r="T63" s="63">
        <v>43465</v>
      </c>
      <c r="U63" s="56"/>
      <c r="V63" s="56"/>
      <c r="W63" s="56"/>
      <c r="X63" s="57"/>
    </row>
    <row r="64" spans="1:24" x14ac:dyDescent="0.3">
      <c r="A64" s="38" t="s">
        <v>273</v>
      </c>
      <c r="B64" s="35"/>
      <c r="C64" s="91">
        <f>(C63/C9)</f>
        <v>7.9328235936646646E-2</v>
      </c>
      <c r="D64" s="91"/>
      <c r="E64" s="91">
        <f>(E63/E9)</f>
        <v>7.5454265475823831E-2</v>
      </c>
      <c r="F64" s="91"/>
      <c r="G64" s="35"/>
      <c r="H64" s="35"/>
      <c r="I64" s="65"/>
      <c r="J64" s="2"/>
      <c r="K64" s="2"/>
      <c r="L64" s="2"/>
      <c r="M64" s="2"/>
      <c r="N64" s="2"/>
      <c r="O64" s="2"/>
      <c r="R64" s="64" t="s">
        <v>228</v>
      </c>
      <c r="S64" s="35">
        <v>581</v>
      </c>
      <c r="T64" s="65">
        <v>490</v>
      </c>
      <c r="U64" s="2"/>
      <c r="V64" s="2"/>
      <c r="W64" s="2"/>
      <c r="X64" s="58"/>
    </row>
    <row r="65" spans="1:24" x14ac:dyDescent="0.3">
      <c r="A65" s="73" t="s">
        <v>101</v>
      </c>
      <c r="B65" s="73" t="s">
        <v>101</v>
      </c>
      <c r="C65" s="73"/>
      <c r="D65" s="73"/>
      <c r="E65" s="73"/>
      <c r="F65" s="38"/>
      <c r="G65" s="73"/>
      <c r="H65" s="73"/>
      <c r="I65" s="73"/>
      <c r="J65" s="2"/>
      <c r="K65" s="2"/>
      <c r="L65" s="2"/>
      <c r="M65" s="2"/>
      <c r="N65" s="2"/>
      <c r="O65" s="2"/>
      <c r="R65" s="64" t="s">
        <v>229</v>
      </c>
      <c r="S65" s="35">
        <v>9</v>
      </c>
      <c r="T65" s="65">
        <v>160</v>
      </c>
      <c r="U65" s="2"/>
      <c r="V65" s="2"/>
      <c r="W65" s="2"/>
      <c r="X65" s="58"/>
    </row>
    <row r="66" spans="1:24" x14ac:dyDescent="0.3">
      <c r="A66" s="47" t="s">
        <v>221</v>
      </c>
      <c r="B66" s="37" t="s">
        <v>264</v>
      </c>
      <c r="C66" s="47">
        <v>147</v>
      </c>
      <c r="E66" s="47">
        <v>146</v>
      </c>
      <c r="F66" s="157"/>
      <c r="G66" s="37">
        <v>107</v>
      </c>
      <c r="H66" s="37">
        <v>138</v>
      </c>
      <c r="I66" s="114">
        <v>105</v>
      </c>
      <c r="J66" s="2"/>
      <c r="K66" s="2"/>
      <c r="L66" s="2"/>
      <c r="M66" s="2"/>
      <c r="N66" s="2"/>
      <c r="O66" s="2"/>
      <c r="R66" s="64" t="s">
        <v>230</v>
      </c>
      <c r="S66" s="35">
        <v>590</v>
      </c>
      <c r="T66" s="65">
        <v>650</v>
      </c>
      <c r="U66" s="2"/>
      <c r="V66" s="2"/>
      <c r="W66" s="2"/>
      <c r="X66" s="58"/>
    </row>
    <row r="67" spans="1:24" x14ac:dyDescent="0.3">
      <c r="A67" s="47" t="s">
        <v>222</v>
      </c>
      <c r="B67" s="37" t="s">
        <v>265</v>
      </c>
      <c r="C67" s="47">
        <v>30</v>
      </c>
      <c r="E67" s="47">
        <v>30</v>
      </c>
      <c r="F67" s="157"/>
      <c r="G67" s="37">
        <v>26</v>
      </c>
      <c r="H67" s="37">
        <v>25</v>
      </c>
      <c r="I67" s="114">
        <v>23</v>
      </c>
      <c r="J67" s="2"/>
      <c r="K67" s="2"/>
      <c r="L67" s="2"/>
      <c r="M67" s="2"/>
      <c r="N67" s="2"/>
      <c r="O67" s="2"/>
      <c r="R67" s="64" t="s">
        <v>231</v>
      </c>
      <c r="S67" s="35">
        <v>142</v>
      </c>
      <c r="T67" s="65">
        <v>156</v>
      </c>
      <c r="U67" s="2"/>
      <c r="V67" s="2"/>
      <c r="W67" s="2"/>
      <c r="X67" s="58"/>
    </row>
    <row r="68" spans="1:24" x14ac:dyDescent="0.3">
      <c r="A68" s="47" t="s">
        <v>223</v>
      </c>
      <c r="B68" s="37" t="s">
        <v>266</v>
      </c>
      <c r="C68" s="47">
        <v>5</v>
      </c>
      <c r="E68" s="47">
        <v>2</v>
      </c>
      <c r="F68" s="157"/>
      <c r="G68" s="37">
        <v>-1</v>
      </c>
      <c r="H68" s="37">
        <v>4</v>
      </c>
      <c r="I68" s="114">
        <v>-17</v>
      </c>
      <c r="J68" s="2"/>
      <c r="K68" s="2"/>
      <c r="L68" s="2"/>
      <c r="M68" s="2"/>
      <c r="N68" s="2"/>
      <c r="O68" s="2"/>
      <c r="R68" s="64" t="s">
        <v>232</v>
      </c>
      <c r="S68" s="35">
        <v>-2</v>
      </c>
      <c r="T68" s="65">
        <v>-38</v>
      </c>
      <c r="U68" s="2"/>
      <c r="V68" s="2"/>
      <c r="W68" s="2"/>
      <c r="X68" s="58"/>
    </row>
    <row r="69" spans="1:24" x14ac:dyDescent="0.3">
      <c r="A69" s="49" t="s">
        <v>226</v>
      </c>
      <c r="B69" s="37" t="s">
        <v>267</v>
      </c>
      <c r="C69" s="49">
        <f>SUM(C66:C68)</f>
        <v>182</v>
      </c>
      <c r="E69" s="49">
        <f t="shared" ref="E69:I69" si="24">SUM(E66:E68)</f>
        <v>178</v>
      </c>
      <c r="F69" s="80"/>
      <c r="G69" s="49">
        <f t="shared" si="24"/>
        <v>132</v>
      </c>
      <c r="H69" s="49">
        <f t="shared" si="24"/>
        <v>167</v>
      </c>
      <c r="I69" s="49">
        <f t="shared" si="24"/>
        <v>111</v>
      </c>
      <c r="J69" s="2"/>
      <c r="K69" s="2"/>
      <c r="L69" s="2"/>
      <c r="M69" s="2"/>
      <c r="N69" s="2"/>
      <c r="O69" s="2"/>
      <c r="R69" s="64" t="s">
        <v>233</v>
      </c>
      <c r="S69" s="35">
        <v>19</v>
      </c>
      <c r="T69" s="65">
        <v>9</v>
      </c>
      <c r="U69" s="2"/>
      <c r="V69" s="2"/>
      <c r="W69" s="2"/>
      <c r="X69" s="58"/>
    </row>
    <row r="70" spans="1:24" x14ac:dyDescent="0.3">
      <c r="A70" s="47" t="s">
        <v>90</v>
      </c>
      <c r="B70" s="37" t="s">
        <v>268</v>
      </c>
      <c r="C70" s="47">
        <v>71</v>
      </c>
      <c r="E70" s="47">
        <v>33</v>
      </c>
      <c r="F70" s="157"/>
      <c r="G70" s="37">
        <v>88</v>
      </c>
      <c r="H70" s="37">
        <v>44</v>
      </c>
      <c r="I70" s="114">
        <v>142</v>
      </c>
      <c r="J70" s="2"/>
      <c r="K70" s="2"/>
      <c r="L70" s="2"/>
      <c r="M70" s="2"/>
      <c r="N70" s="2"/>
      <c r="O70" s="2"/>
      <c r="R70" s="64" t="s">
        <v>236</v>
      </c>
      <c r="S70" s="35">
        <v>159</v>
      </c>
      <c r="T70" s="65">
        <v>127</v>
      </c>
      <c r="U70" s="2"/>
      <c r="V70" s="2"/>
      <c r="W70" s="2"/>
      <c r="X70" s="58"/>
    </row>
    <row r="71" spans="1:24" x14ac:dyDescent="0.3">
      <c r="A71" s="47" t="s">
        <v>224</v>
      </c>
      <c r="B71" s="37" t="s">
        <v>269</v>
      </c>
      <c r="C71" s="47">
        <v>-64</v>
      </c>
      <c r="E71" s="47">
        <v>-54</v>
      </c>
      <c r="F71" s="157"/>
      <c r="G71" s="37">
        <v>-28</v>
      </c>
      <c r="H71" s="37">
        <v>-89</v>
      </c>
      <c r="I71" s="114">
        <v>-120</v>
      </c>
      <c r="J71" s="2"/>
      <c r="K71" s="2"/>
      <c r="L71" s="2"/>
      <c r="M71" s="2"/>
      <c r="N71" s="2"/>
      <c r="O71" s="2"/>
      <c r="R71" s="64" t="s">
        <v>235</v>
      </c>
      <c r="S71" s="35">
        <v>30</v>
      </c>
      <c r="T71" s="65">
        <v>30</v>
      </c>
      <c r="U71" s="2"/>
      <c r="V71" s="2"/>
      <c r="W71" s="2"/>
      <c r="X71" s="58"/>
    </row>
    <row r="72" spans="1:24" ht="15" thickBot="1" x14ac:dyDescent="0.35">
      <c r="A72" s="73" t="s">
        <v>319</v>
      </c>
      <c r="B72" s="74" t="s">
        <v>270</v>
      </c>
      <c r="C72" s="73">
        <f>SUM(C69:C71)</f>
        <v>189</v>
      </c>
      <c r="E72" s="73">
        <f t="shared" ref="E72:I72" si="25">SUM(E69:E71)</f>
        <v>157</v>
      </c>
      <c r="F72" s="38"/>
      <c r="G72" s="73">
        <f t="shared" si="25"/>
        <v>192</v>
      </c>
      <c r="H72" s="73">
        <f t="shared" si="25"/>
        <v>122</v>
      </c>
      <c r="I72" s="73">
        <f t="shared" si="25"/>
        <v>133</v>
      </c>
      <c r="J72" s="2"/>
      <c r="K72" s="2"/>
      <c r="L72" s="2"/>
      <c r="M72" s="2"/>
      <c r="N72" s="2"/>
      <c r="O72" s="2"/>
      <c r="R72" s="66" t="s">
        <v>234</v>
      </c>
      <c r="S72" s="67">
        <v>189</v>
      </c>
      <c r="T72" s="68">
        <v>157</v>
      </c>
      <c r="U72" s="59"/>
      <c r="V72" s="59"/>
      <c r="W72" s="59"/>
      <c r="X72" s="60"/>
    </row>
    <row r="73" spans="1:24" x14ac:dyDescent="0.3">
      <c r="A73" s="75" t="s">
        <v>102</v>
      </c>
      <c r="B73" s="36" t="s">
        <v>17</v>
      </c>
      <c r="C73" s="75">
        <f>SUM(C63,-C72)</f>
        <v>392</v>
      </c>
      <c r="D73" s="75"/>
      <c r="E73" s="75">
        <f t="shared" ref="E73:I73" si="26">SUM(E63,-E72)</f>
        <v>333</v>
      </c>
      <c r="F73" s="38"/>
      <c r="G73" s="75">
        <f t="shared" si="26"/>
        <v>384</v>
      </c>
      <c r="H73" s="75">
        <f t="shared" si="26"/>
        <v>212</v>
      </c>
      <c r="I73" s="75">
        <f t="shared" si="26"/>
        <v>-55</v>
      </c>
    </row>
    <row r="74" spans="1:24" x14ac:dyDescent="0.3">
      <c r="A74" s="44" t="s">
        <v>103</v>
      </c>
      <c r="B74" s="37" t="s">
        <v>19</v>
      </c>
      <c r="C74" s="44">
        <v>1</v>
      </c>
      <c r="E74" s="44">
        <v>21</v>
      </c>
      <c r="F74" s="38"/>
      <c r="G74" s="37">
        <v>-85</v>
      </c>
      <c r="H74" s="37">
        <v>19</v>
      </c>
      <c r="I74" s="114">
        <v>0</v>
      </c>
    </row>
    <row r="75" spans="1:24" x14ac:dyDescent="0.3">
      <c r="A75" s="44"/>
      <c r="B75" s="37"/>
      <c r="C75" s="44"/>
      <c r="E75" s="44"/>
      <c r="F75" s="38"/>
      <c r="G75" s="37"/>
      <c r="H75" s="37"/>
      <c r="I75" s="114"/>
    </row>
    <row r="76" spans="1:24" x14ac:dyDescent="0.3">
      <c r="A76" s="78" t="s">
        <v>104</v>
      </c>
      <c r="B76" s="79" t="s">
        <v>20</v>
      </c>
      <c r="C76" s="78">
        <f>SUM(C73:C74)</f>
        <v>393</v>
      </c>
      <c r="D76" s="78"/>
      <c r="E76" s="78">
        <f t="shared" ref="E76" si="27">SUM(E73:E74)</f>
        <v>354</v>
      </c>
      <c r="F76" s="38"/>
      <c r="G76" s="78">
        <f t="shared" ref="G76:I76" si="28">SUM(G73:G74)</f>
        <v>299</v>
      </c>
      <c r="H76" s="78">
        <f t="shared" si="28"/>
        <v>231</v>
      </c>
      <c r="I76" s="78">
        <f t="shared" si="28"/>
        <v>-55</v>
      </c>
    </row>
    <row r="77" spans="1:24" x14ac:dyDescent="0.3">
      <c r="A77" s="44" t="s">
        <v>105</v>
      </c>
      <c r="B77" s="37" t="s">
        <v>21</v>
      </c>
      <c r="C77" s="44">
        <v>-4</v>
      </c>
      <c r="E77">
        <v>-10</v>
      </c>
      <c r="F77" s="9"/>
      <c r="G77" s="37">
        <v>-6</v>
      </c>
      <c r="H77" s="37">
        <v>1</v>
      </c>
      <c r="I77" s="114">
        <v>130</v>
      </c>
    </row>
    <row r="78" spans="1:24" x14ac:dyDescent="0.3">
      <c r="A78" s="44"/>
      <c r="B78" s="37"/>
      <c r="C78" s="44"/>
      <c r="F78" s="9"/>
      <c r="G78" s="37"/>
      <c r="H78" s="37"/>
      <c r="I78" s="114"/>
    </row>
    <row r="79" spans="1:24" ht="15" thickBot="1" x14ac:dyDescent="0.35">
      <c r="A79" s="75" t="s">
        <v>106</v>
      </c>
      <c r="B79" s="36" t="s">
        <v>22</v>
      </c>
      <c r="C79" s="75">
        <f>SUM(C76:C77)</f>
        <v>389</v>
      </c>
      <c r="D79" s="75"/>
      <c r="E79" s="75">
        <f t="shared" ref="E79" si="29">SUM(E76:E77)</f>
        <v>344</v>
      </c>
      <c r="F79" s="161"/>
      <c r="G79" s="127">
        <v>293</v>
      </c>
      <c r="H79" s="127">
        <v>232</v>
      </c>
      <c r="I79" s="130">
        <v>73</v>
      </c>
    </row>
    <row r="80" spans="1:24" x14ac:dyDescent="0.3">
      <c r="A80" s="44" t="s">
        <v>318</v>
      </c>
      <c r="B80" s="98"/>
      <c r="C80" s="156">
        <f>(C79/C9)</f>
        <v>5.3113052976515564E-2</v>
      </c>
      <c r="D80" s="156"/>
      <c r="E80" s="156">
        <f>(E79/E9)</f>
        <v>5.2971974129966119E-2</v>
      </c>
      <c r="F80" s="156"/>
      <c r="G80" s="156">
        <f t="shared" ref="G80:I80" si="30">(G79/G9)</f>
        <v>5.0552104899930984E-2</v>
      </c>
      <c r="H80" s="156">
        <f t="shared" si="30"/>
        <v>4.7736625514403296E-2</v>
      </c>
      <c r="I80" s="156">
        <f t="shared" si="30"/>
        <v>1.4834383255435887E-2</v>
      </c>
    </row>
    <row r="81" spans="1:9" x14ac:dyDescent="0.3">
      <c r="A81" s="98" t="s">
        <v>320</v>
      </c>
      <c r="B81" s="98"/>
      <c r="C81" s="147">
        <v>240.96199999999999</v>
      </c>
      <c r="D81" s="147"/>
      <c r="E81" s="147">
        <v>217.643</v>
      </c>
      <c r="F81" s="160"/>
      <c r="G81" s="2">
        <v>179.71100000000001</v>
      </c>
      <c r="H81" s="160">
        <v>152.97200000000001</v>
      </c>
      <c r="I81" s="160">
        <v>127.346</v>
      </c>
    </row>
    <row r="82" spans="1:9" x14ac:dyDescent="0.3">
      <c r="A82" s="98" t="s">
        <v>321</v>
      </c>
      <c r="B82" s="98"/>
      <c r="C82" s="148">
        <f>(C81/C79)</f>
        <v>0.619439588688946</v>
      </c>
      <c r="D82" s="148"/>
      <c r="E82" s="148">
        <f t="shared" ref="E82" si="31">(E81/E79)</f>
        <v>0.63268313953488375</v>
      </c>
      <c r="F82" s="148"/>
      <c r="G82" s="148">
        <f t="shared" ref="G82" si="32">(G81/G79)</f>
        <v>0.61334812286689422</v>
      </c>
      <c r="H82" s="148">
        <f t="shared" ref="H82" si="33">(H81/H79)</f>
        <v>0.6593620689655173</v>
      </c>
      <c r="I82" s="148">
        <f t="shared" ref="I82" si="34">(I81/I79)</f>
        <v>1.7444657534246575</v>
      </c>
    </row>
    <row r="83" spans="1:9" ht="15" thickBot="1" x14ac:dyDescent="0.35">
      <c r="A83" t="s">
        <v>322</v>
      </c>
      <c r="C83" s="149">
        <f>SUM(1,-C82)</f>
        <v>0.380560411311054</v>
      </c>
      <c r="D83" s="149"/>
      <c r="E83" s="149">
        <f t="shared" ref="E83" si="35">SUM(1,-E82)</f>
        <v>0.36731686046511625</v>
      </c>
      <c r="F83" s="149"/>
      <c r="G83" s="149">
        <f t="shared" ref="G83" si="36">SUM(1,-G82)</f>
        <v>0.38665187713310578</v>
      </c>
      <c r="H83" s="149">
        <f t="shared" ref="H83" si="37">SUM(1,-H82)</f>
        <v>0.3406379310344827</v>
      </c>
      <c r="I83" s="149">
        <f t="shared" ref="I83" si="38">SUM(1,-I82)</f>
        <v>-0.74446575342465748</v>
      </c>
    </row>
    <row r="85" spans="1:9" ht="15" thickBot="1" x14ac:dyDescent="0.35"/>
    <row r="86" spans="1:9" ht="15" thickBot="1" x14ac:dyDescent="0.35">
      <c r="A86" s="153" t="s">
        <v>287</v>
      </c>
    </row>
    <row r="87" spans="1:9" ht="15" thickBot="1" x14ac:dyDescent="0.35"/>
    <row r="88" spans="1:9" x14ac:dyDescent="0.3">
      <c r="A88" s="50" t="s">
        <v>288</v>
      </c>
      <c r="B88" s="51"/>
      <c r="C88" s="51">
        <v>2018</v>
      </c>
      <c r="D88" s="51"/>
      <c r="E88" s="52">
        <v>2023</v>
      </c>
      <c r="F88" s="225" t="s">
        <v>353</v>
      </c>
    </row>
    <row r="89" spans="1:9" x14ac:dyDescent="0.3">
      <c r="A89" s="151" t="s">
        <v>289</v>
      </c>
      <c r="B89" s="6"/>
      <c r="C89" s="6">
        <v>359</v>
      </c>
      <c r="D89" s="6"/>
      <c r="E89" s="95">
        <v>323</v>
      </c>
      <c r="F89" s="223"/>
    </row>
    <row r="90" spans="1:9" x14ac:dyDescent="0.3">
      <c r="A90" s="151" t="s">
        <v>290</v>
      </c>
      <c r="B90" s="6"/>
      <c r="C90" s="6">
        <v>187</v>
      </c>
      <c r="D90" s="6"/>
      <c r="E90" s="95">
        <v>323</v>
      </c>
      <c r="F90" s="223"/>
    </row>
    <row r="91" spans="1:9" x14ac:dyDescent="0.3">
      <c r="A91" s="151" t="s">
        <v>291</v>
      </c>
      <c r="B91" s="6"/>
      <c r="C91" s="6">
        <v>269</v>
      </c>
      <c r="D91" s="6"/>
      <c r="E91" s="95">
        <v>381</v>
      </c>
      <c r="F91" s="223"/>
    </row>
    <row r="92" spans="1:9" x14ac:dyDescent="0.3">
      <c r="A92" s="151" t="s">
        <v>292</v>
      </c>
      <c r="B92" s="6"/>
      <c r="C92" s="6">
        <v>406</v>
      </c>
      <c r="D92" s="6"/>
      <c r="E92" s="95">
        <v>518</v>
      </c>
      <c r="F92" s="223"/>
    </row>
    <row r="93" spans="1:9" x14ac:dyDescent="0.3">
      <c r="A93" s="151" t="s">
        <v>293</v>
      </c>
      <c r="B93" s="6"/>
      <c r="C93" s="6">
        <v>-29</v>
      </c>
      <c r="D93" s="6"/>
      <c r="E93" s="95">
        <v>-14</v>
      </c>
      <c r="F93" s="223"/>
    </row>
    <row r="94" spans="1:9" ht="15" thickBot="1" x14ac:dyDescent="0.35">
      <c r="A94" s="152" t="s">
        <v>294</v>
      </c>
      <c r="B94" s="96"/>
      <c r="C94" s="96">
        <f>SUM(C89:C93)</f>
        <v>1192</v>
      </c>
      <c r="D94" s="96"/>
      <c r="E94" s="97">
        <f>SUM(E89:E93)</f>
        <v>1531</v>
      </c>
      <c r="F94" s="224">
        <f>(E94-C94)/C94</f>
        <v>0.28439597315436244</v>
      </c>
      <c r="G94" s="222"/>
    </row>
    <row r="95" spans="1:9" ht="15" thickBot="1" x14ac:dyDescent="0.35"/>
    <row r="96" spans="1:9" x14ac:dyDescent="0.3">
      <c r="A96" s="50" t="s">
        <v>304</v>
      </c>
      <c r="B96" s="51"/>
      <c r="C96" s="51" t="s">
        <v>295</v>
      </c>
      <c r="D96" s="51"/>
      <c r="E96" s="52" t="s">
        <v>295</v>
      </c>
      <c r="F96" s="2"/>
    </row>
    <row r="97" spans="1:6" x14ac:dyDescent="0.3">
      <c r="A97" s="151" t="s">
        <v>302</v>
      </c>
      <c r="B97" s="6"/>
      <c r="C97" s="6">
        <v>2607</v>
      </c>
      <c r="D97" s="6" t="s">
        <v>292</v>
      </c>
      <c r="E97" s="95">
        <v>1459</v>
      </c>
      <c r="F97" s="6"/>
    </row>
    <row r="98" spans="1:6" x14ac:dyDescent="0.3">
      <c r="A98" s="151" t="s">
        <v>303</v>
      </c>
      <c r="B98" s="6"/>
      <c r="C98" s="6">
        <v>1378</v>
      </c>
      <c r="D98" s="6" t="s">
        <v>296</v>
      </c>
      <c r="E98" s="95">
        <v>504</v>
      </c>
      <c r="F98" s="6"/>
    </row>
    <row r="99" spans="1:6" x14ac:dyDescent="0.3">
      <c r="A99" s="151"/>
      <c r="B99" s="6"/>
      <c r="C99" s="6"/>
      <c r="D99" s="6" t="s">
        <v>291</v>
      </c>
      <c r="E99" s="95">
        <v>943</v>
      </c>
      <c r="F99" s="6"/>
    </row>
    <row r="100" spans="1:6" x14ac:dyDescent="0.3">
      <c r="A100" s="151"/>
      <c r="B100" s="6"/>
      <c r="C100" s="6"/>
      <c r="D100" s="6" t="s">
        <v>297</v>
      </c>
      <c r="E100" s="95">
        <v>287</v>
      </c>
      <c r="F100" s="6"/>
    </row>
    <row r="101" spans="1:6" x14ac:dyDescent="0.3">
      <c r="A101" s="151"/>
      <c r="B101" s="6"/>
      <c r="C101" s="6"/>
      <c r="D101" s="6" t="s">
        <v>298</v>
      </c>
      <c r="E101" s="95">
        <v>295</v>
      </c>
      <c r="F101" s="6"/>
    </row>
    <row r="102" spans="1:6" x14ac:dyDescent="0.3">
      <c r="A102" s="151"/>
      <c r="B102" s="6"/>
      <c r="C102" s="6"/>
      <c r="D102" s="6" t="s">
        <v>299</v>
      </c>
      <c r="E102" s="95">
        <v>402</v>
      </c>
      <c r="F102" s="6"/>
    </row>
    <row r="103" spans="1:6" x14ac:dyDescent="0.3">
      <c r="A103" s="151"/>
      <c r="B103" s="6"/>
      <c r="C103" s="6"/>
      <c r="D103" s="6" t="s">
        <v>300</v>
      </c>
      <c r="E103" s="95">
        <v>97</v>
      </c>
      <c r="F103" s="6"/>
    </row>
    <row r="104" spans="1:6" ht="15" thickBot="1" x14ac:dyDescent="0.35">
      <c r="A104" s="152" t="s">
        <v>301</v>
      </c>
      <c r="B104" s="96"/>
      <c r="C104" s="96">
        <f>SUM(C97:C98)</f>
        <v>3985</v>
      </c>
      <c r="D104" s="96" t="s">
        <v>301</v>
      </c>
      <c r="E104" s="97">
        <f>SUM(E97:E103)</f>
        <v>3987</v>
      </c>
      <c r="F104" s="6"/>
    </row>
    <row r="105" spans="1:6" ht="15" thickBot="1" x14ac:dyDescent="0.35"/>
    <row r="106" spans="1:6" x14ac:dyDescent="0.3">
      <c r="A106" s="150" t="s">
        <v>305</v>
      </c>
      <c r="B106" s="93"/>
      <c r="C106" s="94"/>
    </row>
    <row r="107" spans="1:6" x14ac:dyDescent="0.3">
      <c r="A107" s="151" t="s">
        <v>306</v>
      </c>
      <c r="B107" s="6"/>
      <c r="C107" s="154">
        <v>3</v>
      </c>
    </row>
    <row r="108" spans="1:6" x14ac:dyDescent="0.3">
      <c r="A108" s="151" t="s">
        <v>307</v>
      </c>
      <c r="B108" s="6"/>
      <c r="C108" s="95">
        <v>-6.8</v>
      </c>
    </row>
    <row r="109" spans="1:6" x14ac:dyDescent="0.3">
      <c r="A109" s="151" t="s">
        <v>308</v>
      </c>
      <c r="B109" s="6"/>
      <c r="C109" s="95">
        <v>0.3</v>
      </c>
    </row>
    <row r="110" spans="1:6" x14ac:dyDescent="0.3">
      <c r="A110" s="151" t="s">
        <v>309</v>
      </c>
      <c r="B110" s="6"/>
      <c r="C110" s="95">
        <v>0.1</v>
      </c>
    </row>
    <row r="111" spans="1:6" x14ac:dyDescent="0.3">
      <c r="A111" s="151" t="s">
        <v>310</v>
      </c>
      <c r="B111" s="6"/>
      <c r="C111" s="95">
        <v>0.8</v>
      </c>
    </row>
    <row r="112" spans="1:6" x14ac:dyDescent="0.3">
      <c r="A112" s="151" t="s">
        <v>311</v>
      </c>
      <c r="B112" s="6"/>
      <c r="C112" s="95">
        <v>0.6</v>
      </c>
    </row>
    <row r="113" spans="1:3" x14ac:dyDescent="0.3">
      <c r="A113" s="151" t="s">
        <v>312</v>
      </c>
      <c r="B113" s="6"/>
      <c r="C113" s="95">
        <v>1.3</v>
      </c>
    </row>
    <row r="114" spans="1:3" x14ac:dyDescent="0.3">
      <c r="A114" s="151" t="s">
        <v>313</v>
      </c>
      <c r="B114" s="6"/>
      <c r="C114" s="95">
        <v>3.2</v>
      </c>
    </row>
    <row r="115" spans="1:3" x14ac:dyDescent="0.3">
      <c r="A115" s="151" t="s">
        <v>314</v>
      </c>
      <c r="B115" s="6"/>
      <c r="C115" s="95">
        <v>0.5</v>
      </c>
    </row>
    <row r="116" spans="1:3" x14ac:dyDescent="0.3">
      <c r="A116" s="151" t="s">
        <v>315</v>
      </c>
      <c r="B116" s="6"/>
      <c r="C116" s="154">
        <v>2.9</v>
      </c>
    </row>
    <row r="117" spans="1:3" x14ac:dyDescent="0.3">
      <c r="A117" s="151" t="s">
        <v>316</v>
      </c>
      <c r="B117" s="6"/>
      <c r="C117" s="95">
        <v>0.1</v>
      </c>
    </row>
    <row r="118" spans="1:3" x14ac:dyDescent="0.3">
      <c r="A118" s="151" t="s">
        <v>298</v>
      </c>
      <c r="B118" s="6"/>
      <c r="C118" s="95">
        <v>0.3</v>
      </c>
    </row>
    <row r="119" spans="1:3" ht="15" thickBot="1" x14ac:dyDescent="0.35">
      <c r="A119" s="152" t="s">
        <v>317</v>
      </c>
      <c r="B119" s="96"/>
      <c r="C119" s="155">
        <v>3.3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9C83-65FF-4A0E-B53C-847E857B3324}">
  <dimension ref="A1:H18"/>
  <sheetViews>
    <sheetView workbookViewId="0">
      <selection activeCell="B32" sqref="B32"/>
    </sheetView>
  </sheetViews>
  <sheetFormatPr defaultRowHeight="14.4" x14ac:dyDescent="0.3"/>
  <cols>
    <col min="1" max="1" width="17.21875" customWidth="1"/>
    <col min="2" max="2" width="10" customWidth="1"/>
    <col min="3" max="6" width="15.5546875" customWidth="1"/>
    <col min="7" max="7" width="11.77734375" customWidth="1"/>
  </cols>
  <sheetData>
    <row r="1" spans="1:8" ht="16.2" thickBot="1" x14ac:dyDescent="0.35">
      <c r="A1" s="166" t="s">
        <v>324</v>
      </c>
      <c r="B1" s="86"/>
      <c r="C1" s="86"/>
      <c r="D1" s="86"/>
      <c r="E1" s="86"/>
      <c r="F1" s="86"/>
      <c r="G1" s="86"/>
      <c r="H1" s="87"/>
    </row>
    <row r="2" spans="1:8" ht="15" thickBot="1" x14ac:dyDescent="0.35"/>
    <row r="3" spans="1:8" ht="15" thickBot="1" x14ac:dyDescent="0.35">
      <c r="A3" s="178"/>
      <c r="B3" s="186" t="s">
        <v>325</v>
      </c>
      <c r="C3" s="187" t="s">
        <v>327</v>
      </c>
      <c r="D3" s="179" t="s">
        <v>328</v>
      </c>
      <c r="E3" s="180">
        <v>43922</v>
      </c>
      <c r="F3" s="180">
        <v>43556</v>
      </c>
      <c r="G3" s="181">
        <v>43830</v>
      </c>
    </row>
    <row r="4" spans="1:8" x14ac:dyDescent="0.3">
      <c r="A4" s="174" t="s">
        <v>92</v>
      </c>
      <c r="B4" s="188">
        <f>SUM(G4,C4)</f>
        <v>6921</v>
      </c>
      <c r="C4" s="70">
        <f>SUM(E4,-F4)</f>
        <v>-403</v>
      </c>
      <c r="D4" s="185">
        <f>(SUM(E4,-F4)/F4)</f>
        <v>-0.19099526066350711</v>
      </c>
      <c r="E4" s="175">
        <v>1707</v>
      </c>
      <c r="F4" s="176">
        <v>2110</v>
      </c>
      <c r="G4" s="177">
        <v>7324</v>
      </c>
    </row>
    <row r="5" spans="1:8" x14ac:dyDescent="0.3">
      <c r="A5" s="151" t="s">
        <v>329</v>
      </c>
      <c r="B5" s="35">
        <f t="shared" ref="B5:B18" si="0">SUM(G5,C5)</f>
        <v>4981</v>
      </c>
      <c r="C5" s="35">
        <f t="shared" ref="C5:C18" si="1">SUM(E5,-F5)</f>
        <v>-409</v>
      </c>
      <c r="D5" s="168"/>
      <c r="E5" s="98">
        <v>1196</v>
      </c>
      <c r="F5" s="98">
        <v>1605</v>
      </c>
      <c r="G5" s="102">
        <v>5390</v>
      </c>
    </row>
    <row r="6" spans="1:8" x14ac:dyDescent="0.3">
      <c r="A6" s="151" t="s">
        <v>330</v>
      </c>
      <c r="B6" s="35">
        <f t="shared" si="0"/>
        <v>703</v>
      </c>
      <c r="C6" s="35">
        <f t="shared" si="1"/>
        <v>3</v>
      </c>
      <c r="D6" s="168"/>
      <c r="E6" s="98">
        <v>180</v>
      </c>
      <c r="F6" s="98">
        <v>177</v>
      </c>
      <c r="G6" s="102">
        <v>700</v>
      </c>
    </row>
    <row r="7" spans="1:8" x14ac:dyDescent="0.3">
      <c r="A7" s="183" t="s">
        <v>307</v>
      </c>
      <c r="B7" s="79">
        <f t="shared" si="0"/>
        <v>1237</v>
      </c>
      <c r="C7" s="79">
        <f t="shared" si="1"/>
        <v>3</v>
      </c>
      <c r="D7" s="169">
        <f t="shared" ref="D7:D18" si="2">(SUM(E7,-F7)/F7)</f>
        <v>9.1463414634146336E-3</v>
      </c>
      <c r="E7" s="79">
        <f t="shared" ref="E7:F7" si="3">SUM(E4,-E5,-E6)</f>
        <v>331</v>
      </c>
      <c r="F7" s="79">
        <f t="shared" si="3"/>
        <v>328</v>
      </c>
      <c r="G7" s="170">
        <f>SUM(G4,-G5,-G6)</f>
        <v>1234</v>
      </c>
    </row>
    <row r="8" spans="1:8" x14ac:dyDescent="0.3">
      <c r="A8" s="151" t="s">
        <v>331</v>
      </c>
      <c r="B8" s="35">
        <f t="shared" si="0"/>
        <v>551</v>
      </c>
      <c r="C8" s="35">
        <f t="shared" si="1"/>
        <v>4</v>
      </c>
      <c r="D8" s="168"/>
      <c r="E8" s="98">
        <v>135</v>
      </c>
      <c r="F8" s="98">
        <v>131</v>
      </c>
      <c r="G8" s="102">
        <v>547</v>
      </c>
    </row>
    <row r="9" spans="1:8" x14ac:dyDescent="0.3">
      <c r="A9" s="183" t="s">
        <v>326</v>
      </c>
      <c r="B9" s="79">
        <f t="shared" si="0"/>
        <v>686</v>
      </c>
      <c r="C9" s="79">
        <f t="shared" si="1"/>
        <v>-1</v>
      </c>
      <c r="D9" s="169">
        <f t="shared" si="2"/>
        <v>-5.076142131979695E-3</v>
      </c>
      <c r="E9" s="79">
        <f t="shared" ref="E9:F9" si="4">SUM(E7,-E8)</f>
        <v>196</v>
      </c>
      <c r="F9" s="79">
        <f t="shared" si="4"/>
        <v>197</v>
      </c>
      <c r="G9" s="170">
        <f>SUM(G7,-G8)</f>
        <v>687</v>
      </c>
    </row>
    <row r="10" spans="1:8" hidden="1" x14ac:dyDescent="0.3">
      <c r="A10" s="167" t="s">
        <v>335</v>
      </c>
      <c r="B10" s="188">
        <f t="shared" si="0"/>
        <v>4</v>
      </c>
      <c r="C10" s="35">
        <f t="shared" si="1"/>
        <v>0</v>
      </c>
      <c r="D10" s="169" t="e">
        <f t="shared" si="2"/>
        <v>#DIV/0!</v>
      </c>
      <c r="E10" s="98"/>
      <c r="F10" s="98"/>
      <c r="G10" s="102">
        <v>4</v>
      </c>
    </row>
    <row r="11" spans="1:8" x14ac:dyDescent="0.3">
      <c r="A11" s="151" t="s">
        <v>332</v>
      </c>
      <c r="B11" s="35">
        <f t="shared" si="0"/>
        <v>-104</v>
      </c>
      <c r="C11" s="35">
        <f t="shared" si="1"/>
        <v>6</v>
      </c>
      <c r="D11" s="182"/>
      <c r="E11" s="98">
        <v>-18</v>
      </c>
      <c r="F11" s="98">
        <v>-24</v>
      </c>
      <c r="G11" s="102">
        <v>-110</v>
      </c>
    </row>
    <row r="12" spans="1:8" x14ac:dyDescent="0.3">
      <c r="A12" s="183" t="s">
        <v>275</v>
      </c>
      <c r="B12" s="79">
        <f t="shared" si="0"/>
        <v>586</v>
      </c>
      <c r="C12" s="79">
        <f t="shared" si="1"/>
        <v>5</v>
      </c>
      <c r="D12" s="169">
        <f t="shared" si="2"/>
        <v>2.8901734104046242E-2</v>
      </c>
      <c r="E12" s="79">
        <f t="shared" ref="E12:F12" si="5">SUM(E9:E11)</f>
        <v>178</v>
      </c>
      <c r="F12" s="79">
        <f t="shared" si="5"/>
        <v>173</v>
      </c>
      <c r="G12" s="170">
        <f>SUM(G9:G11)</f>
        <v>581</v>
      </c>
    </row>
    <row r="13" spans="1:8" x14ac:dyDescent="0.3">
      <c r="A13" s="151" t="s">
        <v>101</v>
      </c>
      <c r="B13" s="35">
        <f t="shared" si="0"/>
        <v>188</v>
      </c>
      <c r="C13" s="35">
        <f t="shared" si="1"/>
        <v>-1</v>
      </c>
      <c r="D13" s="182"/>
      <c r="E13" s="98">
        <v>58</v>
      </c>
      <c r="F13" s="98">
        <v>59</v>
      </c>
      <c r="G13" s="102">
        <v>189</v>
      </c>
    </row>
    <row r="14" spans="1:8" hidden="1" x14ac:dyDescent="0.3">
      <c r="A14" s="167" t="s">
        <v>336</v>
      </c>
      <c r="B14" s="188">
        <f t="shared" si="0"/>
        <v>392</v>
      </c>
      <c r="C14" s="35">
        <f t="shared" si="1"/>
        <v>0</v>
      </c>
      <c r="D14" s="169" t="e">
        <f t="shared" si="2"/>
        <v>#DIV/0!</v>
      </c>
      <c r="E14" s="98"/>
      <c r="F14" s="98"/>
      <c r="G14" s="102">
        <f>SUM(G12,-G13)</f>
        <v>392</v>
      </c>
    </row>
    <row r="15" spans="1:8" hidden="1" x14ac:dyDescent="0.3">
      <c r="A15" s="167" t="s">
        <v>337</v>
      </c>
      <c r="B15" s="188">
        <f t="shared" si="0"/>
        <v>1</v>
      </c>
      <c r="C15" s="35">
        <f t="shared" si="1"/>
        <v>0</v>
      </c>
      <c r="D15" s="169" t="e">
        <f t="shared" si="2"/>
        <v>#DIV/0!</v>
      </c>
      <c r="E15" s="98"/>
      <c r="F15" s="98"/>
      <c r="G15" s="102">
        <v>1</v>
      </c>
    </row>
    <row r="16" spans="1:8" x14ac:dyDescent="0.3">
      <c r="A16" s="184" t="s">
        <v>333</v>
      </c>
      <c r="B16" s="35">
        <f t="shared" si="0"/>
        <v>399</v>
      </c>
      <c r="C16" s="35">
        <f t="shared" si="1"/>
        <v>6</v>
      </c>
      <c r="D16" s="182"/>
      <c r="E16" s="98">
        <v>120</v>
      </c>
      <c r="F16" s="98">
        <v>114</v>
      </c>
      <c r="G16" s="102">
        <f>SUM(G14:G15)</f>
        <v>393</v>
      </c>
    </row>
    <row r="17" spans="1:7" ht="15" thickBot="1" x14ac:dyDescent="0.35">
      <c r="A17" s="151" t="s">
        <v>105</v>
      </c>
      <c r="B17" s="189">
        <f t="shared" si="0"/>
        <v>-2</v>
      </c>
      <c r="C17" s="189">
        <f t="shared" si="1"/>
        <v>2</v>
      </c>
      <c r="D17" s="191"/>
      <c r="E17" s="192">
        <v>-8</v>
      </c>
      <c r="F17" s="192">
        <v>-10</v>
      </c>
      <c r="G17" s="193">
        <v>-4</v>
      </c>
    </row>
    <row r="18" spans="1:7" ht="15" thickBot="1" x14ac:dyDescent="0.35">
      <c r="A18" s="171" t="s">
        <v>334</v>
      </c>
      <c r="B18" s="172">
        <f t="shared" si="0"/>
        <v>397</v>
      </c>
      <c r="C18" s="172">
        <f t="shared" si="1"/>
        <v>8</v>
      </c>
      <c r="D18" s="190">
        <f t="shared" si="2"/>
        <v>7.6923076923076927E-2</v>
      </c>
      <c r="E18" s="173">
        <f t="shared" ref="E18:F18" si="6">SUM(E16,E17)</f>
        <v>112</v>
      </c>
      <c r="F18" s="173">
        <f t="shared" si="6"/>
        <v>104</v>
      </c>
      <c r="G18" s="173">
        <f>SUM(G16,G17)</f>
        <v>389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C5EB-3EA3-41FC-BD61-B127DEE946BB}">
  <dimension ref="A1:U119"/>
  <sheetViews>
    <sheetView tabSelected="1" workbookViewId="0">
      <selection activeCell="P89" sqref="P89"/>
    </sheetView>
  </sheetViews>
  <sheetFormatPr defaultRowHeight="14.4" x14ac:dyDescent="0.3"/>
  <cols>
    <col min="1" max="1" width="24.33203125" customWidth="1"/>
    <col min="2" max="2" width="12.88671875" bestFit="1" customWidth="1"/>
    <col min="3" max="3" width="10.5546875" bestFit="1" customWidth="1"/>
    <col min="4" max="4" width="15" customWidth="1"/>
    <col min="5" max="5" width="13.21875" customWidth="1"/>
    <col min="6" max="6" width="12.88671875" customWidth="1"/>
    <col min="7" max="7" width="10.5546875" bestFit="1" customWidth="1"/>
    <col min="8" max="8" width="12" customWidth="1"/>
    <col min="9" max="9" width="11.21875" customWidth="1"/>
    <col min="10" max="10" width="17.33203125" customWidth="1"/>
    <col min="11" max="11" width="13.33203125" customWidth="1"/>
    <col min="12" max="12" width="15.33203125" customWidth="1"/>
    <col min="13" max="13" width="12.109375" hidden="1" customWidth="1"/>
    <col min="14" max="14" width="12" hidden="1" customWidth="1"/>
    <col min="15" max="15" width="0.88671875" hidden="1" customWidth="1"/>
    <col min="16" max="16" width="10.5546875" bestFit="1" customWidth="1"/>
    <col min="17" max="17" width="10.5546875" hidden="1" customWidth="1"/>
    <col min="18" max="18" width="11.6640625" hidden="1" customWidth="1"/>
    <col min="19" max="19" width="13.44140625" hidden="1" customWidth="1"/>
    <col min="20" max="21" width="10.5546875" bestFit="1" customWidth="1"/>
  </cols>
  <sheetData>
    <row r="1" spans="1:19" ht="15" thickBot="1" x14ac:dyDescent="0.35">
      <c r="A1" s="202" t="s">
        <v>345</v>
      </c>
      <c r="B1" s="86"/>
      <c r="C1" s="86"/>
      <c r="D1" s="87"/>
      <c r="E1" s="56"/>
      <c r="F1" s="141" t="s">
        <v>346</v>
      </c>
      <c r="G1" s="39"/>
      <c r="H1" s="40"/>
      <c r="J1" s="202" t="s">
        <v>400</v>
      </c>
      <c r="K1" s="86"/>
      <c r="L1" s="86"/>
      <c r="M1" s="86"/>
      <c r="N1" s="86"/>
      <c r="O1" s="86"/>
      <c r="P1" s="220"/>
      <c r="Q1" s="86"/>
      <c r="R1" s="86"/>
      <c r="S1" s="87"/>
    </row>
    <row r="2" spans="1:19" x14ac:dyDescent="0.3">
      <c r="A2" s="204"/>
      <c r="B2" s="208" t="s">
        <v>339</v>
      </c>
      <c r="C2" s="205">
        <v>43830</v>
      </c>
      <c r="D2" s="205">
        <v>43465</v>
      </c>
      <c r="E2" s="35"/>
      <c r="F2" s="210">
        <v>43100</v>
      </c>
      <c r="G2" s="205">
        <v>42735</v>
      </c>
      <c r="H2" s="211">
        <v>42369</v>
      </c>
      <c r="J2" s="204"/>
      <c r="K2" s="208" t="s">
        <v>350</v>
      </c>
      <c r="L2" s="215" t="s">
        <v>348</v>
      </c>
      <c r="M2" s="205">
        <v>43830</v>
      </c>
      <c r="N2" s="205">
        <v>43922</v>
      </c>
      <c r="O2" s="216">
        <v>43556</v>
      </c>
      <c r="P2" s="221" t="s">
        <v>349</v>
      </c>
      <c r="Q2" s="217">
        <v>43465</v>
      </c>
      <c r="R2" s="205">
        <v>43556</v>
      </c>
      <c r="S2" s="211">
        <v>43191</v>
      </c>
    </row>
    <row r="3" spans="1:19" x14ac:dyDescent="0.3">
      <c r="A3" s="203" t="s">
        <v>341</v>
      </c>
      <c r="B3" s="98">
        <f>SUM(C3,-D3)</f>
        <v>71</v>
      </c>
      <c r="C3" s="98">
        <v>1852</v>
      </c>
      <c r="D3" s="98">
        <v>1781</v>
      </c>
      <c r="E3" s="35"/>
      <c r="F3" s="98">
        <v>1671</v>
      </c>
      <c r="G3" s="98">
        <v>1821</v>
      </c>
      <c r="H3" s="102"/>
      <c r="J3" s="203" t="s">
        <v>341</v>
      </c>
      <c r="K3" s="98">
        <f xml:space="preserve"> L3-P3</f>
        <v>-201</v>
      </c>
      <c r="L3" s="98">
        <f t="shared" ref="L3:L6" si="0" xml:space="preserve"> M3 - O3 + N3</f>
        <v>1831</v>
      </c>
      <c r="M3" s="98">
        <v>1852</v>
      </c>
      <c r="N3" s="98">
        <v>2056</v>
      </c>
      <c r="O3" s="213">
        <v>2077</v>
      </c>
      <c r="P3" s="102">
        <f t="shared" ref="P3:P6" si="1">Q3+R3-S3</f>
        <v>2032</v>
      </c>
      <c r="Q3" s="218">
        <v>1781</v>
      </c>
      <c r="R3" s="98">
        <v>2077</v>
      </c>
      <c r="S3" s="102">
        <v>1826</v>
      </c>
    </row>
    <row r="4" spans="1:19" x14ac:dyDescent="0.3">
      <c r="A4" s="203" t="s">
        <v>342</v>
      </c>
      <c r="B4" s="98">
        <f t="shared" ref="B4:B8" si="2">SUM(C4,-D4)</f>
        <v>-3</v>
      </c>
      <c r="C4" s="98">
        <v>184</v>
      </c>
      <c r="D4" s="98">
        <v>187</v>
      </c>
      <c r="E4" s="35"/>
      <c r="F4" s="98">
        <v>147</v>
      </c>
      <c r="G4" s="98">
        <v>159</v>
      </c>
      <c r="H4" s="102"/>
      <c r="J4" s="203" t="s">
        <v>347</v>
      </c>
      <c r="K4" s="98">
        <f t="shared" ref="K4:K8" si="3" xml:space="preserve"> L4-P4</f>
        <v>-57</v>
      </c>
      <c r="L4" s="98">
        <f t="shared" si="0"/>
        <v>169</v>
      </c>
      <c r="M4" s="98">
        <v>184</v>
      </c>
      <c r="N4" s="98">
        <v>104</v>
      </c>
      <c r="O4" s="213">
        <v>119</v>
      </c>
      <c r="P4" s="102">
        <f t="shared" si="1"/>
        <v>226</v>
      </c>
      <c r="Q4" s="218">
        <v>187</v>
      </c>
      <c r="R4" s="98">
        <v>119</v>
      </c>
      <c r="S4" s="102">
        <v>80</v>
      </c>
    </row>
    <row r="5" spans="1:19" x14ac:dyDescent="0.3">
      <c r="A5" s="203"/>
      <c r="B5" s="98"/>
      <c r="C5" s="98"/>
      <c r="D5" s="98"/>
      <c r="E5" s="35"/>
      <c r="F5" s="35"/>
      <c r="G5" s="98"/>
      <c r="H5" s="102"/>
      <c r="J5" s="203"/>
      <c r="K5" s="98">
        <f t="shared" si="3"/>
        <v>0</v>
      </c>
      <c r="L5" s="98"/>
      <c r="M5" s="98"/>
      <c r="N5" s="98"/>
      <c r="O5" s="213"/>
      <c r="P5" s="102"/>
      <c r="Q5" s="218"/>
      <c r="R5" s="98"/>
      <c r="S5" s="102"/>
    </row>
    <row r="6" spans="1:19" x14ac:dyDescent="0.3">
      <c r="A6" s="203" t="s">
        <v>343</v>
      </c>
      <c r="B6" s="98">
        <f t="shared" si="2"/>
        <v>68</v>
      </c>
      <c r="C6" s="98">
        <v>1481</v>
      </c>
      <c r="D6" s="98">
        <v>1413</v>
      </c>
      <c r="E6" s="35"/>
      <c r="F6" s="98">
        <v>1381</v>
      </c>
      <c r="G6" s="98">
        <v>1384</v>
      </c>
      <c r="H6" s="102"/>
      <c r="J6" s="203" t="s">
        <v>343</v>
      </c>
      <c r="K6" s="98">
        <f t="shared" si="3"/>
        <v>-101</v>
      </c>
      <c r="L6" s="98">
        <f t="shared" si="0"/>
        <v>1483</v>
      </c>
      <c r="M6" s="98">
        <v>1481</v>
      </c>
      <c r="N6" s="98">
        <v>1323</v>
      </c>
      <c r="O6" s="213">
        <v>1321</v>
      </c>
      <c r="P6" s="102">
        <f t="shared" si="1"/>
        <v>1584</v>
      </c>
      <c r="Q6" s="218">
        <v>1413</v>
      </c>
      <c r="R6" s="98">
        <v>1321</v>
      </c>
      <c r="S6" s="102">
        <v>1150</v>
      </c>
    </row>
    <row r="7" spans="1:19" x14ac:dyDescent="0.3">
      <c r="A7" s="203"/>
      <c r="B7" s="98"/>
      <c r="C7" s="98"/>
      <c r="D7" s="98"/>
      <c r="E7" s="35"/>
      <c r="F7" s="35"/>
      <c r="G7" s="98"/>
      <c r="H7" s="102"/>
      <c r="J7" s="203"/>
      <c r="K7" s="98"/>
      <c r="L7" s="98"/>
      <c r="M7" s="98"/>
      <c r="N7" s="98"/>
      <c r="O7" s="213"/>
      <c r="P7" s="102"/>
      <c r="Q7" s="218"/>
      <c r="R7" s="98"/>
      <c r="S7" s="102"/>
    </row>
    <row r="8" spans="1:19" ht="15" thickBot="1" x14ac:dyDescent="0.35">
      <c r="A8" s="206" t="s">
        <v>344</v>
      </c>
      <c r="B8" s="209">
        <f t="shared" si="2"/>
        <v>0</v>
      </c>
      <c r="C8" s="207">
        <f>(SUM(C3,C4) -C6)</f>
        <v>555</v>
      </c>
      <c r="D8" s="207">
        <f>SUM(D3,D4,-D6)</f>
        <v>555</v>
      </c>
      <c r="E8" s="103"/>
      <c r="F8" s="207">
        <f t="shared" ref="F8:G8" si="4">SUM(F3,F4,-F6)</f>
        <v>437</v>
      </c>
      <c r="G8" s="207">
        <f t="shared" si="4"/>
        <v>596</v>
      </c>
      <c r="H8" s="212"/>
      <c r="J8" s="206" t="s">
        <v>344</v>
      </c>
      <c r="K8" s="209">
        <f t="shared" si="3"/>
        <v>-157</v>
      </c>
      <c r="L8" s="207">
        <f xml:space="preserve"> M8 - O8 + N8</f>
        <v>517</v>
      </c>
      <c r="M8" s="207">
        <f>(SUM(M3,M4) -M6)</f>
        <v>555</v>
      </c>
      <c r="N8" s="207">
        <f t="shared" ref="N8:S8" si="5">(SUM(N3,N4) -N6)</f>
        <v>837</v>
      </c>
      <c r="O8" s="214">
        <f t="shared" si="5"/>
        <v>875</v>
      </c>
      <c r="P8" s="212">
        <f>Q8+R8-S8</f>
        <v>674</v>
      </c>
      <c r="Q8" s="219">
        <f t="shared" si="5"/>
        <v>555</v>
      </c>
      <c r="R8" s="207">
        <f t="shared" si="5"/>
        <v>875</v>
      </c>
      <c r="S8" s="212">
        <f t="shared" si="5"/>
        <v>756</v>
      </c>
    </row>
    <row r="10" spans="1:19" ht="15" thickBot="1" x14ac:dyDescent="0.35"/>
    <row r="11" spans="1:19" ht="15" thickBot="1" x14ac:dyDescent="0.35">
      <c r="A11" s="202" t="s">
        <v>401</v>
      </c>
      <c r="B11" s="86"/>
      <c r="C11" s="86"/>
      <c r="D11" s="87"/>
      <c r="E11" s="56"/>
      <c r="F11" s="141" t="s">
        <v>346</v>
      </c>
      <c r="G11" s="39"/>
      <c r="H11" s="40"/>
      <c r="I11" s="6"/>
    </row>
    <row r="12" spans="1:19" x14ac:dyDescent="0.3">
      <c r="A12" s="204"/>
      <c r="B12" s="208" t="s">
        <v>339</v>
      </c>
      <c r="C12" s="205">
        <v>43830</v>
      </c>
      <c r="D12" s="205">
        <v>43465</v>
      </c>
      <c r="E12" s="35"/>
      <c r="F12" s="210">
        <v>43100</v>
      </c>
      <c r="G12" s="205">
        <v>42735</v>
      </c>
      <c r="H12" s="211">
        <v>42369</v>
      </c>
      <c r="I12" s="6"/>
    </row>
    <row r="13" spans="1:19" x14ac:dyDescent="0.3">
      <c r="A13" s="240" t="s">
        <v>341</v>
      </c>
      <c r="B13" s="98">
        <f>SUM(C13,-D13)</f>
        <v>71</v>
      </c>
      <c r="C13" s="98">
        <v>1852</v>
      </c>
      <c r="D13" s="98">
        <v>1781</v>
      </c>
      <c r="E13" s="35"/>
      <c r="F13" s="98">
        <v>1671</v>
      </c>
      <c r="G13" s="98">
        <v>1821</v>
      </c>
      <c r="H13" s="102">
        <v>1485</v>
      </c>
      <c r="I13" s="6"/>
    </row>
    <row r="14" spans="1:19" x14ac:dyDescent="0.3">
      <c r="A14" s="240" t="s">
        <v>342</v>
      </c>
      <c r="B14" s="98">
        <f t="shared" ref="B14:B23" si="6">SUM(C14,-D14)</f>
        <v>-3</v>
      </c>
      <c r="C14" s="98">
        <v>184</v>
      </c>
      <c r="D14" s="98">
        <v>187</v>
      </c>
      <c r="E14" s="35"/>
      <c r="F14" s="98">
        <v>147</v>
      </c>
      <c r="G14" s="98">
        <v>159</v>
      </c>
      <c r="H14" s="102">
        <v>184</v>
      </c>
      <c r="I14" s="6"/>
    </row>
    <row r="15" spans="1:19" x14ac:dyDescent="0.3">
      <c r="A15" s="203" t="s">
        <v>405</v>
      </c>
      <c r="B15" s="98">
        <f t="shared" si="6"/>
        <v>0</v>
      </c>
      <c r="C15" s="98">
        <v>0</v>
      </c>
      <c r="D15" s="98">
        <v>0</v>
      </c>
      <c r="E15" s="35"/>
      <c r="F15" s="35">
        <v>0</v>
      </c>
      <c r="G15" s="98">
        <v>0</v>
      </c>
      <c r="H15" s="102">
        <v>0</v>
      </c>
      <c r="I15" s="6"/>
    </row>
    <row r="16" spans="1:19" x14ac:dyDescent="0.3">
      <c r="A16" s="240" t="s">
        <v>406</v>
      </c>
      <c r="B16" s="98">
        <f t="shared" si="6"/>
        <v>60</v>
      </c>
      <c r="C16" s="98">
        <f>SUM(C17:C18)</f>
        <v>259</v>
      </c>
      <c r="D16" s="98">
        <f>SUM(D17:D18)</f>
        <v>199</v>
      </c>
      <c r="E16" s="35"/>
      <c r="F16" s="35"/>
      <c r="G16" s="98"/>
      <c r="H16" s="102"/>
      <c r="I16" s="6"/>
    </row>
    <row r="17" spans="1:21" x14ac:dyDescent="0.3">
      <c r="A17" s="203" t="s">
        <v>408</v>
      </c>
      <c r="B17" s="98">
        <f t="shared" si="6"/>
        <v>14</v>
      </c>
      <c r="C17" s="98">
        <v>63</v>
      </c>
      <c r="D17" s="98">
        <v>49</v>
      </c>
      <c r="E17" s="35"/>
      <c r="F17" s="35">
        <v>107</v>
      </c>
      <c r="G17" s="98">
        <v>70</v>
      </c>
      <c r="H17" s="102">
        <v>71</v>
      </c>
      <c r="I17" s="6"/>
    </row>
    <row r="18" spans="1:21" x14ac:dyDescent="0.3">
      <c r="A18" s="203" t="s">
        <v>406</v>
      </c>
      <c r="B18" s="98">
        <f t="shared" si="6"/>
        <v>46</v>
      </c>
      <c r="C18" s="98">
        <v>196</v>
      </c>
      <c r="D18" s="98">
        <v>150</v>
      </c>
      <c r="E18" s="35"/>
      <c r="F18" s="35">
        <v>120</v>
      </c>
      <c r="G18" s="98">
        <v>124</v>
      </c>
      <c r="H18" s="102">
        <v>128</v>
      </c>
      <c r="I18" s="6"/>
    </row>
    <row r="19" spans="1:21" ht="15" thickBot="1" x14ac:dyDescent="0.35">
      <c r="A19" s="203" t="s">
        <v>407</v>
      </c>
      <c r="B19" s="98">
        <f t="shared" si="6"/>
        <v>128</v>
      </c>
      <c r="C19" s="98">
        <f>SUM(C13:C16)</f>
        <v>2295</v>
      </c>
      <c r="D19" s="98">
        <f>SUM(D13:D16)</f>
        <v>2167</v>
      </c>
      <c r="E19" s="98"/>
      <c r="F19" s="98">
        <f t="shared" ref="F19:H19" si="7">SUM(F13:F16)</f>
        <v>1818</v>
      </c>
      <c r="G19" s="98">
        <f t="shared" si="7"/>
        <v>1980</v>
      </c>
      <c r="H19" s="98">
        <f t="shared" si="7"/>
        <v>1669</v>
      </c>
      <c r="I19" s="6"/>
    </row>
    <row r="20" spans="1:21" x14ac:dyDescent="0.3">
      <c r="A20" s="203"/>
      <c r="B20" s="98"/>
      <c r="C20" s="98"/>
      <c r="D20" s="98"/>
      <c r="E20" s="35"/>
      <c r="F20" s="35"/>
      <c r="G20" s="98"/>
      <c r="H20" s="102"/>
      <c r="I20" s="6"/>
      <c r="J20" s="150" t="s">
        <v>409</v>
      </c>
      <c r="K20" s="237">
        <v>43830</v>
      </c>
      <c r="L20" s="237">
        <v>43465</v>
      </c>
      <c r="M20" s="93"/>
      <c r="N20" s="93"/>
      <c r="O20" s="93"/>
      <c r="P20" s="237">
        <v>43100</v>
      </c>
      <c r="Q20" s="93"/>
      <c r="R20" s="93"/>
      <c r="S20" s="93"/>
      <c r="T20" s="237">
        <v>42735</v>
      </c>
      <c r="U20" s="241">
        <v>42369</v>
      </c>
    </row>
    <row r="21" spans="1:21" x14ac:dyDescent="0.3">
      <c r="A21" s="203" t="s">
        <v>343</v>
      </c>
      <c r="B21" s="98">
        <f t="shared" si="6"/>
        <v>68</v>
      </c>
      <c r="C21" s="98">
        <v>1481</v>
      </c>
      <c r="D21" s="98">
        <v>1413</v>
      </c>
      <c r="E21" s="35"/>
      <c r="F21" s="98">
        <v>1381</v>
      </c>
      <c r="G21" s="98">
        <v>1384</v>
      </c>
      <c r="H21" s="102">
        <v>1170</v>
      </c>
      <c r="I21" s="6"/>
      <c r="J21" s="151"/>
      <c r="K21" s="6"/>
      <c r="L21" s="6"/>
      <c r="M21" s="6"/>
      <c r="N21" s="6"/>
      <c r="O21" s="6"/>
      <c r="P21" s="6"/>
      <c r="Q21" s="6"/>
      <c r="R21" s="6"/>
      <c r="S21" s="6"/>
      <c r="T21" s="6"/>
      <c r="U21" s="95"/>
    </row>
    <row r="22" spans="1:21" x14ac:dyDescent="0.3">
      <c r="A22" s="203" t="s">
        <v>412</v>
      </c>
      <c r="B22" s="98">
        <f t="shared" si="6"/>
        <v>263</v>
      </c>
      <c r="C22" s="98">
        <v>844</v>
      </c>
      <c r="D22" s="98">
        <v>581</v>
      </c>
      <c r="E22" s="35"/>
      <c r="F22" s="98">
        <v>521</v>
      </c>
      <c r="G22" s="98">
        <v>744</v>
      </c>
      <c r="H22" s="102">
        <v>521</v>
      </c>
      <c r="I22" s="6"/>
      <c r="J22" s="151" t="s">
        <v>410</v>
      </c>
      <c r="K22" s="6">
        <v>434</v>
      </c>
      <c r="L22" s="6">
        <v>624</v>
      </c>
      <c r="M22" s="6"/>
      <c r="N22" s="6"/>
      <c r="O22" s="6"/>
      <c r="P22" s="6">
        <v>691</v>
      </c>
      <c r="Q22" s="6"/>
      <c r="R22" s="6"/>
      <c r="S22" s="6"/>
      <c r="T22" s="6">
        <v>402</v>
      </c>
      <c r="U22" s="95">
        <v>636</v>
      </c>
    </row>
    <row r="23" spans="1:21" x14ac:dyDescent="0.3">
      <c r="A23" s="203" t="s">
        <v>413</v>
      </c>
      <c r="B23" s="98">
        <f t="shared" si="6"/>
        <v>331</v>
      </c>
      <c r="C23" s="98">
        <f>SUM(C21:C22)</f>
        <v>2325</v>
      </c>
      <c r="D23" s="98">
        <f>SUM(D21:D22)</f>
        <v>1994</v>
      </c>
      <c r="E23" s="98"/>
      <c r="F23" s="98">
        <f t="shared" ref="F23:H23" si="8">SUM(F21:F22)</f>
        <v>1902</v>
      </c>
      <c r="G23" s="98">
        <f t="shared" si="8"/>
        <v>2128</v>
      </c>
      <c r="H23" s="98">
        <f t="shared" si="8"/>
        <v>1691</v>
      </c>
      <c r="I23" s="6"/>
      <c r="J23" s="151" t="s">
        <v>338</v>
      </c>
      <c r="K23" s="6">
        <f>K22-L22</f>
        <v>-190</v>
      </c>
      <c r="L23" s="6">
        <f>L22-P22</f>
        <v>-67</v>
      </c>
      <c r="M23" s="6"/>
      <c r="N23" s="6"/>
      <c r="O23" s="6"/>
      <c r="P23" s="6">
        <f>P22-T22</f>
        <v>289</v>
      </c>
      <c r="Q23" s="6"/>
      <c r="R23" s="6"/>
      <c r="S23" s="6"/>
      <c r="T23" s="6">
        <f>T22-U22</f>
        <v>-234</v>
      </c>
      <c r="U23" s="95"/>
    </row>
    <row r="24" spans="1:21" x14ac:dyDescent="0.3">
      <c r="A24" s="203"/>
      <c r="B24" s="98"/>
      <c r="C24" s="98"/>
      <c r="D24" s="98"/>
      <c r="E24" s="35"/>
      <c r="F24" s="35"/>
      <c r="G24" s="98"/>
      <c r="H24" s="102"/>
      <c r="I24" s="6"/>
      <c r="J24" s="151" t="s">
        <v>411</v>
      </c>
      <c r="K24" s="6">
        <f>(SUM(K23:T23)/4)</f>
        <v>-50.5</v>
      </c>
      <c r="L24" s="6"/>
      <c r="M24" s="6"/>
      <c r="N24" s="6"/>
      <c r="O24" s="6"/>
      <c r="P24" s="6"/>
      <c r="Q24" s="6"/>
      <c r="R24" s="6"/>
      <c r="S24" s="6"/>
      <c r="T24" s="6"/>
      <c r="U24" s="95"/>
    </row>
    <row r="25" spans="1:21" ht="15" thickBot="1" x14ac:dyDescent="0.35">
      <c r="A25" s="206" t="s">
        <v>344</v>
      </c>
      <c r="B25" s="209">
        <f t="shared" ref="B25" si="9">SUM(C25,-D25)</f>
        <v>-203</v>
      </c>
      <c r="C25" s="207">
        <f>SUM(C19,-C23)</f>
        <v>-30</v>
      </c>
      <c r="D25" s="207">
        <f>SUM(D19,-D23)</f>
        <v>173</v>
      </c>
      <c r="E25" s="207"/>
      <c r="F25" s="207">
        <f t="shared" ref="F25:H25" si="10">SUM(F19,-F23)</f>
        <v>-84</v>
      </c>
      <c r="G25" s="207">
        <f t="shared" si="10"/>
        <v>-148</v>
      </c>
      <c r="H25" s="207">
        <f t="shared" si="10"/>
        <v>-22</v>
      </c>
      <c r="I25" s="6"/>
      <c r="J25" s="152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7"/>
    </row>
    <row r="26" spans="1:21" x14ac:dyDescent="0.3">
      <c r="A26" s="2"/>
      <c r="B26" s="2"/>
      <c r="C26" s="2"/>
      <c r="D26" s="2"/>
      <c r="E26" s="2"/>
      <c r="F26" s="2"/>
      <c r="G26" s="2"/>
      <c r="H26" s="2"/>
      <c r="I26" s="6"/>
    </row>
    <row r="27" spans="1:21" x14ac:dyDescent="0.3">
      <c r="A27" s="2"/>
      <c r="B27" s="2"/>
      <c r="C27" s="2"/>
      <c r="D27" s="2"/>
      <c r="E27" s="2"/>
      <c r="F27" s="2"/>
      <c r="G27" s="2"/>
      <c r="H27" s="2"/>
      <c r="I27" s="6"/>
    </row>
    <row r="28" spans="1:21" x14ac:dyDescent="0.3">
      <c r="A28" s="2"/>
      <c r="B28" s="2"/>
      <c r="C28" s="2"/>
      <c r="D28" s="2"/>
      <c r="E28" s="2"/>
      <c r="F28" s="2"/>
      <c r="G28" s="2"/>
      <c r="H28" s="2"/>
      <c r="I28" s="6"/>
    </row>
    <row r="29" spans="1:21" x14ac:dyDescent="0.3">
      <c r="A29" s="2"/>
      <c r="B29" s="2"/>
      <c r="C29" s="2"/>
      <c r="D29" s="2"/>
      <c r="E29" s="2"/>
      <c r="F29" s="2"/>
      <c r="G29" s="2"/>
      <c r="H29" s="2"/>
      <c r="I29" s="6"/>
    </row>
    <row r="30" spans="1:21" x14ac:dyDescent="0.3">
      <c r="A30" s="226" t="s">
        <v>354</v>
      </c>
      <c r="B30" s="53">
        <v>43830</v>
      </c>
      <c r="C30" s="2"/>
      <c r="D30" s="2"/>
      <c r="E30" s="2"/>
      <c r="F30" s="2"/>
      <c r="G30" s="2"/>
      <c r="H30" s="2"/>
      <c r="I30" s="6"/>
    </row>
    <row r="31" spans="1:21" x14ac:dyDescent="0.3">
      <c r="A31" s="2" t="s">
        <v>307</v>
      </c>
      <c r="B31" s="2">
        <v>1234</v>
      </c>
      <c r="C31" s="2"/>
      <c r="D31" s="2"/>
      <c r="E31" s="2"/>
      <c r="F31" s="2"/>
      <c r="G31" s="2"/>
      <c r="H31" s="2"/>
      <c r="I31" s="6"/>
    </row>
    <row r="32" spans="1:21" x14ac:dyDescent="0.3">
      <c r="A32" s="2" t="s">
        <v>207</v>
      </c>
      <c r="B32" s="2">
        <v>547</v>
      </c>
      <c r="C32" s="2"/>
      <c r="D32" s="2"/>
      <c r="E32" s="2"/>
      <c r="F32" s="2"/>
      <c r="G32" s="2"/>
      <c r="H32" s="2"/>
      <c r="I32" s="6"/>
    </row>
    <row r="33" spans="1:9" x14ac:dyDescent="0.3">
      <c r="A33" s="2"/>
      <c r="B33" s="2"/>
      <c r="C33" s="6"/>
      <c r="D33" s="6"/>
      <c r="E33" s="6"/>
      <c r="F33" s="6"/>
      <c r="G33" s="6"/>
      <c r="H33" s="6"/>
      <c r="I33" s="6"/>
    </row>
    <row r="34" spans="1:9" x14ac:dyDescent="0.3">
      <c r="A34" s="2" t="s">
        <v>326</v>
      </c>
      <c r="B34" s="2">
        <v>687</v>
      </c>
    </row>
    <row r="38" spans="1:9" ht="15" thickBot="1" x14ac:dyDescent="0.35"/>
    <row r="39" spans="1:9" ht="15" thickBot="1" x14ac:dyDescent="0.35">
      <c r="A39" s="201" t="s">
        <v>351</v>
      </c>
      <c r="B39" s="93"/>
      <c r="C39" s="93"/>
      <c r="D39" s="93"/>
      <c r="E39" s="93"/>
      <c r="F39" s="93"/>
      <c r="G39" s="93"/>
      <c r="H39" s="94"/>
    </row>
    <row r="40" spans="1:9" x14ac:dyDescent="0.3">
      <c r="A40" s="151"/>
      <c r="B40" s="6"/>
      <c r="C40" s="6"/>
      <c r="D40" s="6"/>
      <c r="E40" s="6"/>
      <c r="F40" s="6"/>
      <c r="G40" s="6"/>
      <c r="H40" s="95"/>
    </row>
    <row r="41" spans="1:9" x14ac:dyDescent="0.3">
      <c r="A41" s="151"/>
      <c r="B41" s="6"/>
      <c r="C41" s="6"/>
      <c r="D41" s="6"/>
      <c r="E41" s="6"/>
      <c r="F41" s="6"/>
      <c r="G41" s="6"/>
      <c r="H41" s="95"/>
    </row>
    <row r="42" spans="1:9" x14ac:dyDescent="0.3">
      <c r="A42" s="151"/>
      <c r="B42" s="6"/>
      <c r="C42" s="6"/>
      <c r="D42" s="6"/>
      <c r="E42" s="6"/>
      <c r="F42" s="6"/>
      <c r="G42" s="6"/>
      <c r="H42" s="95"/>
    </row>
    <row r="43" spans="1:9" x14ac:dyDescent="0.3">
      <c r="A43" s="151"/>
      <c r="B43" s="6"/>
      <c r="C43" s="6"/>
      <c r="D43" s="6"/>
      <c r="E43" s="6"/>
      <c r="F43" s="6"/>
      <c r="G43" s="6"/>
      <c r="H43" s="95"/>
    </row>
    <row r="44" spans="1:9" x14ac:dyDescent="0.3">
      <c r="A44" s="151"/>
      <c r="B44" s="6"/>
      <c r="C44" s="6"/>
      <c r="D44" s="6"/>
      <c r="E44" s="6"/>
      <c r="F44" s="6"/>
      <c r="G44" s="6"/>
      <c r="H44" s="95"/>
    </row>
    <row r="45" spans="1:9" x14ac:dyDescent="0.3">
      <c r="A45" s="151"/>
      <c r="B45" s="6"/>
      <c r="C45" s="6"/>
      <c r="D45" s="6"/>
      <c r="E45" s="6"/>
      <c r="F45" s="6"/>
      <c r="G45" s="6"/>
      <c r="H45" s="95"/>
    </row>
    <row r="46" spans="1:9" x14ac:dyDescent="0.3">
      <c r="A46" s="151"/>
      <c r="B46" s="6"/>
      <c r="C46" s="6"/>
      <c r="D46" s="6"/>
      <c r="E46" s="6"/>
      <c r="F46" s="6"/>
      <c r="G46" s="6"/>
      <c r="H46" s="95"/>
    </row>
    <row r="47" spans="1:9" x14ac:dyDescent="0.3">
      <c r="A47" s="151"/>
      <c r="B47" s="6"/>
      <c r="C47" s="6"/>
      <c r="D47" s="6"/>
      <c r="E47" s="6"/>
      <c r="F47" s="6"/>
      <c r="G47" s="6"/>
      <c r="H47" s="95"/>
    </row>
    <row r="48" spans="1:9" x14ac:dyDescent="0.3">
      <c r="A48" s="151"/>
      <c r="B48" s="6"/>
      <c r="C48" s="6"/>
      <c r="D48" s="6"/>
      <c r="E48" s="6"/>
      <c r="F48" s="6"/>
      <c r="G48" s="6"/>
      <c r="H48" s="95"/>
    </row>
    <row r="49" spans="1:8" ht="15" thickBot="1" x14ac:dyDescent="0.35">
      <c r="A49" s="152"/>
      <c r="B49" s="96"/>
      <c r="C49" s="96"/>
      <c r="D49" s="96"/>
      <c r="E49" s="96"/>
      <c r="F49" s="96"/>
      <c r="G49" s="96"/>
      <c r="H49" s="97"/>
    </row>
    <row r="75" spans="1:12" ht="15" thickBot="1" x14ac:dyDescent="0.35"/>
    <row r="76" spans="1:12" ht="15" thickBot="1" x14ac:dyDescent="0.35">
      <c r="A76" s="201" t="s">
        <v>381</v>
      </c>
      <c r="B76" s="93"/>
      <c r="C76" s="93"/>
      <c r="D76" s="93"/>
      <c r="E76" s="93"/>
      <c r="F76" s="93"/>
      <c r="G76" s="93"/>
      <c r="H76" s="93"/>
      <c r="I76" s="56"/>
      <c r="J76" s="57"/>
      <c r="K76" s="2"/>
      <c r="L76" s="2"/>
    </row>
    <row r="77" spans="1:12" x14ac:dyDescent="0.3">
      <c r="A77" s="256" t="s">
        <v>414</v>
      </c>
      <c r="B77" s="6"/>
      <c r="C77" s="6"/>
      <c r="D77" s="257" t="s">
        <v>415</v>
      </c>
      <c r="E77" s="257"/>
      <c r="F77" s="6"/>
      <c r="G77" s="6"/>
      <c r="H77" s="257" t="s">
        <v>418</v>
      </c>
      <c r="I77" s="257"/>
      <c r="J77" s="58"/>
      <c r="K77" s="2"/>
      <c r="L77" s="2"/>
    </row>
    <row r="78" spans="1:12" x14ac:dyDescent="0.3">
      <c r="A78" s="151" t="s">
        <v>387</v>
      </c>
      <c r="B78" s="231">
        <v>-7.2081146095294803E-4</v>
      </c>
      <c r="C78" s="6"/>
      <c r="D78" s="6" t="s">
        <v>385</v>
      </c>
      <c r="E78" s="233">
        <v>-7.2081146095294803E-4</v>
      </c>
      <c r="F78" s="231"/>
      <c r="G78" s="6"/>
      <c r="H78" s="6"/>
      <c r="I78" s="2"/>
      <c r="J78" s="58"/>
      <c r="K78" s="2"/>
      <c r="L78" s="2"/>
    </row>
    <row r="79" spans="1:12" x14ac:dyDescent="0.3">
      <c r="A79" s="151" t="s">
        <v>388</v>
      </c>
      <c r="B79" s="232">
        <v>1.4999999999999999E-2</v>
      </c>
      <c r="C79" s="6"/>
      <c r="D79" s="6" t="s">
        <v>386</v>
      </c>
      <c r="E79" s="232">
        <v>1.4999999999999999E-2</v>
      </c>
      <c r="F79" s="232"/>
      <c r="G79" s="6"/>
      <c r="H79" s="6" t="s">
        <v>399</v>
      </c>
      <c r="I79" s="253">
        <f>I105</f>
        <v>1.8253033707865168E-2</v>
      </c>
      <c r="J79" s="58"/>
      <c r="K79" s="2"/>
      <c r="L79" s="2"/>
    </row>
    <row r="80" spans="1:12" ht="15" thickBot="1" x14ac:dyDescent="0.35">
      <c r="A80" s="250" t="s">
        <v>382</v>
      </c>
      <c r="B80" s="251">
        <f>SUM(B78:B79)</f>
        <v>1.4279188539047052E-2</v>
      </c>
      <c r="C80" s="233"/>
      <c r="D80" s="252" t="s">
        <v>382</v>
      </c>
      <c r="E80" s="252">
        <f>SUM(E78:E79)</f>
        <v>1.4279188539047052E-2</v>
      </c>
      <c r="F80" s="233"/>
      <c r="G80" s="6"/>
      <c r="H80" s="96"/>
      <c r="I80" s="59"/>
      <c r="J80" s="58"/>
      <c r="K80" s="2"/>
      <c r="L80" s="2"/>
    </row>
    <row r="81" spans="1:12" x14ac:dyDescent="0.3">
      <c r="A81" s="151" t="s">
        <v>384</v>
      </c>
      <c r="B81" s="232">
        <v>0.27900000000000003</v>
      </c>
      <c r="C81" s="6"/>
      <c r="D81" s="6" t="s">
        <v>384</v>
      </c>
      <c r="E81" s="232">
        <v>0.27900000000000003</v>
      </c>
      <c r="F81" s="6"/>
      <c r="G81" s="6"/>
      <c r="H81" s="6" t="s">
        <v>384</v>
      </c>
      <c r="I81" s="232">
        <v>0.27900000000000003</v>
      </c>
      <c r="J81" s="58"/>
      <c r="K81" s="2"/>
      <c r="L81" s="2"/>
    </row>
    <row r="82" spans="1:12" x14ac:dyDescent="0.3">
      <c r="A82" s="151" t="s">
        <v>419</v>
      </c>
      <c r="B82" s="230">
        <f>PRODUCT(B80,(1-B81))</f>
        <v>1.0295294936652924E-2</v>
      </c>
      <c r="C82" s="6"/>
      <c r="D82" s="6" t="s">
        <v>419</v>
      </c>
      <c r="E82" s="230">
        <f>PRODUCT(E80,(1-E81))</f>
        <v>1.0295294936652924E-2</v>
      </c>
      <c r="F82" s="6"/>
      <c r="G82" s="6"/>
      <c r="H82" s="2" t="s">
        <v>420</v>
      </c>
      <c r="I82" s="248">
        <f>PRODUCT(I79,(1-I81))</f>
        <v>1.3160437303370786E-2</v>
      </c>
      <c r="J82" s="58"/>
      <c r="K82" s="2"/>
      <c r="L82" s="2"/>
    </row>
    <row r="83" spans="1:12" x14ac:dyDescent="0.3">
      <c r="A83" s="151"/>
      <c r="B83" s="6"/>
      <c r="C83" s="6"/>
      <c r="D83" s="6"/>
      <c r="E83" s="6"/>
      <c r="F83" s="6"/>
      <c r="G83" s="6"/>
      <c r="H83" s="6"/>
      <c r="I83" s="254"/>
      <c r="J83" s="58"/>
      <c r="K83" s="2"/>
      <c r="L83" s="2"/>
    </row>
    <row r="84" spans="1:12" x14ac:dyDescent="0.3">
      <c r="A84" s="151" t="s">
        <v>421</v>
      </c>
      <c r="B84" s="231">
        <v>-7.2081146095294803E-4</v>
      </c>
      <c r="C84" s="6"/>
      <c r="D84" s="6" t="s">
        <v>421</v>
      </c>
      <c r="E84" s="233">
        <v>-7.2081146095294803E-4</v>
      </c>
      <c r="F84" s="231"/>
      <c r="G84" s="6"/>
      <c r="H84" s="2" t="s">
        <v>421</v>
      </c>
      <c r="I84" s="231">
        <v>-7.2081146095294803E-4</v>
      </c>
      <c r="J84" s="249"/>
      <c r="K84" s="2"/>
      <c r="L84" s="2"/>
    </row>
    <row r="85" spans="1:12" x14ac:dyDescent="0.3">
      <c r="A85" s="151" t="s">
        <v>389</v>
      </c>
      <c r="B85" s="234">
        <v>2.99661426831043E-2</v>
      </c>
      <c r="C85" s="6"/>
      <c r="D85" s="6" t="s">
        <v>389</v>
      </c>
      <c r="E85" s="234">
        <v>2.99661426831043E-2</v>
      </c>
      <c r="F85" s="234"/>
      <c r="G85" s="6"/>
      <c r="H85" s="6" t="s">
        <v>389</v>
      </c>
      <c r="I85" s="234">
        <v>2.99661426831043E-2</v>
      </c>
      <c r="J85" s="95"/>
    </row>
    <row r="86" spans="1:12" x14ac:dyDescent="0.3">
      <c r="A86" s="151" t="s">
        <v>390</v>
      </c>
      <c r="B86" s="230">
        <v>4.0205104717786398E-2</v>
      </c>
      <c r="C86" s="6"/>
      <c r="D86" s="2" t="s">
        <v>390</v>
      </c>
      <c r="E86" s="253">
        <v>4.0205104717786398E-2</v>
      </c>
      <c r="F86" s="6"/>
      <c r="G86" s="6"/>
      <c r="H86" s="6" t="s">
        <v>390</v>
      </c>
      <c r="I86" s="230">
        <v>4.0205104717786398E-2</v>
      </c>
      <c r="J86" s="95"/>
    </row>
    <row r="87" spans="1:12" x14ac:dyDescent="0.3">
      <c r="A87" s="151" t="s">
        <v>422</v>
      </c>
      <c r="B87" s="234">
        <f>SUM(B85:B86)</f>
        <v>7.0171247400890702E-2</v>
      </c>
      <c r="C87" s="6"/>
      <c r="D87" s="2" t="s">
        <v>422</v>
      </c>
      <c r="E87" s="234">
        <f>SUM(E85:E86)</f>
        <v>7.0171247400890702E-2</v>
      </c>
      <c r="F87" s="6"/>
      <c r="G87" s="6"/>
      <c r="H87" s="6" t="s">
        <v>422</v>
      </c>
      <c r="I87" s="234">
        <f>SUM(I85:I86)</f>
        <v>7.0171247400890702E-2</v>
      </c>
      <c r="J87" s="95"/>
    </row>
    <row r="88" spans="1:12" ht="15" thickBot="1" x14ac:dyDescent="0.35">
      <c r="A88" s="152" t="s">
        <v>423</v>
      </c>
      <c r="B88" s="255">
        <v>0.87311649000000002</v>
      </c>
      <c r="C88" s="6"/>
      <c r="D88" s="59" t="s">
        <v>424</v>
      </c>
      <c r="E88" s="59">
        <v>0.83109791342430983</v>
      </c>
      <c r="F88" s="6"/>
      <c r="G88" s="6"/>
      <c r="H88" s="96" t="s">
        <v>423</v>
      </c>
      <c r="I88" s="255">
        <v>0.87311649000000002</v>
      </c>
      <c r="J88" s="95"/>
    </row>
    <row r="89" spans="1:12" x14ac:dyDescent="0.3">
      <c r="A89" s="151" t="s">
        <v>383</v>
      </c>
      <c r="B89" s="233">
        <f>B84+PRODUCT(B88,B87)</f>
        <v>6.0546861768634365E-2</v>
      </c>
      <c r="C89" s="6"/>
      <c r="D89" s="6" t="s">
        <v>383</v>
      </c>
      <c r="E89" s="233">
        <f>E84+PRODUCT(E87:E88)</f>
        <v>5.7598365836308334E-2</v>
      </c>
      <c r="F89" s="6"/>
      <c r="G89" s="6"/>
      <c r="H89" s="2" t="s">
        <v>383</v>
      </c>
      <c r="I89" s="233">
        <f>SUM(I84,PRODUCT(I88,I87))</f>
        <v>6.0546861768634365E-2</v>
      </c>
      <c r="J89" s="95"/>
    </row>
    <row r="90" spans="1:12" x14ac:dyDescent="0.3">
      <c r="A90" s="151"/>
      <c r="B90" s="6"/>
      <c r="C90" s="6"/>
      <c r="D90" s="6"/>
      <c r="E90" s="6"/>
      <c r="F90" s="6"/>
      <c r="G90" s="6"/>
      <c r="H90" s="6"/>
      <c r="I90" s="6"/>
      <c r="J90" s="95"/>
    </row>
    <row r="91" spans="1:12" x14ac:dyDescent="0.3">
      <c r="A91" s="264" t="s">
        <v>425</v>
      </c>
      <c r="B91" s="261">
        <f>B89*(C113/(C113+C115)) + B82*(C115/(C113+C115))</f>
        <v>3.5352511933376234E-2</v>
      </c>
      <c r="C91" s="6"/>
      <c r="D91" s="264" t="s">
        <v>425</v>
      </c>
      <c r="E91" s="262"/>
      <c r="F91" s="6"/>
      <c r="G91" s="6"/>
      <c r="H91" s="264" t="s">
        <v>425</v>
      </c>
      <c r="I91" s="261">
        <f>I89*(C113/(C113+C115)) + I82*(C115/(C113+C115))</f>
        <v>3.6788992498375625E-2</v>
      </c>
      <c r="J91" s="95"/>
    </row>
    <row r="92" spans="1:12" x14ac:dyDescent="0.3">
      <c r="A92" s="264" t="s">
        <v>426</v>
      </c>
      <c r="B92" s="261">
        <f>B89*(C114/(C114+C116)) + B82*(C116/(C114+C116))</f>
        <v>3.9460647259396547E-2</v>
      </c>
      <c r="C92" s="6"/>
      <c r="D92" s="264" t="s">
        <v>426</v>
      </c>
      <c r="E92" s="263">
        <f>E89*(C114/(C114+C116)) + E82*(C116/(C114+C116))</f>
        <v>3.7749378773460775E-2</v>
      </c>
      <c r="F92" s="6"/>
      <c r="G92" s="6"/>
      <c r="H92" s="264" t="s">
        <v>426</v>
      </c>
      <c r="I92" s="261">
        <f>I89*(C114/(C114+C116)) + I82*(C116/(C114+C116))</f>
        <v>4.0662898459764465E-2</v>
      </c>
      <c r="J92" s="95"/>
    </row>
    <row r="93" spans="1:12" ht="15" thickBot="1" x14ac:dyDescent="0.35">
      <c r="A93" s="151"/>
      <c r="B93" s="6"/>
      <c r="C93" s="6"/>
      <c r="D93" s="2"/>
      <c r="E93" s="6"/>
      <c r="F93" s="6"/>
      <c r="G93" s="6"/>
      <c r="H93" s="2"/>
      <c r="I93" s="6"/>
      <c r="J93" s="95"/>
    </row>
    <row r="94" spans="1:12" x14ac:dyDescent="0.3">
      <c r="A94" s="151"/>
      <c r="B94" s="6"/>
      <c r="C94" s="6"/>
      <c r="D94" s="6"/>
      <c r="E94" s="6"/>
      <c r="F94" s="6"/>
      <c r="G94" s="258" t="s">
        <v>416</v>
      </c>
      <c r="H94" s="93"/>
      <c r="I94" s="93"/>
      <c r="J94" s="94"/>
    </row>
    <row r="95" spans="1:12" x14ac:dyDescent="0.3">
      <c r="A95" s="151"/>
      <c r="B95" s="6"/>
      <c r="C95" s="6"/>
      <c r="D95" s="6"/>
      <c r="E95" s="6"/>
      <c r="F95" s="6"/>
      <c r="G95" s="259" t="s">
        <v>427</v>
      </c>
      <c r="H95" s="6"/>
      <c r="I95" s="6"/>
      <c r="J95" s="95"/>
    </row>
    <row r="96" spans="1:12" ht="15" thickBot="1" x14ac:dyDescent="0.35">
      <c r="A96" s="152"/>
      <c r="B96" s="96"/>
      <c r="C96" s="96"/>
      <c r="D96" s="96"/>
      <c r="E96" s="96"/>
      <c r="F96" s="96"/>
      <c r="G96" s="260" t="s">
        <v>417</v>
      </c>
      <c r="H96" s="96"/>
      <c r="I96" s="96"/>
      <c r="J96" s="97"/>
    </row>
    <row r="99" spans="1:11" x14ac:dyDescent="0.3">
      <c r="H99" s="98"/>
      <c r="I99" s="98" t="s">
        <v>397</v>
      </c>
      <c r="J99" s="98" t="s">
        <v>398</v>
      </c>
      <c r="K99" s="98" t="s">
        <v>392</v>
      </c>
    </row>
    <row r="100" spans="1:11" x14ac:dyDescent="0.3">
      <c r="A100" s="6"/>
      <c r="B100" s="6"/>
      <c r="C100" s="6"/>
      <c r="H100" s="98" t="s">
        <v>393</v>
      </c>
      <c r="I100" s="98">
        <v>3.6880000000000003E-2</v>
      </c>
      <c r="J100" s="98">
        <v>2</v>
      </c>
      <c r="K100" s="98">
        <v>500</v>
      </c>
    </row>
    <row r="101" spans="1:11" x14ac:dyDescent="0.3">
      <c r="A101" s="6"/>
      <c r="B101" s="6"/>
      <c r="C101" s="6"/>
      <c r="H101" s="98" t="s">
        <v>394</v>
      </c>
      <c r="I101" s="98">
        <v>1.8360000000000001E-2</v>
      </c>
      <c r="J101" s="98">
        <v>5</v>
      </c>
      <c r="K101" s="98">
        <v>300</v>
      </c>
    </row>
    <row r="102" spans="1:11" x14ac:dyDescent="0.3">
      <c r="A102" s="6"/>
      <c r="B102" s="6"/>
      <c r="C102" s="6"/>
      <c r="H102" s="98" t="s">
        <v>395</v>
      </c>
      <c r="I102" s="98">
        <v>1.7680000000000001E-2</v>
      </c>
      <c r="J102" s="98">
        <v>8</v>
      </c>
      <c r="K102" s="98">
        <v>300</v>
      </c>
    </row>
    <row r="103" spans="1:11" x14ac:dyDescent="0.3">
      <c r="A103" s="6"/>
      <c r="B103" s="6"/>
      <c r="C103" s="6"/>
      <c r="H103" s="98" t="s">
        <v>396</v>
      </c>
      <c r="I103" s="98">
        <v>1.3899999999999999E-2</v>
      </c>
      <c r="J103" s="98">
        <v>10</v>
      </c>
      <c r="K103" s="98">
        <v>400</v>
      </c>
    </row>
    <row r="104" spans="1:11" x14ac:dyDescent="0.3">
      <c r="A104" s="6"/>
      <c r="B104" s="6"/>
      <c r="C104" s="6"/>
    </row>
    <row r="105" spans="1:11" x14ac:dyDescent="0.3">
      <c r="A105" s="6"/>
      <c r="B105" s="6"/>
      <c r="C105" s="6"/>
      <c r="H105" s="200" t="s">
        <v>399</v>
      </c>
      <c r="I105" s="235">
        <f xml:space="preserve"> (PRODUCT(I100:K100) + PRODUCT(I101:K101) + PRODUCT(I102:K102) + PRODUCT(I103:K103)) / (PRODUCT(J100:K100) + PRODUCT(J101:K101) + PRODUCT(J102:K102) + PRODUCT(J103:K103))</f>
        <v>1.8253033707865168E-2</v>
      </c>
    </row>
    <row r="106" spans="1:11" x14ac:dyDescent="0.3">
      <c r="A106" s="6"/>
      <c r="B106" s="6"/>
      <c r="C106" s="6"/>
    </row>
    <row r="111" spans="1:11" ht="15" thickBot="1" x14ac:dyDescent="0.35"/>
    <row r="112" spans="1:11" ht="15" thickBot="1" x14ac:dyDescent="0.35">
      <c r="C112" s="227" t="s">
        <v>402</v>
      </c>
      <c r="D112" s="229" t="s">
        <v>403</v>
      </c>
    </row>
    <row r="113" spans="1:4" ht="15" thickBot="1" x14ac:dyDescent="0.35">
      <c r="A113" s="227" t="s">
        <v>377</v>
      </c>
      <c r="B113" s="228" t="s">
        <v>376</v>
      </c>
      <c r="C113" s="229">
        <v>3289</v>
      </c>
      <c r="D113" s="229">
        <v>3289</v>
      </c>
    </row>
    <row r="114" spans="1:4" ht="15" thickBot="1" x14ac:dyDescent="0.35">
      <c r="A114" s="227" t="s">
        <v>378</v>
      </c>
      <c r="B114" s="228" t="s">
        <v>391</v>
      </c>
      <c r="C114" s="229">
        <f>PRODUCT(1.67,3109.183856)</f>
        <v>5192.33703952</v>
      </c>
      <c r="D114" s="229">
        <f>PRODUCT(1.21,3109.183856)</f>
        <v>3762.1124657599998</v>
      </c>
    </row>
    <row r="115" spans="1:4" ht="15" thickBot="1" x14ac:dyDescent="0.35">
      <c r="A115" s="227" t="s">
        <v>371</v>
      </c>
      <c r="B115" s="228" t="s">
        <v>373</v>
      </c>
      <c r="C115" s="229">
        <v>3307</v>
      </c>
      <c r="D115" s="229">
        <v>3307</v>
      </c>
    </row>
    <row r="116" spans="1:4" x14ac:dyDescent="0.3">
      <c r="A116" s="150" t="s">
        <v>372</v>
      </c>
      <c r="B116" s="93"/>
      <c r="C116" s="94">
        <f>(SUM(C117:C119))</f>
        <v>3754</v>
      </c>
      <c r="D116" s="94">
        <f>(SUM(D117:D119))</f>
        <v>3754</v>
      </c>
    </row>
    <row r="117" spans="1:4" x14ac:dyDescent="0.3">
      <c r="A117" s="151"/>
      <c r="B117" s="98" t="s">
        <v>374</v>
      </c>
      <c r="C117" s="102">
        <v>3635</v>
      </c>
      <c r="D117" s="102">
        <v>3635</v>
      </c>
    </row>
    <row r="118" spans="1:4" x14ac:dyDescent="0.3">
      <c r="A118" s="151"/>
      <c r="B118" s="98" t="s">
        <v>340</v>
      </c>
      <c r="C118" s="102">
        <v>2</v>
      </c>
      <c r="D118" s="102">
        <v>2</v>
      </c>
    </row>
    <row r="119" spans="1:4" ht="15" thickBot="1" x14ac:dyDescent="0.35">
      <c r="A119" s="152"/>
      <c r="B119" s="103" t="s">
        <v>375</v>
      </c>
      <c r="C119" s="104">
        <v>117</v>
      </c>
      <c r="D119" s="104">
        <v>117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1D4C-151F-470B-8443-1903C71474D2}">
  <dimension ref="A1:L21"/>
  <sheetViews>
    <sheetView workbookViewId="0">
      <selection activeCell="B21" sqref="B21"/>
    </sheetView>
  </sheetViews>
  <sheetFormatPr defaultRowHeight="14.4" x14ac:dyDescent="0.3"/>
  <cols>
    <col min="1" max="1" width="32.77734375" customWidth="1"/>
    <col min="2" max="2" width="10.5546875" bestFit="1" customWidth="1"/>
    <col min="3" max="3" width="12.88671875" customWidth="1"/>
    <col min="4" max="4" width="9.88671875" customWidth="1"/>
    <col min="5" max="5" width="13.109375" customWidth="1"/>
    <col min="6" max="6" width="14.77734375" customWidth="1"/>
    <col min="10" max="10" width="25.44140625" customWidth="1"/>
  </cols>
  <sheetData>
    <row r="1" spans="1:12" x14ac:dyDescent="0.3">
      <c r="A1" s="236" t="s">
        <v>365</v>
      </c>
      <c r="B1" s="93"/>
      <c r="C1" s="93"/>
      <c r="D1" s="93"/>
      <c r="E1" s="93"/>
      <c r="F1" s="94"/>
    </row>
    <row r="2" spans="1:12" x14ac:dyDescent="0.3">
      <c r="A2" s="151"/>
      <c r="B2" s="6"/>
      <c r="C2" s="6" t="s">
        <v>92</v>
      </c>
      <c r="D2" s="6" t="s">
        <v>355</v>
      </c>
      <c r="E2" s="6" t="s">
        <v>356</v>
      </c>
      <c r="F2" s="95" t="s">
        <v>364</v>
      </c>
    </row>
    <row r="3" spans="1:12" x14ac:dyDescent="0.3">
      <c r="A3" s="151" t="s">
        <v>357</v>
      </c>
      <c r="B3" s="6"/>
      <c r="C3" s="6">
        <f xml:space="preserve"> SUM(1544.265 +3056-764)</f>
        <v>3836.2650000000003</v>
      </c>
      <c r="D3" s="6">
        <f>(C3/C10)</f>
        <v>0.52576026796023623</v>
      </c>
      <c r="E3" s="6">
        <v>0.41</v>
      </c>
      <c r="F3" s="95">
        <f>PRODUCT(D3,E3)</f>
        <v>0.21556170986369683</v>
      </c>
    </row>
    <row r="4" spans="1:12" x14ac:dyDescent="0.3">
      <c r="A4" s="151" t="s">
        <v>358</v>
      </c>
      <c r="B4" s="6"/>
      <c r="C4" s="6">
        <v>49.814999999999998</v>
      </c>
      <c r="D4" s="6">
        <f>(C4/C10)</f>
        <v>6.8271476940303041E-3</v>
      </c>
      <c r="E4" s="6">
        <v>0.28999999999999998</v>
      </c>
      <c r="F4" s="95">
        <f t="shared" ref="F4:F9" si="0">PRODUCT(D4,E4)</f>
        <v>1.9798728312687879E-3</v>
      </c>
    </row>
    <row r="5" spans="1:12" x14ac:dyDescent="0.3">
      <c r="A5" s="151" t="s">
        <v>363</v>
      </c>
      <c r="B5" s="6"/>
      <c r="C5" s="238">
        <f>514.755 + 764</f>
        <v>1278.7550000000001</v>
      </c>
      <c r="D5" s="6">
        <f>(C5/C10)</f>
        <v>0.17525342265341209</v>
      </c>
      <c r="E5" s="6">
        <v>0.6</v>
      </c>
      <c r="F5" s="95">
        <f t="shared" si="0"/>
        <v>0.10515205359204725</v>
      </c>
    </row>
    <row r="6" spans="1:12" x14ac:dyDescent="0.3">
      <c r="A6" s="151" t="s">
        <v>359</v>
      </c>
      <c r="B6" s="6"/>
      <c r="C6" s="6">
        <v>903</v>
      </c>
      <c r="D6" s="6">
        <f>(C6/C10)</f>
        <v>0.12375618523957373</v>
      </c>
      <c r="E6" s="6">
        <v>0.8</v>
      </c>
      <c r="F6" s="95">
        <f t="shared" si="0"/>
        <v>9.900494819165899E-2</v>
      </c>
    </row>
    <row r="7" spans="1:12" x14ac:dyDescent="0.3">
      <c r="A7" s="151"/>
      <c r="B7" s="6"/>
      <c r="C7" s="6"/>
      <c r="D7" s="6"/>
      <c r="E7" s="6"/>
      <c r="F7" s="95">
        <f t="shared" si="0"/>
        <v>0</v>
      </c>
    </row>
    <row r="8" spans="1:12" x14ac:dyDescent="0.3">
      <c r="A8" s="151" t="s">
        <v>360</v>
      </c>
      <c r="B8" s="6"/>
      <c r="C8" s="6">
        <v>1228.77</v>
      </c>
      <c r="D8" s="6">
        <f>(C8/C10)</f>
        <v>0.16840297645274752</v>
      </c>
      <c r="E8" s="6">
        <v>0.74</v>
      </c>
      <c r="F8" s="95">
        <f t="shared" si="0"/>
        <v>0.12461820257503316</v>
      </c>
    </row>
    <row r="9" spans="1:12" x14ac:dyDescent="0.3">
      <c r="A9" s="151" t="s">
        <v>361</v>
      </c>
      <c r="B9" s="6"/>
      <c r="C9" s="6"/>
      <c r="D9" s="6">
        <f>(C9/C10)</f>
        <v>0</v>
      </c>
      <c r="E9" s="6">
        <v>0.91</v>
      </c>
      <c r="F9" s="95">
        <f t="shared" si="0"/>
        <v>0</v>
      </c>
    </row>
    <row r="10" spans="1:12" ht="15" thickBot="1" x14ac:dyDescent="0.35">
      <c r="A10" s="152" t="s">
        <v>362</v>
      </c>
      <c r="B10" s="96"/>
      <c r="C10" s="96">
        <f>SUM(C3:C9)</f>
        <v>7296.6050000000014</v>
      </c>
      <c r="D10" s="96">
        <f>SUM(D3:D9)</f>
        <v>0.99999999999999989</v>
      </c>
      <c r="E10" s="96"/>
      <c r="F10" s="239">
        <f t="shared" ref="F10" si="1">SUM(F3:F9)</f>
        <v>0.54631678705370501</v>
      </c>
    </row>
    <row r="12" spans="1:12" ht="15" thickBot="1" x14ac:dyDescent="0.35"/>
    <row r="13" spans="1:12" ht="15" thickBot="1" x14ac:dyDescent="0.35">
      <c r="K13" s="227" t="s">
        <v>402</v>
      </c>
      <c r="L13" s="229" t="s">
        <v>403</v>
      </c>
    </row>
    <row r="14" spans="1:12" ht="15" thickBot="1" x14ac:dyDescent="0.35">
      <c r="I14" s="227" t="s">
        <v>377</v>
      </c>
      <c r="J14" s="228" t="s">
        <v>376</v>
      </c>
      <c r="K14" s="229">
        <v>3289</v>
      </c>
      <c r="L14" s="229">
        <v>3289</v>
      </c>
    </row>
    <row r="15" spans="1:12" ht="15" thickBot="1" x14ac:dyDescent="0.35">
      <c r="A15" s="236" t="s">
        <v>366</v>
      </c>
      <c r="B15" s="237">
        <v>43830</v>
      </c>
      <c r="C15" s="94" t="s">
        <v>404</v>
      </c>
      <c r="I15" s="227" t="s">
        <v>378</v>
      </c>
      <c r="J15" s="228" t="s">
        <v>391</v>
      </c>
      <c r="K15" s="229">
        <f>PRODUCT(1.67,3109.183856)</f>
        <v>5192.33703952</v>
      </c>
      <c r="L15" s="229">
        <f>PRODUCT(1.21,3109.183856)</f>
        <v>3762.1124657599998</v>
      </c>
    </row>
    <row r="16" spans="1:12" ht="15" thickBot="1" x14ac:dyDescent="0.35">
      <c r="A16" s="151" t="s">
        <v>367</v>
      </c>
      <c r="B16" s="6">
        <f>F10</f>
        <v>0.54631678705370501</v>
      </c>
      <c r="C16" s="95">
        <f>F10</f>
        <v>0.54631678705370501</v>
      </c>
      <c r="I16" s="227" t="s">
        <v>371</v>
      </c>
      <c r="J16" s="228" t="s">
        <v>373</v>
      </c>
      <c r="K16" s="229">
        <v>3307</v>
      </c>
      <c r="L16" s="229">
        <v>3307</v>
      </c>
    </row>
    <row r="17" spans="1:12" x14ac:dyDescent="0.3">
      <c r="A17" s="151" t="s">
        <v>368</v>
      </c>
      <c r="B17" s="6">
        <f>K16/K14</f>
        <v>1.0054727880814838</v>
      </c>
      <c r="C17" s="95">
        <f>L16/L14</f>
        <v>1.0054727880814838</v>
      </c>
      <c r="I17" s="150" t="s">
        <v>372</v>
      </c>
      <c r="J17" s="93"/>
      <c r="K17" s="94">
        <f>(SUM(K18:K20))</f>
        <v>3754</v>
      </c>
      <c r="L17" s="94">
        <f>(SUM(L18:L20))</f>
        <v>3754</v>
      </c>
    </row>
    <row r="18" spans="1:12" x14ac:dyDescent="0.3">
      <c r="A18" s="151" t="s">
        <v>369</v>
      </c>
      <c r="B18" s="6">
        <f>K17/K15</f>
        <v>0.7229885062212823</v>
      </c>
      <c r="C18" s="95">
        <f>L17/L15</f>
        <v>0.99784364081780286</v>
      </c>
      <c r="I18" s="151"/>
      <c r="J18" s="98" t="s">
        <v>374</v>
      </c>
      <c r="K18" s="102">
        <v>3635</v>
      </c>
      <c r="L18" s="102">
        <v>3635</v>
      </c>
    </row>
    <row r="19" spans="1:12" x14ac:dyDescent="0.3">
      <c r="A19" s="151" t="s">
        <v>370</v>
      </c>
      <c r="B19" s="6">
        <v>0.27900000000000003</v>
      </c>
      <c r="C19" s="95">
        <v>0.27900000000000003</v>
      </c>
      <c r="I19" s="151"/>
      <c r="J19" s="98" t="s">
        <v>340</v>
      </c>
      <c r="K19" s="102">
        <v>2</v>
      </c>
      <c r="L19" s="102">
        <v>2</v>
      </c>
    </row>
    <row r="20" spans="1:12" ht="15" thickBot="1" x14ac:dyDescent="0.35">
      <c r="A20" s="151" t="s">
        <v>379</v>
      </c>
      <c r="B20" s="6">
        <f>PRODUCT(B16,(1+PRODUCT((1-B19),B17)))</f>
        <v>0.94236689111607663</v>
      </c>
      <c r="C20" s="95">
        <f>PRODUCT(B16*(1+PRODUCT((1-B19),C17)))</f>
        <v>0.94236689111607663</v>
      </c>
      <c r="I20" s="152"/>
      <c r="J20" s="103" t="s">
        <v>375</v>
      </c>
      <c r="K20" s="104">
        <v>117</v>
      </c>
      <c r="L20" s="104">
        <v>117</v>
      </c>
    </row>
    <row r="21" spans="1:12" ht="15" thickBot="1" x14ac:dyDescent="0.35">
      <c r="A21" s="152" t="s">
        <v>380</v>
      </c>
      <c r="B21" s="96">
        <f>PRODUCT(B16,(1+PRODUCT((1-B19),B18)))</f>
        <v>0.83109791342430983</v>
      </c>
      <c r="C21" s="97">
        <f>PRODUCT(C16,(1+PRODUCT((1-C19),C18)))</f>
        <v>0.93936181270569696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B66B-C038-41A3-A377-50E94E5A5614}">
  <dimension ref="A2:X12"/>
  <sheetViews>
    <sheetView workbookViewId="0">
      <selection activeCell="W17" sqref="W17"/>
    </sheetView>
  </sheetViews>
  <sheetFormatPr defaultRowHeight="14.4" x14ac:dyDescent="0.3"/>
  <cols>
    <col min="1" max="1" width="12.88671875" customWidth="1"/>
    <col min="2" max="2" width="0" hidden="1" customWidth="1"/>
    <col min="3" max="3" width="10.5546875" bestFit="1" customWidth="1"/>
    <col min="4" max="4" width="0" hidden="1" customWidth="1"/>
    <col min="5" max="5" width="10.5546875" bestFit="1" customWidth="1"/>
    <col min="7" max="9" width="10.5546875" bestFit="1" customWidth="1"/>
    <col min="17" max="17" width="0" hidden="1" customWidth="1"/>
    <col min="18" max="18" width="11.109375" customWidth="1"/>
    <col min="19" max="19" width="9.6640625" hidden="1" customWidth="1"/>
    <col min="20" max="20" width="12.21875" customWidth="1"/>
    <col min="22" max="22" width="11.88671875" customWidth="1"/>
    <col min="23" max="23" width="10.5546875" customWidth="1"/>
    <col min="24" max="24" width="11.6640625" customWidth="1"/>
  </cols>
  <sheetData>
    <row r="2" spans="1:24" x14ac:dyDescent="0.3">
      <c r="A2" s="2"/>
      <c r="B2" s="2"/>
      <c r="C2" s="53"/>
      <c r="D2" s="2"/>
      <c r="E2" s="53"/>
      <c r="F2" s="2"/>
      <c r="G2" s="53"/>
      <c r="H2" s="53"/>
      <c r="I2" s="53"/>
    </row>
    <row r="3" spans="1:24" x14ac:dyDescent="0.3">
      <c r="A3" s="158"/>
      <c r="B3" s="197"/>
      <c r="C3" s="158"/>
      <c r="D3" s="198"/>
      <c r="E3" s="158"/>
      <c r="F3" s="2"/>
      <c r="G3" s="2"/>
      <c r="H3" s="2"/>
      <c r="I3" s="2"/>
    </row>
    <row r="4" spans="1:24" x14ac:dyDescent="0.3">
      <c r="A4" s="197"/>
      <c r="B4" s="2"/>
      <c r="C4" s="197"/>
      <c r="D4" s="198"/>
      <c r="E4" s="197"/>
      <c r="F4" s="2"/>
      <c r="G4" s="2"/>
      <c r="H4" s="2"/>
      <c r="I4" s="2"/>
      <c r="R4" s="196">
        <v>43830</v>
      </c>
      <c r="S4" s="98" t="s">
        <v>338</v>
      </c>
      <c r="T4" s="196">
        <v>43465</v>
      </c>
      <c r="U4" s="98"/>
      <c r="V4" s="196">
        <v>43100</v>
      </c>
      <c r="W4" s="196">
        <v>42735</v>
      </c>
      <c r="X4" s="196">
        <v>42369</v>
      </c>
    </row>
    <row r="5" spans="1:24" x14ac:dyDescent="0.3">
      <c r="A5" s="197"/>
      <c r="B5" s="2"/>
      <c r="C5" s="197"/>
      <c r="D5" s="198"/>
      <c r="E5" s="197"/>
      <c r="F5" s="2"/>
      <c r="G5" s="2"/>
      <c r="H5" s="2"/>
      <c r="I5" s="2"/>
      <c r="P5" s="125" t="s">
        <v>101</v>
      </c>
      <c r="Q5" s="194" t="s">
        <v>16</v>
      </c>
      <c r="R5" s="78"/>
      <c r="S5" s="195"/>
      <c r="T5" s="78"/>
      <c r="U5" s="79"/>
      <c r="V5" s="79"/>
      <c r="W5" s="79"/>
      <c r="X5" s="170"/>
    </row>
    <row r="6" spans="1:24" x14ac:dyDescent="0.3">
      <c r="A6" s="197"/>
      <c r="B6" s="2"/>
      <c r="C6" s="197"/>
      <c r="D6" s="198"/>
      <c r="E6" s="197"/>
      <c r="F6" s="2"/>
      <c r="G6" s="2"/>
      <c r="H6" s="2"/>
      <c r="I6" s="2"/>
      <c r="P6" s="120" t="s">
        <v>221</v>
      </c>
      <c r="Q6" s="37" t="s">
        <v>264</v>
      </c>
      <c r="R6" s="47">
        <v>147</v>
      </c>
      <c r="S6" s="81">
        <f t="shared" ref="S6:S12" si="0">(SUM(R6,-T6))/T6</f>
        <v>6.8493150684931503E-3</v>
      </c>
      <c r="T6" s="47">
        <v>146</v>
      </c>
      <c r="U6" s="37"/>
      <c r="V6" s="37">
        <v>107</v>
      </c>
      <c r="W6" s="37">
        <v>138</v>
      </c>
      <c r="X6" s="114">
        <v>105</v>
      </c>
    </row>
    <row r="7" spans="1:24" x14ac:dyDescent="0.3">
      <c r="A7" s="199"/>
      <c r="B7" s="2"/>
      <c r="C7" s="199"/>
      <c r="D7" s="198"/>
      <c r="E7" s="199"/>
      <c r="F7" s="199"/>
      <c r="G7" s="199"/>
      <c r="H7" s="199"/>
      <c r="I7" s="199"/>
      <c r="P7" s="120" t="s">
        <v>222</v>
      </c>
      <c r="Q7" s="37" t="s">
        <v>265</v>
      </c>
      <c r="R7" s="47">
        <v>30</v>
      </c>
      <c r="S7" s="81">
        <f t="shared" si="0"/>
        <v>0</v>
      </c>
      <c r="T7" s="47">
        <v>30</v>
      </c>
      <c r="U7" s="37"/>
      <c r="V7" s="37">
        <v>26</v>
      </c>
      <c r="W7" s="37">
        <v>25</v>
      </c>
      <c r="X7" s="114">
        <v>23</v>
      </c>
    </row>
    <row r="8" spans="1:24" x14ac:dyDescent="0.3">
      <c r="A8" s="197"/>
      <c r="B8" s="2"/>
      <c r="C8" s="197"/>
      <c r="D8" s="198"/>
      <c r="E8" s="197"/>
      <c r="F8" s="2"/>
      <c r="G8" s="2"/>
      <c r="H8" s="2"/>
      <c r="I8" s="2"/>
      <c r="P8" s="120" t="s">
        <v>223</v>
      </c>
      <c r="Q8" s="37" t="s">
        <v>266</v>
      </c>
      <c r="R8" s="47">
        <v>5</v>
      </c>
      <c r="S8" s="81">
        <f t="shared" si="0"/>
        <v>1.5</v>
      </c>
      <c r="T8" s="47">
        <v>2</v>
      </c>
      <c r="U8" s="37"/>
      <c r="V8" s="37">
        <v>-1</v>
      </c>
      <c r="W8" s="37">
        <v>4</v>
      </c>
      <c r="X8" s="114">
        <v>-17</v>
      </c>
    </row>
    <row r="9" spans="1:24" x14ac:dyDescent="0.3">
      <c r="A9" s="197"/>
      <c r="B9" s="2"/>
      <c r="C9" s="197"/>
      <c r="D9" s="198"/>
      <c r="E9" s="197"/>
      <c r="F9" s="2"/>
      <c r="G9" s="2"/>
      <c r="H9" s="2"/>
      <c r="I9" s="2"/>
      <c r="P9" s="115" t="s">
        <v>226</v>
      </c>
      <c r="Q9" s="37" t="s">
        <v>267</v>
      </c>
      <c r="R9" s="49">
        <f>SUM(R6:R8)</f>
        <v>182</v>
      </c>
      <c r="S9" s="81">
        <f t="shared" si="0"/>
        <v>2.247191011235955E-2</v>
      </c>
      <c r="T9" s="49">
        <f t="shared" ref="T9" si="1">SUM(T6:T8)</f>
        <v>178</v>
      </c>
      <c r="U9" s="49"/>
      <c r="V9" s="49">
        <f t="shared" ref="V9:X9" si="2">SUM(V6:V8)</f>
        <v>132</v>
      </c>
      <c r="W9" s="49">
        <f t="shared" si="2"/>
        <v>167</v>
      </c>
      <c r="X9" s="49">
        <f t="shared" si="2"/>
        <v>111</v>
      </c>
    </row>
    <row r="10" spans="1:24" x14ac:dyDescent="0.3">
      <c r="A10" s="158"/>
      <c r="B10" s="2"/>
      <c r="C10" s="158"/>
      <c r="D10" s="198"/>
      <c r="E10" s="158"/>
      <c r="F10" s="158"/>
      <c r="G10" s="158"/>
      <c r="H10" s="158"/>
      <c r="I10" s="158"/>
      <c r="P10" s="120" t="s">
        <v>90</v>
      </c>
      <c r="Q10" s="37" t="s">
        <v>268</v>
      </c>
      <c r="R10" s="47">
        <v>71</v>
      </c>
      <c r="S10" s="81">
        <f t="shared" si="0"/>
        <v>1.1515151515151516</v>
      </c>
      <c r="T10" s="47">
        <v>33</v>
      </c>
      <c r="U10" s="37"/>
      <c r="V10" s="37">
        <v>88</v>
      </c>
      <c r="W10" s="37">
        <v>44</v>
      </c>
      <c r="X10" s="114">
        <v>142</v>
      </c>
    </row>
    <row r="11" spans="1:24" x14ac:dyDescent="0.3">
      <c r="P11" s="120" t="s">
        <v>224</v>
      </c>
      <c r="Q11" s="37" t="s">
        <v>269</v>
      </c>
      <c r="R11" s="47">
        <v>-64</v>
      </c>
      <c r="S11" s="81">
        <f t="shared" si="0"/>
        <v>0.18518518518518517</v>
      </c>
      <c r="T11" s="47">
        <v>-54</v>
      </c>
      <c r="U11" s="37"/>
      <c r="V11" s="37">
        <v>-28</v>
      </c>
      <c r="W11" s="37">
        <v>-89</v>
      </c>
      <c r="X11" s="114">
        <v>-120</v>
      </c>
    </row>
    <row r="12" spans="1:24" x14ac:dyDescent="0.3">
      <c r="P12" s="119" t="s">
        <v>225</v>
      </c>
      <c r="Q12" s="74" t="s">
        <v>270</v>
      </c>
      <c r="R12" s="73">
        <f>SUM(R9:R11)</f>
        <v>189</v>
      </c>
      <c r="S12" s="81">
        <f t="shared" si="0"/>
        <v>0.20382165605095542</v>
      </c>
      <c r="T12" s="73">
        <f t="shared" ref="T12" si="3">SUM(T9:T11)</f>
        <v>157</v>
      </c>
      <c r="U12" s="73"/>
      <c r="V12" s="73">
        <f t="shared" ref="V12:X12" si="4">SUM(V9:V11)</f>
        <v>192</v>
      </c>
      <c r="W12" s="73">
        <f t="shared" si="4"/>
        <v>122</v>
      </c>
      <c r="X12" s="73">
        <f t="shared" si="4"/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96E7-F67A-4DAF-82A4-1182099AF78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99D8-29D0-45EA-B373-6125C660EC5A}">
  <dimension ref="A1:H67"/>
  <sheetViews>
    <sheetView workbookViewId="0">
      <selection activeCell="J20" sqref="J20"/>
    </sheetView>
  </sheetViews>
  <sheetFormatPr defaultRowHeight="14.4" x14ac:dyDescent="0.3"/>
  <cols>
    <col min="1" max="1" width="71.44140625" customWidth="1"/>
    <col min="2" max="2" width="68.109375" hidden="1" customWidth="1"/>
    <col min="3" max="6" width="10.6640625" bestFit="1" customWidth="1"/>
    <col min="7" max="7" width="14.44140625" bestFit="1" customWidth="1"/>
    <col min="8" max="8" width="22.109375" bestFit="1" customWidth="1"/>
  </cols>
  <sheetData>
    <row r="1" spans="1:6" ht="19.2" thickTop="1" thickBot="1" x14ac:dyDescent="0.4">
      <c r="A1" s="242" t="s">
        <v>174</v>
      </c>
      <c r="B1" s="243"/>
      <c r="C1" s="243"/>
      <c r="D1" s="243"/>
      <c r="E1" s="243"/>
      <c r="F1" s="244"/>
    </row>
    <row r="2" spans="1:6" ht="15.6" thickTop="1" thickBot="1" x14ac:dyDescent="0.35"/>
    <row r="3" spans="1:6" ht="15.6" thickTop="1" thickBot="1" x14ac:dyDescent="0.35">
      <c r="B3" s="9"/>
      <c r="C3" s="1">
        <v>43830</v>
      </c>
      <c r="D3" s="1">
        <v>43465</v>
      </c>
      <c r="E3" s="1">
        <v>43100</v>
      </c>
      <c r="F3" s="1">
        <v>42735</v>
      </c>
    </row>
    <row r="4" spans="1:6" ht="15.6" thickTop="1" thickBot="1" x14ac:dyDescent="0.35">
      <c r="A4" s="18" t="s">
        <v>124</v>
      </c>
      <c r="B4" s="28" t="s">
        <v>42</v>
      </c>
      <c r="C4" s="3">
        <v>624</v>
      </c>
      <c r="D4" s="3">
        <v>691</v>
      </c>
      <c r="E4" s="3">
        <v>402</v>
      </c>
      <c r="F4" s="3">
        <v>636</v>
      </c>
    </row>
    <row r="5" spans="1:6" ht="15.6" thickTop="1" thickBot="1" x14ac:dyDescent="0.35">
      <c r="A5" s="19" t="s">
        <v>163</v>
      </c>
      <c r="B5" s="28" t="s">
        <v>79</v>
      </c>
      <c r="C5" s="4"/>
      <c r="D5" s="4"/>
      <c r="E5" s="4">
        <v>-55</v>
      </c>
      <c r="F5" s="4"/>
    </row>
    <row r="6" spans="1:6" ht="15.6" thickTop="1" thickBot="1" x14ac:dyDescent="0.35">
      <c r="A6" s="19" t="s">
        <v>165</v>
      </c>
      <c r="B6" s="28"/>
      <c r="C6" s="4"/>
      <c r="D6" s="4"/>
      <c r="E6" s="4"/>
      <c r="F6" s="4">
        <v>-38</v>
      </c>
    </row>
    <row r="7" spans="1:6" ht="15.6" thickTop="1" thickBot="1" x14ac:dyDescent="0.35">
      <c r="A7" s="19" t="s">
        <v>166</v>
      </c>
      <c r="B7" s="28" t="s">
        <v>88</v>
      </c>
      <c r="C7" s="4">
        <v>3</v>
      </c>
      <c r="D7" s="4">
        <v>26</v>
      </c>
      <c r="E7" s="4">
        <v>7</v>
      </c>
      <c r="F7" s="4"/>
    </row>
    <row r="8" spans="1:6" ht="15.6" thickTop="1" thickBot="1" x14ac:dyDescent="0.35">
      <c r="A8" s="19" t="s">
        <v>164</v>
      </c>
      <c r="B8" s="28" t="s">
        <v>89</v>
      </c>
      <c r="C8" s="4"/>
      <c r="D8" s="4"/>
      <c r="F8" s="4">
        <v>86</v>
      </c>
    </row>
    <row r="9" spans="1:6" ht="15.6" thickTop="1" thickBot="1" x14ac:dyDescent="0.35">
      <c r="A9" s="18" t="s">
        <v>124</v>
      </c>
      <c r="B9" s="28" t="s">
        <v>42</v>
      </c>
      <c r="C9" s="4">
        <v>627</v>
      </c>
      <c r="D9" s="4">
        <v>717</v>
      </c>
      <c r="E9" s="4">
        <v>354</v>
      </c>
      <c r="F9" s="4">
        <v>684</v>
      </c>
    </row>
    <row r="10" spans="1:6" ht="15.6" thickTop="1" thickBot="1" x14ac:dyDescent="0.35">
      <c r="A10" s="18" t="s">
        <v>125</v>
      </c>
      <c r="B10" s="29" t="s">
        <v>43</v>
      </c>
      <c r="C10" s="4"/>
      <c r="D10" s="4"/>
      <c r="E10" s="4"/>
      <c r="F10" s="4"/>
    </row>
    <row r="11" spans="1:6" ht="15.6" thickTop="1" thickBot="1" x14ac:dyDescent="0.35">
      <c r="A11" s="19" t="s">
        <v>172</v>
      </c>
      <c r="B11" s="29" t="s">
        <v>80</v>
      </c>
      <c r="C11" s="4">
        <v>393</v>
      </c>
      <c r="D11" s="4">
        <v>348</v>
      </c>
      <c r="E11" s="4">
        <v>297</v>
      </c>
      <c r="F11" s="4">
        <v>196</v>
      </c>
    </row>
    <row r="12" spans="1:6" ht="15.6" thickTop="1" thickBot="1" x14ac:dyDescent="0.35">
      <c r="A12" s="19" t="s">
        <v>126</v>
      </c>
      <c r="B12" s="29" t="s">
        <v>44</v>
      </c>
      <c r="C12" s="4">
        <v>379</v>
      </c>
      <c r="D12" s="4">
        <v>372</v>
      </c>
      <c r="E12" s="4">
        <v>338</v>
      </c>
      <c r="F12" s="4">
        <v>374</v>
      </c>
    </row>
    <row r="13" spans="1:6" ht="15.6" thickTop="1" thickBot="1" x14ac:dyDescent="0.35">
      <c r="A13" s="19" t="s">
        <v>127</v>
      </c>
      <c r="B13" s="29" t="s">
        <v>45</v>
      </c>
      <c r="C13" s="4">
        <v>123</v>
      </c>
      <c r="D13" s="4">
        <v>91</v>
      </c>
      <c r="E13" s="4">
        <v>72</v>
      </c>
      <c r="F13" s="4">
        <v>55</v>
      </c>
    </row>
    <row r="14" spans="1:6" ht="15.6" thickTop="1" thickBot="1" x14ac:dyDescent="0.35">
      <c r="A14" s="19" t="s">
        <v>128</v>
      </c>
      <c r="B14" s="29" t="s">
        <v>46</v>
      </c>
      <c r="C14" s="4">
        <v>18</v>
      </c>
      <c r="D14" s="4">
        <v>167</v>
      </c>
      <c r="E14" s="4">
        <v>43</v>
      </c>
      <c r="F14" s="4">
        <v>252</v>
      </c>
    </row>
    <row r="15" spans="1:6" ht="15.6" thickTop="1" thickBot="1" x14ac:dyDescent="0.35">
      <c r="A15" s="19" t="s">
        <v>129</v>
      </c>
      <c r="B15" s="29" t="s">
        <v>81</v>
      </c>
      <c r="C15" s="4">
        <v>-4</v>
      </c>
      <c r="D15" s="4">
        <v>-4</v>
      </c>
      <c r="E15" s="4">
        <v>-5</v>
      </c>
      <c r="F15" s="4">
        <v>3</v>
      </c>
    </row>
    <row r="16" spans="1:6" ht="15.6" thickTop="1" thickBot="1" x14ac:dyDescent="0.35">
      <c r="A16" s="19" t="s">
        <v>167</v>
      </c>
      <c r="B16" s="29" t="s">
        <v>82</v>
      </c>
      <c r="C16" s="4"/>
      <c r="D16" s="4"/>
      <c r="E16" s="4">
        <v>86</v>
      </c>
      <c r="F16" s="4"/>
    </row>
    <row r="17" spans="1:8" ht="15.6" thickTop="1" thickBot="1" x14ac:dyDescent="0.35">
      <c r="A17" s="19" t="s">
        <v>130</v>
      </c>
      <c r="B17" s="29" t="s">
        <v>83</v>
      </c>
      <c r="C17" s="4">
        <v>114</v>
      </c>
      <c r="D17" s="4">
        <v>116</v>
      </c>
      <c r="E17" s="4">
        <v>139</v>
      </c>
      <c r="F17" s="4">
        <v>158</v>
      </c>
    </row>
    <row r="18" spans="1:8" ht="15.6" thickTop="1" thickBot="1" x14ac:dyDescent="0.35">
      <c r="A18" s="19" t="s">
        <v>131</v>
      </c>
      <c r="B18" s="30" t="s">
        <v>47</v>
      </c>
      <c r="C18" s="4">
        <v>-100</v>
      </c>
      <c r="D18" s="4">
        <v>-114</v>
      </c>
      <c r="E18" s="4">
        <v>-115</v>
      </c>
      <c r="F18" s="4">
        <v>-133</v>
      </c>
    </row>
    <row r="19" spans="1:8" ht="15.6" thickTop="1" thickBot="1" x14ac:dyDescent="0.35">
      <c r="A19" s="10" t="s">
        <v>132</v>
      </c>
      <c r="B19" s="26" t="s">
        <v>48</v>
      </c>
      <c r="C19" s="12">
        <v>-235</v>
      </c>
      <c r="D19" s="12">
        <v>-102</v>
      </c>
      <c r="E19" s="12">
        <v>-192</v>
      </c>
      <c r="F19" s="12">
        <v>168</v>
      </c>
    </row>
    <row r="20" spans="1:8" ht="15.6" thickTop="1" thickBot="1" x14ac:dyDescent="0.35">
      <c r="A20" s="10" t="s">
        <v>133</v>
      </c>
      <c r="B20" s="26" t="s">
        <v>49</v>
      </c>
      <c r="C20" s="11">
        <v>244</v>
      </c>
      <c r="D20" s="11">
        <v>149</v>
      </c>
      <c r="E20" s="11">
        <v>203</v>
      </c>
      <c r="F20" s="11">
        <v>90</v>
      </c>
    </row>
    <row r="21" spans="1:8" ht="15.75" customHeight="1" thickTop="1" thickBot="1" x14ac:dyDescent="0.35">
      <c r="A21" s="10" t="s">
        <v>168</v>
      </c>
      <c r="B21" s="26" t="s">
        <v>50</v>
      </c>
      <c r="C21" s="12">
        <v>9</v>
      </c>
      <c r="D21" s="12">
        <v>47</v>
      </c>
      <c r="E21" s="12">
        <v>11</v>
      </c>
      <c r="F21" s="12">
        <v>-78</v>
      </c>
    </row>
    <row r="22" spans="1:8" ht="15.6" thickTop="1" thickBot="1" x14ac:dyDescent="0.35">
      <c r="A22" s="21" t="s">
        <v>134</v>
      </c>
      <c r="B22" s="31" t="s">
        <v>51</v>
      </c>
      <c r="C22" s="12">
        <v>932</v>
      </c>
      <c r="D22" s="12">
        <v>1023</v>
      </c>
      <c r="E22" s="12">
        <v>866</v>
      </c>
      <c r="F22" s="12">
        <v>827</v>
      </c>
      <c r="G22" t="s">
        <v>175</v>
      </c>
      <c r="H22" t="s">
        <v>176</v>
      </c>
    </row>
    <row r="23" spans="1:8" ht="15.6" thickTop="1" thickBot="1" x14ac:dyDescent="0.35">
      <c r="A23" s="22" t="s">
        <v>135</v>
      </c>
      <c r="B23" s="29" t="s">
        <v>52</v>
      </c>
      <c r="C23" s="12"/>
      <c r="D23" s="12"/>
      <c r="E23" s="12"/>
      <c r="F23" s="12"/>
    </row>
    <row r="24" spans="1:8" ht="15.6" thickTop="1" thickBot="1" x14ac:dyDescent="0.35">
      <c r="A24" s="19" t="s">
        <v>136</v>
      </c>
      <c r="B24" s="29" t="s">
        <v>53</v>
      </c>
      <c r="C24" s="4">
        <v>-380</v>
      </c>
      <c r="D24" s="4">
        <v>-305</v>
      </c>
      <c r="E24" s="4">
        <v>-306</v>
      </c>
      <c r="F24" s="4">
        <v>-259</v>
      </c>
    </row>
    <row r="25" spans="1:8" ht="15.6" thickTop="1" thickBot="1" x14ac:dyDescent="0.35">
      <c r="A25" s="19" t="s">
        <v>137</v>
      </c>
      <c r="B25" s="29" t="s">
        <v>54</v>
      </c>
      <c r="C25" s="4">
        <v>-247</v>
      </c>
      <c r="D25" s="4">
        <v>-195</v>
      </c>
      <c r="E25" s="4">
        <v>-148</v>
      </c>
      <c r="F25" s="4">
        <v>-127</v>
      </c>
    </row>
    <row r="26" spans="1:8" ht="15.6" thickTop="1" thickBot="1" x14ac:dyDescent="0.35">
      <c r="A26" s="19" t="s">
        <v>169</v>
      </c>
      <c r="B26" s="29" t="s">
        <v>55</v>
      </c>
      <c r="C26" s="4">
        <v>-56</v>
      </c>
      <c r="D26" s="4">
        <v>-25</v>
      </c>
      <c r="E26" s="4">
        <v>-23</v>
      </c>
      <c r="F26" s="4">
        <v>-123</v>
      </c>
    </row>
    <row r="27" spans="1:8" ht="15.6" thickTop="1" thickBot="1" x14ac:dyDescent="0.35">
      <c r="A27" s="19" t="s">
        <v>138</v>
      </c>
      <c r="B27" s="29" t="s">
        <v>56</v>
      </c>
      <c r="C27" s="4"/>
      <c r="D27" s="4">
        <v>13</v>
      </c>
      <c r="E27" s="4"/>
      <c r="F27" s="4">
        <v>6</v>
      </c>
    </row>
    <row r="28" spans="1:8" ht="15.6" thickTop="1" thickBot="1" x14ac:dyDescent="0.35">
      <c r="A28" s="19" t="s">
        <v>139</v>
      </c>
      <c r="B28" s="29" t="s">
        <v>84</v>
      </c>
      <c r="C28" s="4"/>
      <c r="D28" s="4">
        <v>2</v>
      </c>
      <c r="E28" s="4">
        <v>2</v>
      </c>
      <c r="F28" s="4">
        <v>1</v>
      </c>
    </row>
    <row r="29" spans="1:8" ht="15.6" thickTop="1" thickBot="1" x14ac:dyDescent="0.35">
      <c r="A29" s="18" t="s">
        <v>140</v>
      </c>
      <c r="B29" s="29" t="s">
        <v>57</v>
      </c>
      <c r="C29" s="4">
        <v>-683</v>
      </c>
      <c r="D29" s="4">
        <v>-510</v>
      </c>
      <c r="E29" s="4">
        <v>-475</v>
      </c>
      <c r="F29" s="4">
        <v>-502</v>
      </c>
    </row>
    <row r="30" spans="1:8" ht="15.6" thickTop="1" thickBot="1" x14ac:dyDescent="0.35">
      <c r="A30" s="18" t="s">
        <v>58</v>
      </c>
      <c r="B30" s="32" t="s">
        <v>58</v>
      </c>
      <c r="C30" s="5">
        <v>249</v>
      </c>
      <c r="D30" s="5">
        <v>513</v>
      </c>
      <c r="E30" s="5">
        <v>391</v>
      </c>
      <c r="F30" s="5">
        <v>325</v>
      </c>
    </row>
    <row r="31" spans="1:8" x14ac:dyDescent="0.3">
      <c r="B31" s="7"/>
      <c r="C31" s="6"/>
      <c r="D31" s="6"/>
      <c r="E31" s="6"/>
      <c r="F31" s="6"/>
    </row>
    <row r="32" spans="1:8" x14ac:dyDescent="0.3">
      <c r="B32" s="7"/>
      <c r="C32" s="6"/>
      <c r="D32" s="6"/>
      <c r="E32" s="6"/>
      <c r="F32" s="6"/>
    </row>
    <row r="33" spans="1:6" ht="15" thickBot="1" x14ac:dyDescent="0.35">
      <c r="B33" s="9"/>
    </row>
    <row r="34" spans="1:6" ht="15.6" thickTop="1" thickBot="1" x14ac:dyDescent="0.35">
      <c r="B34" s="9"/>
      <c r="C34" s="1">
        <v>43830</v>
      </c>
      <c r="D34" s="1">
        <v>43465</v>
      </c>
      <c r="E34" s="1">
        <v>43100</v>
      </c>
      <c r="F34" s="1">
        <v>42735</v>
      </c>
    </row>
    <row r="35" spans="1:6" ht="15.6" thickTop="1" thickBot="1" x14ac:dyDescent="0.35">
      <c r="A35" s="18" t="s">
        <v>141</v>
      </c>
      <c r="B35" s="25" t="s">
        <v>59</v>
      </c>
      <c r="C35" s="3"/>
      <c r="D35" s="3"/>
      <c r="E35" s="3"/>
      <c r="F35" s="3"/>
    </row>
    <row r="36" spans="1:6" ht="15.6" thickTop="1" thickBot="1" x14ac:dyDescent="0.35">
      <c r="A36" s="18" t="s">
        <v>142</v>
      </c>
      <c r="B36" s="25" t="s">
        <v>60</v>
      </c>
      <c r="C36" s="4"/>
      <c r="D36" s="4"/>
      <c r="E36" s="4"/>
      <c r="F36" s="4"/>
    </row>
    <row r="37" spans="1:6" ht="15.6" thickTop="1" thickBot="1" x14ac:dyDescent="0.35">
      <c r="A37" s="23" t="s">
        <v>143</v>
      </c>
      <c r="B37" s="33" t="s">
        <v>61</v>
      </c>
      <c r="C37" s="4"/>
      <c r="D37" s="4"/>
      <c r="E37" s="4"/>
      <c r="F37" s="4"/>
    </row>
    <row r="38" spans="1:6" ht="15.6" thickTop="1" thickBot="1" x14ac:dyDescent="0.35">
      <c r="A38" s="8" t="s">
        <v>144</v>
      </c>
      <c r="B38" s="34" t="s">
        <v>62</v>
      </c>
      <c r="C38" s="8"/>
      <c r="D38" s="8"/>
      <c r="E38" s="8"/>
      <c r="F38" s="8">
        <v>-12</v>
      </c>
    </row>
    <row r="39" spans="1:6" ht="15.6" thickTop="1" thickBot="1" x14ac:dyDescent="0.35">
      <c r="A39" s="8" t="s">
        <v>145</v>
      </c>
      <c r="B39" s="34" t="s">
        <v>63</v>
      </c>
      <c r="C39" s="8">
        <v>7</v>
      </c>
      <c r="D39" s="8">
        <v>5</v>
      </c>
      <c r="E39" s="8">
        <v>7</v>
      </c>
      <c r="F39" s="8">
        <v>14</v>
      </c>
    </row>
    <row r="40" spans="1:6" ht="15.6" thickTop="1" thickBot="1" x14ac:dyDescent="0.35">
      <c r="A40" s="8" t="s">
        <v>146</v>
      </c>
      <c r="B40" s="34" t="s">
        <v>64</v>
      </c>
      <c r="C40" s="11">
        <v>-2</v>
      </c>
      <c r="D40" s="11">
        <v>11</v>
      </c>
      <c r="E40" s="11">
        <v>-10</v>
      </c>
      <c r="F40" s="11">
        <v>37</v>
      </c>
    </row>
    <row r="41" spans="1:6" ht="15.6" thickTop="1" thickBot="1" x14ac:dyDescent="0.35">
      <c r="A41" s="17" t="s">
        <v>147</v>
      </c>
      <c r="B41" s="25" t="s">
        <v>65</v>
      </c>
      <c r="C41" s="4">
        <v>5</v>
      </c>
      <c r="D41" s="4">
        <v>16</v>
      </c>
      <c r="E41" s="4">
        <v>-3</v>
      </c>
      <c r="F41" s="4">
        <v>39</v>
      </c>
    </row>
    <row r="42" spans="1:6" ht="15.6" thickTop="1" thickBot="1" x14ac:dyDescent="0.35">
      <c r="A42" s="23" t="s">
        <v>148</v>
      </c>
      <c r="B42" s="34" t="s">
        <v>66</v>
      </c>
      <c r="C42" s="4"/>
      <c r="D42" s="4"/>
      <c r="E42" s="4"/>
      <c r="F42" s="4"/>
    </row>
    <row r="43" spans="1:6" ht="15.6" thickTop="1" thickBot="1" x14ac:dyDescent="0.35">
      <c r="A43" s="8" t="s">
        <v>149</v>
      </c>
      <c r="B43" s="34" t="s">
        <v>67</v>
      </c>
      <c r="C43" s="11">
        <v>3</v>
      </c>
      <c r="D43" s="11">
        <v>79</v>
      </c>
      <c r="E43" s="11">
        <v>5</v>
      </c>
      <c r="F43" s="11">
        <v>14</v>
      </c>
    </row>
    <row r="44" spans="1:6" ht="15.6" thickTop="1" thickBot="1" x14ac:dyDescent="0.35">
      <c r="A44" s="24" t="s">
        <v>150</v>
      </c>
      <c r="B44" s="34" t="s">
        <v>68</v>
      </c>
      <c r="C44" s="13">
        <v>3</v>
      </c>
      <c r="D44" s="13">
        <v>79</v>
      </c>
      <c r="E44" s="13">
        <v>5</v>
      </c>
      <c r="F44" s="13">
        <v>14</v>
      </c>
    </row>
    <row r="45" spans="1:6" ht="15.6" thickTop="1" thickBot="1" x14ac:dyDescent="0.35">
      <c r="A45" s="18" t="s">
        <v>171</v>
      </c>
      <c r="B45" s="25" t="s">
        <v>69</v>
      </c>
      <c r="C45" s="4">
        <v>8</v>
      </c>
      <c r="D45" s="4">
        <v>95</v>
      </c>
      <c r="E45" s="4">
        <v>2</v>
      </c>
      <c r="F45" s="4">
        <v>53</v>
      </c>
    </row>
    <row r="46" spans="1:6" ht="15.6" thickTop="1" thickBot="1" x14ac:dyDescent="0.35">
      <c r="A46" s="18" t="s">
        <v>151</v>
      </c>
      <c r="B46" s="25" t="s">
        <v>70</v>
      </c>
      <c r="C46" s="12"/>
      <c r="D46" s="12"/>
      <c r="E46" s="12"/>
      <c r="F46" s="12"/>
    </row>
    <row r="47" spans="1:6" ht="15.6" thickTop="1" thickBot="1" x14ac:dyDescent="0.35">
      <c r="A47" s="23" t="s">
        <v>143</v>
      </c>
      <c r="B47" s="25" t="s">
        <v>71</v>
      </c>
      <c r="C47" s="12"/>
      <c r="D47" s="12"/>
      <c r="E47" s="12"/>
      <c r="F47" s="12"/>
    </row>
    <row r="48" spans="1:6" ht="15.6" thickTop="1" thickBot="1" x14ac:dyDescent="0.35">
      <c r="A48" s="8" t="s">
        <v>152</v>
      </c>
      <c r="B48" s="25" t="s">
        <v>72</v>
      </c>
      <c r="C48" s="8">
        <v>491</v>
      </c>
      <c r="D48" s="8">
        <v>68</v>
      </c>
      <c r="E48" s="8">
        <v>743</v>
      </c>
      <c r="F48" s="8">
        <v>780</v>
      </c>
    </row>
    <row r="49" spans="1:6" ht="15.6" thickTop="1" thickBot="1" x14ac:dyDescent="0.35">
      <c r="A49" s="8" t="s">
        <v>153</v>
      </c>
      <c r="B49" s="25" t="s">
        <v>73</v>
      </c>
      <c r="C49" s="8">
        <v>-657</v>
      </c>
      <c r="D49" s="8">
        <v>-521</v>
      </c>
      <c r="E49" s="8">
        <v>-613</v>
      </c>
      <c r="F49" s="8">
        <v>-1247</v>
      </c>
    </row>
    <row r="50" spans="1:6" ht="15.6" thickTop="1" thickBot="1" x14ac:dyDescent="0.35">
      <c r="A50" s="8" t="s">
        <v>154</v>
      </c>
      <c r="B50" s="9" t="s">
        <v>85</v>
      </c>
      <c r="C50" s="8">
        <v>-17</v>
      </c>
      <c r="D50" s="8">
        <v>-2</v>
      </c>
      <c r="E50" s="8">
        <v>-2</v>
      </c>
      <c r="F50" s="8">
        <v>-2</v>
      </c>
    </row>
    <row r="51" spans="1:6" ht="15.6" thickTop="1" thickBot="1" x14ac:dyDescent="0.35">
      <c r="A51" s="8" t="s">
        <v>155</v>
      </c>
      <c r="B51" s="25" t="s">
        <v>86</v>
      </c>
      <c r="C51" s="8">
        <v>-218</v>
      </c>
      <c r="D51" s="8">
        <v>-180</v>
      </c>
      <c r="E51" s="8">
        <v>-153</v>
      </c>
      <c r="F51" s="8">
        <v>-126</v>
      </c>
    </row>
    <row r="52" spans="1:6" ht="15.6" thickTop="1" thickBot="1" x14ac:dyDescent="0.35">
      <c r="A52" s="8" t="s">
        <v>156</v>
      </c>
      <c r="B52" s="2" t="s">
        <v>87</v>
      </c>
      <c r="C52" s="8">
        <v>-14</v>
      </c>
      <c r="D52" s="8">
        <v>-5</v>
      </c>
      <c r="E52" s="8">
        <v>-2</v>
      </c>
      <c r="F52" s="8">
        <v>-5</v>
      </c>
    </row>
    <row r="53" spans="1:6" ht="15.6" thickTop="1" thickBot="1" x14ac:dyDescent="0.35">
      <c r="A53" s="8" t="s">
        <v>146</v>
      </c>
      <c r="B53" s="25" t="s">
        <v>64</v>
      </c>
      <c r="C53" s="11">
        <v>-26</v>
      </c>
      <c r="D53" s="11">
        <v>-2</v>
      </c>
      <c r="E53" s="11">
        <v>-3</v>
      </c>
      <c r="F53" s="11">
        <v>-5</v>
      </c>
    </row>
    <row r="54" spans="1:6" ht="15.6" thickTop="1" thickBot="1" x14ac:dyDescent="0.35">
      <c r="A54" s="17" t="s">
        <v>147</v>
      </c>
      <c r="B54" s="25" t="s">
        <v>65</v>
      </c>
      <c r="C54" s="12">
        <v>-441</v>
      </c>
      <c r="D54" s="12">
        <v>-642</v>
      </c>
      <c r="E54" s="12">
        <v>-30</v>
      </c>
      <c r="F54" s="12">
        <v>-605</v>
      </c>
    </row>
    <row r="55" spans="1:6" ht="15.6" thickTop="1" thickBot="1" x14ac:dyDescent="0.35">
      <c r="A55" s="23" t="s">
        <v>148</v>
      </c>
      <c r="B55" s="34" t="s">
        <v>66</v>
      </c>
      <c r="C55" s="4"/>
      <c r="D55" s="4"/>
      <c r="E55" s="4"/>
      <c r="F55" s="4"/>
    </row>
    <row r="56" spans="1:6" ht="15.6" thickTop="1" thickBot="1" x14ac:dyDescent="0.35">
      <c r="A56" s="8" t="s">
        <v>157</v>
      </c>
      <c r="B56" s="34" t="s">
        <v>74</v>
      </c>
      <c r="C56" s="8">
        <v>4</v>
      </c>
      <c r="D56" s="8">
        <v>4</v>
      </c>
      <c r="E56" s="8"/>
      <c r="F56" s="8"/>
    </row>
    <row r="57" spans="1:6" ht="15.6" thickTop="1" thickBot="1" x14ac:dyDescent="0.35">
      <c r="A57" s="8" t="s">
        <v>149</v>
      </c>
      <c r="B57" s="34" t="s">
        <v>67</v>
      </c>
      <c r="C57" s="11">
        <v>-13</v>
      </c>
      <c r="D57" s="11">
        <v>-63</v>
      </c>
      <c r="E57" s="11">
        <v>-26</v>
      </c>
      <c r="F57" s="11">
        <v>-55</v>
      </c>
    </row>
    <row r="58" spans="1:6" ht="15.6" thickTop="1" thickBot="1" x14ac:dyDescent="0.35">
      <c r="A58" s="24" t="s">
        <v>150</v>
      </c>
      <c r="B58" s="34" t="s">
        <v>68</v>
      </c>
      <c r="C58" s="14">
        <v>-9</v>
      </c>
      <c r="D58" s="14">
        <v>-59</v>
      </c>
      <c r="E58" s="14">
        <v>-26</v>
      </c>
      <c r="F58" s="14">
        <v>-55</v>
      </c>
    </row>
    <row r="59" spans="1:6" ht="15.6" thickTop="1" thickBot="1" x14ac:dyDescent="0.35">
      <c r="A59" s="18" t="s">
        <v>170</v>
      </c>
      <c r="B59" s="25" t="s">
        <v>75</v>
      </c>
      <c r="C59" s="4">
        <v>-450</v>
      </c>
      <c r="D59" s="4">
        <v>-701</v>
      </c>
      <c r="E59" s="4">
        <v>-56</v>
      </c>
      <c r="F59" s="4">
        <v>-660</v>
      </c>
    </row>
    <row r="60" spans="1:6" ht="15.6" thickTop="1" thickBot="1" x14ac:dyDescent="0.35">
      <c r="A60" s="18" t="s">
        <v>158</v>
      </c>
      <c r="B60" s="25" t="s">
        <v>76</v>
      </c>
      <c r="C60" s="4">
        <v>-442</v>
      </c>
      <c r="D60" s="4">
        <v>-606</v>
      </c>
      <c r="E60" s="4">
        <v>-54</v>
      </c>
      <c r="F60" s="4">
        <v>-607</v>
      </c>
    </row>
    <row r="61" spans="1:6" ht="15.6" thickTop="1" thickBot="1" x14ac:dyDescent="0.35">
      <c r="A61" s="18" t="s">
        <v>159</v>
      </c>
      <c r="B61" s="25" t="s">
        <v>77</v>
      </c>
      <c r="C61" s="4">
        <v>-193</v>
      </c>
      <c r="D61" s="4">
        <v>-93</v>
      </c>
      <c r="E61" s="4">
        <v>337</v>
      </c>
      <c r="F61" s="4">
        <v>-282</v>
      </c>
    </row>
    <row r="62" spans="1:6" ht="15.6" thickTop="1" thickBot="1" x14ac:dyDescent="0.35">
      <c r="A62" s="18" t="s">
        <v>160</v>
      </c>
      <c r="B62" s="25" t="s">
        <v>78</v>
      </c>
      <c r="C62" s="5">
        <v>434</v>
      </c>
      <c r="D62" s="5">
        <v>624</v>
      </c>
      <c r="E62" s="5">
        <v>691</v>
      </c>
      <c r="F62" s="5">
        <v>402</v>
      </c>
    </row>
    <row r="63" spans="1:6" x14ac:dyDescent="0.3">
      <c r="B63" s="9"/>
    </row>
    <row r="64" spans="1:6" x14ac:dyDescent="0.3">
      <c r="B64" s="9"/>
    </row>
    <row r="65" spans="2:2" x14ac:dyDescent="0.3">
      <c r="B65" s="9"/>
    </row>
    <row r="66" spans="2:2" x14ac:dyDescent="0.3">
      <c r="B66" s="9"/>
    </row>
    <row r="67" spans="2:2" x14ac:dyDescent="0.3">
      <c r="B67" s="9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IS</vt:lpstr>
      <vt:lpstr>Reorganized IS</vt:lpstr>
      <vt:lpstr>IS Trailing 12 months </vt:lpstr>
      <vt:lpstr>Analysis </vt:lpstr>
      <vt:lpstr>Bottom up Beta</vt:lpstr>
      <vt:lpstr>FCFE Computation</vt:lpstr>
      <vt:lpstr>Forecasts </vt:lpstr>
      <vt:lpstr>CF 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simone.luca.lucchesi@gmail.com</cp:lastModifiedBy>
  <dcterms:created xsi:type="dcterms:W3CDTF">2015-06-05T18:19:34Z</dcterms:created>
  <dcterms:modified xsi:type="dcterms:W3CDTF">2020-05-18T12:01:32Z</dcterms:modified>
</cp:coreProperties>
</file>