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Work in progress\"/>
    </mc:Choice>
  </mc:AlternateContent>
  <xr:revisionPtr revIDLastSave="670" documentId="13_ncr:1_{BF686D39-3E6C-4800-9839-533A77986A57}" xr6:coauthVersionLast="45" xr6:coauthVersionMax="45" xr10:uidLastSave="{FA7829C2-6A6D-48A1-B3F9-9EE48E46F7E8}"/>
  <bookViews>
    <workbookView xWindow="-108" yWindow="-108" windowWidth="23256" windowHeight="12576" activeTab="5"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 " sheetId="11" r:id="rId9"/>
    <sheet name="Forecasts Simone" sheetId="17" r:id="rId10"/>
    <sheet name="Output forecasts Simone " sheetId="18"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3" l="1"/>
  <c r="F9" i="13"/>
  <c r="G9" i="13"/>
  <c r="H9" i="13"/>
  <c r="D9" i="13"/>
  <c r="D99" i="18"/>
  <c r="E99" i="18"/>
  <c r="F99" i="18"/>
  <c r="C99" i="18"/>
  <c r="D98" i="18"/>
  <c r="E98" i="18"/>
  <c r="F98" i="18"/>
  <c r="C98" i="18"/>
  <c r="D95" i="18"/>
  <c r="E95" i="18"/>
  <c r="F95" i="18"/>
  <c r="C95" i="18"/>
  <c r="D94" i="18"/>
  <c r="E94" i="18"/>
  <c r="F94" i="18"/>
  <c r="C94" i="18"/>
  <c r="D93" i="18"/>
  <c r="E93" i="18"/>
  <c r="F93" i="18"/>
  <c r="C93" i="18"/>
  <c r="D92" i="18"/>
  <c r="E92" i="18"/>
  <c r="F92" i="18"/>
  <c r="C92" i="18"/>
  <c r="D89" i="18"/>
  <c r="E89" i="18"/>
  <c r="F89" i="18"/>
  <c r="C89" i="18"/>
  <c r="D88" i="18"/>
  <c r="E88" i="18"/>
  <c r="F88" i="18"/>
  <c r="C88" i="18"/>
  <c r="D85" i="18"/>
  <c r="E85" i="18"/>
  <c r="F85" i="18"/>
  <c r="D86" i="18"/>
  <c r="E86" i="18"/>
  <c r="F86" i="18"/>
  <c r="D87" i="18"/>
  <c r="E87" i="18"/>
  <c r="F87" i="18"/>
  <c r="C87" i="18"/>
  <c r="C86" i="18"/>
  <c r="C85" i="18"/>
  <c r="D84" i="18"/>
  <c r="E84" i="18"/>
  <c r="F84" i="18"/>
  <c r="C84" i="18"/>
  <c r="D83" i="18"/>
  <c r="E83" i="18"/>
  <c r="F83" i="18"/>
  <c r="C83" i="18"/>
  <c r="D81" i="18"/>
  <c r="E81" i="18"/>
  <c r="F81" i="18"/>
  <c r="D79" i="18"/>
  <c r="E79" i="18"/>
  <c r="F79" i="18"/>
  <c r="D80" i="18"/>
  <c r="E80" i="18"/>
  <c r="F80" i="18"/>
  <c r="C81" i="18"/>
  <c r="C80" i="18"/>
  <c r="C79" i="18"/>
  <c r="D77" i="18"/>
  <c r="E77" i="18"/>
  <c r="F77" i="18"/>
  <c r="C77" i="18"/>
  <c r="D76" i="18"/>
  <c r="E76" i="18"/>
  <c r="F76" i="18"/>
  <c r="D75" i="18"/>
  <c r="E75" i="18"/>
  <c r="F75" i="18"/>
  <c r="C76" i="18"/>
  <c r="C75" i="18"/>
  <c r="D74" i="18"/>
  <c r="E74" i="18"/>
  <c r="F74" i="18"/>
  <c r="C74" i="18"/>
  <c r="D70" i="18"/>
  <c r="E70" i="18"/>
  <c r="E72" i="18" s="1"/>
  <c r="F70" i="18"/>
  <c r="C70" i="18"/>
  <c r="D72" i="18"/>
  <c r="F72" i="18"/>
  <c r="C72" i="18"/>
  <c r="C69" i="18"/>
  <c r="D71" i="18"/>
  <c r="E71" i="18"/>
  <c r="F71" i="18"/>
  <c r="C71" i="18"/>
  <c r="D69" i="18"/>
  <c r="E69" i="18"/>
  <c r="F69" i="18"/>
  <c r="H56" i="18"/>
  <c r="I56" i="18"/>
  <c r="J56" i="18"/>
  <c r="K56" i="18"/>
  <c r="G56" i="18"/>
  <c r="F56" i="18"/>
  <c r="H60" i="18"/>
  <c r="I60" i="18"/>
  <c r="J60" i="18"/>
  <c r="K60" i="18"/>
  <c r="G60" i="18"/>
  <c r="H58" i="18"/>
  <c r="I58" i="18"/>
  <c r="J58" i="18"/>
  <c r="K58" i="18"/>
  <c r="G58" i="18"/>
  <c r="H49" i="18"/>
  <c r="I49" i="18"/>
  <c r="J49" i="18"/>
  <c r="K49" i="18"/>
  <c r="G49" i="18"/>
  <c r="C59" i="18"/>
  <c r="D59" i="18"/>
  <c r="E59" i="18"/>
  <c r="F59" i="18"/>
  <c r="B59" i="18"/>
  <c r="C58" i="18"/>
  <c r="D58" i="18"/>
  <c r="E58" i="18"/>
  <c r="F58" i="18"/>
  <c r="B58" i="18"/>
  <c r="C56" i="18"/>
  <c r="D56" i="18"/>
  <c r="E56" i="18"/>
  <c r="B56" i="18"/>
  <c r="H51" i="18"/>
  <c r="I51" i="18" s="1"/>
  <c r="J51" i="18" s="1"/>
  <c r="K51" i="18" s="1"/>
  <c r="H52" i="18"/>
  <c r="I52" i="18" s="1"/>
  <c r="J52" i="18" s="1"/>
  <c r="K52" i="18" s="1"/>
  <c r="H53" i="18"/>
  <c r="I53" i="18" s="1"/>
  <c r="J53" i="18" s="1"/>
  <c r="K53" i="18" s="1"/>
  <c r="G52" i="18"/>
  <c r="G53" i="18"/>
  <c r="G51" i="18"/>
  <c r="C51" i="18"/>
  <c r="D51" i="18"/>
  <c r="E51" i="18"/>
  <c r="F51" i="18"/>
  <c r="C52" i="18"/>
  <c r="D52" i="18"/>
  <c r="E52" i="18"/>
  <c r="F52" i="18"/>
  <c r="C53" i="18"/>
  <c r="D53" i="18"/>
  <c r="E53" i="18"/>
  <c r="F53" i="18"/>
  <c r="B52" i="18"/>
  <c r="B53" i="18"/>
  <c r="B51" i="18"/>
  <c r="C48" i="18"/>
  <c r="D48" i="18"/>
  <c r="E48" i="18"/>
  <c r="F48" i="18"/>
  <c r="B48" i="18"/>
  <c r="C47" i="18"/>
  <c r="D47" i="18"/>
  <c r="E47" i="18"/>
  <c r="F47" i="18"/>
  <c r="B47" i="18"/>
  <c r="G39" i="18"/>
  <c r="H38" i="18"/>
  <c r="I38" i="18"/>
  <c r="J38" i="18"/>
  <c r="K38" i="18"/>
  <c r="G38" i="18"/>
  <c r="H37" i="18"/>
  <c r="I37" i="18"/>
  <c r="J37" i="18"/>
  <c r="K37" i="18"/>
  <c r="G37" i="18"/>
  <c r="C42" i="18"/>
  <c r="D42" i="18"/>
  <c r="E42" i="18"/>
  <c r="F42" i="18"/>
  <c r="C43" i="18"/>
  <c r="D43" i="18"/>
  <c r="E43" i="18"/>
  <c r="F43" i="18"/>
  <c r="C44" i="18"/>
  <c r="D44" i="18"/>
  <c r="E44" i="18"/>
  <c r="F44" i="18"/>
  <c r="B43" i="18"/>
  <c r="B44" i="18"/>
  <c r="B42" i="18"/>
  <c r="C38" i="18"/>
  <c r="D38" i="18"/>
  <c r="E38" i="18"/>
  <c r="F38" i="18"/>
  <c r="C39" i="18"/>
  <c r="D39" i="18"/>
  <c r="E39" i="18"/>
  <c r="F39" i="18"/>
  <c r="B39" i="18"/>
  <c r="B38" i="18"/>
  <c r="C37" i="18"/>
  <c r="D37" i="18"/>
  <c r="E37" i="18"/>
  <c r="F37" i="18"/>
  <c r="B37" i="18"/>
  <c r="H24" i="18"/>
  <c r="I24" i="18"/>
  <c r="J24" i="18"/>
  <c r="K24" i="18"/>
  <c r="G24" i="18"/>
  <c r="H147" i="17"/>
  <c r="I147" i="17"/>
  <c r="J147" i="17"/>
  <c r="K147" i="17"/>
  <c r="G147" i="17"/>
  <c r="C21" i="18"/>
  <c r="D21" i="18"/>
  <c r="E21" i="18"/>
  <c r="F21" i="18"/>
  <c r="G21" i="18"/>
  <c r="H21" i="18"/>
  <c r="I21" i="18"/>
  <c r="J21" i="18"/>
  <c r="K21" i="18"/>
  <c r="B21" i="18"/>
  <c r="G16" i="18"/>
  <c r="H16" i="18"/>
  <c r="I16" i="18"/>
  <c r="J16" i="18"/>
  <c r="K16" i="18"/>
  <c r="C57" i="17"/>
  <c r="D57" i="17"/>
  <c r="E57" i="17"/>
  <c r="F57" i="17"/>
  <c r="B57" i="17"/>
  <c r="I17" i="18"/>
  <c r="J17" i="18" s="1"/>
  <c r="K17" i="18" s="1"/>
  <c r="H17" i="18"/>
  <c r="G17" i="18"/>
  <c r="C17" i="18"/>
  <c r="D17" i="18"/>
  <c r="E17" i="18"/>
  <c r="F17" i="18"/>
  <c r="B17" i="18"/>
  <c r="C16" i="18"/>
  <c r="D16" i="18"/>
  <c r="E16" i="18"/>
  <c r="F16" i="18"/>
  <c r="B16" i="18"/>
  <c r="G8" i="18"/>
  <c r="H8" i="18"/>
  <c r="I8" i="18"/>
  <c r="J8" i="18"/>
  <c r="K8" i="18"/>
  <c r="G9" i="18"/>
  <c r="H9" i="18"/>
  <c r="I9" i="18"/>
  <c r="J9" i="18"/>
  <c r="K9" i="18"/>
  <c r="G10" i="18"/>
  <c r="H10" i="18"/>
  <c r="I10" i="18"/>
  <c r="J10" i="18"/>
  <c r="K10" i="18"/>
  <c r="G11" i="18"/>
  <c r="H11" i="18"/>
  <c r="I11" i="18"/>
  <c r="J11" i="18"/>
  <c r="K11" i="18"/>
  <c r="C8" i="18"/>
  <c r="D8" i="18"/>
  <c r="E8" i="18"/>
  <c r="F8" i="18"/>
  <c r="C9" i="18"/>
  <c r="D9" i="18"/>
  <c r="E9" i="18"/>
  <c r="F9" i="18"/>
  <c r="C10" i="18"/>
  <c r="D10" i="18"/>
  <c r="E10" i="18"/>
  <c r="F10" i="18"/>
  <c r="C11" i="18"/>
  <c r="D11" i="18"/>
  <c r="E11" i="18"/>
  <c r="F11" i="18"/>
  <c r="B9" i="18"/>
  <c r="B10" i="18"/>
  <c r="B11" i="18"/>
  <c r="B8" i="18"/>
  <c r="C5" i="18"/>
  <c r="D5" i="18"/>
  <c r="E5" i="18"/>
  <c r="F5" i="18"/>
  <c r="G5" i="18"/>
  <c r="H5" i="18"/>
  <c r="I5" i="18"/>
  <c r="J5" i="18"/>
  <c r="K5" i="18"/>
  <c r="B5" i="18"/>
  <c r="C4" i="18"/>
  <c r="D4" i="18"/>
  <c r="E4" i="18"/>
  <c r="F4" i="18"/>
  <c r="G4" i="18"/>
  <c r="H4" i="18"/>
  <c r="I4" i="18"/>
  <c r="J4" i="18"/>
  <c r="K4" i="18"/>
  <c r="B4" i="18"/>
  <c r="C144" i="17"/>
  <c r="D144" i="17"/>
  <c r="E144" i="17"/>
  <c r="F144" i="17"/>
  <c r="B144" i="17"/>
  <c r="C143" i="17"/>
  <c r="D143" i="17"/>
  <c r="E143" i="17"/>
  <c r="F143" i="17"/>
  <c r="B143" i="17"/>
  <c r="C140" i="17"/>
  <c r="D140" i="17"/>
  <c r="E140" i="17"/>
  <c r="F140" i="17"/>
  <c r="B140" i="17"/>
  <c r="C138" i="17"/>
  <c r="D138" i="17"/>
  <c r="E138" i="17"/>
  <c r="F138" i="17"/>
  <c r="B138" i="17"/>
  <c r="C137" i="17"/>
  <c r="D137" i="17"/>
  <c r="E137" i="17"/>
  <c r="F137" i="17"/>
  <c r="B137" i="17"/>
  <c r="G133" i="17"/>
  <c r="C128" i="17"/>
  <c r="D128" i="17"/>
  <c r="E128" i="17"/>
  <c r="F128" i="17"/>
  <c r="B128" i="17"/>
  <c r="C119" i="17"/>
  <c r="D119" i="17"/>
  <c r="E119" i="17"/>
  <c r="F119" i="17"/>
  <c r="B119" i="17"/>
  <c r="C117" i="17"/>
  <c r="D117" i="17"/>
  <c r="E117" i="17"/>
  <c r="F117" i="17"/>
  <c r="B117" i="17"/>
  <c r="C111" i="17"/>
  <c r="D111" i="17"/>
  <c r="E111" i="17"/>
  <c r="F111" i="17"/>
  <c r="C112" i="17"/>
  <c r="D112" i="17"/>
  <c r="E112" i="17"/>
  <c r="F112" i="17"/>
  <c r="C113" i="17"/>
  <c r="D113" i="17"/>
  <c r="E113" i="17"/>
  <c r="F113" i="17"/>
  <c r="B112" i="17"/>
  <c r="B113" i="17"/>
  <c r="B111" i="17"/>
  <c r="C103" i="17"/>
  <c r="D103" i="17"/>
  <c r="E107" i="17" s="1"/>
  <c r="E103" i="17"/>
  <c r="F103" i="17"/>
  <c r="B103" i="17"/>
  <c r="C107" i="17" s="1"/>
  <c r="C85" i="17"/>
  <c r="D85" i="17"/>
  <c r="E85" i="17"/>
  <c r="F85" i="17"/>
  <c r="B85" i="17"/>
  <c r="C80" i="17"/>
  <c r="D80" i="17"/>
  <c r="E80" i="17"/>
  <c r="F80" i="17"/>
  <c r="B80" i="17"/>
  <c r="C69" i="17"/>
  <c r="D69" i="17"/>
  <c r="E69" i="17"/>
  <c r="F69" i="17"/>
  <c r="B69" i="17"/>
  <c r="C58" i="17"/>
  <c r="D58" i="17"/>
  <c r="E58" i="17"/>
  <c r="F58" i="17"/>
  <c r="C59" i="17"/>
  <c r="D59" i="17"/>
  <c r="E59" i="17"/>
  <c r="F59" i="17"/>
  <c r="B59" i="17"/>
  <c r="B58" i="17"/>
  <c r="C45" i="17"/>
  <c r="D45" i="17"/>
  <c r="E45" i="17"/>
  <c r="F45" i="17"/>
  <c r="B45" i="17"/>
  <c r="C42" i="17"/>
  <c r="D42" i="17"/>
  <c r="E42" i="17"/>
  <c r="F42" i="17"/>
  <c r="C43" i="17"/>
  <c r="D43" i="17"/>
  <c r="E43" i="17"/>
  <c r="F43" i="17"/>
  <c r="F96" i="17" s="1"/>
  <c r="G96" i="17" s="1"/>
  <c r="H96" i="17" s="1"/>
  <c r="I96" i="17" s="1"/>
  <c r="J96" i="17" s="1"/>
  <c r="K96" i="17" s="1"/>
  <c r="C44" i="17"/>
  <c r="D44" i="17"/>
  <c r="E44" i="17"/>
  <c r="F44" i="17"/>
  <c r="B43" i="17"/>
  <c r="B96" i="17" s="1"/>
  <c r="B44" i="17"/>
  <c r="E39" i="13"/>
  <c r="E96" i="17"/>
  <c r="B42" i="17"/>
  <c r="C38" i="17"/>
  <c r="D38" i="17"/>
  <c r="E38" i="17"/>
  <c r="F38" i="17"/>
  <c r="B38" i="17"/>
  <c r="C36" i="17"/>
  <c r="D36" i="17"/>
  <c r="E36" i="17"/>
  <c r="F36" i="17"/>
  <c r="B36" i="17"/>
  <c r="C35" i="17"/>
  <c r="D35" i="17"/>
  <c r="E35" i="17"/>
  <c r="F35" i="17"/>
  <c r="B35" i="17"/>
  <c r="H23" i="17"/>
  <c r="E63" i="16"/>
  <c r="G14" i="17"/>
  <c r="F107" i="17"/>
  <c r="D99" i="17"/>
  <c r="E99" i="17"/>
  <c r="F99" i="17"/>
  <c r="C99" i="17"/>
  <c r="H39" i="13"/>
  <c r="F39" i="13"/>
  <c r="D39" i="13"/>
  <c r="E37" i="13"/>
  <c r="F37" i="13"/>
  <c r="G37" i="13"/>
  <c r="F35" i="13"/>
  <c r="H35" i="13"/>
  <c r="D35" i="13"/>
  <c r="D96" i="17"/>
  <c r="D94" i="17"/>
  <c r="E94" i="17"/>
  <c r="G94" i="17" s="1"/>
  <c r="H94" i="17" s="1"/>
  <c r="I94" i="17" s="1"/>
  <c r="J94" i="17" s="1"/>
  <c r="K94" i="17" s="1"/>
  <c r="F94" i="17"/>
  <c r="B94" i="17"/>
  <c r="D107" i="17" l="1"/>
  <c r="H37" i="13"/>
  <c r="D37" i="13"/>
  <c r="G35" i="13"/>
  <c r="G39" i="13"/>
  <c r="C96" i="17"/>
  <c r="C94" i="17"/>
  <c r="E35" i="13"/>
  <c r="C93" i="17" l="1"/>
  <c r="D93" i="17"/>
  <c r="E93" i="17"/>
  <c r="F93" i="17"/>
  <c r="B93" i="17"/>
  <c r="C92" i="17"/>
  <c r="D92" i="17"/>
  <c r="E92" i="17"/>
  <c r="F92" i="17"/>
  <c r="B92" i="17"/>
  <c r="C91" i="17"/>
  <c r="D91" i="17"/>
  <c r="E91" i="17"/>
  <c r="F91" i="17"/>
  <c r="B91" i="17"/>
  <c r="C90" i="17"/>
  <c r="D90" i="17"/>
  <c r="E90" i="17"/>
  <c r="F90" i="17"/>
  <c r="B90" i="17"/>
  <c r="I7" i="16"/>
  <c r="I6" i="16"/>
  <c r="H7" i="16"/>
  <c r="H6" i="16"/>
  <c r="I4" i="16"/>
  <c r="I3" i="16"/>
  <c r="H4" i="16"/>
  <c r="H3" i="16"/>
  <c r="H53" i="13"/>
  <c r="H48" i="13"/>
  <c r="E53" i="13"/>
  <c r="F53" i="13"/>
  <c r="G53" i="13"/>
  <c r="D53" i="13"/>
  <c r="E49" i="13"/>
  <c r="F49" i="13"/>
  <c r="G49" i="13"/>
  <c r="H49" i="13"/>
  <c r="D49" i="13"/>
  <c r="E51" i="13"/>
  <c r="F51" i="13"/>
  <c r="G51" i="13"/>
  <c r="H51" i="13"/>
  <c r="D51" i="13"/>
  <c r="E48" i="13"/>
  <c r="F48" i="13"/>
  <c r="G48" i="13"/>
  <c r="D48" i="13"/>
  <c r="N45" i="11" l="1"/>
  <c r="J29" i="11" l="1"/>
  <c r="M45" i="11" l="1"/>
  <c r="L45" i="11"/>
  <c r="K45" i="11"/>
  <c r="D7" i="13"/>
  <c r="E7" i="13"/>
  <c r="F7" i="13"/>
  <c r="F60" i="18"/>
  <c r="E60" i="18"/>
  <c r="D60" i="18"/>
  <c r="C60" i="18"/>
  <c r="B60" i="18"/>
  <c r="K59" i="18"/>
  <c r="G59" i="18"/>
  <c r="H62" i="18"/>
  <c r="F45" i="18"/>
  <c r="F49" i="18" s="1"/>
  <c r="E45" i="18"/>
  <c r="E49" i="18" s="1"/>
  <c r="D45" i="18"/>
  <c r="D49" i="18" s="1"/>
  <c r="C45" i="18"/>
  <c r="C49" i="18" s="1"/>
  <c r="B45" i="18"/>
  <c r="B49" i="18" s="1"/>
  <c r="J6" i="18"/>
  <c r="F6" i="18"/>
  <c r="B6" i="18"/>
  <c r="AC253" i="17"/>
  <c r="AC254" i="17" s="1"/>
  <c r="G170" i="17"/>
  <c r="I166" i="17"/>
  <c r="J166" i="17" s="1"/>
  <c r="K166" i="17" s="1"/>
  <c r="F166" i="17"/>
  <c r="G166" i="17" s="1"/>
  <c r="H166" i="17" s="1"/>
  <c r="E166" i="17"/>
  <c r="D166" i="17"/>
  <c r="C166" i="17"/>
  <c r="B166" i="17"/>
  <c r="G165" i="17"/>
  <c r="C165" i="17"/>
  <c r="F164" i="17"/>
  <c r="E164" i="17"/>
  <c r="D164" i="17"/>
  <c r="D165" i="17" s="1"/>
  <c r="C164" i="17"/>
  <c r="B164" i="17"/>
  <c r="K163" i="17"/>
  <c r="K171" i="17" s="1"/>
  <c r="J163" i="17"/>
  <c r="J171" i="17" s="1"/>
  <c r="I163" i="17"/>
  <c r="I171" i="17" s="1"/>
  <c r="H163" i="17"/>
  <c r="H171" i="17" s="1"/>
  <c r="G163" i="17"/>
  <c r="G171" i="17" s="1"/>
  <c r="F163" i="17"/>
  <c r="E163" i="17"/>
  <c r="D163" i="17"/>
  <c r="D167" i="17" s="1"/>
  <c r="C163" i="17"/>
  <c r="B163" i="17"/>
  <c r="J152" i="17"/>
  <c r="I152" i="17"/>
  <c r="H152" i="17"/>
  <c r="K151" i="17"/>
  <c r="J151" i="17"/>
  <c r="I151" i="17"/>
  <c r="H151" i="17"/>
  <c r="H153" i="17" s="1"/>
  <c r="G151" i="17"/>
  <c r="G153" i="17" s="1"/>
  <c r="I148" i="17"/>
  <c r="H148" i="17"/>
  <c r="K157" i="17"/>
  <c r="J157" i="17"/>
  <c r="I157" i="17"/>
  <c r="H157" i="17"/>
  <c r="G157" i="17"/>
  <c r="W145" i="17"/>
  <c r="K132" i="17"/>
  <c r="J132" i="17"/>
  <c r="I132" i="17"/>
  <c r="H132" i="17"/>
  <c r="G113" i="17"/>
  <c r="H113" i="17" s="1"/>
  <c r="I113" i="17" s="1"/>
  <c r="J113" i="17" s="1"/>
  <c r="K113" i="17" s="1"/>
  <c r="G112" i="17"/>
  <c r="H112" i="17" s="1"/>
  <c r="I112" i="17" s="1"/>
  <c r="J112" i="17" s="1"/>
  <c r="K112" i="17" s="1"/>
  <c r="G111" i="17"/>
  <c r="H111" i="17" s="1"/>
  <c r="I111" i="17" s="1"/>
  <c r="J111" i="17" s="1"/>
  <c r="K111" i="17" s="1"/>
  <c r="V65" i="17"/>
  <c r="F79" i="17"/>
  <c r="G75" i="17" s="1"/>
  <c r="E79" i="17"/>
  <c r="D79" i="17"/>
  <c r="C79" i="17"/>
  <c r="B79" i="17"/>
  <c r="E68" i="17"/>
  <c r="C68" i="17"/>
  <c r="B68" i="17"/>
  <c r="N14" i="17"/>
  <c r="H27" i="17" s="1"/>
  <c r="H22" i="17"/>
  <c r="K27" i="17" s="1"/>
  <c r="H26" i="17"/>
  <c r="H9" i="17"/>
  <c r="H165" i="17" s="1"/>
  <c r="H164" i="17" s="1"/>
  <c r="H172" i="17" s="1"/>
  <c r="F9" i="17"/>
  <c r="G11" i="17" s="1"/>
  <c r="E9" i="17"/>
  <c r="E11" i="17" s="1"/>
  <c r="D9" i="17"/>
  <c r="C9" i="17"/>
  <c r="B9" i="17"/>
  <c r="C11" i="17" s="1"/>
  <c r="F56" i="16"/>
  <c r="B55" i="16"/>
  <c r="I54" i="16"/>
  <c r="F54" i="16"/>
  <c r="D54" i="16"/>
  <c r="D55" i="16" s="1"/>
  <c r="I53" i="16"/>
  <c r="F53" i="16"/>
  <c r="D53" i="16"/>
  <c r="I52" i="16"/>
  <c r="I60" i="16" s="1"/>
  <c r="G15" i="11" s="1"/>
  <c r="B52" i="16"/>
  <c r="B57" i="16" s="1"/>
  <c r="I49" i="16"/>
  <c r="B48" i="16"/>
  <c r="B50" i="16" s="1"/>
  <c r="D46" i="16"/>
  <c r="D48" i="16" s="1"/>
  <c r="D50" i="16" s="1"/>
  <c r="H22" i="16"/>
  <c r="G22" i="16"/>
  <c r="C22" i="16"/>
  <c r="I47" i="16" s="1"/>
  <c r="I50" i="16" s="1"/>
  <c r="E6" i="16"/>
  <c r="C38" i="16" s="1"/>
  <c r="C41" i="16" s="1"/>
  <c r="D6" i="16"/>
  <c r="E5" i="16"/>
  <c r="D5" i="16"/>
  <c r="E4" i="16"/>
  <c r="E3" i="16"/>
  <c r="D3" i="16"/>
  <c r="F126" i="17" l="1"/>
  <c r="F121" i="17" s="1"/>
  <c r="F122" i="17" s="1"/>
  <c r="F124" i="17" s="1"/>
  <c r="AA154" i="17" s="1"/>
  <c r="B126" i="17"/>
  <c r="B124" i="17" s="1"/>
  <c r="J13" i="18"/>
  <c r="C6" i="18"/>
  <c r="C28" i="18" s="1"/>
  <c r="K6" i="18"/>
  <c r="K13" i="18" s="1"/>
  <c r="K14" i="18" s="1"/>
  <c r="B59" i="16"/>
  <c r="F55" i="16"/>
  <c r="F11" i="17"/>
  <c r="I55" i="16"/>
  <c r="G6" i="18"/>
  <c r="G13" i="18" s="1"/>
  <c r="G14" i="18" s="1"/>
  <c r="D11" i="17"/>
  <c r="C167" i="17"/>
  <c r="G164" i="17"/>
  <c r="G172" i="17" s="1"/>
  <c r="E37" i="17"/>
  <c r="H21" i="17"/>
  <c r="D37" i="17"/>
  <c r="I62" i="18"/>
  <c r="E139" i="17"/>
  <c r="E141" i="17" s="1"/>
  <c r="E126" i="17"/>
  <c r="E124" i="17" s="1"/>
  <c r="F60" i="17"/>
  <c r="F61" i="17" s="1"/>
  <c r="G149" i="17"/>
  <c r="G155" i="17" s="1"/>
  <c r="G158" i="17" s="1"/>
  <c r="J62" i="18"/>
  <c r="I59" i="18"/>
  <c r="D139" i="17"/>
  <c r="D141" i="17" s="1"/>
  <c r="E6" i="18"/>
  <c r="E28" i="18" s="1"/>
  <c r="I6" i="18"/>
  <c r="I13" i="18" s="1"/>
  <c r="I18" i="18" s="1"/>
  <c r="G62" i="18"/>
  <c r="K62" i="18"/>
  <c r="H59" i="18"/>
  <c r="I153" i="17"/>
  <c r="C37" i="16"/>
  <c r="C40" i="16" s="1"/>
  <c r="D60" i="17"/>
  <c r="D61" i="17" s="1"/>
  <c r="D82" i="17"/>
  <c r="G132" i="17"/>
  <c r="H149" i="17"/>
  <c r="H155" i="17" s="1"/>
  <c r="H158" i="17" s="1"/>
  <c r="H167" i="17"/>
  <c r="B39" i="17"/>
  <c r="F39" i="17"/>
  <c r="E39" i="17"/>
  <c r="B46" i="17"/>
  <c r="F83" i="17"/>
  <c r="B139" i="17"/>
  <c r="B141" i="17" s="1"/>
  <c r="F139" i="17"/>
  <c r="F141" i="17" s="1"/>
  <c r="D6" i="18"/>
  <c r="D13" i="18" s="1"/>
  <c r="H6" i="18"/>
  <c r="H13" i="18" s="1"/>
  <c r="H14" i="18" s="1"/>
  <c r="J59" i="18"/>
  <c r="B37" i="16"/>
  <c r="B40" i="16" s="1"/>
  <c r="C46" i="17"/>
  <c r="C71" i="17"/>
  <c r="F68" i="17"/>
  <c r="G64" i="17" s="1"/>
  <c r="G85" i="17"/>
  <c r="H85" i="17" s="1"/>
  <c r="I85" i="17" s="1"/>
  <c r="J85" i="17" s="1"/>
  <c r="K85" i="17" s="1"/>
  <c r="D126" i="17"/>
  <c r="D129" i="17" s="1"/>
  <c r="C139" i="17"/>
  <c r="C141" i="17" s="1"/>
  <c r="B28" i="18"/>
  <c r="B13" i="18"/>
  <c r="F13" i="18"/>
  <c r="F28" i="18"/>
  <c r="J14" i="18"/>
  <c r="J18" i="18"/>
  <c r="G18" i="18"/>
  <c r="H39" i="18"/>
  <c r="H40" i="18" s="1"/>
  <c r="H54" i="18" s="1"/>
  <c r="G40" i="18"/>
  <c r="G54" i="18" s="1"/>
  <c r="E123" i="17"/>
  <c r="C39" i="17"/>
  <c r="C37" i="17"/>
  <c r="D39" i="17"/>
  <c r="D46" i="17"/>
  <c r="E60" i="17"/>
  <c r="V69" i="17" s="1"/>
  <c r="Z69" i="17" s="1"/>
  <c r="O14" i="17"/>
  <c r="E46" i="17"/>
  <c r="F46" i="17"/>
  <c r="G174" i="17"/>
  <c r="H170" i="17" s="1"/>
  <c r="H174" i="17" s="1"/>
  <c r="I170" i="17" s="1"/>
  <c r="H11" i="17"/>
  <c r="B37" i="17"/>
  <c r="F37" i="17"/>
  <c r="E82" i="17"/>
  <c r="B60" i="17"/>
  <c r="B61" i="17" s="1"/>
  <c r="F72" i="17"/>
  <c r="D83" i="17"/>
  <c r="I9" i="17"/>
  <c r="H14" i="17"/>
  <c r="I14" i="17" s="1"/>
  <c r="J14" i="17" s="1"/>
  <c r="K14" i="17" s="1"/>
  <c r="H28" i="17" s="1"/>
  <c r="L14" i="17" s="1"/>
  <c r="M14" i="17" s="1"/>
  <c r="G15" i="17"/>
  <c r="F82" i="17"/>
  <c r="C60" i="17"/>
  <c r="C61" i="17" s="1"/>
  <c r="D68" i="17"/>
  <c r="E71" i="17" s="1"/>
  <c r="C72" i="17"/>
  <c r="D72" i="17"/>
  <c r="E83" i="17"/>
  <c r="C82" i="17"/>
  <c r="C83" i="17"/>
  <c r="C126" i="17"/>
  <c r="J153" i="17"/>
  <c r="K152" i="17"/>
  <c r="K153" i="17" s="1"/>
  <c r="G167" i="17"/>
  <c r="I149" i="17"/>
  <c r="I155" i="17" s="1"/>
  <c r="I158" i="17" s="1"/>
  <c r="J148" i="17"/>
  <c r="E167" i="17"/>
  <c r="E165" i="17"/>
  <c r="X145" i="17"/>
  <c r="Y145" i="17" s="1"/>
  <c r="Z145" i="17" s="1"/>
  <c r="AA145" i="17" s="1"/>
  <c r="B167" i="17"/>
  <c r="B165" i="17"/>
  <c r="F167" i="17"/>
  <c r="F165" i="17"/>
  <c r="AD253" i="17"/>
  <c r="AE253" i="17" s="1"/>
  <c r="I57" i="16"/>
  <c r="F47" i="16"/>
  <c r="F50" i="16" s="1"/>
  <c r="B38" i="16"/>
  <c r="B41" i="16" s="1"/>
  <c r="B60" i="16"/>
  <c r="D52" i="16"/>
  <c r="D28" i="18" l="1"/>
  <c r="C13" i="18"/>
  <c r="C18" i="18" s="1"/>
  <c r="H18" i="18"/>
  <c r="H22" i="18" s="1"/>
  <c r="V118" i="17"/>
  <c r="F129" i="17"/>
  <c r="B123" i="17"/>
  <c r="B129" i="17"/>
  <c r="AA180" i="17"/>
  <c r="F123" i="17"/>
  <c r="E105" i="17"/>
  <c r="G33" i="13"/>
  <c r="E97" i="17"/>
  <c r="E95" i="17"/>
  <c r="C105" i="17"/>
  <c r="C97" i="17"/>
  <c r="C95" i="17"/>
  <c r="E33" i="13"/>
  <c r="E48" i="17"/>
  <c r="AA40" i="17"/>
  <c r="Z37" i="17"/>
  <c r="D97" i="17"/>
  <c r="D95" i="17"/>
  <c r="F33" i="13"/>
  <c r="F105" i="17"/>
  <c r="G105" i="17" s="1"/>
  <c r="H105" i="17" s="1"/>
  <c r="H33" i="13"/>
  <c r="F95" i="17"/>
  <c r="G95" i="17" s="1"/>
  <c r="F97" i="17"/>
  <c r="G97" i="17" s="1"/>
  <c r="Z34" i="17"/>
  <c r="AA43" i="17"/>
  <c r="B95" i="17"/>
  <c r="D33" i="13"/>
  <c r="B97" i="17"/>
  <c r="D105" i="17"/>
  <c r="AA37" i="17"/>
  <c r="Z43" i="17"/>
  <c r="I58" i="16"/>
  <c r="C15" i="11" s="1"/>
  <c r="E53" i="11" s="1"/>
  <c r="Z40" i="17"/>
  <c r="K18" i="18"/>
  <c r="I14" i="18"/>
  <c r="G141" i="17"/>
  <c r="H141" i="17" s="1"/>
  <c r="I141" i="17" s="1"/>
  <c r="J141" i="17" s="1"/>
  <c r="K141" i="17" s="1"/>
  <c r="Z180" i="17"/>
  <c r="Z154" i="17"/>
  <c r="D124" i="17"/>
  <c r="Y154" i="17" s="1"/>
  <c r="E129" i="17"/>
  <c r="E13" i="18"/>
  <c r="E18" i="18" s="1"/>
  <c r="D123" i="17"/>
  <c r="C52" i="17"/>
  <c r="C130" i="17" s="1"/>
  <c r="D71" i="17"/>
  <c r="D48" i="17"/>
  <c r="B52" i="17"/>
  <c r="B130" i="17" s="1"/>
  <c r="F71" i="17"/>
  <c r="G77" i="17"/>
  <c r="G80" i="17" s="1"/>
  <c r="G83" i="17" s="1"/>
  <c r="B105" i="17"/>
  <c r="B48" i="17"/>
  <c r="F48" i="17"/>
  <c r="C48" i="17"/>
  <c r="I39" i="18"/>
  <c r="F14" i="18"/>
  <c r="F18" i="18"/>
  <c r="I19" i="18"/>
  <c r="I22" i="18"/>
  <c r="C14" i="18"/>
  <c r="D18" i="18"/>
  <c r="D14" i="18"/>
  <c r="G19" i="18"/>
  <c r="G22" i="18"/>
  <c r="J19" i="18"/>
  <c r="J22" i="18"/>
  <c r="B14" i="18"/>
  <c r="B18" i="18"/>
  <c r="C123" i="17"/>
  <c r="C124" i="17"/>
  <c r="I165" i="17"/>
  <c r="I164" i="17" s="1"/>
  <c r="I11" i="17"/>
  <c r="I15" i="17"/>
  <c r="J9" i="17"/>
  <c r="AG253" i="17"/>
  <c r="AF253" i="17"/>
  <c r="V119" i="17"/>
  <c r="E52" i="17"/>
  <c r="J149" i="17"/>
  <c r="J155" i="17" s="1"/>
  <c r="J158" i="17" s="1"/>
  <c r="K148" i="17"/>
  <c r="K149" i="17" s="1"/>
  <c r="K155" i="17" s="1"/>
  <c r="K158" i="17" s="1"/>
  <c r="E61" i="17"/>
  <c r="AB37" i="17"/>
  <c r="Z38" i="17" s="1"/>
  <c r="E72" i="17"/>
  <c r="G66" i="17" s="1"/>
  <c r="G69" i="17" s="1"/>
  <c r="G72" i="17" s="1"/>
  <c r="F52" i="17"/>
  <c r="AB43" i="17"/>
  <c r="AB40" i="17"/>
  <c r="Z41" i="17" s="1"/>
  <c r="AA34" i="17"/>
  <c r="Z35" i="17" s="1"/>
  <c r="H15" i="17"/>
  <c r="C129" i="17"/>
  <c r="D52" i="17"/>
  <c r="F52" i="16"/>
  <c r="D57" i="16"/>
  <c r="D60" i="16" s="1"/>
  <c r="H19" i="18" l="1"/>
  <c r="E14" i="18"/>
  <c r="K22" i="18"/>
  <c r="K25" i="18" s="1"/>
  <c r="K26" i="18" s="1"/>
  <c r="K19" i="18"/>
  <c r="F42" i="13"/>
  <c r="F41" i="13"/>
  <c r="E42" i="13"/>
  <c r="E41" i="13"/>
  <c r="H42" i="13"/>
  <c r="H41" i="13"/>
  <c r="H97" i="17"/>
  <c r="G42" i="13"/>
  <c r="G41" i="13"/>
  <c r="H95" i="17"/>
  <c r="D42" i="13"/>
  <c r="D41" i="13"/>
  <c r="G129" i="17"/>
  <c r="H129" i="17" s="1"/>
  <c r="I129" i="17" s="1"/>
  <c r="J129" i="17" s="1"/>
  <c r="K129" i="17" s="1"/>
  <c r="Z44" i="17"/>
  <c r="C53" i="17"/>
  <c r="Y180" i="17"/>
  <c r="B53" i="17"/>
  <c r="J39" i="18"/>
  <c r="I40" i="18"/>
  <c r="I54" i="18" s="1"/>
  <c r="E22" i="18"/>
  <c r="E25" i="18" s="1"/>
  <c r="E19" i="18"/>
  <c r="F19" i="18"/>
  <c r="F22" i="18"/>
  <c r="F25" i="18" s="1"/>
  <c r="J25" i="18"/>
  <c r="J26" i="18" s="1"/>
  <c r="C19" i="18"/>
  <c r="C22" i="18"/>
  <c r="C25" i="18" s="1"/>
  <c r="B19" i="18"/>
  <c r="B22" i="18"/>
  <c r="B25" i="18" s="1"/>
  <c r="I25" i="18"/>
  <c r="I26" i="18" s="1"/>
  <c r="H25" i="18"/>
  <c r="H26" i="18" s="1"/>
  <c r="G25" i="18"/>
  <c r="G26" i="18" s="1"/>
  <c r="D22" i="18"/>
  <c r="D25" i="18" s="1"/>
  <c r="D19" i="18"/>
  <c r="D53" i="17"/>
  <c r="D130" i="17"/>
  <c r="V70" i="17"/>
  <c r="Z70" i="17" s="1"/>
  <c r="G76" i="17" s="1"/>
  <c r="I71" i="17"/>
  <c r="H71" i="17"/>
  <c r="K71" i="17"/>
  <c r="J71" i="17"/>
  <c r="G71" i="17"/>
  <c r="E53" i="17"/>
  <c r="E130" i="17"/>
  <c r="I167" i="17"/>
  <c r="I172" i="17"/>
  <c r="I174" i="17" s="1"/>
  <c r="J170" i="17" s="1"/>
  <c r="F53" i="17"/>
  <c r="G53" i="17" s="1"/>
  <c r="H53" i="17" s="1"/>
  <c r="I53" i="17" s="1"/>
  <c r="J53" i="17" s="1"/>
  <c r="G52" i="17"/>
  <c r="F130" i="17"/>
  <c r="G130" i="17" s="1"/>
  <c r="H130" i="17" s="1"/>
  <c r="I130" i="17" s="1"/>
  <c r="J130" i="17" s="1"/>
  <c r="J165" i="17"/>
  <c r="J164" i="17" s="1"/>
  <c r="J15" i="17"/>
  <c r="J11" i="17"/>
  <c r="K9" i="17"/>
  <c r="X154" i="17"/>
  <c r="X180" i="17"/>
  <c r="I105" i="17"/>
  <c r="F57" i="16"/>
  <c r="F13" i="11" s="1"/>
  <c r="I95" i="17" l="1"/>
  <c r="I97" i="17"/>
  <c r="I27" i="18"/>
  <c r="I28" i="18" s="1"/>
  <c r="K53" i="17"/>
  <c r="G27" i="18"/>
  <c r="G28" i="18" s="1"/>
  <c r="H27" i="18"/>
  <c r="H28" i="18" s="1"/>
  <c r="J27" i="18"/>
  <c r="J28" i="18" s="1"/>
  <c r="K27" i="18"/>
  <c r="K28" i="18" s="1"/>
  <c r="J40" i="18"/>
  <c r="J54" i="18" s="1"/>
  <c r="K39" i="18"/>
  <c r="K40" i="18" s="1"/>
  <c r="K54" i="18" s="1"/>
  <c r="J105" i="17"/>
  <c r="K165" i="17"/>
  <c r="K164" i="17" s="1"/>
  <c r="K15" i="17"/>
  <c r="M20" i="17" s="1"/>
  <c r="L9" i="17"/>
  <c r="K11" i="17"/>
  <c r="K26" i="17" s="1"/>
  <c r="K28" i="17" s="1"/>
  <c r="G37" i="17"/>
  <c r="H52" i="17"/>
  <c r="G128" i="17"/>
  <c r="G126" i="17" s="1"/>
  <c r="J167" i="17"/>
  <c r="J172" i="17"/>
  <c r="J174" i="17"/>
  <c r="K170" i="17" s="1"/>
  <c r="F60" i="16"/>
  <c r="C13" i="11" s="1"/>
  <c r="F59" i="16"/>
  <c r="G93" i="17" l="1"/>
  <c r="G91" i="17"/>
  <c r="J97" i="17"/>
  <c r="J95" i="17"/>
  <c r="V121" i="17"/>
  <c r="W149" i="17" s="1"/>
  <c r="G119" i="17"/>
  <c r="G123" i="17"/>
  <c r="G124" i="17" s="1"/>
  <c r="G138" i="17" s="1"/>
  <c r="K172" i="17"/>
  <c r="K174" i="17" s="1"/>
  <c r="K167" i="17"/>
  <c r="H128" i="17"/>
  <c r="H126" i="17" s="1"/>
  <c r="I52" i="17"/>
  <c r="H37" i="17"/>
  <c r="K105" i="17"/>
  <c r="G103" i="17"/>
  <c r="G45" i="17"/>
  <c r="G42" i="17"/>
  <c r="G43" i="17"/>
  <c r="G38" i="17"/>
  <c r="G39" i="17" s="1"/>
  <c r="G46" i="17" s="1"/>
  <c r="M9" i="17"/>
  <c r="L11" i="17"/>
  <c r="L15" i="17"/>
  <c r="K95" i="17" l="1"/>
  <c r="G92" i="17"/>
  <c r="G90" i="17"/>
  <c r="K97" i="17"/>
  <c r="H91" i="17"/>
  <c r="H93" i="17"/>
  <c r="H107" i="17"/>
  <c r="G107" i="17"/>
  <c r="I128" i="17"/>
  <c r="I126" i="17" s="1"/>
  <c r="J52" i="17"/>
  <c r="I37" i="17"/>
  <c r="G48" i="17"/>
  <c r="G44" i="17"/>
  <c r="M11" i="17"/>
  <c r="N9" i="17"/>
  <c r="M15" i="17"/>
  <c r="AD257" i="17"/>
  <c r="AD254" i="17" s="1"/>
  <c r="H43" i="17"/>
  <c r="H38" i="17"/>
  <c r="H39" i="17" s="1"/>
  <c r="H46" i="17" s="1"/>
  <c r="H103" i="17"/>
  <c r="H42" i="17"/>
  <c r="H45" i="17"/>
  <c r="H133" i="17"/>
  <c r="W121" i="17" s="1"/>
  <c r="X149" i="17" s="1"/>
  <c r="X146" i="17" s="1"/>
  <c r="H119" i="17"/>
  <c r="H123" i="17"/>
  <c r="H124" i="17" s="1"/>
  <c r="H138" i="17" s="1"/>
  <c r="W146" i="17"/>
  <c r="G137" i="17" s="1"/>
  <c r="G139" i="17" s="1"/>
  <c r="G140" i="17" s="1"/>
  <c r="G144" i="17" s="1"/>
  <c r="H92" i="17" l="1"/>
  <c r="H90" i="17"/>
  <c r="I91" i="17"/>
  <c r="I93" i="17"/>
  <c r="G99" i="17"/>
  <c r="H137" i="17"/>
  <c r="H139" i="17" s="1"/>
  <c r="H140" i="17" s="1"/>
  <c r="H144" i="17" s="1"/>
  <c r="H44" i="17"/>
  <c r="H48" i="17"/>
  <c r="J128" i="17"/>
  <c r="J126" i="17" s="1"/>
  <c r="J37" i="17"/>
  <c r="K52" i="17"/>
  <c r="AF257" i="17"/>
  <c r="AF254" i="17" s="1"/>
  <c r="AG257" i="17"/>
  <c r="AG254" i="17" s="1"/>
  <c r="I45" i="17"/>
  <c r="I42" i="17"/>
  <c r="I38" i="17"/>
  <c r="I39" i="17" s="1"/>
  <c r="I46" i="17" s="1"/>
  <c r="I43" i="17"/>
  <c r="I103" i="17"/>
  <c r="N15" i="17"/>
  <c r="N11" i="17"/>
  <c r="AE257" i="17"/>
  <c r="AE254" i="17" s="1"/>
  <c r="I133" i="17"/>
  <c r="X121" i="17" s="1"/>
  <c r="Y149" i="17" s="1"/>
  <c r="I119" i="17"/>
  <c r="I123" i="17"/>
  <c r="I124" i="17" s="1"/>
  <c r="I138" i="17" s="1"/>
  <c r="H99" i="17" l="1"/>
  <c r="J91" i="17"/>
  <c r="J93" i="17"/>
  <c r="I107" i="17"/>
  <c r="I90" i="17"/>
  <c r="I92" i="17"/>
  <c r="I99" i="17"/>
  <c r="I44" i="17"/>
  <c r="I48" i="17"/>
  <c r="J119" i="17"/>
  <c r="J133" i="17"/>
  <c r="Y121" i="17" s="1"/>
  <c r="Z149" i="17" s="1"/>
  <c r="J123" i="17"/>
  <c r="J124" i="17" s="1"/>
  <c r="J138" i="17" s="1"/>
  <c r="O15" i="17"/>
  <c r="M22" i="17"/>
  <c r="M23" i="17" s="1"/>
  <c r="K37" i="17"/>
  <c r="K128" i="17"/>
  <c r="K126" i="17" s="1"/>
  <c r="Y146" i="17"/>
  <c r="I137" i="17" s="1"/>
  <c r="I139" i="17" s="1"/>
  <c r="I140" i="17" s="1"/>
  <c r="I144" i="17" s="1"/>
  <c r="J42" i="17"/>
  <c r="J38" i="17"/>
  <c r="J39" i="17" s="1"/>
  <c r="J46" i="17" s="1"/>
  <c r="J43" i="17"/>
  <c r="J45" i="17"/>
  <c r="J103" i="17"/>
  <c r="J107" i="17" s="1"/>
  <c r="M21" i="17"/>
  <c r="J92" i="17" l="1"/>
  <c r="J90" i="17"/>
  <c r="K93" i="17"/>
  <c r="K91" i="17"/>
  <c r="J44" i="17"/>
  <c r="J48" i="17"/>
  <c r="K38" i="17"/>
  <c r="K39" i="17" s="1"/>
  <c r="K46" i="17" s="1"/>
  <c r="K43" i="17"/>
  <c r="K42" i="17"/>
  <c r="K45" i="17"/>
  <c r="K103" i="17"/>
  <c r="K107" i="17" s="1"/>
  <c r="Z64" i="17"/>
  <c r="Z65" i="17" s="1"/>
  <c r="K133" i="17"/>
  <c r="Z121" i="17" s="1"/>
  <c r="AA149" i="17" s="1"/>
  <c r="AA146" i="17" s="1"/>
  <c r="K119" i="17"/>
  <c r="K123" i="17"/>
  <c r="K124" i="17" s="1"/>
  <c r="K138" i="17" s="1"/>
  <c r="Z146" i="17"/>
  <c r="J137" i="17" s="1"/>
  <c r="J139" i="17" s="1"/>
  <c r="J140" i="17" s="1"/>
  <c r="J144" i="17" s="1"/>
  <c r="J99" i="17" l="1"/>
  <c r="K92" i="17"/>
  <c r="K90" i="17"/>
  <c r="K48" i="17"/>
  <c r="K44" i="17"/>
  <c r="K137" i="17"/>
  <c r="K139" i="17" s="1"/>
  <c r="K140" i="17" s="1"/>
  <c r="K144" i="17" s="1"/>
  <c r="K99" i="17" l="1"/>
  <c r="I76" i="17"/>
  <c r="I82" i="17" s="1"/>
  <c r="H76" i="17"/>
  <c r="H82" i="17" s="1"/>
  <c r="K76" i="17"/>
  <c r="K82" i="17" s="1"/>
  <c r="J76" i="17"/>
  <c r="J82" i="17" s="1"/>
  <c r="I65" i="17"/>
  <c r="H65" i="17"/>
  <c r="K65" i="17"/>
  <c r="G65" i="17"/>
  <c r="J65" i="17"/>
  <c r="G82" i="17" l="1"/>
  <c r="G79" i="17"/>
  <c r="H64" i="17"/>
  <c r="G68" i="17"/>
  <c r="G58" i="17" s="1"/>
  <c r="H75" i="17" l="1"/>
  <c r="G59" i="17"/>
  <c r="G57" i="17" s="1"/>
  <c r="H66" i="17"/>
  <c r="H69" i="17" s="1"/>
  <c r="H72" i="17" s="1"/>
  <c r="H68" i="17" l="1"/>
  <c r="H58" i="17" s="1"/>
  <c r="I64" i="17"/>
  <c r="H77" i="17"/>
  <c r="H80" i="17" s="1"/>
  <c r="H83" i="17" s="1"/>
  <c r="H79" i="17" l="1"/>
  <c r="I66" i="17"/>
  <c r="I69" i="17" s="1"/>
  <c r="I72" i="17" s="1"/>
  <c r="I68" i="17" l="1"/>
  <c r="I75" i="17"/>
  <c r="H59" i="17"/>
  <c r="H57" i="17" s="1"/>
  <c r="I77" i="17" l="1"/>
  <c r="I80" i="17" s="1"/>
  <c r="I83" i="17" s="1"/>
  <c r="J64" i="17"/>
  <c r="I58" i="17"/>
  <c r="J66" i="17" l="1"/>
  <c r="J69" i="17" s="1"/>
  <c r="J72" i="17" s="1"/>
  <c r="I79" i="17"/>
  <c r="J68" i="17" l="1"/>
  <c r="J75" i="17"/>
  <c r="I59" i="17"/>
  <c r="I57" i="17" s="1"/>
  <c r="J77" i="17" l="1"/>
  <c r="J80" i="17" s="1"/>
  <c r="J83" i="17" s="1"/>
  <c r="K64" i="17"/>
  <c r="J58" i="17"/>
  <c r="K66" i="17" l="1"/>
  <c r="K69" i="17" s="1"/>
  <c r="K72" i="17" s="1"/>
  <c r="J79" i="17"/>
  <c r="K68" i="17" l="1"/>
  <c r="K58" i="17" s="1"/>
  <c r="J59" i="17"/>
  <c r="J57" i="17" s="1"/>
  <c r="K75" i="17"/>
  <c r="K77" i="17" l="1"/>
  <c r="K80" i="17" s="1"/>
  <c r="K83" i="17" s="1"/>
  <c r="K79" i="17" l="1"/>
  <c r="K59" i="17" s="1"/>
  <c r="K57" i="17" s="1"/>
  <c r="G43" i="11" l="1"/>
  <c r="H43" i="11"/>
  <c r="I43" i="11"/>
  <c r="F43" i="11"/>
  <c r="G155" i="2"/>
  <c r="F155" i="2"/>
  <c r="E155" i="2"/>
  <c r="D155" i="2"/>
  <c r="D145" i="2" s="1"/>
  <c r="D138" i="2" s="1"/>
  <c r="G145" i="2"/>
  <c r="G138" i="2" s="1"/>
  <c r="F145" i="2"/>
  <c r="F138" i="2" s="1"/>
  <c r="E145" i="2"/>
  <c r="E138" i="2" s="1"/>
  <c r="G135" i="2"/>
  <c r="F135" i="2"/>
  <c r="E135" i="2"/>
  <c r="D135" i="2"/>
  <c r="J255" i="1" l="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58" i="11"/>
  <c r="E56" i="11"/>
  <c r="F23" i="11"/>
  <c r="H41" i="11"/>
  <c r="G39" i="11"/>
  <c r="F21" i="11" s="1"/>
  <c r="J38" i="11" s="1"/>
  <c r="I37" i="11"/>
  <c r="H37" i="11"/>
  <c r="I41" i="11"/>
  <c r="G41" i="11"/>
  <c r="F22" i="11" s="1"/>
  <c r="J40" i="11" s="1"/>
  <c r="K40" i="11" s="1"/>
  <c r="L40" i="11" s="1"/>
  <c r="M40" i="11" s="1"/>
  <c r="N40" i="11" s="1"/>
  <c r="H39" i="11"/>
  <c r="I39" i="11"/>
  <c r="G37" i="11"/>
  <c r="F20" i="11" s="1"/>
  <c r="J36" i="11" s="1"/>
  <c r="H35" i="11"/>
  <c r="I35" i="11"/>
  <c r="G35" i="11"/>
  <c r="E19" i="11" s="1"/>
  <c r="J34" i="11" s="1"/>
  <c r="H18" i="11"/>
  <c r="J27" i="11" s="1"/>
  <c r="F31" i="11"/>
  <c r="G31" i="11"/>
  <c r="H31" i="11"/>
  <c r="I31" i="11"/>
  <c r="H7" i="13" l="1"/>
  <c r="J30" i="11"/>
  <c r="J31" i="11" s="1"/>
  <c r="J42" i="11"/>
  <c r="K27" i="11"/>
  <c r="K30" i="11" l="1"/>
  <c r="K31" i="11" s="1"/>
  <c r="K42" i="11"/>
  <c r="L27" i="11"/>
  <c r="L30" i="11" l="1"/>
  <c r="L31" i="11" s="1"/>
  <c r="L42" i="11"/>
  <c r="M27" i="11"/>
  <c r="M30" i="11" l="1"/>
  <c r="M31" i="11" s="1"/>
  <c r="M42" i="11"/>
  <c r="N27" i="11"/>
  <c r="J44" i="11"/>
  <c r="J46" i="11" s="1"/>
  <c r="N30" i="11" l="1"/>
  <c r="N31" i="11" s="1"/>
  <c r="N42" i="11"/>
  <c r="D152" i="12" l="1"/>
  <c r="E152" i="12"/>
  <c r="F152" i="12"/>
  <c r="C152" i="12"/>
  <c r="D158" i="12"/>
  <c r="E158" i="12"/>
  <c r="F158" i="12"/>
  <c r="C158" i="12"/>
  <c r="D151" i="12"/>
  <c r="E151" i="12"/>
  <c r="F151" i="12"/>
  <c r="D139" i="12"/>
  <c r="C139" i="12"/>
  <c r="D135" i="12"/>
  <c r="E135" i="12"/>
  <c r="E139" i="12" s="1"/>
  <c r="E147" i="12" s="1"/>
  <c r="F135" i="12"/>
  <c r="F139" i="12" s="1"/>
  <c r="F147" i="12" s="1"/>
  <c r="C135" i="12"/>
  <c r="D130" i="12"/>
  <c r="E130" i="12"/>
  <c r="F130" i="12"/>
  <c r="C130" i="12"/>
  <c r="E50" i="12"/>
  <c r="D48" i="12"/>
  <c r="D50" i="12" s="1"/>
  <c r="E48" i="12"/>
  <c r="F48" i="12"/>
  <c r="F50" i="12" s="1"/>
  <c r="G48" i="12"/>
  <c r="G50" i="12" s="1"/>
  <c r="C44" i="12"/>
  <c r="C151" i="12" s="1"/>
  <c r="C29" i="12"/>
  <c r="D24" i="12"/>
  <c r="E24" i="12"/>
  <c r="F24" i="12"/>
  <c r="G24" i="12"/>
  <c r="C24" i="12"/>
  <c r="D16" i="12"/>
  <c r="E16" i="12"/>
  <c r="F16" i="12"/>
  <c r="F29" i="12" s="1"/>
  <c r="F34" i="12" s="1"/>
  <c r="F51" i="12" s="1"/>
  <c r="G16" i="12"/>
  <c r="C16" i="12"/>
  <c r="D14" i="12"/>
  <c r="D29" i="12" s="1"/>
  <c r="E14" i="12"/>
  <c r="E29" i="12" s="1"/>
  <c r="E34" i="12" s="1"/>
  <c r="E51" i="12" s="1"/>
  <c r="F14" i="12"/>
  <c r="G14" i="12"/>
  <c r="G29" i="12" s="1"/>
  <c r="C14" i="12"/>
  <c r="D9" i="12"/>
  <c r="E9" i="12"/>
  <c r="F9" i="12"/>
  <c r="G9" i="12"/>
  <c r="G34" i="12" s="1"/>
  <c r="G51" i="12" s="1"/>
  <c r="C9" i="12"/>
  <c r="C34" i="12" s="1"/>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E153" i="12" l="1"/>
  <c r="E148" i="12"/>
  <c r="F148" i="12"/>
  <c r="D34" i="12"/>
  <c r="D51" i="12" s="1"/>
  <c r="C147" i="12"/>
  <c r="C148" i="12" s="1"/>
  <c r="C48" i="12"/>
  <c r="C50" i="12" s="1"/>
  <c r="C51" i="12" s="1"/>
  <c r="D147" i="12"/>
  <c r="D76" i="12"/>
  <c r="G89" i="12"/>
  <c r="G105" i="12" s="1"/>
  <c r="F150" i="12" s="1"/>
  <c r="F153" i="12" s="1"/>
  <c r="G76" i="12"/>
  <c r="G86" i="12" s="1"/>
  <c r="C86" i="12"/>
  <c r="F76" i="12"/>
  <c r="F86" i="12" s="1"/>
  <c r="F107" i="12" s="1"/>
  <c r="F120" i="12" s="1"/>
  <c r="E156" i="12" s="1"/>
  <c r="C107" i="12"/>
  <c r="C120" i="12" s="1"/>
  <c r="D86" i="12"/>
  <c r="D107" i="12" s="1"/>
  <c r="D120" i="12" s="1"/>
  <c r="C156" i="12" s="1"/>
  <c r="E76" i="12"/>
  <c r="E86" i="12" s="1"/>
  <c r="E107" i="12" s="1"/>
  <c r="E120" i="12" s="1"/>
  <c r="D156" i="12" s="1"/>
  <c r="F157" i="12" l="1"/>
  <c r="F164" i="12" s="1"/>
  <c r="F154" i="12"/>
  <c r="G107" i="12"/>
  <c r="G120" i="12" s="1"/>
  <c r="F156" i="12" s="1"/>
  <c r="C153" i="12"/>
  <c r="C157" i="12" s="1"/>
  <c r="C164" i="12" s="1"/>
  <c r="D153" i="12"/>
  <c r="D148" i="12"/>
  <c r="E157" i="12"/>
  <c r="E164" i="12" s="1"/>
  <c r="E154" i="12"/>
  <c r="C154" i="12"/>
  <c r="D154" i="12" l="1"/>
  <c r="D157" i="12"/>
  <c r="D164" i="12" s="1"/>
  <c r="C60" i="5"/>
  <c r="C66" i="5"/>
  <c r="C69" i="5"/>
  <c r="C53" i="5"/>
  <c r="D66" i="5"/>
  <c r="D69" i="5"/>
  <c r="C99" i="5" s="1"/>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D90" i="5" l="1"/>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D83" i="2" s="1"/>
  <c r="H94" i="2"/>
  <c r="H96" i="2" s="1"/>
  <c r="G94" i="2"/>
  <c r="G96" i="2" s="1"/>
  <c r="F94" i="2"/>
  <c r="F96" i="2" s="1"/>
  <c r="F83" i="2" s="1"/>
  <c r="E94" i="2"/>
  <c r="E96" i="2" s="1"/>
  <c r="E83" i="2" s="1"/>
  <c r="H87" i="2"/>
  <c r="G87" i="2"/>
  <c r="H76" i="2"/>
  <c r="G76" i="2"/>
  <c r="F76" i="2"/>
  <c r="E76" i="2"/>
  <c r="D76" i="2"/>
  <c r="H72" i="2"/>
  <c r="G72" i="2"/>
  <c r="F72" i="2"/>
  <c r="E72" i="2"/>
  <c r="D72" i="2"/>
  <c r="H66" i="2"/>
  <c r="H61" i="2" s="1"/>
  <c r="G66" i="2"/>
  <c r="G61" i="2" s="1"/>
  <c r="F66" i="2"/>
  <c r="F61" i="2" s="1"/>
  <c r="E66" i="2"/>
  <c r="E61" i="2" s="1"/>
  <c r="D66" i="2"/>
  <c r="D61" i="2" s="1"/>
  <c r="H55" i="2"/>
  <c r="G55" i="2"/>
  <c r="F55" i="2"/>
  <c r="F52" i="2" s="1"/>
  <c r="E52" i="5" s="1"/>
  <c r="E55" i="2"/>
  <c r="E52" i="2" s="1"/>
  <c r="D52" i="5" s="1"/>
  <c r="D55" i="2"/>
  <c r="G52" i="2" l="1"/>
  <c r="F52" i="5" s="1"/>
  <c r="E57" i="5"/>
  <c r="D94" i="5" s="1"/>
  <c r="D68" i="2"/>
  <c r="C54" i="5"/>
  <c r="E99" i="2"/>
  <c r="D61" i="5"/>
  <c r="D62" i="5" s="1"/>
  <c r="C103" i="5" s="1"/>
  <c r="F64" i="5"/>
  <c r="E81" i="5" s="1"/>
  <c r="F68" i="2"/>
  <c r="F70" i="2" s="1"/>
  <c r="F80" i="2" s="1"/>
  <c r="E54" i="5"/>
  <c r="E56" i="5" s="1"/>
  <c r="F99" i="2"/>
  <c r="E61" i="5"/>
  <c r="E62" i="5" s="1"/>
  <c r="D103" i="5" s="1"/>
  <c r="G68" i="2"/>
  <c r="F54" i="5"/>
  <c r="C57" i="5"/>
  <c r="D99" i="2"/>
  <c r="C61" i="5"/>
  <c r="C62" i="5" s="1"/>
  <c r="C81" i="5"/>
  <c r="E95" i="5"/>
  <c r="E94" i="5" s="1"/>
  <c r="F57" i="5"/>
  <c r="E68" i="2"/>
  <c r="D54" i="5"/>
  <c r="D56" i="5" s="1"/>
  <c r="F95" i="5"/>
  <c r="F94" i="5" s="1"/>
  <c r="G57" i="5"/>
  <c r="H68" i="2"/>
  <c r="G54" i="5"/>
  <c r="D57" i="5"/>
  <c r="D13" i="8"/>
  <c r="E13" i="8"/>
  <c r="G13" i="8"/>
  <c r="D28" i="8"/>
  <c r="F13" i="8"/>
  <c r="H83" i="2"/>
  <c r="G61" i="5" s="1"/>
  <c r="G62" i="5" s="1"/>
  <c r="D52" i="2"/>
  <c r="E70" i="2"/>
  <c r="E80" i="2" s="1"/>
  <c r="H52" i="2"/>
  <c r="G83" i="2"/>
  <c r="F61" i="5" s="1"/>
  <c r="F62" i="5" s="1"/>
  <c r="G70" i="2"/>
  <c r="G80" i="2" s="1"/>
  <c r="E39" i="2"/>
  <c r="F39" i="2"/>
  <c r="G39" i="2"/>
  <c r="H39" i="2"/>
  <c r="D39" i="2"/>
  <c r="D42" i="2" s="1"/>
  <c r="E13" i="2"/>
  <c r="F13" i="2"/>
  <c r="G13" i="2"/>
  <c r="H13" i="2"/>
  <c r="D13" i="2"/>
  <c r="F56" i="5" l="1"/>
  <c r="F59" i="5" s="1"/>
  <c r="G46" i="13"/>
  <c r="G5" i="13"/>
  <c r="E101" i="2"/>
  <c r="E114" i="2" s="1"/>
  <c r="E46" i="13"/>
  <c r="E5" i="13"/>
  <c r="E28" i="8"/>
  <c r="E59" i="5"/>
  <c r="E63" i="5" s="1"/>
  <c r="E65" i="5" s="1"/>
  <c r="E68" i="5" s="1"/>
  <c r="E71" i="5" s="1"/>
  <c r="F101" i="2"/>
  <c r="F114" i="2" s="1"/>
  <c r="F46" i="13"/>
  <c r="F5" i="13"/>
  <c r="D59" i="5"/>
  <c r="D63" i="5" s="1"/>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G99" i="2"/>
  <c r="F16" i="8"/>
  <c r="E16" i="8"/>
  <c r="E7" i="8"/>
  <c r="G16" i="8"/>
  <c r="H42" i="2"/>
  <c r="D16" i="8"/>
  <c r="D44" i="2"/>
  <c r="D29" i="8"/>
  <c r="G101" i="2"/>
  <c r="G114" i="2" s="1"/>
  <c r="F63" i="5" l="1"/>
  <c r="F65" i="5" s="1"/>
  <c r="F68" i="5" s="1"/>
  <c r="F71" i="5" s="1"/>
  <c r="E80" i="5"/>
  <c r="E34" i="8"/>
  <c r="D12" i="17"/>
  <c r="D7" i="17"/>
  <c r="E12" i="17"/>
  <c r="E7" i="17"/>
  <c r="D34" i="8"/>
  <c r="C7" i="17"/>
  <c r="C12" i="17"/>
  <c r="D80" i="5"/>
  <c r="E123" i="2"/>
  <c r="D123" i="2"/>
  <c r="H101" i="2"/>
  <c r="H114" i="2" s="1"/>
  <c r="G34" i="8" s="1"/>
  <c r="H46" i="13"/>
  <c r="H5" i="13"/>
  <c r="F28" i="8"/>
  <c r="F123" i="2"/>
  <c r="D7" i="8"/>
  <c r="D101" i="2"/>
  <c r="D114" i="2" s="1"/>
  <c r="D46" i="13"/>
  <c r="D5" i="13"/>
  <c r="F44" i="2"/>
  <c r="G28" i="8"/>
  <c r="H44" i="2"/>
  <c r="E44" i="2"/>
  <c r="G44" i="2"/>
  <c r="F34" i="8"/>
  <c r="C80" i="5"/>
  <c r="F80" i="5"/>
  <c r="D65" i="5"/>
  <c r="D68" i="5" s="1"/>
  <c r="D71" i="5" s="1"/>
  <c r="C109" i="5" s="1"/>
  <c r="C82" i="5"/>
  <c r="C105" i="5" s="1"/>
  <c r="D109" i="5"/>
  <c r="D82" i="5"/>
  <c r="D105" i="5" s="1"/>
  <c r="E8" i="8"/>
  <c r="E30" i="8"/>
  <c r="E103" i="5"/>
  <c r="D8" i="8"/>
  <c r="D30" i="8"/>
  <c r="F103" i="5"/>
  <c r="F7" i="8"/>
  <c r="E20" i="2"/>
  <c r="F20" i="2"/>
  <c r="G20" i="2"/>
  <c r="H20" i="2"/>
  <c r="D20" i="2"/>
  <c r="G52" i="1"/>
  <c r="H52" i="1"/>
  <c r="I52" i="1"/>
  <c r="J52" i="1"/>
  <c r="F52" i="1"/>
  <c r="B12" i="17" l="1"/>
  <c r="B7" i="17"/>
  <c r="G7" i="8"/>
  <c r="F12" i="17"/>
  <c r="F7" i="17"/>
  <c r="G123" i="2"/>
  <c r="G124" i="2" s="1"/>
  <c r="G144" i="2"/>
  <c r="G139"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G146" i="2" l="1"/>
  <c r="G137" i="2" s="1"/>
  <c r="G132" i="2" s="1"/>
  <c r="D139" i="2"/>
  <c r="F144" i="2"/>
  <c r="F139" i="2" s="1"/>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E132" i="2" l="1"/>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T58" i="3" l="1"/>
  <c r="I39" i="3"/>
  <c r="G61" i="3"/>
  <c r="G71" i="3" s="1"/>
  <c r="G74" i="3" s="1"/>
  <c r="F61" i="3"/>
  <c r="F71" i="3" s="1"/>
  <c r="F74" i="3" s="1"/>
  <c r="T27" i="3"/>
  <c r="H39" i="3"/>
  <c r="T36" i="3"/>
  <c r="I61" i="3" l="1"/>
  <c r="I71" i="3" s="1"/>
  <c r="I74" i="3" s="1"/>
  <c r="I77" i="3" s="1"/>
  <c r="I92" i="3" s="1"/>
  <c r="I93" i="3" s="1"/>
  <c r="T38" i="3"/>
  <c r="H61" i="3"/>
  <c r="T60" i="3" l="1"/>
  <c r="H71" i="3"/>
  <c r="H74" i="3" l="1"/>
  <c r="T70" i="3"/>
  <c r="H77" i="3" l="1"/>
  <c r="T73" i="3"/>
  <c r="H92" i="3" l="1"/>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D17" i="2" l="1"/>
  <c r="D25" i="13"/>
  <c r="F19" i="8"/>
  <c r="E19" i="8"/>
  <c r="F8" i="2"/>
  <c r="G8" i="2"/>
  <c r="E8" i="2"/>
  <c r="G17" i="2"/>
  <c r="S55" i="1"/>
  <c r="G16" i="2"/>
  <c r="S80" i="1"/>
  <c r="H17" i="2"/>
  <c r="S165" i="1"/>
  <c r="F177" i="1"/>
  <c r="F16" i="2"/>
  <c r="S50" i="1"/>
  <c r="S29" i="1"/>
  <c r="H6" i="2"/>
  <c r="S75" i="1"/>
  <c r="H16" i="2"/>
  <c r="E17" i="2"/>
  <c r="S122" i="1"/>
  <c r="S158" i="1"/>
  <c r="D5" i="2"/>
  <c r="D19" i="8" s="1"/>
  <c r="F91" i="1"/>
  <c r="D16" i="2"/>
  <c r="D15" i="2" s="1"/>
  <c r="S38" i="1"/>
  <c r="H18" i="2"/>
  <c r="S126" i="1"/>
  <c r="S18" i="1"/>
  <c r="H5" i="2"/>
  <c r="E16" i="2"/>
  <c r="F17" i="2"/>
  <c r="S115" i="1"/>
  <c r="S111" i="1"/>
  <c r="J112" i="1"/>
  <c r="I112" i="1"/>
  <c r="F112" i="1"/>
  <c r="G112" i="1"/>
  <c r="F137" i="1"/>
  <c r="H112" i="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D23" i="13" l="1"/>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30" i="11"/>
  <c r="E55" i="13"/>
  <c r="G30" i="11"/>
  <c r="F55" i="13"/>
  <c r="H30" i="11"/>
  <c r="G55" i="13"/>
  <c r="F179" i="1"/>
  <c r="G19" i="8"/>
  <c r="D26" i="2"/>
  <c r="G15" i="2"/>
  <c r="G26" i="2" s="1"/>
  <c r="H8" i="2"/>
  <c r="E57" i="11" s="1"/>
  <c r="H15" i="2"/>
  <c r="H26" i="2" s="1"/>
  <c r="D8" i="2"/>
  <c r="F15" i="2"/>
  <c r="F26" i="2" s="1"/>
  <c r="E15" i="2"/>
  <c r="E26" i="2" s="1"/>
  <c r="F183" i="1"/>
  <c r="Q102" i="1"/>
  <c r="P50" i="1"/>
  <c r="R102" i="1"/>
  <c r="P102" i="1"/>
  <c r="T174" i="1"/>
  <c r="Q127" i="1"/>
  <c r="I179" i="1"/>
  <c r="I183" i="1" s="1"/>
  <c r="R167" i="1"/>
  <c r="Q167" i="1"/>
  <c r="H179" i="1"/>
  <c r="P127" i="1"/>
  <c r="S83" i="1"/>
  <c r="I57" i="1"/>
  <c r="R48" i="1"/>
  <c r="Q48" i="1"/>
  <c r="R127" i="1"/>
  <c r="G179" i="1"/>
  <c r="P167" i="1"/>
  <c r="J179" i="1"/>
  <c r="G91" i="1"/>
  <c r="F15" i="13" l="1"/>
  <c r="E26" i="13"/>
  <c r="E22" i="13"/>
  <c r="E23" i="13"/>
  <c r="E15" i="13"/>
  <c r="G33" i="11"/>
  <c r="G44" i="11"/>
  <c r="G32" i="11"/>
  <c r="I30" i="11"/>
  <c r="H55" i="13"/>
  <c r="G57" i="13" s="1"/>
  <c r="H44" i="11"/>
  <c r="H32" i="11"/>
  <c r="H33" i="11"/>
  <c r="F33" i="11"/>
  <c r="F44" i="11"/>
  <c r="F32"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G26" i="13" l="1"/>
  <c r="G22" i="13"/>
  <c r="G23" i="13"/>
  <c r="J10" i="11"/>
  <c r="E11" i="11" s="1"/>
  <c r="I44" i="11"/>
  <c r="I32" i="11"/>
  <c r="I17" i="11" s="1"/>
  <c r="I33" i="11"/>
  <c r="G16" i="11" s="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83" i="5" l="1"/>
  <c r="F100" i="5" s="1"/>
  <c r="G31" i="8"/>
  <c r="G35" i="8" s="1"/>
  <c r="G41" i="8" s="1"/>
  <c r="K29" i="11"/>
  <c r="F105" i="5"/>
  <c r="F106" i="5" l="1"/>
  <c r="F110" i="5" s="1"/>
  <c r="F116" i="5" s="1"/>
  <c r="K44" i="11"/>
  <c r="K46" i="11" s="1"/>
  <c r="L29" i="11"/>
  <c r="L44" i="11" l="1"/>
  <c r="L46" i="11" s="1"/>
  <c r="M29" i="11"/>
  <c r="M44" i="11" l="1"/>
  <c r="M46" i="11" s="1"/>
  <c r="N29" i="11"/>
  <c r="D51" i="11" s="1"/>
  <c r="N44" i="11" l="1"/>
  <c r="N46" i="11" s="1"/>
  <c r="D52" i="11"/>
  <c r="E55" i="11" s="1"/>
  <c r="E59" i="11" l="1"/>
  <c r="E60" i="11" s="1"/>
  <c r="F127" i="2"/>
  <c r="Q174" i="1"/>
  <c r="Q87" i="1"/>
  <c r="F33" i="1"/>
  <c r="F46" i="1"/>
  <c r="F95" i="1"/>
  <c r="F184" i="1"/>
  <c r="P174" i="1"/>
  <c r="P87" i="1"/>
  <c r="E150" i="2"/>
  <c r="E147" i="2"/>
  <c r="E151" i="2"/>
  <c r="E157" i="2"/>
  <c r="R33" i="1"/>
  <c r="G128" i="2"/>
  <c r="F131" i="2"/>
  <c r="G131" i="2"/>
  <c r="Q39" i="1"/>
  <c r="H46" i="1"/>
  <c r="H95" i="1"/>
  <c r="H184" i="1"/>
  <c r="D127" i="2"/>
  <c r="E126" i="2"/>
  <c r="E129" i="2"/>
  <c r="E133" i="2"/>
  <c r="E141" i="2"/>
  <c r="E142" i="2"/>
  <c r="F142" i="2"/>
  <c r="P33" i="1"/>
  <c r="G142" i="2"/>
  <c r="F157" i="2"/>
  <c r="F126" i="2"/>
  <c r="F129" i="2"/>
  <c r="F133" i="2"/>
  <c r="F141" i="2"/>
  <c r="F147" i="2"/>
  <c r="F151" i="2"/>
  <c r="F150" i="2"/>
  <c r="G127" i="2"/>
  <c r="G150" i="2"/>
  <c r="G126" i="2"/>
  <c r="G129" i="2"/>
  <c r="G133" i="2"/>
  <c r="G141" i="2"/>
  <c r="G147" i="2"/>
  <c r="G151" i="2"/>
  <c r="G157" i="2"/>
  <c r="G95" i="1"/>
  <c r="G184" i="1"/>
  <c r="D131" i="2"/>
  <c r="R174" i="1"/>
  <c r="R87" i="1"/>
  <c r="H33" i="1"/>
  <c r="Q33" i="1"/>
  <c r="E131" i="2"/>
  <c r="S174" i="1"/>
  <c r="S87" i="1"/>
  <c r="G33" i="1"/>
  <c r="G46" i="1"/>
  <c r="P39" i="1"/>
  <c r="I95" i="1"/>
  <c r="I184" i="1"/>
  <c r="E128" i="2"/>
  <c r="D157" i="2"/>
  <c r="D147" i="2"/>
  <c r="D151" i="2"/>
  <c r="D150" i="2"/>
  <c r="D128" i="2"/>
  <c r="J95" i="1"/>
  <c r="J184" i="1"/>
  <c r="I33" i="1"/>
  <c r="I46" i="1"/>
  <c r="R39" i="1"/>
  <c r="D126" i="2"/>
  <c r="D129" i="2"/>
  <c r="D133" i="2"/>
  <c r="D141" i="2"/>
  <c r="D142" i="2"/>
  <c r="S33" i="1"/>
  <c r="E127" i="2"/>
  <c r="J33" i="1"/>
  <c r="J46" i="1"/>
  <c r="S39" i="1"/>
  <c r="F128" i="2"/>
</calcChain>
</file>

<file path=xl/sharedStrings.xml><?xml version="1.0" encoding="utf-8"?>
<sst xmlns="http://schemas.openxmlformats.org/spreadsheetml/2006/main" count="1328" uniqueCount="760">
  <si>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</si>
  <si>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</si>
  <si>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</si>
  <si>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</si>
  <si>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</si>
  <si>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</si>
  <si>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</si>
  <si>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</si>
  <si>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</si>
  <si>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</si>
  <si>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</si>
  <si>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</si>
  <si>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</si>
  <si>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</si>
  <si>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</si>
  <si>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</si>
  <si>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</si>
  <si>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</si>
  <si>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</si>
  <si>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</si>
  <si>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</si>
  <si>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</si>
  <si>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</si>
  <si>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</si>
  <si>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</si>
  <si>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</si>
  <si>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</si>
  <si>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</si>
  <si>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</si>
  <si>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</si>
  <si>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</si>
  <si>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</si>
  <si>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</si>
  <si>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</si>
  <si>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</si>
  <si>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</si>
  <si>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</si>
  <si>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</si>
  <si>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</si>
  <si>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</si>
  <si>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</si>
  <si>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</si>
  <si>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</si>
  <si>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</si>
  <si>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</si>
  <si>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</si>
  <si>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</si>
  <si>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</si>
  <si>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</si>
  <si>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</si>
  <si>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</si>
  <si>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</si>
  <si>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</si>
  <si>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</si>
  <si>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</si>
  <si>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</si>
  <si>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</si>
  <si>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</si>
  <si>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</si>
  <si>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</si>
  <si>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</si>
  <si>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</si>
  <si>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</si>
  <si>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</si>
  <si>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</si>
  <si>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</si>
  <si>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</si>
  <si>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</si>
  <si>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</si>
  <si>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</si>
  <si>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</si>
  <si>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</si>
  <si>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</si>
  <si>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</si>
  <si>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</si>
  <si>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</si>
  <si>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</si>
  <si>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</si>
  <si>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</si>
  <si>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</si>
  <si>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</si>
  <si>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</si>
  <si>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</si>
  <si>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</si>
  <si>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</si>
  <si>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</si>
  <si>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</si>
  <si>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</si>
  <si>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</si>
  <si>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</si>
  <si>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</si>
  <si>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</si>
  <si>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</si>
  <si>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</si>
  <si>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</si>
  <si>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</si>
  <si>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</si>
  <si>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</si>
  <si>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</si>
  <si>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</si>
  <si>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</si>
  <si>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</si>
  <si>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</si>
  <si>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</si>
  <si>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</si>
  <si>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</si>
  <si>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</si>
  <si>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</si>
  <si>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</si>
  <si>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</si>
  <si>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</si>
  <si>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</si>
  <si>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</si>
  <si>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</si>
  <si>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</si>
  <si>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</si>
  <si>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</si>
  <si>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</si>
  <si>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</si>
  <si>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</si>
  <si>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</si>
  <si>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</si>
  <si>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</si>
  <si>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</si>
  <si>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</si>
  <si>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</si>
  <si>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</si>
  <si>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</si>
  <si>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</si>
  <si>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</si>
  <si>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</si>
  <si>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</si>
  <si>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</si>
  <si>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</si>
  <si>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</si>
  <si>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</si>
  <si>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</si>
  <si>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</si>
  <si>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</si>
  <si>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</si>
  <si>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</si>
  <si>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</si>
  <si>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</si>
  <si>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</si>
  <si>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</si>
  <si>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</si>
  <si>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</si>
  <si>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</si>
  <si>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</si>
  <si>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</si>
  <si>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</si>
  <si>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</si>
  <si>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</si>
  <si>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</si>
  <si>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</si>
  <si>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</si>
  <si>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</si>
  <si>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</si>
  <si>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</si>
  <si>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</si>
  <si>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</si>
  <si>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</si>
  <si>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</si>
  <si>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</si>
  <si>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</si>
  <si>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</si>
  <si>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</si>
  <si>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</si>
  <si>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</si>
  <si>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</si>
  <si>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</si>
  <si>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</si>
  <si>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</si>
  <si>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</si>
  <si>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</si>
  <si>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</si>
  <si>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</si>
  <si>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</si>
  <si>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</si>
  <si>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</si>
  <si>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</si>
  <si>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</si>
  <si>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</si>
  <si>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</si>
  <si>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</si>
  <si>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</si>
  <si>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</si>
  <si>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</si>
  <si>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</si>
  <si>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</si>
  <si>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</si>
  <si>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</si>
  <si>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</si>
  <si>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</si>
  <si>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</si>
  <si>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</si>
  <si>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</si>
  <si>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</si>
  <si>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</si>
  <si>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</si>
  <si>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</si>
  <si>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</si>
  <si>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</si>
  <si>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</si>
  <si>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</si>
  <si>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</si>
  <si>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</si>
  <si>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</si>
  <si>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</si>
  <si>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</si>
  <si>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</si>
  <si>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</si>
  <si>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</si>
  <si>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</si>
  <si>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</si>
  <si>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</si>
  <si>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</si>
  <si>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</si>
  <si>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</si>
  <si>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</si>
  <si>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</si>
  <si>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</si>
  <si>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</si>
  <si>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</si>
  <si>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</si>
  <si>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</si>
  <si>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</si>
  <si>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</si>
  <si>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</si>
  <si>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</si>
  <si>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</si>
  <si>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</si>
  <si>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</si>
  <si>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</si>
  <si>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</si>
  <si>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</si>
  <si>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</si>
  <si>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</si>
  <si>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</si>
  <si>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</si>
  <si>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</si>
  <si>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</si>
  <si>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</si>
  <si>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</si>
  <si>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</si>
  <si>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</si>
  <si>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</si>
  <si>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</si>
  <si>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</si>
  <si>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</si>
  <si>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</si>
  <si>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</si>
  <si>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</si>
  <si>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</si>
  <si>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</si>
  <si>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</si>
  <si>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</si>
  <si>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</si>
  <si>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</si>
  <si>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</si>
  <si>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</si>
  <si>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</si>
  <si>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</si>
  <si>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</si>
  <si>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</si>
  <si>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</si>
  <si>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</si>
  <si>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</si>
  <si>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</si>
  <si>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</si>
  <si>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</si>
  <si>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</si>
  <si>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</si>
  <si>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</si>
  <si>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</si>
  <si>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</si>
  <si>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</si>
  <si>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</si>
  <si>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</si>
  <si>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</si>
  <si>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</si>
  <si>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</si>
  <si>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</si>
  <si>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</si>
  <si>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</si>
  <si>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</si>
  <si>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</si>
  <si>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</si>
  <si>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</si>
  <si>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</si>
  <si>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</si>
  <si>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</si>
  <si>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</si>
  <si>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</si>
  <si>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</si>
  <si>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</si>
  <si>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</si>
  <si>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</si>
  <si>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</si>
  <si>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</si>
  <si>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</si>
  <si>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</si>
  <si>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</si>
  <si>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</si>
  <si>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</si>
  <si>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</si>
  <si>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</si>
  <si>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</si>
  <si>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</si>
  <si>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</si>
  <si>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</si>
  <si>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</si>
  <si>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</si>
  <si>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</si>
  <si>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</si>
  <si>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</si>
  <si>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</si>
  <si>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</si>
  <si>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</si>
  <si>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</si>
  <si>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</si>
  <si>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</si>
  <si>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</si>
  <si>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</si>
  <si>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</si>
  <si>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</si>
  <si>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</si>
  <si>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</si>
  <si>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</si>
  <si>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</si>
  <si>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</si>
  <si>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</si>
  <si>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</si>
  <si>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</si>
  <si>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</si>
  <si>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</si>
  <si>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</si>
  <si>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</si>
  <si>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</si>
  <si>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</si>
  <si>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</si>
  <si>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</si>
  <si>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</si>
  <si>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</si>
  <si>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</si>
  <si>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</si>
  <si>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</si>
  <si>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</si>
  <si>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</si>
  <si>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</si>
  <si>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</si>
  <si>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</si>
  <si>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</si>
  <si>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</si>
  <si>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</si>
  <si>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</si>
  <si>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</si>
  <si>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</si>
  <si>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</si>
  <si>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</si>
  <si>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</si>
  <si>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</si>
  <si>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</si>
  <si>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</si>
  <si>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</si>
  <si>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</si>
  <si>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</si>
  <si>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</si>
  <si>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</si>
  <si>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</si>
  <si>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</si>
  <si>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</si>
  <si>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</si>
  <si>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</si>
  <si>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</si>
  <si>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</si>
  <si>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</si>
  <si>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</si>
  <si>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</si>
  <si>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</si>
  <si>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</si>
  <si>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</si>
  <si>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</si>
  <si>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</si>
  <si>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</si>
  <si>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</si>
  <si>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</si>
  <si>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</si>
  <si>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</si>
  <si>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</si>
  <si>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</si>
  <si>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</si>
  <si>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</si>
  <si>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</si>
  <si>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</si>
  <si>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</si>
  <si>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</si>
  <si>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</si>
  <si>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</si>
  <si>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</si>
  <si>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</si>
  <si>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</si>
  <si>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</si>
  <si>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</si>
  <si>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</si>
  <si>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</si>
  <si>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</si>
  <si>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</si>
  <si>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</si>
  <si>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</si>
  <si>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</si>
  <si>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</si>
  <si>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</si>
  <si>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</si>
  <si>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</si>
  <si>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</si>
  <si>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</si>
  <si>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</si>
  <si>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</si>
  <si>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</si>
  <si>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</si>
  <si>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</si>
  <si>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</si>
  <si>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</si>
  <si>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</si>
  <si>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</si>
  <si>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</si>
  <si>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</si>
  <si>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</si>
  <si>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</si>
  <si>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</si>
  <si>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</si>
  <si>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</si>
  <si>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</si>
  <si>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</si>
  <si>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</si>
  <si>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</si>
  <si>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</si>
  <si>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</si>
  <si>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</si>
  <si>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</si>
  <si>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</si>
  <si>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</si>
  <si>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</si>
  <si>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</si>
  <si>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</si>
  <si>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</si>
  <si>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</si>
  <si>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</si>
  <si>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</si>
  <si>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</si>
  <si>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</si>
  <si>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</si>
  <si>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</si>
  <si>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</si>
  <si>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</si>
  <si>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</si>
  <si>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</si>
  <si>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</si>
  <si>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</si>
  <si>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</si>
  <si>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</si>
  <si>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</si>
  <si>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</si>
  <si>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</si>
  <si>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</si>
  <si>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</si>
  <si>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</si>
  <si>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</si>
  <si>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</si>
  <si>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</si>
  <si>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Forecasts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</si>
  <si>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</si>
  <si>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</si>
  <si>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</si>
  <si>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</si>
  <si>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</si>
  <si>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</si>
  <si>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</si>
  <si>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</si>
  <si>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</si>
  <si>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Dividend discount model </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</si>
  <si>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</si>
  <si>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</si>
  <si>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</si>
  <si>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</si>
  <si>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</si>
  <si>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</si>
  <si>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</si>
  <si>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</si>
  <si>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</si>
  <si>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</si>
  <si>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</si>
  <si>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Terminal Value assumptions (stricty)</t>
  </si>
  <si>
    <t xml:space="preserve">Stable cost of equity (Beta = 1) </t>
  </si>
  <si>
    <t xml:space="preserve">Stable Cost of Equity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</si>
  <si>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</si>
  <si>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</si>
  <si>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</si>
  <si>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</si>
  <si>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</si>
  <si>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</si>
  <si>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</si>
  <si>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</si>
  <si>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</si>
  <si>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</si>
  <si>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</si>
  <si>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</si>
  <si>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</si>
  <si>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</si>
  <si>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Output</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</si>
  <si>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</si>
  <si>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</si>
  <si>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</si>
  <si>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</si>
  <si>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</si>
  <si>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</si>
  <si>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</si>
  <si>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</si>
  <si>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</si>
  <si>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</si>
  <si>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</si>
  <si>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</si>
  <si>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</si>
  <si>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</si>
  <si>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</si>
  <si>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</si>
  <si>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</si>
  <si>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</si>
  <si>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Tax rate = 27,9%</t>
  </si>
  <si>
    <t>=</t>
  </si>
  <si>
    <t xml:space="preserve">WACC = </t>
  </si>
  <si>
    <t xml:space="preserve">Present value </t>
  </si>
  <si>
    <t>EBIT*(1-t)</t>
  </si>
  <si>
    <t>this value is imported from Damodaran's dataset and represent the average growth rate of utility companies in Euro zone</t>
  </si>
  <si>
    <t>D&amp;A</t>
  </si>
  <si>
    <t xml:space="preserve">CAPEX </t>
  </si>
  <si>
    <t>D&amp;A as a % of CAPEX</t>
  </si>
  <si>
    <t>Forecast</t>
  </si>
  <si>
    <t>CAPEX as a % of revenues</t>
  </si>
  <si>
    <t>Expected growth rate for EBIT =</t>
  </si>
  <si>
    <t>Being the Reinvestment Rate too volatile over the last four years, i'm going to use an average RR=</t>
  </si>
  <si>
    <t>∆ NWC</t>
  </si>
  <si>
    <t>changes %</t>
  </si>
  <si>
    <t xml:space="preserve">computed with </t>
  </si>
  <si>
    <t>Assuming a growth rate to forecast revenues equal to the last growth rate=</t>
  </si>
  <si>
    <t>compounded WACC</t>
  </si>
  <si>
    <t>TOTAL VALUE =</t>
  </si>
  <si>
    <t>Terminal value =</t>
  </si>
  <si>
    <t xml:space="preserve">value of equity in commo stock </t>
  </si>
  <si>
    <t xml:space="preserve">eps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</si>
  <si>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</si>
  <si>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</si>
  <si>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</si>
  <si>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</si>
  <si>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</si>
  <si>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</si>
  <si>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AAA Countries (10 years bond) TIR at 31/12/2019 </t>
  </si>
  <si>
    <t xml:space="preserve">Switzerland </t>
  </si>
  <si>
    <t xml:space="preserve">Norway </t>
  </si>
  <si>
    <t>Denmark</t>
  </si>
  <si>
    <t xml:space="preserve">Sweden </t>
  </si>
  <si>
    <t xml:space="preserve">Canada </t>
  </si>
  <si>
    <t xml:space="preserve">WACC according to Python development </t>
  </si>
  <si>
    <t xml:space="preserve">WACC according to simplified approach </t>
  </si>
  <si>
    <t>Net of taxes Cost of Debt</t>
  </si>
  <si>
    <t>Risk Free Rate</t>
  </si>
  <si>
    <t>Equity Risk Premium (Damodaran)</t>
  </si>
  <si>
    <t>Regression (levered) Beta</t>
  </si>
  <si>
    <t>Wacc (market value)</t>
  </si>
  <si>
    <t xml:space="preserve">Stable Wacc (Beta = 1) </t>
  </si>
  <si>
    <t>Explicit forecast</t>
  </si>
  <si>
    <t>Decreasing growth phase (3Y)</t>
  </si>
  <si>
    <t xml:space="preserve">Past dividend growth </t>
  </si>
  <si>
    <t xml:space="preserve">Steady State </t>
  </si>
  <si>
    <t xml:space="preserve">Other operating revenues as % of sales </t>
  </si>
  <si>
    <t>Mean value (past 2 years)</t>
  </si>
  <si>
    <t>Sales</t>
  </si>
  <si>
    <t xml:space="preserve">Raw materials as % of sales </t>
  </si>
  <si>
    <t>Mean value (past 3 years)</t>
  </si>
  <si>
    <t>Services as % of sales</t>
  </si>
  <si>
    <t xml:space="preserve">Labour cost as % of sales </t>
  </si>
  <si>
    <t xml:space="preserve">As Percentage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</si>
  <si>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</si>
  <si>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</si>
  <si>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</si>
  <si>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</si>
  <si>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</si>
  <si>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</si>
  <si>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</si>
  <si>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</si>
  <si>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</si>
  <si>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 xml:space="preserve">EOP </t>
  </si>
  <si>
    <t>Cumulative capex for 2024</t>
  </si>
  <si>
    <t>Cumulative sales</t>
  </si>
  <si>
    <t xml:space="preserve"> + Capex</t>
  </si>
  <si>
    <t xml:space="preserve">Splitted per year </t>
  </si>
  <si>
    <t>Capex for 1 u. sales</t>
  </si>
  <si>
    <t xml:space="preserve"> - D&amp;A</t>
  </si>
  <si>
    <t xml:space="preserve">Tangibles </t>
  </si>
  <si>
    <t>References for capex</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</si>
  <si>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</si>
  <si>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</si>
  <si>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</si>
  <si>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</si>
  <si>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</si>
  <si>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</si>
  <si>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</si>
  <si>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</si>
  <si>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</si>
  <si>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</si>
  <si>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</si>
  <si>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</si>
  <si>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</si>
  <si>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</si>
  <si>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</si>
  <si>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</si>
  <si>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</si>
  <si>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</si>
  <si>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</si>
  <si>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</si>
  <si>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</si>
  <si>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</si>
  <si>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</si>
  <si>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Bonds</t>
  </si>
  <si>
    <t xml:space="preserve">Bank loans and Bonds (M/L) </t>
  </si>
  <si>
    <t xml:space="preserve">% Other financing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</si>
  <si>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</si>
  <si>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</si>
  <si>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</si>
  <si>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</si>
  <si>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</si>
  <si>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</si>
  <si>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</si>
  <si>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</si>
  <si>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</si>
  <si>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</si>
  <si>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</si>
  <si>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</si>
  <si>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</si>
  <si>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</si>
  <si>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</si>
  <si>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</si>
  <si>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</si>
  <si>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</si>
  <si>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</si>
  <si>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</si>
  <si>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</si>
  <si>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</si>
  <si>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</si>
  <si>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</si>
  <si>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</si>
  <si>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</si>
  <si>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</si>
  <si>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</si>
  <si>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</si>
  <si>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</si>
  <si>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</si>
  <si>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</si>
  <si>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</si>
  <si>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</si>
  <si>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</si>
  <si>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</si>
  <si>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</si>
  <si>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</si>
  <si>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</si>
  <si>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</si>
  <si>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</si>
  <si>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</si>
  <si>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Steady State</t>
  </si>
  <si>
    <t xml:space="preserve">Additional Bond evo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</si>
  <si>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</si>
  <si>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</si>
  <si>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</si>
  <si>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</si>
  <si>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</si>
  <si>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</si>
  <si>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</si>
  <si>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</si>
  <si>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</si>
  <si>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</si>
  <si>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</si>
  <si>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</si>
  <si>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</si>
  <si>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</si>
  <si>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</si>
  <si>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</si>
  <si>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</si>
  <si>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</si>
  <si>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</si>
  <si>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</si>
  <si>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</si>
  <si>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</si>
  <si>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</si>
  <si>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</si>
  <si>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</si>
  <si>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</si>
  <si>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</si>
  <si>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</si>
  <si>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r>
      <t xml:space="preserve">Stable WACC with </t>
    </r>
    <r>
      <rPr>
        <sz val="11"/>
        <color theme="1"/>
        <rFont val="Calibri"/>
        <family val="2"/>
      </rPr>
      <t>β</t>
    </r>
    <r>
      <rPr>
        <sz val="11"/>
        <color theme="1"/>
        <rFont val="Biome"/>
        <family val="2"/>
      </rPr>
      <t>=1 and cost of equity =</t>
    </r>
  </si>
  <si>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</si>
  <si>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</si>
  <si>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</si>
  <si>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</si>
  <si>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</si>
  <si>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</si>
  <si>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</si>
  <si>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</si>
  <si>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</si>
  <si>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</si>
  <si>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</si>
  <si>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</si>
  <si>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</si>
  <si>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</si>
  <si>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Since we have used a different way to compute FCFF and FCFE, I've must modified a little Damodaran's model. I'm going to consider, in addition to tax in EBIT, also the tax shild generated by financial items and changes in provision, employee benefit, tax ansset and other minor to forecast consistently every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</si>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</sst>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0.00000"/>
  </numFmts>
  <fonts count="53">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sz val="11"/>
      <color theme="1"/>
      <name val="Arial"/>
      <family val="2"/>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sz val="11"/>
      <color theme="1"/>
      <name val="Calibri"/>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rgb="FFFF0000"/>
        <bgColor indexed="64"/>
      </patternFill>
    </fill>
  </fills>
  <borders count="69">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otted">
        <color auto="1"/>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776">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0" fontId="0" fillId="2" borderId="2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35" fillId="2" borderId="0" xfId="0" applyFont="1" applyFill="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10" fontId="0" fillId="2" borderId="55" xfId="0" applyNumberFormat="1" applyFill="1" applyBorder="1"/>
    <xf numFmtId="10" fontId="0" fillId="2" borderId="14" xfId="1" applyNumberFormat="1" applyFont="1" applyFill="1" applyBorder="1"/>
    <xf numFmtId="0" fontId="0" fillId="2" borderId="47"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7"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8" fillId="2" borderId="0" xfId="0" applyFont="1" applyFill="1"/>
    <xf numFmtId="0" fontId="3" fillId="2" borderId="0" xfId="0" applyFont="1" applyFill="1" applyBorder="1"/>
    <xf numFmtId="0" fontId="39" fillId="8" borderId="0" xfId="0" applyFont="1" applyFill="1"/>
    <xf numFmtId="0" fontId="40"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9"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3" fillId="2" borderId="0" xfId="0" applyFont="1" applyFill="1"/>
    <xf numFmtId="10" fontId="43" fillId="2" borderId="0" xfId="1" applyNumberFormat="1" applyFont="1" applyFill="1"/>
    <xf numFmtId="0" fontId="43" fillId="2" borderId="0" xfId="0" applyFont="1" applyFill="1" applyAlignment="1">
      <alignment horizontal="left"/>
    </xf>
    <xf numFmtId="164" fontId="6" fillId="2" borderId="0" xfId="2" applyFont="1" applyFill="1" applyBorder="1"/>
    <xf numFmtId="164" fontId="43" fillId="2" borderId="0" xfId="2" applyFont="1" applyFill="1"/>
    <xf numFmtId="164" fontId="43" fillId="2" borderId="0" xfId="2" applyFont="1" applyFill="1" applyBorder="1"/>
    <xf numFmtId="10" fontId="43" fillId="2" borderId="0" xfId="1" applyNumberFormat="1" applyFont="1" applyFill="1" applyBorder="1"/>
    <xf numFmtId="10" fontId="43" fillId="2" borderId="0" xfId="1" applyNumberFormat="1" applyFont="1" applyFill="1" applyBorder="1" applyAlignment="1">
      <alignment horizontal="right"/>
    </xf>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4"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66" fontId="0" fillId="2" borderId="0" xfId="1" applyNumberFormat="1" applyFont="1" applyFill="1"/>
    <xf numFmtId="10" fontId="0" fillId="2" borderId="30" xfId="1" applyNumberFormat="1" applyFont="1" applyFill="1" applyBorder="1"/>
    <xf numFmtId="10" fontId="0" fillId="2" borderId="30" xfId="0" applyNumberFormat="1" applyFill="1" applyBorder="1"/>
    <xf numFmtId="0" fontId="31" fillId="24" borderId="26" xfId="0" applyFont="1" applyFill="1" applyBorder="1"/>
    <xf numFmtId="4" fontId="0" fillId="2" borderId="0" xfId="0" applyNumberFormat="1" applyFill="1"/>
    <xf numFmtId="174" fontId="0" fillId="2" borderId="0" xfId="0" applyNumberFormat="1" applyFill="1"/>
    <xf numFmtId="174" fontId="0" fillId="2" borderId="48" xfId="0" applyNumberFormat="1" applyFill="1" applyBorder="1"/>
    <xf numFmtId="175" fontId="0" fillId="2" borderId="0" xfId="0" applyNumberFormat="1" applyFill="1"/>
    <xf numFmtId="175" fontId="0" fillId="2" borderId="48" xfId="0" applyNumberFormat="1" applyFill="1" applyBorder="1"/>
    <xf numFmtId="173" fontId="0" fillId="2" borderId="0" xfId="1" applyNumberFormat="1" applyFont="1" applyFill="1"/>
    <xf numFmtId="173" fontId="0" fillId="2" borderId="48" xfId="1" applyNumberFormat="1" applyFont="1" applyFill="1" applyBorder="1"/>
    <xf numFmtId="10" fontId="0" fillId="2" borderId="48" xfId="1" applyNumberFormat="1" applyFont="1" applyFill="1" applyBorder="1"/>
    <xf numFmtId="10" fontId="0" fillId="2" borderId="48" xfId="0" applyNumberFormat="1" applyFill="1" applyBorder="1"/>
    <xf numFmtId="167" fontId="0" fillId="2" borderId="0" xfId="0" applyNumberFormat="1" applyFill="1"/>
    <xf numFmtId="167"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10" fontId="0" fillId="2" borderId="22" xfId="0" applyNumberFormat="1" applyFill="1" applyBorder="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2" fontId="2" fillId="25" borderId="48" xfId="0" applyNumberFormat="1" applyFont="1" applyFill="1" applyBorder="1"/>
    <xf numFmtId="10" fontId="0" fillId="2" borderId="50" xfId="1" applyNumberFormat="1" applyFont="1" applyFill="1" applyBorder="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9" fontId="0" fillId="2" borderId="35" xfId="1" applyFont="1" applyFill="1" applyBorder="1"/>
    <xf numFmtId="9" fontId="0" fillId="2" borderId="34"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5" fillId="2" borderId="61" xfId="0" applyNumberFormat="1" applyFont="1" applyFill="1" applyBorder="1"/>
    <xf numFmtId="0" fontId="0" fillId="2" borderId="62" xfId="0"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6" fillId="2" borderId="61" xfId="0" applyFont="1" applyFill="1" applyBorder="1"/>
    <xf numFmtId="0" fontId="46" fillId="2" borderId="63"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10" fontId="0" fillId="2" borderId="45" xfId="1" applyNumberFormat="1" applyFont="1" applyFill="1" applyBorder="1"/>
    <xf numFmtId="0" fontId="31" fillId="21" borderId="58" xfId="0" applyFont="1" applyFill="1" applyBorder="1"/>
    <xf numFmtId="0" fontId="0" fillId="9" borderId="29" xfId="0" applyFill="1" applyBorder="1"/>
    <xf numFmtId="0" fontId="0" fillId="9" borderId="54" xfId="0" applyFill="1" applyBorder="1"/>
    <xf numFmtId="10" fontId="0" fillId="9" borderId="0" xfId="1" applyNumberFormat="1" applyFont="1" applyFill="1"/>
    <xf numFmtId="10" fontId="0" fillId="9" borderId="30" xfId="1" applyNumberFormat="1" applyFont="1" applyFill="1" applyBorder="1"/>
    <xf numFmtId="9" fontId="0" fillId="2" borderId="34" xfId="0" applyNumberFormat="1" applyFill="1" applyBorder="1"/>
    <xf numFmtId="2" fontId="0" fillId="2" borderId="22"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9" borderId="0" xfId="0" applyFill="1"/>
    <xf numFmtId="9" fontId="47" fillId="2" borderId="0" xfId="0" quotePrefix="1" applyNumberFormat="1" applyFont="1" applyFill="1" applyAlignment="1">
      <alignment horizontal="center" vertical="center" wrapText="1"/>
    </xf>
    <xf numFmtId="9" fontId="48" fillId="2" borderId="0" xfId="0" applyNumberFormat="1" applyFont="1" applyFill="1" applyAlignment="1">
      <alignment horizontal="center"/>
    </xf>
    <xf numFmtId="9" fontId="47" fillId="2" borderId="64" xfId="0" quotePrefix="1" applyNumberFormat="1" applyFont="1" applyFill="1" applyBorder="1" applyAlignment="1">
      <alignment horizontal="center" vertical="top" wrapText="1"/>
    </xf>
    <xf numFmtId="9" fontId="48" fillId="2" borderId="64" xfId="0" applyNumberFormat="1" applyFont="1" applyFill="1" applyBorder="1" applyAlignment="1">
      <alignment horizontal="center"/>
    </xf>
    <xf numFmtId="0" fontId="0" fillId="0" borderId="28" xfId="0" applyBorder="1"/>
    <xf numFmtId="0" fontId="0" fillId="0" borderId="59" xfId="0" applyBorder="1"/>
    <xf numFmtId="0" fontId="0" fillId="0" borderId="27" xfId="0" applyBorder="1"/>
    <xf numFmtId="0" fontId="0" fillId="0" borderId="48" xfId="0" applyBorder="1"/>
    <xf numFmtId="0" fontId="0" fillId="0" borderId="30" xfId="0" applyBorder="1"/>
    <xf numFmtId="0" fontId="0" fillId="0" borderId="44" xfId="0" applyBorder="1"/>
    <xf numFmtId="0" fontId="0" fillId="0" borderId="34" xfId="0" applyBorder="1"/>
    <xf numFmtId="0" fontId="0" fillId="0" borderId="35" xfId="0" applyBorder="1"/>
    <xf numFmtId="0" fontId="0" fillId="0" borderId="45" xfId="0" applyBorder="1"/>
    <xf numFmtId="0" fontId="0" fillId="9" borderId="30" xfId="0" applyFill="1" applyBorder="1"/>
    <xf numFmtId="0" fontId="0" fillId="0" borderId="50" xfId="0" applyBorder="1"/>
    <xf numFmtId="0" fontId="0" fillId="0" borderId="31" xfId="0" applyBorder="1"/>
    <xf numFmtId="0" fontId="0" fillId="0" borderId="56" xfId="0" applyBorder="1"/>
    <xf numFmtId="2" fontId="0" fillId="0" borderId="22" xfId="0" applyNumberFormat="1" applyBorder="1"/>
    <xf numFmtId="2" fontId="0" fillId="0" borderId="32" xfId="0" applyNumberFormat="1"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166" fontId="0" fillId="2" borderId="48" xfId="1" applyNumberFormat="1" applyFont="1" applyFill="1" applyBorder="1"/>
    <xf numFmtId="2" fontId="2" fillId="2" borderId="7" xfId="0" applyNumberFormat="1" applyFont="1" applyFill="1" applyBorder="1"/>
    <xf numFmtId="2" fontId="2" fillId="2" borderId="54" xfId="0" applyNumberFormat="1" applyFont="1" applyFill="1" applyBorder="1"/>
    <xf numFmtId="0" fontId="0" fillId="26" borderId="0" xfId="0" applyFill="1"/>
    <xf numFmtId="167" fontId="0" fillId="2" borderId="35" xfId="0" applyNumberFormat="1" applyFill="1" applyBorder="1"/>
    <xf numFmtId="0" fontId="31" fillId="26" borderId="0" xfId="0" applyFont="1" applyFill="1"/>
    <xf numFmtId="167" fontId="0" fillId="2" borderId="0" xfId="0" applyNumberFormat="1" applyFill="1" applyBorder="1"/>
    <xf numFmtId="166"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11" fillId="20" borderId="27"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10" fontId="6" fillId="2" borderId="10" xfId="0" applyNumberFormat="1"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9" fillId="3" borderId="19" xfId="0" applyFont="1" applyFill="1" applyBorder="1"/>
    <xf numFmtId="0" fontId="6" fillId="3" borderId="1" xfId="0" applyFont="1" applyFill="1" applyBorder="1"/>
    <xf numFmtId="0" fontId="6" fillId="3" borderId="27" xfId="0" applyFont="1" applyFill="1" applyBorder="1"/>
    <xf numFmtId="0" fontId="22" fillId="24" borderId="5" xfId="0" applyFont="1" applyFill="1" applyBorder="1"/>
    <xf numFmtId="0" fontId="22" fillId="24" borderId="39"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0" fontId="6" fillId="2" borderId="33" xfId="0" applyFont="1" applyFill="1" applyBorder="1"/>
    <xf numFmtId="170" fontId="11" fillId="2" borderId="29" xfId="0" applyNumberFormat="1" applyFont="1" applyFill="1" applyBorder="1"/>
    <xf numFmtId="9" fontId="6" fillId="2" borderId="30" xfId="1" applyFont="1" applyFill="1" applyBorder="1"/>
    <xf numFmtId="2" fontId="6" fillId="2" borderId="45" xfId="0" applyNumberFormat="1" applyFont="1" applyFill="1" applyBorder="1"/>
    <xf numFmtId="2" fontId="6" fillId="2" borderId="45" xfId="2" applyNumberFormat="1" applyFont="1" applyFill="1" applyBorder="1"/>
    <xf numFmtId="0" fontId="22" fillId="17" borderId="20" xfId="0" applyFont="1" applyFill="1" applyBorder="1"/>
    <xf numFmtId="10" fontId="50" fillId="17" borderId="30" xfId="1" applyNumberFormat="1" applyFont="1" applyFill="1" applyBorder="1"/>
    <xf numFmtId="0" fontId="22" fillId="13" borderId="20" xfId="0" applyFont="1" applyFill="1" applyBorder="1"/>
    <xf numFmtId="10" fontId="50" fillId="13" borderId="30" xfId="1" applyNumberFormat="1" applyFont="1" applyFill="1" applyBorder="1"/>
    <xf numFmtId="0" fontId="22" fillId="17" borderId="40" xfId="0" applyFont="1" applyFill="1" applyBorder="1"/>
    <xf numFmtId="166" fontId="50"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50" fillId="13" borderId="17" xfId="1" applyNumberFormat="1" applyFont="1" applyFill="1" applyBorder="1"/>
    <xf numFmtId="10" fontId="50"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2" fillId="8" borderId="0" xfId="0" applyFont="1" applyFill="1" applyBorder="1" applyAlignment="1"/>
    <xf numFmtId="10" fontId="43" fillId="2" borderId="0" xfId="0" applyNumberFormat="1" applyFont="1" applyFill="1"/>
    <xf numFmtId="14" fontId="22" fillId="3" borderId="57" xfId="0" applyNumberFormat="1" applyFont="1" applyFill="1" applyBorder="1"/>
    <xf numFmtId="169" fontId="6" fillId="2" borderId="57" xfId="2" applyNumberFormat="1" applyFont="1" applyFill="1" applyBorder="1"/>
    <xf numFmtId="10" fontId="43" fillId="2" borderId="57" xfId="1" applyNumberFormat="1" applyFont="1" applyFill="1" applyBorder="1"/>
    <xf numFmtId="10" fontId="43" fillId="2" borderId="57" xfId="1" applyNumberFormat="1" applyFont="1" applyFill="1" applyBorder="1" applyAlignment="1">
      <alignment horizontal="right"/>
    </xf>
    <xf numFmtId="164" fontId="6" fillId="2" borderId="57" xfId="2" applyFont="1" applyFill="1" applyBorder="1"/>
    <xf numFmtId="10" fontId="43" fillId="2" borderId="57" xfId="0" applyNumberFormat="1" applyFont="1" applyFill="1" applyBorder="1"/>
    <xf numFmtId="169" fontId="6" fillId="7" borderId="57" xfId="2" applyNumberFormat="1" applyFont="1" applyFill="1" applyBorder="1"/>
    <xf numFmtId="164" fontId="43" fillId="2" borderId="57" xfId="2" applyFont="1" applyFill="1" applyBorder="1"/>
    <xf numFmtId="0" fontId="51" fillId="2" borderId="3" xfId="0" applyFont="1" applyFill="1" applyBorder="1" applyAlignment="1">
      <alignment horizontal="center" vertical="center"/>
    </xf>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6" fillId="2" borderId="0" xfId="0" applyFont="1" applyFill="1" applyAlignment="1">
      <alignment horizontal="left"/>
    </xf>
    <xf numFmtId="0" fontId="23" fillId="2" borderId="0" xfId="0" applyFont="1" applyFill="1" applyBorder="1" applyAlignment="1">
      <alignment horizontal="center"/>
    </xf>
    <xf numFmtId="0" fontId="6" fillId="2" borderId="0" xfId="0" applyFont="1" applyFill="1" applyAlignment="1">
      <alignment horizontal="left" wrapText="1"/>
    </xf>
    <xf numFmtId="0" fontId="42" fillId="8" borderId="57" xfId="0" applyFont="1" applyFill="1" applyBorder="1" applyAlignment="1">
      <alignment horizontal="center"/>
    </xf>
    <xf numFmtId="0" fontId="42" fillId="8" borderId="0" xfId="0" applyFont="1" applyFill="1" applyBorder="1" applyAlignment="1">
      <alignment horizontal="center"/>
    </xf>
    <xf numFmtId="0" fontId="16" fillId="2" borderId="48" xfId="0" applyFont="1" applyFill="1" applyBorder="1"/>
    <xf numFmtId="0" fontId="6" fillId="2" borderId="48" xfId="0" applyFont="1" applyFill="1" applyBorder="1"/>
    <xf numFmtId="0" fontId="37" fillId="2" borderId="48" xfId="0" applyFont="1" applyFill="1" applyBorder="1"/>
    <xf numFmtId="0" fontId="11" fillId="2" borderId="48" xfId="0" applyFont="1" applyFill="1" applyBorder="1"/>
    <xf numFmtId="0" fontId="0" fillId="2" borderId="14" xfId="0" applyFill="1" applyBorder="1"/>
    <xf numFmtId="0" fontId="37" fillId="2" borderId="14" xfId="0" applyFont="1" applyFill="1" applyBorder="1" applyAlignment="1">
      <alignment wrapText="1"/>
    </xf>
    <xf numFmtId="0" fontId="6" fillId="2" borderId="14" xfId="0" applyFont="1" applyFill="1" applyBorder="1"/>
    <xf numFmtId="0" fontId="37" fillId="2" borderId="14" xfId="0" applyFont="1" applyFill="1" applyBorder="1"/>
    <xf numFmtId="0" fontId="6" fillId="2" borderId="34" xfId="0" applyFont="1" applyFill="1" applyBorder="1"/>
    <xf numFmtId="166" fontId="6" fillId="2" borderId="67" xfId="1" applyNumberFormat="1" applyFont="1" applyFill="1" applyBorder="1"/>
    <xf numFmtId="0" fontId="37" fillId="2" borderId="34" xfId="0" applyFont="1" applyFill="1" applyBorder="1"/>
    <xf numFmtId="167" fontId="6" fillId="2" borderId="67"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68" fontId="35" fillId="2" borderId="0" xfId="0" applyNumberFormat="1" applyFont="1" applyFill="1" applyBorder="1"/>
    <xf numFmtId="168" fontId="2" fillId="2" borderId="0" xfId="0" applyNumberFormat="1" applyFont="1" applyFill="1" applyBorder="1"/>
    <xf numFmtId="10" fontId="0" fillId="2" borderId="0" xfId="0" applyNumberFormat="1" applyFill="1" applyBorder="1"/>
    <xf numFmtId="10" fontId="1" fillId="2" borderId="0" xfId="1" applyNumberFormat="1" applyFill="1" applyBorder="1"/>
    <xf numFmtId="10" fontId="2" fillId="2" borderId="0" xfId="0" applyNumberFormat="1" applyFon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9" fontId="0" fillId="2" borderId="0" xfId="1" applyFont="1" applyFill="1" applyBorder="1"/>
    <xf numFmtId="0" fontId="46" fillId="2" borderId="0" xfId="0"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0" fontId="20" fillId="8" borderId="30" xfId="0" applyFont="1" applyFill="1" applyBorder="1" applyAlignment="1">
      <alignment horizontal="center"/>
    </xf>
    <xf numFmtId="165" fontId="36" fillId="3" borderId="0" xfId="0" applyNumberFormat="1" applyFont="1" applyFill="1" applyBorder="1" applyAlignment="1">
      <alignment horizontal="center" vertical="center"/>
    </xf>
    <xf numFmtId="166" fontId="6" fillId="2" borderId="30" xfId="1" applyNumberFormat="1" applyFont="1" applyFill="1" applyBorder="1"/>
    <xf numFmtId="10" fontId="6" fillId="9" borderId="30" xfId="1" applyNumberFormat="1" applyFont="1" applyFill="1" applyBorder="1"/>
    <xf numFmtId="166" fontId="6" fillId="2" borderId="30" xfId="0" applyNumberFormat="1" applyFont="1" applyFill="1" applyBorder="1"/>
    <xf numFmtId="166" fontId="6" fillId="9" borderId="30" xfId="1" applyNumberFormat="1" applyFont="1" applyFill="1" applyBorder="1"/>
    <xf numFmtId="167" fontId="6" fillId="2" borderId="30" xfId="0" applyNumberFormat="1" applyFont="1" applyFill="1" applyBorder="1"/>
    <xf numFmtId="1" fontId="6" fillId="2" borderId="30" xfId="0" applyNumberFormat="1" applyFont="1" applyFill="1" applyBorder="1"/>
    <xf numFmtId="166" fontId="52"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2"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2"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3" xfId="0" applyFont="1" applyFill="1" applyBorder="1"/>
    <xf numFmtId="0" fontId="0" fillId="2" borderId="63" xfId="0" applyFill="1" applyBorder="1"/>
    <xf numFmtId="2" fontId="2" fillId="2" borderId="0" xfId="0" applyNumberFormat="1" applyFont="1" applyFill="1" applyBorder="1"/>
    <xf numFmtId="0" fontId="2" fillId="2" borderId="66" xfId="0" applyFont="1" applyFill="1" applyBorder="1"/>
    <xf numFmtId="0" fontId="0" fillId="2" borderId="68"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8" xfId="0" applyFill="1" applyBorder="1"/>
    <xf numFmtId="2" fontId="0" fillId="2" borderId="45" xfId="0" applyNumberFormat="1" applyFill="1" applyBorder="1"/>
    <xf numFmtId="0" fontId="0" fillId="2" borderId="65" xfId="0" applyFill="1" applyBorder="1"/>
    <xf numFmtId="0" fontId="2" fillId="2" borderId="30" xfId="0" applyFont="1" applyFill="1" applyBorder="1"/>
    <xf numFmtId="0" fontId="2" fillId="2" borderId="45" xfId="0" applyFont="1" applyFill="1" applyBorder="1"/>
    <xf numFmtId="0" fontId="2" fillId="2" borderId="68" xfId="0" applyFont="1" applyFill="1" applyBorder="1"/>
    <xf numFmtId="0" fontId="2" fillId="2" borderId="22" xfId="0" applyFont="1" applyFill="1" applyBorder="1"/>
    <xf numFmtId="0" fontId="2" fillId="2" borderId="56" xfId="0" applyFont="1" applyFill="1" applyBorder="1"/>
    <xf numFmtId="2" fontId="2" fillId="2" borderId="22" xfId="0" applyNumberFormat="1" applyFont="1" applyFill="1" applyBorder="1"/>
    <xf numFmtId="2" fontId="2" fillId="2" borderId="56" xfId="0" applyNumberFormat="1" applyFont="1" applyFill="1" applyBorder="1"/>
    <xf numFmtId="0" fontId="0" fillId="13" borderId="60" xfId="0" applyFill="1" applyBorder="1"/>
    <xf numFmtId="167" fontId="0" fillId="2" borderId="34" xfId="0" applyNumberFormat="1" applyFill="1" applyBorder="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21167</xdr:colOff>
      <xdr:row>7</xdr:row>
      <xdr:rowOff>402166</xdr:rowOff>
    </xdr:from>
    <xdr:to>
      <xdr:col>13</xdr:col>
      <xdr:colOff>232833</xdr:colOff>
      <xdr:row>8</xdr:row>
      <xdr:rowOff>169333</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241867" y="2392891"/>
          <a:ext cx="3974041" cy="291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pumped up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485775</xdr:colOff>
      <xdr:row>31</xdr:row>
      <xdr:rowOff>28575</xdr:rowOff>
    </xdr:from>
    <xdr:to>
      <xdr:col>12</xdr:col>
      <xdr:colOff>619125</xdr:colOff>
      <xdr:row>39</xdr:row>
      <xdr:rowOff>171450</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4106525" y="8505825"/>
          <a:ext cx="340995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23</xdr:col>
      <xdr:colOff>123824</xdr:colOff>
      <xdr:row>6</xdr:row>
      <xdr:rowOff>161925</xdr:rowOff>
    </xdr:from>
    <xdr:ext cx="5438775" cy="1715277"/>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535024" y="1752600"/>
          <a:ext cx="5438775" cy="1715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it-IT" sz="11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27</xdr:col>
      <xdr:colOff>476250</xdr:colOff>
      <xdr:row>3</xdr:row>
      <xdr:rowOff>28575</xdr:rowOff>
    </xdr:from>
    <xdr:to>
      <xdr:col>29</xdr:col>
      <xdr:colOff>171450</xdr:colOff>
      <xdr:row>7</xdr:row>
      <xdr:rowOff>66675</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16325850" y="9334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4</xdr:col>
      <xdr:colOff>57150</xdr:colOff>
      <xdr:row>11</xdr:row>
      <xdr:rowOff>171450</xdr:rowOff>
    </xdr:from>
    <xdr:ext cx="276225" cy="247650"/>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𝑘</m:t>
                        </m:r>
                      </m:e>
                      <m:sub>
                        <m:r>
                          <a:rPr lang="it-IT" sz="1400" b="0" i="1">
                            <a:latin typeface="Cambria Math" panose="02040503050406030204" pitchFamily="18" charset="0"/>
                          </a:rPr>
                          <m:t>𝑒</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it-IT" sz="1400" b="0" i="0">
                  <a:latin typeface="Cambria Math" panose="02040503050406030204" pitchFamily="18" charset="0"/>
                </a:rPr>
                <a:t>𝑘_𝑒</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12</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14</xdr:row>
      <xdr:rowOff>9525</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47625</xdr:colOff>
      <xdr:row>9</xdr:row>
      <xdr:rowOff>114300</xdr:rowOff>
    </xdr:from>
    <xdr:to>
      <xdr:col>1</xdr:col>
      <xdr:colOff>28575</xdr:colOff>
      <xdr:row>9</xdr:row>
      <xdr:rowOff>114300</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47625" y="2324100"/>
          <a:ext cx="133350"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11</xdr:row>
      <xdr:rowOff>123825</xdr:rowOff>
    </xdr:from>
    <xdr:to>
      <xdr:col>1</xdr:col>
      <xdr:colOff>0</xdr:colOff>
      <xdr:row>11</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12</xdr:row>
      <xdr:rowOff>123825</xdr:rowOff>
    </xdr:from>
    <xdr:to>
      <xdr:col>0</xdr:col>
      <xdr:colOff>123825</xdr:colOff>
      <xdr:row>12</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13</xdr:row>
      <xdr:rowOff>123825</xdr:rowOff>
    </xdr:from>
    <xdr:to>
      <xdr:col>0</xdr:col>
      <xdr:colOff>133350</xdr:colOff>
      <xdr:row>13</xdr:row>
      <xdr:rowOff>123826</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28575" y="3095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14</xdr:row>
      <xdr:rowOff>104775</xdr:rowOff>
    </xdr:from>
    <xdr:to>
      <xdr:col>1</xdr:col>
      <xdr:colOff>0</xdr:colOff>
      <xdr:row>14</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7</xdr:row>
      <xdr:rowOff>142875</xdr:rowOff>
    </xdr:from>
    <xdr:to>
      <xdr:col>1</xdr:col>
      <xdr:colOff>0</xdr:colOff>
      <xdr:row>7</xdr:row>
      <xdr:rowOff>142876</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716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10</xdr:row>
      <xdr:rowOff>123825</xdr:rowOff>
    </xdr:from>
    <xdr:to>
      <xdr:col>0</xdr:col>
      <xdr:colOff>142875</xdr:colOff>
      <xdr:row>10</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18</xdr:row>
      <xdr:rowOff>104775</xdr:rowOff>
    </xdr:from>
    <xdr:to>
      <xdr:col>0</xdr:col>
      <xdr:colOff>133350</xdr:colOff>
      <xdr:row>18</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21</xdr:row>
      <xdr:rowOff>85725</xdr:rowOff>
    </xdr:from>
    <xdr:to>
      <xdr:col>1</xdr:col>
      <xdr:colOff>0</xdr:colOff>
      <xdr:row>21</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19</xdr:row>
      <xdr:rowOff>95250</xdr:rowOff>
    </xdr:from>
    <xdr:to>
      <xdr:col>0</xdr:col>
      <xdr:colOff>142875</xdr:colOff>
      <xdr:row>19</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104775</xdr:rowOff>
    </xdr:from>
    <xdr:to>
      <xdr:col>0</xdr:col>
      <xdr:colOff>142875</xdr:colOff>
      <xdr:row>20</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17</xdr:row>
      <xdr:rowOff>114300</xdr:rowOff>
    </xdr:from>
    <xdr:to>
      <xdr:col>1</xdr:col>
      <xdr:colOff>9525</xdr:colOff>
      <xdr:row>17</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114300</xdr:rowOff>
    </xdr:from>
    <xdr:to>
      <xdr:col>1</xdr:col>
      <xdr:colOff>0</xdr:colOff>
      <xdr:row>16</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66675</xdr:colOff>
      <xdr:row>22</xdr:row>
      <xdr:rowOff>114300</xdr:rowOff>
    </xdr:from>
    <xdr:to>
      <xdr:col>1</xdr:col>
      <xdr:colOff>19050</xdr:colOff>
      <xdr:row>22</xdr:row>
      <xdr:rowOff>114301</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66675" y="4800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59530</xdr:colOff>
      <xdr:row>24</xdr:row>
      <xdr:rowOff>0</xdr:rowOff>
    </xdr:from>
    <xdr:to>
      <xdr:col>19</xdr:col>
      <xdr:colOff>261937</xdr:colOff>
      <xdr:row>47</xdr:row>
      <xdr:rowOff>166688</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2823030" y="5072063"/>
          <a:ext cx="3714751" cy="4548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To forecast all this item I</a:t>
          </a:r>
          <a:r>
            <a:rPr lang="it-IT" sz="1100" baseline="0"/>
            <a:t>'ve made some assumption about them:</a:t>
          </a:r>
        </a:p>
        <a:p>
          <a:r>
            <a:rPr lang="it-IT" sz="1100" baseline="0"/>
            <a:t>1)Revenues: to forecast them i'm going to multiply the last value available for the last recorded  growht rate, and so on</a:t>
          </a:r>
        </a:p>
        <a:p>
          <a:r>
            <a:rPr lang="it-IT" sz="1100" baseline="0"/>
            <a:t>2) EBIT: i'm going to consider EBIT always net of taxes(with constant tax rate) and to forecast future value i've computed a growth rate using tha last ROIC available and an average of reinvestment rates.</a:t>
          </a:r>
        </a:p>
        <a:p>
          <a:r>
            <a:rPr lang="it-IT" sz="1100" baseline="0"/>
            <a:t>3)CAPEX: assuming it as a % of Revenues, so i've computed an average between percentages in historical data, and use it, constant, to forecast future period </a:t>
          </a:r>
        </a:p>
        <a:p>
          <a:r>
            <a:rPr lang="it-IT" sz="1100" baseline="0"/>
            <a:t>4)D&amp;A: assuming it as a percentage of CAPEX, with the same methodology for CAPEX</a:t>
          </a:r>
        </a:p>
        <a:p>
          <a:r>
            <a:rPr lang="it-IT" sz="1100" baseline="0"/>
            <a:t>5) Changes in Provision: assuming a constant positive changes because their are unpredictable. </a:t>
          </a:r>
        </a:p>
        <a:p>
          <a:r>
            <a:rPr lang="it-IT" sz="1100" baseline="0"/>
            <a:t>6)Changes in Employees Benefit: being this asset not too volatile I'm going to use as forecast values the same value given by the average of chages </a:t>
          </a:r>
        </a:p>
        <a:p>
          <a:pPr marL="0" marR="0" lvl="0" indent="0" defTabSz="914400" eaLnBrk="1" fontAlgn="auto" latinLnBrk="0" hangingPunct="1">
            <a:lnSpc>
              <a:spcPct val="100000"/>
            </a:lnSpc>
            <a:spcBef>
              <a:spcPts val="0"/>
            </a:spcBef>
            <a:spcAft>
              <a:spcPts val="0"/>
            </a:spcAft>
            <a:buClrTx/>
            <a:buSzTx/>
            <a:buFontTx/>
            <a:buNone/>
            <a:tabLst/>
            <a:defRPr/>
          </a:pPr>
          <a:r>
            <a:rPr lang="it-IT" sz="1100"/>
            <a:t>7)</a:t>
          </a:r>
          <a:r>
            <a:rPr lang="it-IT" sz="1100">
              <a:solidFill>
                <a:schemeClr val="dk1"/>
              </a:solidFill>
              <a:effectLst/>
              <a:latin typeface="+mn-lt"/>
              <a:ea typeface="+mn-ea"/>
              <a:cs typeface="+mn-cs"/>
            </a:rPr>
            <a:t>C</a:t>
          </a:r>
          <a:r>
            <a:rPr lang="it-IT" sz="1100" baseline="0">
              <a:solidFill>
                <a:schemeClr val="dk1"/>
              </a:solidFill>
              <a:effectLst/>
              <a:latin typeface="+mn-lt"/>
              <a:ea typeface="+mn-ea"/>
              <a:cs typeface="+mn-cs"/>
            </a:rPr>
            <a:t>hanges in TAX asset: I decide to take the last value of that asset and use it for my forecast</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8)Other minor: as previous items I computed an average of changes during years and use it to forsecast values for the  future period </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9)Changes in NWC: i've assumed that they are a % of Revenues, after that i've made an average, and i used this value for each year in the forecast period</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oneCellAnchor>
    <xdr:from>
      <xdr:col>8</xdr:col>
      <xdr:colOff>906065</xdr:colOff>
      <xdr:row>12</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7</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9525</xdr:colOff>
      <xdr:row>15</xdr:row>
      <xdr:rowOff>95250</xdr:rowOff>
    </xdr:from>
    <xdr:to>
      <xdr:col>4</xdr:col>
      <xdr:colOff>108585</xdr:colOff>
      <xdr:row>29</xdr:row>
      <xdr:rowOff>9525</xdr:rowOff>
    </xdr:to>
    <xdr:sp macro="" textlink="">
      <xdr:nvSpPr>
        <xdr:cNvPr id="2" name="CasellaDiTesto 1">
          <a:extLst>
            <a:ext uri="{FF2B5EF4-FFF2-40B4-BE49-F238E27FC236}">
              <a16:creationId xmlns:a16="http://schemas.microsoft.com/office/drawing/2014/main" id="{7FE28838-A6B6-4449-B446-9243E00D1111}"/>
            </a:ext>
          </a:extLst>
        </xdr:cNvPr>
        <xdr:cNvSpPr txBox="1"/>
      </xdr:nvSpPr>
      <xdr:spPr>
        <a:xfrm>
          <a:off x="9525" y="2971800"/>
          <a:ext cx="4328160"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Strict assumptions : </a:t>
          </a:r>
        </a:p>
        <a:p>
          <a:endParaRPr lang="it-IT" sz="1100" baseline="0"/>
        </a:p>
        <a:p>
          <a:r>
            <a:rPr lang="it-IT" sz="1100" baseline="0"/>
            <a:t>1) I have decided to remain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reduce levered beta of company to global sector averages ( from 0,87 to 0,65). </a:t>
          </a:r>
        </a:p>
        <a:p>
          <a:endParaRPr lang="it-IT" sz="1100"/>
        </a:p>
      </xdr:txBody>
    </xdr:sp>
    <xdr:clientData/>
  </xdr:twoCellAnchor>
  <xdr:twoCellAnchor>
    <xdr:from>
      <xdr:col>23</xdr:col>
      <xdr:colOff>104776</xdr:colOff>
      <xdr:row>185</xdr:row>
      <xdr:rowOff>32657</xdr:rowOff>
    </xdr:from>
    <xdr:to>
      <xdr:col>26</xdr:col>
      <xdr:colOff>28576</xdr:colOff>
      <xdr:row>204</xdr:row>
      <xdr:rowOff>97970</xdr:rowOff>
    </xdr:to>
    <xdr:sp macro="" textlink="">
      <xdr:nvSpPr>
        <xdr:cNvPr id="3" name="CasellaDiTesto 2">
          <a:extLst>
            <a:ext uri="{FF2B5EF4-FFF2-40B4-BE49-F238E27FC236}">
              <a16:creationId xmlns:a16="http://schemas.microsoft.com/office/drawing/2014/main" id="{1140E7CF-5402-401B-820E-713BC40BE05C}"/>
            </a:ext>
          </a:extLst>
        </xdr:cNvPr>
        <xdr:cNvSpPr txBox="1"/>
      </xdr:nvSpPr>
      <xdr:spPr>
        <a:xfrm>
          <a:off x="18745201" y="34998932"/>
          <a:ext cx="1752600" cy="3684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has disclosed the target for EBITDA in 2023 of 1531. </a:t>
          </a:r>
        </a:p>
        <a:p>
          <a:r>
            <a:rPr lang="it-IT" sz="1100" baseline="0"/>
            <a:t>We decide to use an average growth in order to get it.</a:t>
          </a:r>
        </a:p>
        <a:p>
          <a:r>
            <a:rPr lang="it-IT" sz="1100" baseline="0">
              <a:solidFill>
                <a:schemeClr val="accent6">
                  <a:lumMod val="40000"/>
                  <a:lumOff val="60000"/>
                </a:schemeClr>
              </a:solidFill>
            </a:rPr>
            <a:t>Thanks to the average % of ortinary Ebitda to Ebitda recurring we got this last.</a:t>
          </a:r>
        </a:p>
        <a:p>
          <a:endParaRPr lang="it-IT" sz="1100" baseline="0"/>
        </a:p>
        <a:p>
          <a:r>
            <a:rPr lang="it-IT" sz="1100"/>
            <a:t>Then,thanks</a:t>
          </a:r>
          <a:r>
            <a:rPr lang="it-IT" sz="1100" baseline="0"/>
            <a:t> to average EBITDA margin we get forecasts for Revenues. </a:t>
          </a:r>
        </a:p>
        <a:p>
          <a:r>
            <a:rPr lang="it-IT" sz="1100"/>
            <a:t>Notice:</a:t>
          </a:r>
          <a:r>
            <a:rPr lang="it-IT" sz="1100" baseline="0"/>
            <a:t> according to the dimensional logic we decide to start from a lower EBITDA margin (16,85%) and then enlarge it until the mean of past 5 years</a:t>
          </a:r>
          <a:endParaRPr lang="it-IT" sz="1100"/>
        </a:p>
      </xdr:txBody>
    </xdr:sp>
    <xdr:clientData/>
  </xdr:twoCellAnchor>
  <xdr:oneCellAnchor>
    <xdr:from>
      <xdr:col>11</xdr:col>
      <xdr:colOff>676275</xdr:colOff>
      <xdr:row>193</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23</xdr:col>
      <xdr:colOff>137433</xdr:colOff>
      <xdr:row>204</xdr:row>
      <xdr:rowOff>48984</xdr:rowOff>
    </xdr:from>
    <xdr:to>
      <xdr:col>26</xdr:col>
      <xdr:colOff>70758</xdr:colOff>
      <xdr:row>206</xdr:row>
      <xdr:rowOff>0</xdr:rowOff>
    </xdr:to>
    <xdr:sp macro="" textlink="">
      <xdr:nvSpPr>
        <xdr:cNvPr id="5" name="CasellaDiTesto 4">
          <a:extLst>
            <a:ext uri="{FF2B5EF4-FFF2-40B4-BE49-F238E27FC236}">
              <a16:creationId xmlns:a16="http://schemas.microsoft.com/office/drawing/2014/main" id="{81BFE86D-02C5-417A-B5D5-A08B87DE8E41}"/>
            </a:ext>
          </a:extLst>
        </xdr:cNvPr>
        <xdr:cNvSpPr txBox="1"/>
      </xdr:nvSpPr>
      <xdr:spPr>
        <a:xfrm>
          <a:off x="18777858" y="38634759"/>
          <a:ext cx="1762125" cy="33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a:t>
          </a:r>
          <a:r>
            <a:rPr lang="it-IT" sz="1100" baseline="0"/>
            <a:t> to capture forecasts of operative costs we used the oeprational costs margin equal to 1 - EBITDA margin.</a:t>
          </a:r>
          <a:endParaRPr lang="it-IT" sz="1100"/>
        </a:p>
      </xdr:txBody>
    </xdr:sp>
    <xdr:clientData/>
  </xdr:twoCellAnchor>
  <xdr:twoCellAnchor>
    <xdr:from>
      <xdr:col>22</xdr:col>
      <xdr:colOff>163285</xdr:colOff>
      <xdr:row>206</xdr:row>
      <xdr:rowOff>0</xdr:rowOff>
    </xdr:from>
    <xdr:to>
      <xdr:col>25</xdr:col>
      <xdr:colOff>250371</xdr:colOff>
      <xdr:row>221</xdr:row>
      <xdr:rowOff>97971</xdr:rowOff>
    </xdr:to>
    <xdr:sp macro="" textlink="">
      <xdr:nvSpPr>
        <xdr:cNvPr id="6" name="CasellaDiTesto 5">
          <a:extLst>
            <a:ext uri="{FF2B5EF4-FFF2-40B4-BE49-F238E27FC236}">
              <a16:creationId xmlns:a16="http://schemas.microsoft.com/office/drawing/2014/main" id="{FAD4BE37-38B8-4F99-8A07-CB35B6729161}"/>
            </a:ext>
          </a:extLst>
        </xdr:cNvPr>
        <xdr:cNvSpPr txBox="1"/>
      </xdr:nvSpPr>
      <xdr:spPr>
        <a:xfrm>
          <a:off x="18194110" y="38966775"/>
          <a:ext cx="1915886" cy="2974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t>A2A disclosed info about </a:t>
          </a:r>
        </a:p>
        <a:p>
          <a:r>
            <a:rPr lang="it-IT" sz="1100" baseline="0"/>
            <a:t>target NI for 2023 (462) we forced our assumptions in order to maintain consistency between target EBITDA and NI. In green a possible development of NI forecasts.</a:t>
          </a:r>
        </a:p>
        <a:p>
          <a:r>
            <a:rPr lang="it-IT" sz="1100" baseline="0"/>
            <a:t>We mixed it with dividend policy's goals: for 2020 A2A declared to distribute dividends for 0,08 and increasing them at least by 5% each year. </a:t>
          </a:r>
        </a:p>
        <a:p>
          <a:r>
            <a:rPr lang="it-IT" sz="1100" baseline="0"/>
            <a:t>Thanks to this operation we can compute an appropriate payout ratio assuming outstanding shares constants. </a:t>
          </a:r>
        </a:p>
        <a:p>
          <a:r>
            <a:rPr lang="it-IT" sz="1100" baseline="0"/>
            <a:t>For 2024 we increase NI by 5% </a:t>
          </a:r>
        </a:p>
        <a:p>
          <a:endParaRPr lang="it-IT" sz="1100" baseline="0"/>
        </a:p>
      </xdr:txBody>
    </xdr:sp>
    <xdr:clientData/>
  </xdr:twoCellAnchor>
  <xdr:twoCellAnchor>
    <xdr:from>
      <xdr:col>22</xdr:col>
      <xdr:colOff>163286</xdr:colOff>
      <xdr:row>223</xdr:row>
      <xdr:rowOff>87086</xdr:rowOff>
    </xdr:from>
    <xdr:to>
      <xdr:col>25</xdr:col>
      <xdr:colOff>185057</xdr:colOff>
      <xdr:row>226</xdr:row>
      <xdr:rowOff>32657</xdr:rowOff>
    </xdr:to>
    <xdr:sp macro="" textlink="">
      <xdr:nvSpPr>
        <xdr:cNvPr id="7" name="CasellaDiTesto 6">
          <a:extLst>
            <a:ext uri="{FF2B5EF4-FFF2-40B4-BE49-F238E27FC236}">
              <a16:creationId xmlns:a16="http://schemas.microsoft.com/office/drawing/2014/main" id="{FC994F85-F299-494D-A66B-A570A82D20F0}"/>
            </a:ext>
          </a:extLst>
        </xdr:cNvPr>
        <xdr:cNvSpPr txBox="1"/>
      </xdr:nvSpPr>
      <xdr:spPr>
        <a:xfrm>
          <a:off x="18194111" y="42320936"/>
          <a:ext cx="1850571" cy="526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Payments which will be</a:t>
          </a:r>
          <a:r>
            <a:rPr lang="it-IT" sz="1100" baseline="0"/>
            <a:t> due by A2A in 12 months </a:t>
          </a:r>
        </a:p>
        <a:p>
          <a:endParaRPr lang="it-IT" sz="1100"/>
        </a:p>
      </xdr:txBody>
    </xdr:sp>
    <xdr:clientData/>
  </xdr:twoCellAnchor>
  <xdr:twoCellAnchor>
    <xdr:from>
      <xdr:col>22</xdr:col>
      <xdr:colOff>239487</xdr:colOff>
      <xdr:row>226</xdr:row>
      <xdr:rowOff>152400</xdr:rowOff>
    </xdr:from>
    <xdr:to>
      <xdr:col>25</xdr:col>
      <xdr:colOff>163287</xdr:colOff>
      <xdr:row>243</xdr:row>
      <xdr:rowOff>0</xdr:rowOff>
    </xdr:to>
    <xdr:sp macro="" textlink="">
      <xdr:nvSpPr>
        <xdr:cNvPr id="8" name="CasellaDiTesto 7">
          <a:extLst>
            <a:ext uri="{FF2B5EF4-FFF2-40B4-BE49-F238E27FC236}">
              <a16:creationId xmlns:a16="http://schemas.microsoft.com/office/drawing/2014/main" id="{B394F641-B2D4-4D48-A652-7B3C488D1BC4}"/>
            </a:ext>
          </a:extLst>
        </xdr:cNvPr>
        <xdr:cNvSpPr txBox="1"/>
      </xdr:nvSpPr>
      <xdr:spPr>
        <a:xfrm>
          <a:off x="18270312" y="42967275"/>
          <a:ext cx="17526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r>
            <a:rPr lang="it-IT" sz="1100" baseline="0"/>
            <a:t>In order to get Total Debt from Net Debt we use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22</xdr:col>
      <xdr:colOff>261257</xdr:colOff>
      <xdr:row>243</xdr:row>
      <xdr:rowOff>119742</xdr:rowOff>
    </xdr:from>
    <xdr:to>
      <xdr:col>25</xdr:col>
      <xdr:colOff>185057</xdr:colOff>
      <xdr:row>263</xdr:row>
      <xdr:rowOff>152400</xdr:rowOff>
    </xdr:to>
    <xdr:sp macro="" textlink="">
      <xdr:nvSpPr>
        <xdr:cNvPr id="9" name="CasellaDiTesto 8">
          <a:extLst>
            <a:ext uri="{FF2B5EF4-FFF2-40B4-BE49-F238E27FC236}">
              <a16:creationId xmlns:a16="http://schemas.microsoft.com/office/drawing/2014/main" id="{7D5A9764-5FCC-4292-89CE-904F1865B8FD}"/>
            </a:ext>
          </a:extLst>
        </xdr:cNvPr>
        <xdr:cNvSpPr txBox="1"/>
      </xdr:nvSpPr>
      <xdr:spPr>
        <a:xfrm>
          <a:off x="18292082" y="46173117"/>
          <a:ext cx="1752600" cy="3871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 to compute interests strict assumptions are</a:t>
          </a:r>
          <a:r>
            <a:rPr lang="it-IT" sz="1100" baseline="0"/>
            <a:t> made: </a:t>
          </a:r>
        </a:p>
        <a:p>
          <a:r>
            <a:rPr lang="it-IT" sz="1100" baseline="0"/>
            <a:t>1) Interest charged by banks maintained constants over time as percentage of 4 over 1015 </a:t>
          </a:r>
        </a:p>
        <a:p>
          <a:r>
            <a:rPr lang="it-IT" sz="1100" baseline="0"/>
            <a:t>2)  We use an average decomposition of bond and other financing over past 5 years </a:t>
          </a:r>
        </a:p>
        <a:p>
          <a:r>
            <a:rPr lang="it-IT" sz="1100" baseline="0"/>
            <a:t>3) Interests on bonds are computed at a decreasing rate over time (due to A2A policy) see right table. </a:t>
          </a:r>
        </a:p>
        <a:p>
          <a:r>
            <a:rPr lang="it-IT" sz="1100" baseline="0"/>
            <a:t>4) Financial items will be represented by sum of interests plus a  delta computed as percentage on EBIT  -1,116%</a:t>
          </a:r>
        </a:p>
        <a:p>
          <a:endParaRPr lang="it-IT" sz="1100" baseline="0"/>
        </a:p>
        <a:p>
          <a:endParaRPr lang="it-IT" sz="1100"/>
        </a:p>
      </xdr:txBody>
    </xdr:sp>
    <xdr:clientData/>
  </xdr:twoCellAnchor>
  <xdr:twoCellAnchor>
    <xdr:from>
      <xdr:col>27</xdr:col>
      <xdr:colOff>141514</xdr:colOff>
      <xdr:row>237</xdr:row>
      <xdr:rowOff>65313</xdr:rowOff>
    </xdr:from>
    <xdr:to>
      <xdr:col>32</xdr:col>
      <xdr:colOff>0</xdr:colOff>
      <xdr:row>243</xdr:row>
      <xdr:rowOff>97971</xdr:rowOff>
    </xdr:to>
    <xdr:sp macro="" textlink="">
      <xdr:nvSpPr>
        <xdr:cNvPr id="10" name="CasellaDiTesto 9">
          <a:extLst>
            <a:ext uri="{FF2B5EF4-FFF2-40B4-BE49-F238E27FC236}">
              <a16:creationId xmlns:a16="http://schemas.microsoft.com/office/drawing/2014/main" id="{D4BCA0C5-D926-434E-A560-2F0E5BEB61AA}"/>
            </a:ext>
          </a:extLst>
        </xdr:cNvPr>
        <xdr:cNvSpPr txBox="1"/>
      </xdr:nvSpPr>
      <xdr:spPr>
        <a:xfrm>
          <a:off x="21220339" y="44975688"/>
          <a:ext cx="2906486" cy="1175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Additional interest is computed on new forecasted</a:t>
          </a:r>
          <a:r>
            <a:rPr lang="it-IT" sz="1100" baseline="0"/>
            <a:t> bond issues. It's given by avg of latest rates . </a:t>
          </a:r>
        </a:p>
        <a:p>
          <a:r>
            <a:rPr lang="it-IT" sz="1100" baseline="0"/>
            <a:t>Notice: This scheme doesn't represent true book value due to adj due to IFRS 16. It's a good tool to compute interest rate. </a:t>
          </a:r>
          <a:endParaRPr lang="it-IT" sz="1100"/>
        </a:p>
      </xdr:txBody>
    </xdr:sp>
    <xdr:clientData/>
  </xdr:twoCellAnchor>
  <xdr:twoCellAnchor>
    <xdr:from>
      <xdr:col>14</xdr:col>
      <xdr:colOff>400050</xdr:colOff>
      <xdr:row>32</xdr:row>
      <xdr:rowOff>9524</xdr:rowOff>
    </xdr:from>
    <xdr:to>
      <xdr:col>18</xdr:col>
      <xdr:colOff>371475</xdr:colOff>
      <xdr:row>43</xdr:row>
      <xdr:rowOff>66675</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2506325" y="6162674"/>
          <a:ext cx="2886075" cy="215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 </a:t>
          </a:r>
        </a:p>
        <a:p>
          <a:r>
            <a:rPr lang="it-IT" sz="1100" baseline="0"/>
            <a:t>I used a constant growth rate in order to reach it. </a:t>
          </a:r>
        </a:p>
        <a:p>
          <a:r>
            <a:rPr lang="it-IT" sz="1100" baseline="0"/>
            <a:t>In order to get respective sales forecast I used the average Ebitda margin from past 5 years</a:t>
          </a:r>
        </a:p>
        <a:p>
          <a:r>
            <a:rPr lang="it-IT" sz="1100" baseline="0"/>
            <a:t>as target for 2024, to reach according to a constant growth rate. </a:t>
          </a:r>
        </a:p>
        <a:p>
          <a:endParaRPr lang="it-IT" sz="1100" baseline="0"/>
        </a:p>
        <a:p>
          <a:r>
            <a:rPr lang="it-IT" sz="1100" baseline="0"/>
            <a:t>For what about operational costs I used averages of percentages over sales as represented in the right side. </a:t>
          </a:r>
        </a:p>
        <a:p>
          <a:endParaRPr lang="it-IT" sz="1100"/>
        </a:p>
      </xdr:txBody>
    </xdr:sp>
    <xdr:clientData/>
  </xdr:twoCellAnchor>
  <xdr:twoCellAnchor>
    <xdr:from>
      <xdr:col>14</xdr:col>
      <xdr:colOff>361950</xdr:colOff>
      <xdr:row>56</xdr:row>
      <xdr:rowOff>66675</xdr:rowOff>
    </xdr:from>
    <xdr:to>
      <xdr:col>18</xdr:col>
      <xdr:colOff>523875</xdr:colOff>
      <xdr:row>78</xdr:row>
      <xdr:rowOff>152400</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2468225" y="10820400"/>
          <a:ext cx="3076575"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Defining the evolution of tangibles and intangibles adding capex and subtracting D&amp;A we get forecasts for fixed assets. </a:t>
          </a:r>
        </a:p>
        <a:p>
          <a:endParaRPr lang="it-IT" sz="1100"/>
        </a:p>
      </xdr:txBody>
    </xdr:sp>
    <xdr:clientData/>
  </xdr:twoCellAnchor>
  <xdr:twoCellAnchor>
    <xdr:from>
      <xdr:col>14</xdr:col>
      <xdr:colOff>390525</xdr:colOff>
      <xdr:row>106</xdr:row>
      <xdr:rowOff>104775</xdr:rowOff>
    </xdr:from>
    <xdr:to>
      <xdr:col>18</xdr:col>
      <xdr:colOff>209550</xdr:colOff>
      <xdr:row>113</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2496800" y="19869150"/>
          <a:ext cx="273367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14</xdr:col>
      <xdr:colOff>409575</xdr:colOff>
      <xdr:row>101</xdr:row>
      <xdr:rowOff>47625</xdr:rowOff>
    </xdr:from>
    <xdr:to>
      <xdr:col>17</xdr:col>
      <xdr:colOff>47625</xdr:colOff>
      <xdr:row>106</xdr:row>
      <xdr:rowOff>19050</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2515850" y="18859500"/>
          <a:ext cx="19431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mean of past two NWC/sales and used constantly over time to forecast it for the future. </a:t>
          </a:r>
        </a:p>
        <a:p>
          <a:endParaRPr lang="it-IT" sz="1100"/>
        </a:p>
      </xdr:txBody>
    </xdr:sp>
    <xdr:clientData/>
  </xdr:twoCellAnchor>
  <xdr:twoCellAnchor>
    <xdr:from>
      <xdr:col>14</xdr:col>
      <xdr:colOff>381000</xdr:colOff>
      <xdr:row>120</xdr:row>
      <xdr:rowOff>57150</xdr:rowOff>
    </xdr:from>
    <xdr:to>
      <xdr:col>18</xdr:col>
      <xdr:colOff>190500</xdr:colOff>
      <xdr:row>131</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2487275" y="22526625"/>
          <a:ext cx="272415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14</xdr:col>
      <xdr:colOff>381000</xdr:colOff>
      <xdr:row>114</xdr:row>
      <xdr:rowOff>76201</xdr:rowOff>
    </xdr:from>
    <xdr:to>
      <xdr:col>18</xdr:col>
      <xdr:colOff>266700</xdr:colOff>
      <xdr:row>119</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2487275" y="21383626"/>
          <a:ext cx="28003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14</xdr:col>
      <xdr:colOff>381000</xdr:colOff>
      <xdr:row>131</xdr:row>
      <xdr:rowOff>104776</xdr:rowOff>
    </xdr:from>
    <xdr:to>
      <xdr:col>18</xdr:col>
      <xdr:colOff>228600</xdr:colOff>
      <xdr:row>135</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2487275" y="24669751"/>
          <a:ext cx="2762250"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13</xdr:col>
      <xdr:colOff>161925</xdr:colOff>
      <xdr:row>125</xdr:row>
      <xdr:rowOff>38101</xdr:rowOff>
    </xdr:from>
    <xdr:to>
      <xdr:col>13</xdr:col>
      <xdr:colOff>171450</xdr:colOff>
      <xdr:row>130</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238125</xdr:colOff>
      <xdr:row>141</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14</xdr:col>
      <xdr:colOff>428625</xdr:colOff>
      <xdr:row>136</xdr:row>
      <xdr:rowOff>38100</xdr:rowOff>
    </xdr:from>
    <xdr:to>
      <xdr:col>18</xdr:col>
      <xdr:colOff>219075</xdr:colOff>
      <xdr:row>153</xdr:row>
      <xdr:rowOff>95251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2534900" y="25584150"/>
          <a:ext cx="2705100" cy="3333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14</xdr:col>
      <xdr:colOff>409575</xdr:colOff>
      <xdr:row>90</xdr:row>
      <xdr:rowOff>47624</xdr:rowOff>
    </xdr:from>
    <xdr:to>
      <xdr:col>18</xdr:col>
      <xdr:colOff>685800</xdr:colOff>
      <xdr:row>99</xdr:row>
      <xdr:rowOff>161924</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2849225" y="16468724"/>
          <a:ext cx="32289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 </a:t>
          </a:r>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row r="110">
          <cell r="J110">
            <v>3651</v>
          </cell>
        </row>
      </sheetData>
      <sheetData sheetId="2" refreshError="1"/>
      <sheetData sheetId="3" refreshError="1">
        <row r="5">
          <cell r="D5">
            <v>5067</v>
          </cell>
        </row>
        <row r="35">
          <cell r="H35">
            <v>-3651</v>
          </cell>
        </row>
        <row r="39">
          <cell r="H39">
            <v>-3611</v>
          </cell>
        </row>
        <row r="114">
          <cell r="D114">
            <v>75</v>
          </cell>
          <cell r="E114">
            <v>232</v>
          </cell>
          <cell r="F114">
            <v>293</v>
          </cell>
          <cell r="G114">
            <v>344</v>
          </cell>
          <cell r="H114">
            <v>389</v>
          </cell>
        </row>
      </sheetData>
      <sheetData sheetId="4" refreshError="1"/>
      <sheetData sheetId="5" refreshError="1"/>
      <sheetData sheetId="6" refreshError="1">
        <row r="35">
          <cell r="G35">
            <v>-3746</v>
          </cell>
        </row>
      </sheetData>
      <sheetData sheetId="7" refreshError="1">
        <row r="22">
          <cell r="C22">
            <v>2.1758250683779193E-2</v>
          </cell>
        </row>
      </sheetData>
      <sheetData sheetId="8" refreshError="1"/>
      <sheetData sheetId="9" refreshError="1">
        <row r="18">
          <cell r="G18">
            <v>646.49225759199862</v>
          </cell>
          <cell r="H18">
            <v>702.43756038992751</v>
          </cell>
          <cell r="I18">
            <v>762.86299647697422</v>
          </cell>
          <cell r="J18">
            <v>827.97165433180885</v>
          </cell>
          <cell r="K18">
            <v>897.9826634711784</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133" activePane="bottomRight" state="frozen"/>
      <selection activeCell="B1" sqref="B1"/>
      <selection pane="topRight" activeCell="E1" sqref="E1"/>
      <selection pane="bottomLeft" activeCell="B4" sqref="B4"/>
      <selection pane="bottomRight" activeCell="F95" sqref="F95"/>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35" t="s">
        <v>551</v>
      </c>
      <c r="D2" s="1"/>
      <c r="E2" s="662" t="s">
        <v>158</v>
      </c>
      <c r="F2" s="662"/>
      <c r="G2" s="662"/>
      <c r="H2" s="662"/>
      <c r="I2" s="662"/>
      <c r="J2" s="662"/>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I404"/>
  <sheetViews>
    <sheetView topLeftCell="A130" zoomScale="80" zoomScaleNormal="80" workbookViewId="0">
      <selection activeCell="G158" sqref="G158"/>
    </sheetView>
  </sheetViews>
  <sheetFormatPr defaultRowHeight="14.4"/>
  <cols>
    <col min="1" max="1" width="29.88671875" customWidth="1"/>
    <col min="2" max="2" width="10.44140625" bestFit="1" customWidth="1"/>
    <col min="3" max="3" width="12.6640625" bestFit="1" customWidth="1"/>
    <col min="4" max="4" width="10.44140625" bestFit="1" customWidth="1"/>
    <col min="5" max="5" width="10.44140625" customWidth="1"/>
    <col min="6" max="6" width="12.6640625" customWidth="1"/>
    <col min="7" max="7" width="10.109375" customWidth="1"/>
    <col min="8" max="8" width="13.33203125" bestFit="1" customWidth="1"/>
    <col min="9" max="9" width="10.33203125" customWidth="1"/>
    <col min="10" max="10" width="13.33203125" bestFit="1" customWidth="1"/>
    <col min="11" max="11" width="10.6640625" customWidth="1"/>
    <col min="12" max="12" width="12.109375" customWidth="1"/>
    <col min="13" max="13" width="12.6640625" bestFit="1" customWidth="1"/>
    <col min="14" max="14" width="12.44140625" bestFit="1" customWidth="1"/>
    <col min="15" max="15" width="12.6640625" bestFit="1" customWidth="1"/>
    <col min="17" max="17" width="12.6640625" bestFit="1" customWidth="1"/>
    <col min="19" max="19" width="12.6640625" bestFit="1" customWidth="1"/>
    <col min="21" max="21" width="14.109375" customWidth="1"/>
  </cols>
  <sheetData>
    <row r="1" spans="1:35" ht="1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5" thickBot="1">
      <c r="A2" s="447" t="s">
        <v>481</v>
      </c>
      <c r="B2" s="1"/>
      <c r="C2" s="1"/>
      <c r="D2" s="1"/>
      <c r="E2" s="1"/>
      <c r="F2" s="37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c r="A3" s="1"/>
      <c r="B3" s="101" t="s">
        <v>472</v>
      </c>
      <c r="C3" s="101"/>
      <c r="D3" s="101"/>
      <c r="E3" s="101"/>
      <c r="F3" s="99"/>
      <c r="G3" s="101" t="s">
        <v>571</v>
      </c>
      <c r="H3" s="101"/>
      <c r="I3" s="101"/>
      <c r="J3" s="101"/>
      <c r="K3" s="99"/>
      <c r="L3" s="101" t="s">
        <v>572</v>
      </c>
      <c r="M3" s="101"/>
      <c r="N3" s="99"/>
      <c r="O3" s="101" t="s">
        <v>509</v>
      </c>
      <c r="P3" s="101"/>
      <c r="Q3" s="101"/>
      <c r="R3" s="101"/>
      <c r="S3" s="1"/>
      <c r="T3" s="1"/>
      <c r="U3" s="1"/>
      <c r="V3" s="1"/>
      <c r="W3" s="1"/>
      <c r="X3" s="1"/>
      <c r="Y3" s="1"/>
      <c r="Z3" s="1"/>
      <c r="AA3" s="1"/>
      <c r="AB3" s="1"/>
      <c r="AC3" s="1"/>
      <c r="AD3" s="1"/>
      <c r="AE3" s="1"/>
      <c r="AF3" s="1"/>
      <c r="AG3" s="1"/>
      <c r="AH3" s="1"/>
      <c r="AI3" s="1"/>
    </row>
    <row r="4" spans="1:35">
      <c r="A4" s="370" t="s">
        <v>482</v>
      </c>
      <c r="B4" s="1">
        <v>2015</v>
      </c>
      <c r="C4" s="1">
        <v>2016</v>
      </c>
      <c r="D4" s="1">
        <v>2017</v>
      </c>
      <c r="E4" s="1">
        <v>2018</v>
      </c>
      <c r="F4" s="371">
        <v>2019</v>
      </c>
      <c r="G4" s="1">
        <v>2020</v>
      </c>
      <c r="H4" s="1">
        <v>2021</v>
      </c>
      <c r="I4" s="1">
        <v>2022</v>
      </c>
      <c r="J4" s="1">
        <v>2023</v>
      </c>
      <c r="K4" s="380">
        <v>2024</v>
      </c>
      <c r="L4" s="1">
        <v>2025</v>
      </c>
      <c r="M4" s="1">
        <v>2026</v>
      </c>
      <c r="N4" s="371">
        <v>2027</v>
      </c>
      <c r="O4" s="1"/>
      <c r="P4" s="1"/>
      <c r="Q4" s="1"/>
      <c r="R4" s="1"/>
      <c r="S4" s="1"/>
      <c r="T4" s="1"/>
      <c r="U4" s="1"/>
      <c r="V4" s="1"/>
      <c r="W4" s="1"/>
      <c r="X4" s="1"/>
      <c r="Y4" s="1"/>
      <c r="Z4" s="1"/>
      <c r="AA4" s="1"/>
      <c r="AB4" s="1"/>
      <c r="AC4" s="1"/>
      <c r="AD4" s="1"/>
      <c r="AE4" s="1"/>
      <c r="AF4" s="1"/>
      <c r="AG4" s="1"/>
      <c r="AH4" s="1"/>
      <c r="AI4" s="1"/>
    </row>
    <row r="5" spans="1:35">
      <c r="A5" s="1"/>
      <c r="B5" s="1"/>
      <c r="C5" s="1"/>
      <c r="D5" s="1"/>
      <c r="E5" s="1"/>
      <c r="F5" s="371"/>
      <c r="G5" s="1"/>
      <c r="H5" s="1"/>
      <c r="I5" s="1"/>
      <c r="J5" s="1"/>
      <c r="K5" s="371"/>
      <c r="L5" s="1"/>
      <c r="M5" s="1"/>
      <c r="N5" s="371"/>
      <c r="O5" s="1"/>
      <c r="P5" s="1"/>
      <c r="Q5" s="1"/>
      <c r="R5" s="1"/>
      <c r="S5" s="1"/>
      <c r="T5" s="1"/>
      <c r="U5" s="1"/>
      <c r="V5" s="1"/>
      <c r="W5" s="1"/>
      <c r="X5" s="1"/>
      <c r="Y5" s="1"/>
      <c r="Z5" s="1"/>
      <c r="AA5" s="1"/>
      <c r="AB5" s="1"/>
      <c r="AC5" s="1"/>
      <c r="AD5" s="1"/>
      <c r="AE5" s="1"/>
      <c r="AF5" s="1"/>
      <c r="AG5" s="1"/>
      <c r="AH5" s="1"/>
      <c r="AI5" s="1"/>
    </row>
    <row r="6" spans="1:35">
      <c r="A6" s="1" t="s">
        <v>487</v>
      </c>
      <c r="B6" s="1">
        <v>3106</v>
      </c>
      <c r="C6" s="448">
        <v>3109.1838560000001</v>
      </c>
      <c r="D6" s="448">
        <v>3109.1838560000001</v>
      </c>
      <c r="E6" s="1">
        <v>3109.1838560000001</v>
      </c>
      <c r="F6" s="371">
        <v>3109.1838560000001</v>
      </c>
      <c r="G6" s="1"/>
      <c r="H6" s="1"/>
      <c r="I6" s="1"/>
      <c r="J6" s="1"/>
      <c r="K6" s="371"/>
      <c r="L6" s="1"/>
      <c r="M6" s="1"/>
      <c r="N6" s="371"/>
      <c r="O6" s="1"/>
      <c r="P6" s="1"/>
      <c r="Q6" s="1"/>
      <c r="R6" s="1"/>
      <c r="S6" s="1"/>
      <c r="T6" s="1"/>
      <c r="U6" s="1"/>
      <c r="V6" s="1"/>
      <c r="W6" s="1"/>
      <c r="X6" s="1"/>
      <c r="Y6" s="1"/>
      <c r="Z6" s="1"/>
      <c r="AA6" s="1"/>
      <c r="AB6" s="1"/>
      <c r="AC6" s="1"/>
      <c r="AD6" s="1"/>
      <c r="AE6" s="1"/>
      <c r="AF6" s="1"/>
      <c r="AG6" s="1"/>
      <c r="AH6" s="1"/>
      <c r="AI6" s="1"/>
    </row>
    <row r="7" spans="1:35">
      <c r="A7" s="1" t="s">
        <v>486</v>
      </c>
      <c r="B7" s="449">
        <f>'Reorganised Statements'!D114/B6</f>
        <v>2.4146812620734062E-2</v>
      </c>
      <c r="C7" s="449">
        <f>'Reorganised Statements'!E114/C6</f>
        <v>7.4617652330946624E-2</v>
      </c>
      <c r="D7" s="449">
        <f>'Reorganised Statements'!F114/D6</f>
        <v>9.4236948848997235E-2</v>
      </c>
      <c r="E7" s="449">
        <f>'Reorganised Statements'!G114/E6</f>
        <v>0.11063996724933464</v>
      </c>
      <c r="F7" s="449">
        <f>'Reorganised Statements'!H114/F6</f>
        <v>0.12511321877904411</v>
      </c>
      <c r="G7" s="1"/>
      <c r="H7" s="1"/>
      <c r="I7" s="1"/>
      <c r="J7" s="1"/>
      <c r="K7" s="371"/>
      <c r="L7" s="1"/>
      <c r="M7" s="1"/>
      <c r="N7" s="371"/>
      <c r="O7" s="1"/>
      <c r="P7" s="1"/>
      <c r="Q7" s="1"/>
      <c r="R7" s="1"/>
      <c r="S7" s="1"/>
      <c r="T7" s="1"/>
      <c r="U7" s="1"/>
      <c r="V7" s="1"/>
      <c r="W7" s="1"/>
      <c r="X7" s="1"/>
      <c r="Y7" s="1"/>
      <c r="Z7" s="1"/>
      <c r="AA7" s="1"/>
      <c r="AB7" s="1"/>
      <c r="AC7" s="1"/>
      <c r="AD7" s="1"/>
      <c r="AE7" s="1"/>
      <c r="AF7" s="1"/>
      <c r="AG7" s="1"/>
      <c r="AH7" s="1"/>
      <c r="AI7" s="1"/>
    </row>
    <row r="8" spans="1:35">
      <c r="A8" s="1" t="s">
        <v>483</v>
      </c>
      <c r="B8" s="1">
        <v>126</v>
      </c>
      <c r="C8" s="1">
        <v>153</v>
      </c>
      <c r="D8" s="1">
        <v>180</v>
      </c>
      <c r="E8" s="1">
        <v>218</v>
      </c>
      <c r="F8" s="371">
        <v>241</v>
      </c>
      <c r="G8" s="1"/>
      <c r="H8" s="1"/>
      <c r="I8" s="1"/>
      <c r="J8" s="1"/>
      <c r="K8" s="371"/>
      <c r="L8" s="1"/>
      <c r="M8" s="1"/>
      <c r="N8" s="371"/>
      <c r="O8" s="1"/>
      <c r="P8" s="1"/>
      <c r="Q8" s="1"/>
      <c r="R8" s="1"/>
      <c r="S8" s="1"/>
      <c r="T8" s="1"/>
      <c r="U8" s="1"/>
      <c r="V8" s="1"/>
      <c r="W8" s="1"/>
      <c r="X8" s="1"/>
      <c r="Y8" s="1"/>
      <c r="Z8" s="1"/>
      <c r="AA8" s="1"/>
      <c r="AB8" s="1"/>
      <c r="AC8" s="1"/>
      <c r="AD8" s="1"/>
      <c r="AE8" s="1"/>
      <c r="AF8" s="1"/>
      <c r="AG8" s="1"/>
      <c r="AH8" s="1"/>
      <c r="AI8" s="1"/>
    </row>
    <row r="9" spans="1:35">
      <c r="A9" s="1" t="s">
        <v>484</v>
      </c>
      <c r="B9" s="451">
        <f>B8/B6</f>
        <v>4.0566645202833228E-2</v>
      </c>
      <c r="C9" s="451">
        <f t="shared" ref="C9:F9" si="0">C8/C6</f>
        <v>4.9209055201012208E-2</v>
      </c>
      <c r="D9" s="451">
        <f t="shared" si="0"/>
        <v>5.7893006118837895E-2</v>
      </c>
      <c r="E9" s="451">
        <f t="shared" si="0"/>
        <v>7.011486296614812E-2</v>
      </c>
      <c r="F9" s="452">
        <f t="shared" si="0"/>
        <v>7.7512302636888505E-2</v>
      </c>
      <c r="G9" s="449">
        <v>0.08</v>
      </c>
      <c r="H9" s="449">
        <f>G9*(1.05)</f>
        <v>8.4000000000000005E-2</v>
      </c>
      <c r="I9" s="449">
        <f>H9*(1.05)</f>
        <v>8.8200000000000014E-2</v>
      </c>
      <c r="J9" s="449">
        <f>I9*(1.05)</f>
        <v>9.2610000000000026E-2</v>
      </c>
      <c r="K9" s="450">
        <f>J9*(1.05)</f>
        <v>9.7240500000000035E-2</v>
      </c>
      <c r="L9" s="449">
        <f>K9*(1+K26+K28)</f>
        <v>0.10096805250000003</v>
      </c>
      <c r="M9" s="449">
        <f>L9*(1+K27-K28)</f>
        <v>0.10366053390000003</v>
      </c>
      <c r="N9" s="450">
        <f>M9*(1+K27)</f>
        <v>0.10521544190850002</v>
      </c>
      <c r="O9" s="1"/>
      <c r="P9" s="1"/>
      <c r="Q9" s="1"/>
      <c r="R9" s="1"/>
      <c r="S9" s="1"/>
      <c r="T9" s="1"/>
      <c r="U9" s="1"/>
      <c r="V9" s="1"/>
      <c r="W9" s="1"/>
      <c r="X9" s="1"/>
      <c r="Y9" s="1"/>
      <c r="Z9" s="1"/>
      <c r="AA9" s="1"/>
      <c r="AB9" s="1"/>
      <c r="AC9" s="1"/>
      <c r="AD9" s="1"/>
      <c r="AE9" s="1"/>
      <c r="AF9" s="1"/>
      <c r="AG9" s="1"/>
      <c r="AH9" s="1"/>
      <c r="AI9" s="1"/>
    </row>
    <row r="10" spans="1:35">
      <c r="A10" s="1"/>
      <c r="B10" s="1"/>
      <c r="C10" s="1"/>
      <c r="D10" s="1"/>
      <c r="E10" s="1"/>
      <c r="F10" s="371"/>
      <c r="G10" s="1"/>
      <c r="H10" s="1"/>
      <c r="I10" s="1"/>
      <c r="J10" s="1"/>
      <c r="K10" s="371"/>
      <c r="L10" s="1"/>
      <c r="M10" s="1"/>
      <c r="N10" s="371"/>
      <c r="O10" s="1"/>
      <c r="P10" s="1"/>
      <c r="Q10" s="1"/>
      <c r="R10" s="1"/>
      <c r="S10" s="1"/>
      <c r="T10" s="1"/>
      <c r="U10" s="1"/>
      <c r="V10" s="1"/>
      <c r="W10" s="1"/>
      <c r="X10" s="1"/>
      <c r="Y10" s="1"/>
      <c r="Z10" s="1"/>
      <c r="AA10" s="1"/>
      <c r="AB10" s="1"/>
      <c r="AC10" s="1"/>
      <c r="AD10" s="1"/>
      <c r="AE10" s="1"/>
      <c r="AF10" s="1"/>
      <c r="AG10" s="1"/>
      <c r="AH10" s="1"/>
      <c r="AI10" s="1"/>
    </row>
    <row r="11" spans="1:35">
      <c r="A11" s="1" t="s">
        <v>573</v>
      </c>
      <c r="B11" s="1"/>
      <c r="C11" s="453">
        <f>(C9-B9)/B9</f>
        <v>0.21304226551066596</v>
      </c>
      <c r="D11" s="453">
        <f t="shared" ref="D11:N11" si="1">(D9-C9)/C9</f>
        <v>0.17647058823529416</v>
      </c>
      <c r="E11" s="453">
        <f t="shared" si="1"/>
        <v>0.21111111111111117</v>
      </c>
      <c r="F11" s="454">
        <f t="shared" si="1"/>
        <v>0.10550458715596313</v>
      </c>
      <c r="G11" s="453">
        <f t="shared" si="1"/>
        <v>3.2094226058091431E-2</v>
      </c>
      <c r="H11" s="453">
        <f t="shared" si="1"/>
        <v>5.0000000000000044E-2</v>
      </c>
      <c r="I11" s="453">
        <f t="shared" si="1"/>
        <v>5.0000000000000107E-2</v>
      </c>
      <c r="J11" s="453">
        <f t="shared" si="1"/>
        <v>5.0000000000000121E-2</v>
      </c>
      <c r="K11" s="454">
        <f t="shared" si="1"/>
        <v>5.0000000000000093E-2</v>
      </c>
      <c r="L11" s="453">
        <f t="shared" si="1"/>
        <v>3.8333333333333268E-2</v>
      </c>
      <c r="M11" s="453">
        <f t="shared" si="1"/>
        <v>2.6666666666666679E-2</v>
      </c>
      <c r="N11" s="454">
        <f t="shared" si="1"/>
        <v>1.4999999999999861E-2</v>
      </c>
      <c r="O11" s="1"/>
      <c r="P11" s="1"/>
      <c r="Q11" s="1"/>
      <c r="R11" s="1"/>
      <c r="S11" s="1"/>
      <c r="T11" s="1"/>
      <c r="U11" s="1"/>
      <c r="V11" s="1"/>
      <c r="W11" s="1"/>
      <c r="X11" s="1"/>
      <c r="Y11" s="1"/>
      <c r="Z11" s="1"/>
      <c r="AA11" s="1"/>
      <c r="AB11" s="1"/>
      <c r="AC11" s="1"/>
      <c r="AD11" s="1"/>
      <c r="AE11" s="1"/>
      <c r="AF11" s="1"/>
      <c r="AG11" s="1"/>
      <c r="AH11" s="1"/>
      <c r="AI11" s="1"/>
    </row>
    <row r="12" spans="1:35">
      <c r="A12" s="1" t="s">
        <v>485</v>
      </c>
      <c r="B12" s="373">
        <f>B8/'Reorganised Statements'!D114</f>
        <v>1.68</v>
      </c>
      <c r="C12" s="373">
        <f>C8/'Reorganised Statements'!E114</f>
        <v>0.65948275862068961</v>
      </c>
      <c r="D12" s="373">
        <f>D8/'Reorganised Statements'!F114</f>
        <v>0.61433447098976113</v>
      </c>
      <c r="E12" s="373">
        <f>E8/'Reorganised Statements'!G114</f>
        <v>0.63372093023255816</v>
      </c>
      <c r="F12" s="373">
        <f>F8/'Reorganised Statements'!H114</f>
        <v>0.61953727506426737</v>
      </c>
      <c r="G12" s="1"/>
      <c r="H12" s="1"/>
      <c r="I12" s="1"/>
      <c r="J12" s="1"/>
      <c r="K12" s="371"/>
      <c r="L12" s="1"/>
      <c r="M12" s="1"/>
      <c r="N12" s="371"/>
      <c r="O12" s="1"/>
      <c r="P12" s="1"/>
      <c r="Q12" s="1"/>
      <c r="R12" s="1"/>
      <c r="S12" s="1"/>
      <c r="T12" s="1"/>
      <c r="U12" s="1"/>
      <c r="V12" s="1"/>
      <c r="W12" s="1"/>
      <c r="X12" s="1"/>
      <c r="Y12" s="1"/>
      <c r="Z12" s="1"/>
      <c r="AA12" s="1"/>
      <c r="AB12" s="1"/>
      <c r="AC12" s="1"/>
      <c r="AD12" s="1"/>
      <c r="AE12" s="1"/>
      <c r="AF12" s="1"/>
      <c r="AG12" s="1"/>
      <c r="AH12" s="1"/>
      <c r="AI12" s="1"/>
    </row>
    <row r="13" spans="1:35">
      <c r="A13" s="101"/>
      <c r="B13" s="101"/>
      <c r="C13" s="101"/>
      <c r="D13" s="101"/>
      <c r="E13" s="101"/>
      <c r="F13" s="99"/>
      <c r="G13" s="101"/>
      <c r="H13" s="101"/>
      <c r="I13" s="101"/>
      <c r="J13" s="101"/>
      <c r="K13" s="99"/>
      <c r="L13" s="101"/>
      <c r="M13" s="101"/>
      <c r="N13" s="99"/>
      <c r="O13" s="101"/>
      <c r="P13" s="101"/>
      <c r="Q13" s="101"/>
      <c r="R13" s="101"/>
      <c r="S13" s="1"/>
      <c r="T13" s="1"/>
      <c r="U13" s="1"/>
      <c r="V13" s="1"/>
      <c r="W13" s="1"/>
      <c r="X13" s="1"/>
      <c r="Y13" s="1"/>
      <c r="Z13" s="1"/>
      <c r="AA13" s="1"/>
      <c r="AB13" s="1"/>
      <c r="AC13" s="1"/>
      <c r="AD13" s="1"/>
      <c r="AE13" s="1"/>
      <c r="AF13" s="1"/>
      <c r="AG13" s="1"/>
      <c r="AH13" s="1"/>
      <c r="AI13" s="1"/>
    </row>
    <row r="14" spans="1:35">
      <c r="A14" s="1" t="s">
        <v>396</v>
      </c>
      <c r="B14" s="1"/>
      <c r="C14" s="1"/>
      <c r="D14" s="1"/>
      <c r="E14" s="1"/>
      <c r="F14" s="371"/>
      <c r="G14" s="421">
        <f>WACC!F57</f>
        <v>7.081621334662673E-2</v>
      </c>
      <c r="H14" s="421">
        <f>G14</f>
        <v>7.081621334662673E-2</v>
      </c>
      <c r="I14" s="421">
        <f t="shared" ref="I14:K14" si="2">H14</f>
        <v>7.081621334662673E-2</v>
      </c>
      <c r="J14" s="421">
        <f t="shared" si="2"/>
        <v>7.081621334662673E-2</v>
      </c>
      <c r="K14" s="456">
        <f t="shared" si="2"/>
        <v>7.081621334662673E-2</v>
      </c>
      <c r="L14" s="373">
        <f>H26+H28</f>
        <v>6.5145556936978169E-2</v>
      </c>
      <c r="M14" s="373">
        <f>L14+H28</f>
        <v>5.9474900527329608E-2</v>
      </c>
      <c r="N14" s="456">
        <f>H23</f>
        <v>5.3804244117681047E-2</v>
      </c>
      <c r="O14" s="421">
        <f>N14</f>
        <v>5.3804244117681047E-2</v>
      </c>
      <c r="P14" s="1"/>
      <c r="Q14" s="1"/>
      <c r="R14" s="1"/>
      <c r="S14" s="1"/>
      <c r="T14" s="1"/>
      <c r="U14" s="1"/>
      <c r="V14" s="1"/>
      <c r="W14" s="1"/>
      <c r="X14" s="1"/>
      <c r="Y14" s="1"/>
      <c r="Z14" s="1"/>
      <c r="AA14" s="1"/>
      <c r="AB14" s="1"/>
      <c r="AC14" s="1"/>
      <c r="AD14" s="1"/>
      <c r="AE14" s="1"/>
      <c r="AF14" s="1"/>
      <c r="AG14" s="1"/>
      <c r="AH14" s="1"/>
      <c r="AI14" s="1"/>
    </row>
    <row r="15" spans="1:35">
      <c r="A15" s="1" t="s">
        <v>532</v>
      </c>
      <c r="B15" s="1"/>
      <c r="C15" s="1"/>
      <c r="D15" s="1"/>
      <c r="E15" s="1"/>
      <c r="F15" s="371"/>
      <c r="G15" s="457">
        <f>G9/(1+G14)</f>
        <v>7.4709365624914884E-2</v>
      </c>
      <c r="H15" s="457">
        <f>H9/POWER(1+G15,2)</f>
        <v>7.2727258839079739E-2</v>
      </c>
      <c r="I15" s="457">
        <f>I9/POWER(1+G15,3)</f>
        <v>7.1055137531652865E-2</v>
      </c>
      <c r="J15" s="457">
        <f>J9/POWER(1+J14,4)</f>
        <v>7.0436558948986039E-2</v>
      </c>
      <c r="K15" s="458">
        <f>K9/(POWER(1+K14,5))</f>
        <v>6.9067302095933758E-2</v>
      </c>
      <c r="L15" s="457">
        <f>L9/((1+L14)*POWER(1+K14,5))</f>
        <v>6.7328715350266827E-2</v>
      </c>
      <c r="M15" s="457">
        <f>M9/((1+M14)*(1+L14)*POWER(1+K14,5))</f>
        <v>6.5243780409712668E-2</v>
      </c>
      <c r="N15" s="458">
        <f>N9/((1+N14)*(1+M14)*(1+L14)*POWER(1+K14,5))</f>
        <v>6.2841308037532559E-2</v>
      </c>
      <c r="O15" s="1">
        <f>N15*(1+K27)/(H27-H22)</f>
        <v>1.6437358621046445</v>
      </c>
      <c r="P15" s="1"/>
      <c r="Q15" s="1"/>
      <c r="R15" s="1"/>
      <c r="S15" s="1"/>
      <c r="T15" s="1"/>
      <c r="U15" s="1"/>
      <c r="V15" s="1"/>
      <c r="W15" s="1"/>
      <c r="X15" s="1"/>
      <c r="Y15" s="1"/>
      <c r="Z15" s="1"/>
      <c r="AA15" s="1"/>
      <c r="AB15" s="1"/>
      <c r="AC15" s="1"/>
      <c r="AD15" s="1"/>
      <c r="AE15" s="1"/>
      <c r="AF15" s="1"/>
      <c r="AG15" s="1"/>
      <c r="AH15" s="1"/>
      <c r="AI15" s="1"/>
    </row>
    <row r="16" spans="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 thickBo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
      <c r="C19" s="1"/>
      <c r="D19" s="1"/>
      <c r="E19" s="1"/>
      <c r="F19" s="1"/>
      <c r="G19" s="1"/>
      <c r="H19" s="1"/>
      <c r="I19" s="1"/>
      <c r="J19" s="383" t="s">
        <v>510</v>
      </c>
      <c r="K19" s="282"/>
      <c r="L19" s="282"/>
      <c r="M19" s="280"/>
      <c r="N19" s="1"/>
      <c r="O19" s="1"/>
      <c r="P19" s="1"/>
      <c r="Q19" s="1"/>
      <c r="R19" s="1"/>
      <c r="S19" s="1"/>
      <c r="T19" s="1"/>
      <c r="U19" s="1"/>
      <c r="V19" s="1"/>
      <c r="W19" s="1"/>
      <c r="X19" s="1"/>
      <c r="Y19" s="1"/>
      <c r="Z19" s="1"/>
      <c r="AA19" s="1"/>
      <c r="AB19" s="1"/>
      <c r="AC19" s="1"/>
      <c r="AD19" s="1"/>
      <c r="AE19" s="1"/>
      <c r="AF19" s="1"/>
      <c r="AG19" s="1"/>
      <c r="AH19" s="1"/>
      <c r="AI19" s="1"/>
    </row>
    <row r="20" spans="1:35">
      <c r="A20" s="1"/>
      <c r="B20" s="1"/>
      <c r="C20" s="1"/>
      <c r="D20" s="1"/>
      <c r="E20" s="1"/>
      <c r="F20" s="101" t="s">
        <v>493</v>
      </c>
      <c r="G20" s="101"/>
      <c r="H20" s="101"/>
      <c r="I20" s="1"/>
      <c r="J20" s="257" t="s">
        <v>490</v>
      </c>
      <c r="K20" s="1"/>
      <c r="L20" s="371"/>
      <c r="M20" s="459">
        <f>G15+H15+I15+J15+K15</f>
        <v>0.35799562304056731</v>
      </c>
      <c r="N20" s="1"/>
      <c r="O20" s="1"/>
      <c r="P20" s="1"/>
      <c r="Q20" s="1"/>
      <c r="R20" s="1"/>
      <c r="S20" s="1"/>
      <c r="T20" s="1"/>
      <c r="U20" s="1"/>
      <c r="V20" s="1"/>
      <c r="W20" s="1"/>
      <c r="X20" s="1"/>
      <c r="Y20" s="1"/>
      <c r="Z20" s="1"/>
      <c r="AA20" s="1"/>
      <c r="AB20" s="1"/>
      <c r="AC20" s="1"/>
      <c r="AD20" s="1"/>
      <c r="AE20" s="1"/>
      <c r="AF20" s="1"/>
      <c r="AG20" s="1"/>
      <c r="AH20" s="1"/>
      <c r="AI20" s="1"/>
    </row>
    <row r="21" spans="1:35">
      <c r="A21" s="1"/>
      <c r="B21" s="1"/>
      <c r="C21" s="1"/>
      <c r="D21" s="1"/>
      <c r="E21" s="1"/>
      <c r="F21" s="1" t="s">
        <v>488</v>
      </c>
      <c r="G21" s="1"/>
      <c r="H21" s="421">
        <f>1-(H22/H23)</f>
        <v>0.72121158384472639</v>
      </c>
      <c r="I21" s="1"/>
      <c r="J21" s="257" t="s">
        <v>501</v>
      </c>
      <c r="K21" s="1"/>
      <c r="L21" s="371"/>
      <c r="M21" s="459">
        <f>L15+M15+N15</f>
        <v>0.19541380379751205</v>
      </c>
      <c r="N21" s="1"/>
      <c r="O21" s="1"/>
      <c r="P21" s="1"/>
      <c r="Q21" s="1"/>
      <c r="R21" s="1"/>
      <c r="S21" s="1"/>
      <c r="T21" s="1"/>
      <c r="U21" s="1"/>
      <c r="V21" s="1"/>
      <c r="W21" s="1"/>
      <c r="X21" s="1"/>
      <c r="Y21" s="1"/>
      <c r="Z21" s="1"/>
      <c r="AA21" s="1"/>
      <c r="AB21" s="1"/>
      <c r="AC21" s="1"/>
      <c r="AD21" s="1"/>
      <c r="AE21" s="1"/>
      <c r="AF21" s="1"/>
      <c r="AG21" s="1"/>
      <c r="AH21" s="1"/>
      <c r="AI21" s="1"/>
    </row>
    <row r="22" spans="1:35">
      <c r="A22" s="1"/>
      <c r="B22" s="1"/>
      <c r="C22" s="1"/>
      <c r="D22" s="1"/>
      <c r="E22" s="1"/>
      <c r="F22" s="1" t="s">
        <v>489</v>
      </c>
      <c r="G22" s="1"/>
      <c r="H22" s="421">
        <f>1.5%</f>
        <v>1.4999999999999999E-2</v>
      </c>
      <c r="I22" s="1"/>
      <c r="J22" s="277" t="s">
        <v>491</v>
      </c>
      <c r="K22" s="101"/>
      <c r="L22" s="99"/>
      <c r="M22" s="459">
        <f>(N15*(1+H22)/(H23-H22))/((1+N14)*(1+M14)*(1+L14)*POWER(1+K14,5))</f>
        <v>0.98174288649271235</v>
      </c>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
      <c r="C23" s="1"/>
      <c r="D23" s="1"/>
      <c r="E23" s="1"/>
      <c r="F23" s="1" t="s">
        <v>494</v>
      </c>
      <c r="G23" s="1"/>
      <c r="H23" s="373">
        <f>WACC!E63</f>
        <v>5.3804244117681047E-2</v>
      </c>
      <c r="I23" s="1"/>
      <c r="J23" s="269" t="s">
        <v>492</v>
      </c>
      <c r="K23" s="384"/>
      <c r="L23" s="385"/>
      <c r="M23" s="460">
        <f>M20+M22</f>
        <v>1.3397385095332797</v>
      </c>
      <c r="N23" s="1"/>
      <c r="O23" s="1"/>
      <c r="P23" s="1"/>
      <c r="Q23" s="1"/>
      <c r="R23" s="1"/>
      <c r="S23" s="1"/>
      <c r="T23" s="1"/>
      <c r="U23" s="1"/>
      <c r="V23" s="1"/>
      <c r="W23" s="1"/>
      <c r="X23" s="1"/>
      <c r="Y23" s="1"/>
      <c r="Z23" s="1"/>
      <c r="AA23" s="1"/>
      <c r="AB23" s="1"/>
      <c r="AC23" s="1"/>
      <c r="AD23" s="1"/>
      <c r="AE23" s="1"/>
      <c r="AF23" s="1"/>
      <c r="AG23" s="1"/>
      <c r="AH23" s="1"/>
      <c r="AI23" s="1"/>
    </row>
    <row r="24" spans="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c r="A25" s="1"/>
      <c r="B25" s="1"/>
      <c r="C25" s="1"/>
      <c r="D25" s="1"/>
      <c r="E25" s="1"/>
      <c r="F25" s="101" t="s">
        <v>502</v>
      </c>
      <c r="G25" s="101"/>
      <c r="H25" s="101"/>
      <c r="I25" s="101"/>
      <c r="J25" s="101"/>
      <c r="K25" s="101"/>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
      <c r="C26" s="1"/>
      <c r="D26" s="1"/>
      <c r="E26" s="1"/>
      <c r="F26" s="1" t="s">
        <v>503</v>
      </c>
      <c r="G26" s="380"/>
      <c r="H26" s="381">
        <f>G14</f>
        <v>7.081621334662673E-2</v>
      </c>
      <c r="I26" s="1" t="s">
        <v>504</v>
      </c>
      <c r="J26" s="380"/>
      <c r="K26" s="421">
        <f>K11</f>
        <v>5.0000000000000093E-2</v>
      </c>
      <c r="L26" s="1"/>
      <c r="M26" s="1"/>
      <c r="N26" s="1"/>
      <c r="O26" s="421"/>
      <c r="P26" s="1"/>
      <c r="Q26" s="1"/>
      <c r="R26" s="1"/>
      <c r="S26" s="1"/>
      <c r="T26" s="1"/>
      <c r="U26" s="1"/>
      <c r="V26" s="1"/>
      <c r="W26" s="1"/>
      <c r="X26" s="1"/>
      <c r="Y26" s="1"/>
      <c r="Z26" s="1"/>
      <c r="AA26" s="1"/>
      <c r="AB26" s="1"/>
      <c r="AC26" s="1"/>
      <c r="AD26" s="1"/>
      <c r="AE26" s="1"/>
      <c r="AF26" s="1"/>
      <c r="AG26" s="1"/>
      <c r="AH26" s="1"/>
      <c r="AI26" s="1"/>
    </row>
    <row r="27" spans="1:35">
      <c r="A27" s="1"/>
      <c r="B27" s="1"/>
      <c r="C27" s="1"/>
      <c r="D27" s="1"/>
      <c r="E27" s="1"/>
      <c r="F27" s="1" t="s">
        <v>505</v>
      </c>
      <c r="G27" s="371"/>
      <c r="H27" s="382">
        <f>N14</f>
        <v>5.3804244117681047E-2</v>
      </c>
      <c r="I27" s="1" t="s">
        <v>507</v>
      </c>
      <c r="J27" s="371"/>
      <c r="K27" s="421">
        <f>H22</f>
        <v>1.4999999999999999E-2</v>
      </c>
      <c r="L27" s="1"/>
      <c r="M27" s="1"/>
      <c r="N27" s="1"/>
      <c r="O27" s="1"/>
      <c r="P27" s="1"/>
      <c r="Q27" s="1"/>
      <c r="R27" s="1"/>
      <c r="S27" s="1"/>
      <c r="T27" s="1"/>
      <c r="U27" s="1"/>
      <c r="V27" s="1"/>
      <c r="W27" s="1"/>
      <c r="X27" s="1"/>
      <c r="Y27" s="1"/>
      <c r="Z27" s="1"/>
      <c r="AA27" s="1"/>
      <c r="AB27" s="1"/>
      <c r="AC27" s="1"/>
      <c r="AD27" s="1"/>
      <c r="AE27" s="1"/>
      <c r="AF27" s="1"/>
      <c r="AG27" s="1"/>
      <c r="AH27" s="1"/>
      <c r="AI27" s="1"/>
    </row>
    <row r="28" spans="1:35">
      <c r="A28" s="1"/>
      <c r="B28" s="1"/>
      <c r="C28" s="1"/>
      <c r="D28" s="1"/>
      <c r="E28" s="1"/>
      <c r="F28" s="1" t="s">
        <v>506</v>
      </c>
      <c r="G28" s="371"/>
      <c r="H28" s="382">
        <f>(N14-K14)/3</f>
        <v>-5.6706564096485612E-3</v>
      </c>
      <c r="I28" s="1" t="s">
        <v>508</v>
      </c>
      <c r="J28" s="371"/>
      <c r="K28" s="373">
        <f>(K27-K26)/3</f>
        <v>-1.1666666666666698E-2</v>
      </c>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
      <c r="C30" s="1"/>
      <c r="D30" s="443"/>
      <c r="E30" s="443"/>
      <c r="F30" s="1"/>
      <c r="G30" s="1"/>
      <c r="H30" s="1"/>
      <c r="I30" s="1"/>
      <c r="J30" s="1"/>
      <c r="K30" s="1"/>
      <c r="L30" s="1"/>
      <c r="M30" s="1"/>
      <c r="N30" s="1"/>
      <c r="O30" s="1"/>
      <c r="P30" s="1"/>
      <c r="Q30" s="1"/>
      <c r="R30" s="1"/>
      <c r="S30" s="1"/>
      <c r="T30" s="1"/>
      <c r="U30" s="1"/>
      <c r="V30" s="1"/>
      <c r="W30" s="1"/>
      <c r="X30" s="1"/>
      <c r="Y30" s="1"/>
      <c r="Z30" s="1"/>
      <c r="AA30" s="1"/>
      <c r="AB30" s="1"/>
      <c r="AC30" s="1"/>
      <c r="AD30" s="443"/>
      <c r="AE30" s="1"/>
      <c r="AF30" s="1"/>
      <c r="AG30" s="1"/>
      <c r="AH30" s="1"/>
      <c r="AI30" s="1"/>
    </row>
    <row r="31" spans="1:35" ht="15" thickBot="1">
      <c r="A31" s="1"/>
      <c r="B31" s="1"/>
      <c r="C31" s="1"/>
      <c r="D31" s="443"/>
      <c r="E31" s="443"/>
      <c r="F31" s="1"/>
      <c r="G31" s="1"/>
      <c r="H31" s="1"/>
      <c r="I31" s="1"/>
      <c r="J31" s="1"/>
      <c r="K31" s="1"/>
      <c r="L31" s="1"/>
      <c r="M31" s="1"/>
      <c r="N31" s="1"/>
      <c r="O31" s="1"/>
      <c r="P31" s="1"/>
      <c r="Q31" s="1"/>
      <c r="R31" s="1"/>
      <c r="S31" s="1"/>
      <c r="T31" s="1"/>
      <c r="U31" s="1"/>
      <c r="V31" s="1"/>
      <c r="W31" s="1"/>
      <c r="X31" s="1"/>
      <c r="Y31" s="1"/>
      <c r="Z31" s="1"/>
      <c r="AA31" s="1"/>
      <c r="AB31" s="1"/>
      <c r="AC31" s="1"/>
      <c r="AD31" s="443"/>
      <c r="AE31" s="1"/>
      <c r="AF31" s="1"/>
      <c r="AG31" s="1"/>
      <c r="AH31" s="1"/>
      <c r="AI31" s="1"/>
    </row>
    <row r="32" spans="1:35" ht="15" thickBot="1">
      <c r="A32" s="461" t="s">
        <v>497</v>
      </c>
      <c r="B32" s="378" t="s">
        <v>472</v>
      </c>
      <c r="C32" s="101"/>
      <c r="D32" s="379"/>
      <c r="E32" s="379"/>
      <c r="F32" s="99"/>
      <c r="G32" s="101" t="s">
        <v>471</v>
      </c>
      <c r="H32" s="101"/>
      <c r="I32" s="101"/>
      <c r="J32" s="101"/>
      <c r="K32" s="99"/>
      <c r="L32" s="101" t="s">
        <v>574</v>
      </c>
      <c r="M32" s="99"/>
      <c r="N32" s="1"/>
      <c r="O32" s="1"/>
      <c r="P32" s="1"/>
      <c r="Q32" s="1"/>
      <c r="R32" s="1"/>
      <c r="S32" s="1"/>
      <c r="T32" s="1"/>
      <c r="U32" s="1"/>
      <c r="V32" s="462" t="s">
        <v>419</v>
      </c>
      <c r="W32" s="282"/>
      <c r="X32" s="282"/>
      <c r="Y32" s="282"/>
      <c r="Z32" s="282"/>
      <c r="AA32" s="282"/>
      <c r="AB32" s="280"/>
      <c r="AC32" s="1"/>
      <c r="AD32" s="443"/>
      <c r="AE32" s="1"/>
      <c r="AF32" s="1"/>
      <c r="AG32" s="1"/>
      <c r="AH32" s="1"/>
      <c r="AI32" s="1"/>
    </row>
    <row r="33" spans="1:35">
      <c r="A33" s="463"/>
      <c r="B33" s="1">
        <v>2015</v>
      </c>
      <c r="C33" s="1">
        <v>2016</v>
      </c>
      <c r="D33" s="1">
        <v>2017</v>
      </c>
      <c r="E33" s="1">
        <v>2018</v>
      </c>
      <c r="F33" s="371">
        <v>2019</v>
      </c>
      <c r="G33" s="1">
        <v>2020</v>
      </c>
      <c r="H33" s="1">
        <v>2021</v>
      </c>
      <c r="I33" s="1">
        <v>2022</v>
      </c>
      <c r="J33" s="1">
        <v>2023</v>
      </c>
      <c r="K33" s="371">
        <v>2024</v>
      </c>
      <c r="L33" s="1"/>
      <c r="M33" s="371"/>
      <c r="N33" s="1"/>
      <c r="O33" s="1"/>
      <c r="P33" s="1"/>
      <c r="Q33" s="1"/>
      <c r="R33" s="1"/>
      <c r="S33" s="1"/>
      <c r="T33" s="1"/>
      <c r="U33" s="1"/>
      <c r="V33" s="257"/>
      <c r="W33" s="1"/>
      <c r="X33" s="1"/>
      <c r="Y33" s="1"/>
      <c r="Z33" s="1"/>
      <c r="AA33" s="1"/>
      <c r="AB33" s="278"/>
      <c r="AC33" s="1"/>
      <c r="AD33" s="443"/>
      <c r="AE33" s="1"/>
      <c r="AF33" s="1"/>
      <c r="AG33" s="1"/>
      <c r="AH33" s="1"/>
      <c r="AI33" s="1"/>
    </row>
    <row r="34" spans="1:35">
      <c r="A34" s="371"/>
      <c r="B34" s="1"/>
      <c r="C34" s="1"/>
      <c r="D34" s="443"/>
      <c r="E34" s="443"/>
      <c r="F34" s="371"/>
      <c r="G34" s="1"/>
      <c r="H34" s="1"/>
      <c r="I34" s="1"/>
      <c r="J34" s="1"/>
      <c r="K34" s="371"/>
      <c r="L34" s="1"/>
      <c r="M34" s="371"/>
      <c r="N34" s="1"/>
      <c r="O34" s="1"/>
      <c r="P34" s="1"/>
      <c r="Q34" s="1"/>
      <c r="R34" s="1"/>
      <c r="S34" s="1"/>
      <c r="T34" s="1"/>
      <c r="U34" s="1"/>
      <c r="V34" s="257" t="s">
        <v>575</v>
      </c>
      <c r="W34" s="1"/>
      <c r="X34" s="1"/>
      <c r="Y34" s="1"/>
      <c r="Z34" s="373">
        <f>E38/E37</f>
        <v>3.5560516664008932E-2</v>
      </c>
      <c r="AA34" s="373">
        <f>F38/F37</f>
        <v>2.8362819432743613E-2</v>
      </c>
      <c r="AB34" s="278"/>
      <c r="AC34" s="1"/>
      <c r="AD34" s="443"/>
      <c r="AE34" s="1"/>
      <c r="AF34" s="1"/>
      <c r="AG34" s="1"/>
      <c r="AH34" s="1"/>
      <c r="AI34" s="1"/>
    </row>
    <row r="35" spans="1:35">
      <c r="A35" s="371" t="s">
        <v>498</v>
      </c>
      <c r="B35" s="1">
        <f>'Reorganised Statements'!D53</f>
        <v>3947</v>
      </c>
      <c r="C35" s="1">
        <f>'Reorganised Statements'!E53</f>
        <v>3734</v>
      </c>
      <c r="D35" s="1">
        <f>'Reorganised Statements'!F53</f>
        <v>4633</v>
      </c>
      <c r="E35" s="1">
        <f>'Reorganised Statements'!G53</f>
        <v>5268</v>
      </c>
      <c r="F35" s="1">
        <f>'Reorganised Statements'!H53</f>
        <v>6046</v>
      </c>
      <c r="G35" s="1"/>
      <c r="H35" s="1"/>
      <c r="I35" s="1"/>
      <c r="J35" s="1"/>
      <c r="K35" s="371"/>
      <c r="L35" s="1"/>
      <c r="M35" s="371"/>
      <c r="N35" s="1"/>
      <c r="O35" s="1"/>
      <c r="P35" s="1"/>
      <c r="Q35" s="1"/>
      <c r="R35" s="1"/>
      <c r="S35" s="1"/>
      <c r="T35" s="1"/>
      <c r="U35" s="1"/>
      <c r="V35" s="257" t="s">
        <v>576</v>
      </c>
      <c r="W35" s="1"/>
      <c r="X35" s="1"/>
      <c r="Y35" s="1"/>
      <c r="Z35" s="421">
        <f>AVERAGE(Z34,AA34)</f>
        <v>3.1961668048376274E-2</v>
      </c>
      <c r="AA35" s="1"/>
      <c r="AB35" s="278"/>
      <c r="AC35" s="1"/>
      <c r="AD35" s="443"/>
      <c r="AE35" s="1"/>
      <c r="AF35" s="1"/>
      <c r="AG35" s="1"/>
      <c r="AH35" s="1"/>
      <c r="AI35" s="1"/>
    </row>
    <row r="36" spans="1:35">
      <c r="A36" s="99" t="s">
        <v>169</v>
      </c>
      <c r="B36" s="1">
        <f>'Reorganised Statements'!D54</f>
        <v>785</v>
      </c>
      <c r="C36" s="1">
        <f>'Reorganised Statements'!E54</f>
        <v>847</v>
      </c>
      <c r="D36" s="1">
        <f>'Reorganised Statements'!F54</f>
        <v>957</v>
      </c>
      <c r="E36" s="1">
        <f>'Reorganised Statements'!G54</f>
        <v>1003</v>
      </c>
      <c r="F36" s="1">
        <f>'Reorganised Statements'!H54</f>
        <v>1076</v>
      </c>
      <c r="G36" s="1"/>
      <c r="H36" s="1"/>
      <c r="I36" s="1"/>
      <c r="J36" s="1"/>
      <c r="K36" s="371"/>
      <c r="L36" s="1"/>
      <c r="M36" s="371"/>
      <c r="N36" s="1"/>
      <c r="O36" s="1"/>
      <c r="P36" s="1"/>
      <c r="Q36" s="1"/>
      <c r="R36" s="1"/>
      <c r="S36" s="1"/>
      <c r="T36" s="1"/>
      <c r="U36" s="1"/>
      <c r="V36" s="257"/>
      <c r="W36" s="1"/>
      <c r="X36" s="1"/>
      <c r="Y36" s="1"/>
      <c r="Z36" s="1"/>
      <c r="AA36" s="1"/>
      <c r="AB36" s="278"/>
      <c r="AC36" s="1"/>
      <c r="AD36" s="443"/>
      <c r="AE36" s="1"/>
      <c r="AF36" s="1"/>
      <c r="AG36" s="1"/>
      <c r="AH36" s="1"/>
      <c r="AI36" s="1"/>
    </row>
    <row r="37" spans="1:35">
      <c r="A37" s="464" t="s">
        <v>577</v>
      </c>
      <c r="B37" s="443">
        <f>B35+B36</f>
        <v>4732</v>
      </c>
      <c r="C37" s="443">
        <f t="shared" ref="C37:F37" si="3">C35+C36</f>
        <v>4581</v>
      </c>
      <c r="D37" s="443">
        <f t="shared" si="3"/>
        <v>5590</v>
      </c>
      <c r="E37" s="443">
        <f t="shared" si="3"/>
        <v>6271</v>
      </c>
      <c r="F37" s="465">
        <f t="shared" si="3"/>
        <v>7122</v>
      </c>
      <c r="G37" s="443">
        <f>G52/G53</f>
        <v>7229.9878811512444</v>
      </c>
      <c r="H37" s="443">
        <f t="shared" ref="H37:K37" si="4">H52/H53</f>
        <v>7339.613136983131</v>
      </c>
      <c r="I37" s="443">
        <f t="shared" si="4"/>
        <v>7450.9005943171169</v>
      </c>
      <c r="J37" s="443">
        <f t="shared" si="4"/>
        <v>7563.8754564132787</v>
      </c>
      <c r="K37" s="465">
        <f t="shared" si="4"/>
        <v>7675.7218275645055</v>
      </c>
      <c r="L37" s="1"/>
      <c r="M37" s="371"/>
      <c r="N37" s="1"/>
      <c r="O37" s="1"/>
      <c r="P37" s="1"/>
      <c r="Q37" s="1"/>
      <c r="R37" s="1"/>
      <c r="S37" s="1"/>
      <c r="T37" s="1"/>
      <c r="U37" s="1"/>
      <c r="V37" s="257" t="s">
        <v>578</v>
      </c>
      <c r="W37" s="1"/>
      <c r="X37" s="1"/>
      <c r="Y37" s="1"/>
      <c r="Z37" s="373">
        <f>-D42/D37</f>
        <v>0.50644007155635062</v>
      </c>
      <c r="AA37" s="373">
        <f t="shared" ref="AA37:AB37" si="5">-E42/E37</f>
        <v>0.53356721416042097</v>
      </c>
      <c r="AB37" s="445">
        <f t="shared" si="5"/>
        <v>0.56220162875596746</v>
      </c>
      <c r="AC37" s="373"/>
      <c r="AD37" s="373"/>
      <c r="AE37" s="1"/>
      <c r="AF37" s="1"/>
      <c r="AG37" s="1"/>
      <c r="AH37" s="1"/>
      <c r="AI37" s="1"/>
    </row>
    <row r="38" spans="1:35">
      <c r="A38" s="99" t="s">
        <v>173</v>
      </c>
      <c r="B38" s="101">
        <f>'Reorganised Statements'!D56</f>
        <v>189</v>
      </c>
      <c r="C38" s="101">
        <f>'Reorganised Statements'!E56</f>
        <v>279</v>
      </c>
      <c r="D38" s="101">
        <f>'Reorganised Statements'!F56</f>
        <v>206</v>
      </c>
      <c r="E38" s="101">
        <f>'Reorganised Statements'!G56</f>
        <v>223</v>
      </c>
      <c r="F38" s="101">
        <f>'Reorganised Statements'!H56</f>
        <v>202</v>
      </c>
      <c r="G38" s="101">
        <f>Z35*G37</f>
        <v>231.0824726511394</v>
      </c>
      <c r="H38" s="101">
        <f>Z35*H37</f>
        <v>234.58627868775648</v>
      </c>
      <c r="I38" s="101">
        <f>Z35*I37</f>
        <v>238.14321145701319</v>
      </c>
      <c r="J38" s="101">
        <f>Z35*J37</f>
        <v>241.7540764971418</v>
      </c>
      <c r="K38" s="99">
        <f>Z35*K37</f>
        <v>245.32887308429278</v>
      </c>
      <c r="L38" s="1"/>
      <c r="M38" s="371"/>
      <c r="N38" s="1"/>
      <c r="O38" s="1"/>
      <c r="P38" s="1"/>
      <c r="Q38" s="1"/>
      <c r="R38" s="1"/>
      <c r="S38" s="1"/>
      <c r="T38" s="1"/>
      <c r="U38" s="1"/>
      <c r="V38" s="257" t="s">
        <v>579</v>
      </c>
      <c r="W38" s="1"/>
      <c r="X38" s="1"/>
      <c r="Y38" s="1"/>
      <c r="Z38" s="421">
        <f>AVERAGE(Z37:AB37)</f>
        <v>0.53406963815757968</v>
      </c>
      <c r="AA38" s="1"/>
      <c r="AB38" s="278"/>
      <c r="AC38" s="1"/>
      <c r="AD38" s="443"/>
      <c r="AE38" s="1"/>
      <c r="AF38" s="1"/>
      <c r="AG38" s="1"/>
      <c r="AH38" s="1"/>
      <c r="AI38" s="1"/>
    </row>
    <row r="39" spans="1:35">
      <c r="A39" s="465" t="s">
        <v>457</v>
      </c>
      <c r="B39" s="443">
        <f>B35+B36+B38</f>
        <v>4921</v>
      </c>
      <c r="C39" s="443">
        <f t="shared" ref="C39:F39" si="6">C35+C36+C38</f>
        <v>4860</v>
      </c>
      <c r="D39" s="443">
        <f t="shared" si="6"/>
        <v>5796</v>
      </c>
      <c r="E39" s="443">
        <f t="shared" si="6"/>
        <v>6494</v>
      </c>
      <c r="F39" s="465">
        <f t="shared" si="6"/>
        <v>7324</v>
      </c>
      <c r="G39" s="443">
        <f>G37+G38</f>
        <v>7461.0703538023836</v>
      </c>
      <c r="H39" s="443">
        <f t="shared" ref="H39:K39" si="7">H37+H38</f>
        <v>7574.1994156708879</v>
      </c>
      <c r="I39" s="443">
        <f t="shared" si="7"/>
        <v>7689.0438057741303</v>
      </c>
      <c r="J39" s="443">
        <f t="shared" si="7"/>
        <v>7805.6295329104205</v>
      </c>
      <c r="K39" s="465">
        <f t="shared" si="7"/>
        <v>7921.0507006487978</v>
      </c>
      <c r="L39" s="1"/>
      <c r="M39" s="371"/>
      <c r="N39" s="1"/>
      <c r="O39" s="1"/>
      <c r="P39" s="1"/>
      <c r="Q39" s="1"/>
      <c r="R39" s="1"/>
      <c r="S39" s="1"/>
      <c r="T39" s="1"/>
      <c r="U39" s="1"/>
      <c r="V39" s="257"/>
      <c r="W39" s="1"/>
      <c r="X39" s="1"/>
      <c r="Y39" s="1"/>
      <c r="Z39" s="1"/>
      <c r="AA39" s="1"/>
      <c r="AB39" s="278"/>
      <c r="AC39" s="1"/>
      <c r="AD39" s="443"/>
      <c r="AE39" s="1"/>
      <c r="AF39" s="1"/>
      <c r="AG39" s="1"/>
      <c r="AH39" s="1"/>
      <c r="AI39" s="1"/>
    </row>
    <row r="40" spans="1:35">
      <c r="A40" s="371"/>
      <c r="B40" s="1"/>
      <c r="C40" s="1"/>
      <c r="D40" s="443"/>
      <c r="E40" s="443"/>
      <c r="F40" s="371"/>
      <c r="G40" s="1"/>
      <c r="H40" s="1"/>
      <c r="I40" s="1"/>
      <c r="J40" s="1"/>
      <c r="K40" s="371"/>
      <c r="L40" s="1"/>
      <c r="M40" s="371"/>
      <c r="N40" s="1"/>
      <c r="O40" s="1"/>
      <c r="P40" s="1"/>
      <c r="Q40" s="1"/>
      <c r="R40" s="1"/>
      <c r="S40" s="1"/>
      <c r="T40" s="1"/>
      <c r="U40" s="1"/>
      <c r="V40" s="257" t="s">
        <v>580</v>
      </c>
      <c r="W40" s="1"/>
      <c r="X40" s="1"/>
      <c r="Y40" s="1"/>
      <c r="Z40" s="373">
        <f>-D43/D37</f>
        <v>0.15205724508050089</v>
      </c>
      <c r="AA40" s="373">
        <f t="shared" ref="AA40:AB40" si="8">-E43/E37</f>
        <v>0.15723170148301707</v>
      </c>
      <c r="AB40" s="445">
        <f t="shared" si="8"/>
        <v>0.16175231676495366</v>
      </c>
      <c r="AC40" s="1"/>
      <c r="AD40" s="443"/>
      <c r="AE40" s="1"/>
      <c r="AF40" s="1"/>
      <c r="AG40" s="1"/>
      <c r="AH40" s="1"/>
      <c r="AI40" s="1"/>
    </row>
    <row r="41" spans="1:35">
      <c r="A41" s="99" t="s">
        <v>499</v>
      </c>
      <c r="B41" s="1"/>
      <c r="C41" s="1"/>
      <c r="D41" s="443"/>
      <c r="E41" s="443"/>
      <c r="F41" s="371"/>
      <c r="G41" s="1"/>
      <c r="H41" s="1"/>
      <c r="I41" s="1"/>
      <c r="J41" s="1"/>
      <c r="K41" s="371"/>
      <c r="L41" s="1"/>
      <c r="M41" s="371"/>
      <c r="N41" s="1"/>
      <c r="O41" s="1"/>
      <c r="P41" s="1"/>
      <c r="Q41" s="1"/>
      <c r="R41" s="1"/>
      <c r="S41" s="1"/>
      <c r="T41" s="1"/>
      <c r="U41" s="1"/>
      <c r="V41" s="257" t="s">
        <v>579</v>
      </c>
      <c r="W41" s="1"/>
      <c r="X41" s="1"/>
      <c r="Y41" s="1"/>
      <c r="Z41" s="421">
        <f>AVERAGE(Z40:AB40)</f>
        <v>0.15701375444282387</v>
      </c>
      <c r="AA41" s="1"/>
      <c r="AB41" s="278"/>
      <c r="AC41" s="1"/>
      <c r="AD41" s="443"/>
      <c r="AE41" s="1"/>
      <c r="AF41" s="1"/>
      <c r="AG41" s="1"/>
      <c r="AH41" s="1"/>
      <c r="AI41" s="1"/>
    </row>
    <row r="42" spans="1:35">
      <c r="A42" s="371" t="s">
        <v>177</v>
      </c>
      <c r="B42" s="1">
        <f xml:space="preserve"> 'Reorganised Statements'!D58</f>
        <v>-2286</v>
      </c>
      <c r="C42" s="1">
        <f xml:space="preserve"> 'Reorganised Statements'!E58</f>
        <v>-2101</v>
      </c>
      <c r="D42" s="1">
        <f xml:space="preserve"> 'Reorganised Statements'!F58</f>
        <v>-2831</v>
      </c>
      <c r="E42" s="1">
        <f xml:space="preserve"> 'Reorganised Statements'!G58</f>
        <v>-3346</v>
      </c>
      <c r="F42" s="1">
        <f xml:space="preserve"> 'Reorganised Statements'!H58</f>
        <v>-4004</v>
      </c>
      <c r="G42" s="1">
        <f>-Z38*G37</f>
        <v>-3861.3170115701314</v>
      </c>
      <c r="H42" s="1">
        <f>-Z38*H37</f>
        <v>-3919.8645322851989</v>
      </c>
      <c r="I42" s="1">
        <f>-Z38*I37</f>
        <v>-3979.2997843550379</v>
      </c>
      <c r="J42" s="1">
        <f>-Z38*J37</f>
        <v>-4039.6362280756375</v>
      </c>
      <c r="K42" s="371">
        <f>-Z38*K37</f>
        <v>-4099.3699790456121</v>
      </c>
      <c r="L42" s="1"/>
      <c r="M42" s="371"/>
      <c r="N42" s="1"/>
      <c r="O42" s="1"/>
      <c r="P42" s="1"/>
      <c r="Q42" s="1"/>
      <c r="R42" s="1"/>
      <c r="S42" s="1"/>
      <c r="T42" s="1"/>
      <c r="U42" s="1"/>
      <c r="V42" s="257"/>
      <c r="W42" s="1"/>
      <c r="X42" s="1"/>
      <c r="Y42" s="1"/>
      <c r="Z42" s="1"/>
      <c r="AA42" s="1"/>
      <c r="AB42" s="278"/>
      <c r="AC42" s="1"/>
      <c r="AD42" s="443"/>
      <c r="AE42" s="1"/>
      <c r="AF42" s="1"/>
      <c r="AG42" s="1"/>
      <c r="AH42" s="1"/>
      <c r="AI42" s="1"/>
    </row>
    <row r="43" spans="1:35">
      <c r="A43" s="371" t="s">
        <v>179</v>
      </c>
      <c r="B43" s="1">
        <f xml:space="preserve"> 'Reorganised Statements'!D59</f>
        <v>-706</v>
      </c>
      <c r="C43" s="1">
        <f xml:space="preserve"> 'Reorganised Statements'!E59</f>
        <v>-758</v>
      </c>
      <c r="D43" s="1">
        <f xml:space="preserve"> 'Reorganised Statements'!F59</f>
        <v>-850</v>
      </c>
      <c r="E43" s="1">
        <f xml:space="preserve"> 'Reorganised Statements'!G59</f>
        <v>-986</v>
      </c>
      <c r="F43" s="1">
        <f xml:space="preserve"> 'Reorganised Statements'!H59</f>
        <v>-1152</v>
      </c>
      <c r="G43" s="1">
        <f>-Z41*G37</f>
        <v>-1135.2075417956739</v>
      </c>
      <c r="H43" s="1">
        <f>-Z41*H37</f>
        <v>-1152.4202147955934</v>
      </c>
      <c r="I43" s="1">
        <f>-Z41*I37</f>
        <v>-1169.8938762939981</v>
      </c>
      <c r="J43" s="1">
        <f>-Z41*J37</f>
        <v>-1187.6324835493767</v>
      </c>
      <c r="K43" s="371">
        <f>-Z41*K37</f>
        <v>-1205.1939022046365</v>
      </c>
      <c r="L43" s="1"/>
      <c r="M43" s="371"/>
      <c r="N43" s="1"/>
      <c r="O43" s="1"/>
      <c r="P43" s="1"/>
      <c r="Q43" s="1"/>
      <c r="R43" s="1"/>
      <c r="S43" s="1"/>
      <c r="T43" s="1"/>
      <c r="U43" s="1"/>
      <c r="V43" s="257" t="s">
        <v>581</v>
      </c>
      <c r="W43" s="1"/>
      <c r="X43" s="1"/>
      <c r="Y43" s="1"/>
      <c r="Z43" s="373">
        <f>-D45/D37</f>
        <v>0.11359570661896243</v>
      </c>
      <c r="AA43" s="373">
        <f t="shared" ref="AA43:AB43" si="9">-E45/E37</f>
        <v>0.10604369319087865</v>
      </c>
      <c r="AB43" s="445">
        <f t="shared" si="9"/>
        <v>9.828699803426004E-2</v>
      </c>
      <c r="AC43" s="1"/>
      <c r="AD43" s="443"/>
      <c r="AE43" s="1"/>
      <c r="AF43" s="1"/>
      <c r="AG43" s="1"/>
      <c r="AH43" s="1"/>
      <c r="AI43" s="1"/>
    </row>
    <row r="44" spans="1:35" ht="15" thickBot="1">
      <c r="A44" s="371" t="s">
        <v>183</v>
      </c>
      <c r="B44" s="1">
        <f xml:space="preserve"> 'Reorganised Statements'!D60</f>
        <v>-252</v>
      </c>
      <c r="C44" s="1">
        <f xml:space="preserve"> 'Reorganised Statements'!E60</f>
        <v>-243</v>
      </c>
      <c r="D44" s="1">
        <f xml:space="preserve"> 'Reorganised Statements'!F60</f>
        <v>-281</v>
      </c>
      <c r="E44" s="1">
        <f xml:space="preserve"> 'Reorganised Statements'!G60</f>
        <v>-266</v>
      </c>
      <c r="F44" s="1">
        <f xml:space="preserve"> 'Reorganised Statements'!H60</f>
        <v>-234</v>
      </c>
      <c r="G44" s="466">
        <f>(G46-G42-G43-G45)</f>
        <v>-394.3485356689381</v>
      </c>
      <c r="H44" s="1">
        <f t="shared" ref="H44:K44" si="10">(H46-H42-H43-H45)</f>
        <v>-346.13352111880317</v>
      </c>
      <c r="I44" s="1">
        <f t="shared" si="10"/>
        <v>-294.11338730152363</v>
      </c>
      <c r="J44" s="1">
        <f t="shared" si="10"/>
        <v>-238.05606978490357</v>
      </c>
      <c r="K44" s="371">
        <f t="shared" si="10"/>
        <v>-177.04862284693229</v>
      </c>
      <c r="L44" s="1"/>
      <c r="M44" s="371"/>
      <c r="N44" s="1"/>
      <c r="O44" s="1"/>
      <c r="P44" s="1"/>
      <c r="Q44" s="1"/>
      <c r="R44" s="1"/>
      <c r="S44" s="1"/>
      <c r="T44" s="1"/>
      <c r="U44" s="1"/>
      <c r="V44" s="269" t="s">
        <v>579</v>
      </c>
      <c r="W44" s="384"/>
      <c r="X44" s="384"/>
      <c r="Y44" s="384"/>
      <c r="Z44" s="467">
        <f>AVERAGE(Z43:AB43)</f>
        <v>0.10597546594803371</v>
      </c>
      <c r="AA44" s="384"/>
      <c r="AB44" s="281"/>
      <c r="AC44" s="1"/>
      <c r="AD44" s="443"/>
      <c r="AE44" s="1"/>
      <c r="AF44" s="1"/>
      <c r="AG44" s="1"/>
      <c r="AH44" s="1"/>
      <c r="AI44" s="1"/>
    </row>
    <row r="45" spans="1:35">
      <c r="A45" s="99" t="s">
        <v>310</v>
      </c>
      <c r="B45" s="101">
        <f xml:space="preserve"> 'Reorganised Statements'!D61</f>
        <v>-629</v>
      </c>
      <c r="C45" s="101">
        <f xml:space="preserve"> 'Reorganised Statements'!E61</f>
        <v>-596</v>
      </c>
      <c r="D45" s="101">
        <f xml:space="preserve"> 'Reorganised Statements'!F61</f>
        <v>-635</v>
      </c>
      <c r="E45" s="101">
        <f xml:space="preserve"> 'Reorganised Statements'!G61</f>
        <v>-665</v>
      </c>
      <c r="F45" s="101">
        <f xml:space="preserve"> 'Reorganised Statements'!H61</f>
        <v>-700</v>
      </c>
      <c r="G45" s="101">
        <f>-Z44*G37</f>
        <v>-766.20133450364017</v>
      </c>
      <c r="H45" s="101">
        <f>-Z44*H37</f>
        <v>-777.81892207009673</v>
      </c>
      <c r="I45" s="101">
        <f>-Z44*I37</f>
        <v>-789.61266221523772</v>
      </c>
      <c r="J45" s="101">
        <f>-Z44*J37</f>
        <v>-801.5852258662934</v>
      </c>
      <c r="K45" s="99">
        <f>-Z44*K37</f>
        <v>-813.43819716364135</v>
      </c>
      <c r="L45" s="1"/>
      <c r="M45" s="371"/>
      <c r="N45" s="1"/>
      <c r="O45" s="1"/>
      <c r="P45" s="1"/>
      <c r="Q45" s="1"/>
      <c r="R45" s="1"/>
      <c r="S45" s="1"/>
      <c r="T45" s="1"/>
      <c r="U45" s="1"/>
      <c r="V45" s="1"/>
      <c r="W45" s="1"/>
      <c r="X45" s="1"/>
      <c r="Y45" s="1"/>
      <c r="Z45" s="1"/>
      <c r="AA45" s="1"/>
      <c r="AB45" s="1"/>
      <c r="AC45" s="1"/>
      <c r="AD45" s="443"/>
      <c r="AE45" s="1"/>
      <c r="AF45" s="1"/>
      <c r="AG45" s="1"/>
      <c r="AH45" s="1"/>
      <c r="AI45" s="1"/>
    </row>
    <row r="46" spans="1:35">
      <c r="A46" s="465" t="s">
        <v>500</v>
      </c>
      <c r="B46" s="443">
        <f>B42+B43+B44+B45</f>
        <v>-3873</v>
      </c>
      <c r="C46" s="443">
        <f t="shared" ref="C46:F46" si="11">C42+C43+C44+C45</f>
        <v>-3698</v>
      </c>
      <c r="D46" s="443">
        <f t="shared" si="11"/>
        <v>-4597</v>
      </c>
      <c r="E46" s="443">
        <f t="shared" si="11"/>
        <v>-5263</v>
      </c>
      <c r="F46" s="465">
        <f t="shared" si="11"/>
        <v>-6090</v>
      </c>
      <c r="G46" s="468">
        <f>-(G39-G52)</f>
        <v>-6157.0744235383836</v>
      </c>
      <c r="H46" s="468">
        <f t="shared" ref="H46:K46" si="12">-(H39-H52)</f>
        <v>-6196.2371902696923</v>
      </c>
      <c r="I46" s="468">
        <f t="shared" si="12"/>
        <v>-6232.9197101657974</v>
      </c>
      <c r="J46" s="468">
        <f t="shared" si="12"/>
        <v>-6266.9100072762112</v>
      </c>
      <c r="K46" s="469">
        <f t="shared" si="12"/>
        <v>-6295.0507012608223</v>
      </c>
      <c r="L46" s="1"/>
      <c r="M46" s="371"/>
      <c r="N46" s="1"/>
      <c r="O46" s="1"/>
      <c r="P46" s="1"/>
      <c r="Q46" s="1"/>
      <c r="R46" s="1"/>
      <c r="S46" s="1"/>
      <c r="T46" s="1"/>
      <c r="U46" s="1"/>
      <c r="V46" s="1"/>
      <c r="W46" s="1"/>
      <c r="X46" s="1"/>
      <c r="Y46" s="1"/>
      <c r="Z46" s="1"/>
      <c r="AA46" s="1"/>
      <c r="AB46" s="1"/>
      <c r="AC46" s="1"/>
      <c r="AD46" s="443"/>
      <c r="AE46" s="1"/>
      <c r="AF46" s="1"/>
      <c r="AG46" s="1"/>
      <c r="AH46" s="1"/>
      <c r="AI46" s="1"/>
    </row>
    <row r="47" spans="1:35">
      <c r="A47" s="371"/>
      <c r="B47" s="1"/>
      <c r="C47" s="1"/>
      <c r="D47" s="443"/>
      <c r="E47" s="443"/>
      <c r="F47" s="371"/>
      <c r="G47" s="1"/>
      <c r="H47" s="1"/>
      <c r="I47" s="1"/>
      <c r="J47" s="1"/>
      <c r="K47" s="371"/>
      <c r="L47" s="1"/>
      <c r="M47" s="371"/>
      <c r="N47" s="1"/>
      <c r="O47" s="1"/>
      <c r="P47" s="1"/>
      <c r="Q47" s="1"/>
      <c r="R47" s="1"/>
      <c r="S47" s="1"/>
      <c r="T47" s="1"/>
      <c r="U47" s="1"/>
      <c r="V47" s="1"/>
      <c r="W47" s="1"/>
      <c r="X47" s="1"/>
      <c r="Y47" s="1"/>
      <c r="Z47" s="1"/>
      <c r="AA47" s="1"/>
      <c r="AB47" s="1"/>
      <c r="AC47" s="1"/>
      <c r="AD47" s="443"/>
      <c r="AE47" s="1"/>
      <c r="AF47" s="1"/>
      <c r="AG47" s="1"/>
      <c r="AH47" s="1"/>
      <c r="AI47" s="1"/>
    </row>
    <row r="48" spans="1:35">
      <c r="A48" s="371" t="s">
        <v>582</v>
      </c>
      <c r="B48" s="373">
        <f>-(B46/B39)</f>
        <v>0.78703515545620806</v>
      </c>
      <c r="C48" s="373">
        <f t="shared" ref="C48:F48" si="13">-(C46/C39)</f>
        <v>0.76090534979423863</v>
      </c>
      <c r="D48" s="373">
        <f t="shared" si="13"/>
        <v>0.79313319530710835</v>
      </c>
      <c r="E48" s="373">
        <f t="shared" si="13"/>
        <v>0.81044040652910376</v>
      </c>
      <c r="F48" s="455">
        <f t="shared" si="13"/>
        <v>0.83151283451665758</v>
      </c>
      <c r="G48" s="373">
        <f>-(G46/G39)</f>
        <v>0.82522669423704809</v>
      </c>
      <c r="H48" s="373">
        <f t="shared" ref="H48:K48" si="14">-(H46/H39)</f>
        <v>0.81807156772896483</v>
      </c>
      <c r="I48" s="373">
        <f t="shared" si="14"/>
        <v>0.8106235141338578</v>
      </c>
      <c r="J48" s="373">
        <f t="shared" si="14"/>
        <v>0.80287054117203538</v>
      </c>
      <c r="K48" s="455">
        <f t="shared" si="14"/>
        <v>0.79472420252848619</v>
      </c>
      <c r="L48" s="1"/>
      <c r="M48" s="371"/>
      <c r="N48" s="1"/>
      <c r="O48" s="1"/>
      <c r="P48" s="1"/>
      <c r="Q48" s="1"/>
      <c r="R48" s="1"/>
      <c r="S48" s="1"/>
      <c r="T48" s="1"/>
      <c r="U48" s="1"/>
      <c r="V48" s="1"/>
      <c r="W48" s="1"/>
      <c r="X48" s="1"/>
      <c r="Y48" s="1"/>
      <c r="Z48" s="1"/>
      <c r="AA48" s="1"/>
      <c r="AB48" s="1"/>
      <c r="AC48" s="1"/>
      <c r="AD48" s="443"/>
      <c r="AE48" s="1"/>
      <c r="AF48" s="1"/>
      <c r="AG48" s="1"/>
      <c r="AH48" s="1"/>
      <c r="AI48" s="1"/>
    </row>
    <row r="49" spans="1:35">
      <c r="A49" s="371"/>
      <c r="B49" s="1"/>
      <c r="C49" s="1"/>
      <c r="D49" s="443"/>
      <c r="E49" s="443"/>
      <c r="F49" s="371"/>
      <c r="G49" s="1"/>
      <c r="H49" s="1"/>
      <c r="I49" s="1"/>
      <c r="J49" s="1"/>
      <c r="K49" s="371"/>
      <c r="L49" s="1"/>
      <c r="M49" s="371"/>
      <c r="N49" s="1"/>
      <c r="O49" s="1"/>
      <c r="P49" s="1"/>
      <c r="Q49" s="1"/>
      <c r="R49" s="1"/>
      <c r="S49" s="1"/>
      <c r="T49" s="1"/>
      <c r="U49" s="1"/>
      <c r="V49" s="1"/>
      <c r="W49" s="1"/>
      <c r="X49" s="1"/>
      <c r="Y49" s="1"/>
      <c r="Z49" s="1"/>
      <c r="AA49" s="1"/>
      <c r="AB49" s="1"/>
      <c r="AC49" s="1"/>
      <c r="AD49" s="443"/>
      <c r="AE49" s="1"/>
      <c r="AF49" s="1"/>
      <c r="AG49" s="1"/>
      <c r="AH49" s="1"/>
      <c r="AI49" s="1"/>
    </row>
    <row r="50" spans="1:35">
      <c r="A50" s="371"/>
      <c r="B50" s="1"/>
      <c r="C50" s="1"/>
      <c r="D50" s="443"/>
      <c r="E50" s="443"/>
      <c r="F50" s="371"/>
      <c r="G50" s="1"/>
      <c r="H50" s="1"/>
      <c r="I50" s="1"/>
      <c r="J50" s="1"/>
      <c r="K50" s="371"/>
      <c r="L50" s="1"/>
      <c r="M50" s="371"/>
      <c r="N50" s="1"/>
      <c r="O50" s="1"/>
      <c r="P50" s="1"/>
      <c r="Q50" s="1"/>
      <c r="R50" s="1"/>
      <c r="S50" s="1"/>
      <c r="T50" s="1"/>
      <c r="U50" s="1"/>
      <c r="V50" s="1"/>
      <c r="W50" s="1"/>
      <c r="X50" s="1"/>
      <c r="Y50" s="1"/>
      <c r="Z50" s="1"/>
      <c r="AA50" s="1"/>
      <c r="AB50" s="1"/>
      <c r="AC50" s="1"/>
      <c r="AD50" s="443"/>
      <c r="AE50" s="1"/>
      <c r="AF50" s="1"/>
      <c r="AG50" s="1"/>
      <c r="AH50" s="1"/>
      <c r="AI50" s="1"/>
    </row>
    <row r="51" spans="1:35">
      <c r="A51" s="99"/>
      <c r="B51" s="378"/>
      <c r="C51" s="101"/>
      <c r="D51" s="379"/>
      <c r="E51" s="379"/>
      <c r="F51" s="99"/>
      <c r="G51" s="101"/>
      <c r="H51" s="101"/>
      <c r="I51" s="101"/>
      <c r="J51" s="101"/>
      <c r="K51" s="99"/>
      <c r="L51" s="1"/>
      <c r="M51" s="371"/>
      <c r="N51" s="1"/>
      <c r="O51" s="1"/>
      <c r="P51" s="1"/>
      <c r="Q51" s="1"/>
      <c r="R51" s="1"/>
      <c r="S51" s="1"/>
      <c r="T51" s="1"/>
      <c r="U51" s="1"/>
      <c r="V51" s="1"/>
      <c r="W51" s="1"/>
      <c r="X51" s="1"/>
      <c r="Y51" s="1"/>
      <c r="Z51" s="1"/>
      <c r="AA51" s="1"/>
      <c r="AB51" s="1"/>
      <c r="AC51" s="1"/>
      <c r="AD51" s="443"/>
      <c r="AE51" s="1"/>
      <c r="AF51" s="1"/>
      <c r="AG51" s="1"/>
      <c r="AH51" s="1"/>
      <c r="AI51" s="1"/>
    </row>
    <row r="52" spans="1:35">
      <c r="A52" s="470" t="s">
        <v>583</v>
      </c>
      <c r="B52" s="471">
        <f>B39+B46</f>
        <v>1048</v>
      </c>
      <c r="C52" s="471">
        <f t="shared" ref="C52:F52" si="15">C39+C46</f>
        <v>1162</v>
      </c>
      <c r="D52" s="471">
        <f t="shared" si="15"/>
        <v>1199</v>
      </c>
      <c r="E52" s="471">
        <f t="shared" si="15"/>
        <v>1231</v>
      </c>
      <c r="F52" s="472">
        <f t="shared" si="15"/>
        <v>1234</v>
      </c>
      <c r="G52" s="473">
        <f>(1+0.056722796)*F52</f>
        <v>1303.995930264</v>
      </c>
      <c r="H52" s="473">
        <f t="shared" ref="H52:K52" si="16">(1+0.056722796)*G52</f>
        <v>1377.9622254011952</v>
      </c>
      <c r="I52" s="473">
        <f t="shared" si="16"/>
        <v>1456.1240956083332</v>
      </c>
      <c r="J52" s="473">
        <f t="shared" si="16"/>
        <v>1538.7195256342093</v>
      </c>
      <c r="K52" s="474">
        <f t="shared" si="16"/>
        <v>1625.9999993879753</v>
      </c>
      <c r="L52" s="1"/>
      <c r="M52" s="371"/>
      <c r="N52" s="1"/>
      <c r="O52" s="1"/>
      <c r="P52" s="1"/>
      <c r="Q52" s="1"/>
      <c r="R52" s="1"/>
      <c r="S52" s="1"/>
      <c r="T52" s="1"/>
      <c r="U52" s="1"/>
      <c r="V52" s="1"/>
      <c r="W52" s="1"/>
      <c r="X52" s="1"/>
      <c r="Y52" s="1"/>
      <c r="Z52" s="1"/>
      <c r="AA52" s="1"/>
      <c r="AB52" s="1"/>
      <c r="AC52" s="1"/>
      <c r="AD52" s="443"/>
      <c r="AE52" s="1"/>
      <c r="AF52" s="1"/>
      <c r="AG52" s="1"/>
      <c r="AH52" s="1"/>
      <c r="AI52" s="1"/>
    </row>
    <row r="53" spans="1:35">
      <c r="A53" s="96" t="s">
        <v>584</v>
      </c>
      <c r="B53" s="475">
        <f>B52/B37</f>
        <v>0.22147083685545224</v>
      </c>
      <c r="C53" s="476">
        <f t="shared" ref="C53:F53" si="17">C52/C37</f>
        <v>0.25365640689805719</v>
      </c>
      <c r="D53" s="476">
        <f t="shared" si="17"/>
        <v>0.21449016100178891</v>
      </c>
      <c r="E53" s="476">
        <f t="shared" si="17"/>
        <v>0.19630043055334079</v>
      </c>
      <c r="F53" s="477">
        <f t="shared" si="17"/>
        <v>0.17326593653468128</v>
      </c>
      <c r="G53" s="476">
        <f>(1+0.04093947)*F53</f>
        <v>0.18035935214546478</v>
      </c>
      <c r="H53" s="476">
        <f t="shared" ref="H53:J53" si="18">(1+0.04093947)*G53</f>
        <v>0.18774316843184349</v>
      </c>
      <c r="I53" s="476">
        <f t="shared" si="18"/>
        <v>0.19542927424356391</v>
      </c>
      <c r="J53" s="476">
        <f t="shared" si="18"/>
        <v>0.20343004515358007</v>
      </c>
      <c r="K53" s="477">
        <f>AVERAGE(B53,C53,D53,E53,F53)</f>
        <v>0.21183675436866406</v>
      </c>
      <c r="L53" s="1"/>
      <c r="M53" s="371"/>
      <c r="N53" s="1"/>
      <c r="O53" s="1"/>
      <c r="P53" s="1"/>
      <c r="Q53" s="1"/>
      <c r="R53" s="1"/>
      <c r="S53" s="1"/>
      <c r="T53" s="1"/>
      <c r="U53" s="1"/>
      <c r="V53" s="1"/>
      <c r="W53" s="1"/>
      <c r="X53" s="1"/>
      <c r="Y53" s="1"/>
      <c r="Z53" s="1"/>
      <c r="AA53" s="1"/>
      <c r="AB53" s="1"/>
      <c r="AC53" s="1"/>
      <c r="AD53" s="1"/>
      <c r="AE53" s="1"/>
      <c r="AF53" s="1"/>
      <c r="AG53" s="1"/>
      <c r="AH53" s="1"/>
      <c r="AI53" s="1"/>
    </row>
    <row r="54" spans="1:35" ht="15" thickBot="1">
      <c r="A54" s="1"/>
      <c r="B54" s="1"/>
      <c r="C54" s="1"/>
      <c r="D54" s="1"/>
      <c r="E54" s="1"/>
      <c r="F54" s="371"/>
      <c r="G54" s="1"/>
      <c r="H54" s="1"/>
      <c r="I54" s="1"/>
      <c r="J54" s="1"/>
      <c r="K54" s="371"/>
      <c r="L54" s="1"/>
      <c r="M54" s="371"/>
      <c r="N54" s="1"/>
      <c r="O54" s="1"/>
      <c r="P54" s="1"/>
      <c r="Q54" s="1"/>
      <c r="R54" s="1"/>
      <c r="S54" s="1"/>
      <c r="T54" s="1"/>
      <c r="U54" s="1"/>
      <c r="V54" s="1"/>
      <c r="W54" s="1"/>
      <c r="X54" s="1"/>
      <c r="Y54" s="1"/>
      <c r="Z54" s="1"/>
      <c r="AA54" s="1"/>
      <c r="AB54" s="1"/>
      <c r="AC54" s="1"/>
      <c r="AD54" s="1"/>
      <c r="AE54" s="1"/>
      <c r="AF54" s="1"/>
      <c r="AG54" s="1"/>
      <c r="AH54" s="1"/>
      <c r="AI54" s="1"/>
    </row>
    <row r="55" spans="1:35" ht="15" thickBot="1">
      <c r="A55" s="461" t="s">
        <v>585</v>
      </c>
      <c r="B55" s="1"/>
      <c r="C55" s="1"/>
      <c r="D55" s="1"/>
      <c r="E55" s="1"/>
      <c r="F55" s="371"/>
      <c r="G55" s="1"/>
      <c r="H55" s="1"/>
      <c r="I55" s="1"/>
      <c r="J55" s="1"/>
      <c r="K55" s="371"/>
      <c r="L55" s="1"/>
      <c r="M55" s="371"/>
      <c r="N55" s="1"/>
      <c r="O55" s="1"/>
      <c r="P55" s="1"/>
      <c r="Q55" s="1"/>
      <c r="R55" s="1"/>
      <c r="S55" s="1"/>
      <c r="T55" s="1"/>
      <c r="U55" s="1"/>
      <c r="V55" s="1"/>
      <c r="W55" s="1"/>
      <c r="X55" s="1"/>
      <c r="Y55" s="1"/>
      <c r="Z55" s="1"/>
      <c r="AA55" s="1"/>
      <c r="AB55" s="1"/>
      <c r="AC55" s="1"/>
      <c r="AD55" s="1"/>
      <c r="AE55" s="1"/>
      <c r="AF55" s="1"/>
      <c r="AG55" s="1"/>
      <c r="AH55" s="1"/>
      <c r="AI55" s="1"/>
    </row>
    <row r="56" spans="1:35">
      <c r="A56" s="478"/>
      <c r="B56" s="1"/>
      <c r="C56" s="1"/>
      <c r="D56" s="1"/>
      <c r="E56" s="1"/>
      <c r="F56" s="371"/>
      <c r="G56" s="1"/>
      <c r="H56" s="1"/>
      <c r="I56" s="1"/>
      <c r="J56" s="1"/>
      <c r="K56" s="371"/>
      <c r="L56" s="1"/>
      <c r="M56" s="371"/>
      <c r="N56" s="1"/>
      <c r="O56" s="1"/>
      <c r="P56" s="1"/>
      <c r="Q56" s="1"/>
      <c r="R56" s="1"/>
      <c r="S56" s="1"/>
      <c r="T56" s="1"/>
      <c r="U56" s="1"/>
      <c r="V56" s="1"/>
      <c r="W56" s="1"/>
      <c r="X56" s="1"/>
      <c r="Y56" s="1"/>
      <c r="Z56" s="1"/>
      <c r="AA56" s="1"/>
      <c r="AB56" s="1"/>
      <c r="AC56" s="1"/>
      <c r="AD56" s="1"/>
      <c r="AE56" s="1"/>
      <c r="AF56" s="1"/>
      <c r="AG56" s="1"/>
      <c r="AH56" s="1"/>
      <c r="AI56" s="1"/>
    </row>
    <row r="57" spans="1:35">
      <c r="A57" s="99" t="s">
        <v>586</v>
      </c>
      <c r="B57" s="101">
        <f xml:space="preserve"> 'Reorganised Statements'!D5+'Reorganised Statements'!D6</f>
        <v>6415</v>
      </c>
      <c r="C57" s="101">
        <f xml:space="preserve"> 'Reorganised Statements'!E5+'Reorganised Statements'!E6</f>
        <v>6833</v>
      </c>
      <c r="D57" s="101">
        <f xml:space="preserve"> 'Reorganised Statements'!F5+'Reorganised Statements'!F6</f>
        <v>6469</v>
      </c>
      <c r="E57" s="101">
        <f xml:space="preserve"> 'Reorganised Statements'!G5+'Reorganised Statements'!G6</f>
        <v>6922</v>
      </c>
      <c r="F57" s="101">
        <f xml:space="preserve"> 'Reorganised Statements'!H5+'Reorganised Statements'!H6</f>
        <v>7248</v>
      </c>
      <c r="G57" s="479">
        <f>G58+G59</f>
        <v>7509.2239672032174</v>
      </c>
      <c r="H57" s="479">
        <f t="shared" ref="H57:K57" si="19">H58+H59</f>
        <v>7765.5960602293999</v>
      </c>
      <c r="I57" s="479">
        <f t="shared" si="19"/>
        <v>8017.6005150802248</v>
      </c>
      <c r="J57" s="479">
        <f t="shared" si="19"/>
        <v>8265.6896991172107</v>
      </c>
      <c r="K57" s="480">
        <f t="shared" si="19"/>
        <v>8509.9453559661742</v>
      </c>
      <c r="L57" s="101"/>
      <c r="M57" s="371"/>
      <c r="N57" s="1"/>
      <c r="O57" s="1"/>
      <c r="P57" s="1"/>
      <c r="Q57" s="1"/>
      <c r="R57" s="1"/>
      <c r="S57" s="1"/>
      <c r="T57" s="1"/>
      <c r="U57" s="1"/>
      <c r="V57" s="1"/>
      <c r="W57" s="1"/>
      <c r="X57" s="1"/>
      <c r="Y57" s="1"/>
      <c r="Z57" s="1"/>
      <c r="AA57" s="1"/>
      <c r="AB57" s="1"/>
      <c r="AC57" s="1"/>
      <c r="AD57" s="1"/>
      <c r="AE57" s="1"/>
      <c r="AF57" s="1"/>
      <c r="AG57" s="1"/>
      <c r="AH57" s="1"/>
      <c r="AI57" s="1"/>
    </row>
    <row r="58" spans="1:35">
      <c r="A58" s="371" t="s">
        <v>587</v>
      </c>
      <c r="B58" s="1">
        <f>'Reorganised Statements'!D5</f>
        <v>5067</v>
      </c>
      <c r="C58" s="1">
        <f>'Reorganised Statements'!E5</f>
        <v>5129</v>
      </c>
      <c r="D58" s="1">
        <f>'Reorganised Statements'!F5</f>
        <v>4606</v>
      </c>
      <c r="E58" s="1">
        <f>'Reorganised Statements'!G5</f>
        <v>4620</v>
      </c>
      <c r="F58" s="1">
        <f>'Reorganised Statements'!H5</f>
        <v>4869</v>
      </c>
      <c r="G58" s="466">
        <f>G68</f>
        <v>4964.9255830968814</v>
      </c>
      <c r="H58" s="466">
        <f t="shared" ref="H58:K58" si="20">H68</f>
        <v>5060.1014455884615</v>
      </c>
      <c r="I58" s="466">
        <f t="shared" si="20"/>
        <v>5154.7360712934978</v>
      </c>
      <c r="J58" s="466">
        <f t="shared" si="20"/>
        <v>5249.0191767306296</v>
      </c>
      <c r="K58" s="481">
        <f t="shared" si="20"/>
        <v>5342.8950490737898</v>
      </c>
      <c r="L58" s="1"/>
      <c r="M58" s="371"/>
      <c r="N58" s="1"/>
      <c r="O58" s="1"/>
      <c r="P58" s="1"/>
      <c r="Q58" s="1"/>
      <c r="R58" s="1"/>
      <c r="S58" s="1"/>
      <c r="T58" s="1"/>
      <c r="U58" s="1"/>
      <c r="V58" s="1"/>
      <c r="W58" s="1"/>
      <c r="X58" s="1"/>
      <c r="Y58" s="1"/>
      <c r="Z58" s="1"/>
      <c r="AA58" s="1"/>
      <c r="AB58" s="1"/>
      <c r="AC58" s="1"/>
      <c r="AD58" s="1"/>
      <c r="AE58" s="1"/>
      <c r="AF58" s="1"/>
      <c r="AG58" s="1"/>
      <c r="AH58" s="1"/>
      <c r="AI58" s="1"/>
    </row>
    <row r="59" spans="1:35">
      <c r="A59" s="371" t="s">
        <v>588</v>
      </c>
      <c r="B59" s="1">
        <f>'Reorganised Statements'!D6</f>
        <v>1348</v>
      </c>
      <c r="C59" s="1">
        <f>'Reorganised Statements'!E6</f>
        <v>1704</v>
      </c>
      <c r="D59" s="1">
        <f>'Reorganised Statements'!F6</f>
        <v>1863</v>
      </c>
      <c r="E59" s="1">
        <f>'Reorganised Statements'!G6</f>
        <v>2302</v>
      </c>
      <c r="F59" s="1">
        <f>'Reorganised Statements'!H6</f>
        <v>2379</v>
      </c>
      <c r="G59" s="466">
        <f>G79</f>
        <v>2544.298384106336</v>
      </c>
      <c r="H59" s="466">
        <f t="shared" ref="H59:K59" si="21">H79</f>
        <v>2705.4946146409388</v>
      </c>
      <c r="I59" s="466">
        <f t="shared" si="21"/>
        <v>2862.864443786727</v>
      </c>
      <c r="J59" s="466">
        <f t="shared" si="21"/>
        <v>3016.670522386582</v>
      </c>
      <c r="K59" s="481">
        <f t="shared" si="21"/>
        <v>3167.050306892384</v>
      </c>
      <c r="L59" s="1"/>
      <c r="M59" s="371"/>
      <c r="N59" s="1"/>
      <c r="O59" s="1"/>
      <c r="P59" s="1"/>
      <c r="Q59" s="1"/>
      <c r="R59" s="1"/>
      <c r="S59" s="1"/>
      <c r="T59" s="1"/>
      <c r="U59" s="1"/>
      <c r="V59" s="1"/>
      <c r="W59" s="1"/>
      <c r="X59" s="1"/>
      <c r="Y59" s="1"/>
      <c r="Z59" s="1"/>
      <c r="AA59" s="1"/>
      <c r="AB59" s="1"/>
      <c r="AC59" s="1"/>
      <c r="AD59" s="1"/>
      <c r="AE59" s="1"/>
      <c r="AF59" s="1"/>
      <c r="AG59" s="1"/>
      <c r="AH59" s="1"/>
      <c r="AI59" s="1"/>
    </row>
    <row r="60" spans="1:35">
      <c r="A60" s="371" t="s">
        <v>589</v>
      </c>
      <c r="B60" s="373">
        <f>B58/B57</f>
        <v>0.78986749805144196</v>
      </c>
      <c r="C60" s="373">
        <f t="shared" ref="C60:F60" si="22">C58/C57</f>
        <v>0.75062198156007609</v>
      </c>
      <c r="D60" s="373">
        <f t="shared" si="22"/>
        <v>0.71201113000463745</v>
      </c>
      <c r="E60" s="373">
        <f t="shared" si="22"/>
        <v>0.66743715689107197</v>
      </c>
      <c r="F60" s="455">
        <f t="shared" si="22"/>
        <v>0.67177152317880795</v>
      </c>
      <c r="G60" s="373"/>
      <c r="H60" s="373"/>
      <c r="I60" s="373"/>
      <c r="J60" s="373"/>
      <c r="K60" s="455"/>
      <c r="L60" s="1"/>
      <c r="M60" s="371"/>
      <c r="N60" s="1"/>
      <c r="O60" s="1"/>
      <c r="P60" s="1"/>
      <c r="Q60" s="1"/>
      <c r="R60" s="1"/>
      <c r="S60" s="1"/>
      <c r="T60" s="1"/>
      <c r="U60" s="1"/>
      <c r="V60" s="1"/>
      <c r="W60" s="1"/>
      <c r="X60" s="1"/>
      <c r="Y60" s="1"/>
      <c r="Z60" s="1"/>
      <c r="AA60" s="1"/>
      <c r="AB60" s="1"/>
      <c r="AC60" s="1"/>
      <c r="AD60" s="1"/>
      <c r="AE60" s="1"/>
      <c r="AF60" s="1"/>
      <c r="AG60" s="1"/>
      <c r="AH60" s="1"/>
      <c r="AI60" s="1"/>
    </row>
    <row r="61" spans="1:35">
      <c r="A61" s="371" t="s">
        <v>590</v>
      </c>
      <c r="B61" s="373">
        <f>1-B60</f>
        <v>0.21013250194855804</v>
      </c>
      <c r="C61" s="373">
        <f t="shared" ref="C61:F61" si="23">1-C60</f>
        <v>0.24937801843992391</v>
      </c>
      <c r="D61" s="373">
        <f t="shared" si="23"/>
        <v>0.28798886999536255</v>
      </c>
      <c r="E61" s="373">
        <f t="shared" si="23"/>
        <v>0.33256284310892803</v>
      </c>
      <c r="F61" s="455">
        <f t="shared" si="23"/>
        <v>0.32822847682119205</v>
      </c>
      <c r="G61" s="1"/>
      <c r="H61" s="1"/>
      <c r="I61" s="1"/>
      <c r="J61" s="1"/>
      <c r="K61" s="371"/>
      <c r="L61" s="1"/>
      <c r="M61" s="371"/>
      <c r="N61" s="1"/>
      <c r="O61" s="1"/>
      <c r="P61" s="1"/>
      <c r="Q61" s="1"/>
      <c r="R61" s="1"/>
      <c r="S61" s="1"/>
      <c r="T61" s="1"/>
      <c r="U61" s="1"/>
      <c r="V61" s="1"/>
      <c r="W61" s="1"/>
      <c r="X61" s="1"/>
      <c r="Y61" s="1"/>
      <c r="Z61" s="1"/>
      <c r="AA61" s="1"/>
      <c r="AB61" s="1"/>
      <c r="AC61" s="1"/>
      <c r="AD61" s="1"/>
      <c r="AE61" s="1"/>
      <c r="AF61" s="1"/>
      <c r="AG61" s="1"/>
      <c r="AH61" s="1"/>
      <c r="AI61" s="1"/>
    </row>
    <row r="62" spans="1:35" ht="15" thickBot="1">
      <c r="A62" s="371"/>
      <c r="B62" s="1"/>
      <c r="C62" s="1"/>
      <c r="D62" s="1"/>
      <c r="E62" s="1"/>
      <c r="F62" s="371"/>
      <c r="G62" s="1"/>
      <c r="H62" s="1"/>
      <c r="I62" s="1"/>
      <c r="J62" s="1"/>
      <c r="K62" s="371"/>
      <c r="L62" s="1"/>
      <c r="M62" s="371"/>
      <c r="N62" s="1"/>
      <c r="O62" s="1"/>
      <c r="P62" s="1"/>
      <c r="Q62" s="1"/>
      <c r="R62" s="1"/>
      <c r="S62" s="1"/>
      <c r="T62" s="1"/>
      <c r="U62" s="1"/>
      <c r="V62" s="1"/>
      <c r="W62" s="1"/>
      <c r="X62" s="1"/>
      <c r="Y62" s="1"/>
      <c r="Z62" s="1"/>
      <c r="AA62" s="1"/>
      <c r="AB62" s="1"/>
      <c r="AC62" s="1"/>
      <c r="AD62" s="1"/>
      <c r="AE62" s="1"/>
      <c r="AF62" s="1"/>
      <c r="AG62" s="1"/>
      <c r="AH62" s="1"/>
      <c r="AI62" s="1"/>
    </row>
    <row r="63" spans="1:35" ht="15" thickBot="1">
      <c r="A63" s="99" t="s">
        <v>591</v>
      </c>
      <c r="B63" s="101"/>
      <c r="C63" s="101"/>
      <c r="D63" s="101"/>
      <c r="E63" s="101"/>
      <c r="F63" s="99"/>
      <c r="G63" s="101"/>
      <c r="H63" s="101"/>
      <c r="I63" s="101"/>
      <c r="J63" s="101"/>
      <c r="K63" s="99"/>
      <c r="L63" s="101"/>
      <c r="M63" s="371"/>
      <c r="N63" s="1"/>
      <c r="O63" s="1"/>
      <c r="P63" s="1"/>
      <c r="Q63" s="1"/>
      <c r="R63" s="1"/>
      <c r="S63" s="1"/>
      <c r="T63" s="340" t="s">
        <v>419</v>
      </c>
      <c r="U63" s="341"/>
      <c r="V63" s="341"/>
      <c r="W63" s="341"/>
      <c r="X63" s="341"/>
      <c r="Y63" s="341"/>
      <c r="Z63" s="482"/>
      <c r="AA63" s="1"/>
      <c r="AB63" s="1"/>
      <c r="AC63" s="1"/>
      <c r="AD63" s="1"/>
      <c r="AE63" s="1"/>
      <c r="AF63" s="1"/>
      <c r="AG63" s="1"/>
      <c r="AH63" s="1"/>
      <c r="AI63" s="1"/>
    </row>
    <row r="64" spans="1:35">
      <c r="A64" s="371" t="s">
        <v>592</v>
      </c>
      <c r="B64" s="1"/>
      <c r="C64" s="1"/>
      <c r="D64" s="1"/>
      <c r="E64" s="1"/>
      <c r="F64" s="371"/>
      <c r="G64" s="1">
        <f>F68</f>
        <v>4869</v>
      </c>
      <c r="H64" s="466">
        <f>G64+G65+G66</f>
        <v>4964.9255830968814</v>
      </c>
      <c r="I64" s="466">
        <f>H64+H65+H66</f>
        <v>5060.1014455884615</v>
      </c>
      <c r="J64" s="466">
        <f>I68</f>
        <v>5154.7360712934978</v>
      </c>
      <c r="K64" s="481">
        <f>J68</f>
        <v>5249.0191767306296</v>
      </c>
      <c r="L64" s="1"/>
      <c r="M64" s="371"/>
      <c r="N64" s="1"/>
      <c r="O64" s="1"/>
      <c r="P64" s="1"/>
      <c r="Q64" s="1"/>
      <c r="R64" s="1"/>
      <c r="S64" s="1"/>
      <c r="T64" s="257" t="s">
        <v>593</v>
      </c>
      <c r="U64" s="1"/>
      <c r="V64" s="278">
        <v>4476</v>
      </c>
      <c r="W64" s="257" t="s">
        <v>594</v>
      </c>
      <c r="X64" s="1"/>
      <c r="Y64" s="1"/>
      <c r="Z64" s="278">
        <f>SUM(G37:K37)</f>
        <v>37260.098896429277</v>
      </c>
      <c r="AA64" s="1"/>
      <c r="AB64" s="1"/>
      <c r="AC64" s="1"/>
      <c r="AD64" s="1"/>
      <c r="AE64" s="1"/>
      <c r="AF64" s="1"/>
      <c r="AG64" s="1"/>
      <c r="AH64" s="1"/>
      <c r="AI64" s="1"/>
    </row>
    <row r="65" spans="1:35">
      <c r="A65" s="371" t="s">
        <v>595</v>
      </c>
      <c r="B65" s="1"/>
      <c r="C65" s="1"/>
      <c r="D65" s="1"/>
      <c r="E65" s="1"/>
      <c r="F65" s="371"/>
      <c r="G65" s="466">
        <f>Z69*G37</f>
        <v>581.56987710074998</v>
      </c>
      <c r="H65" s="466">
        <f>Z69*H37</f>
        <v>590.38797577661342</v>
      </c>
      <c r="I65" s="466">
        <f>Z69*I37</f>
        <v>599.33977956224794</v>
      </c>
      <c r="J65" s="466">
        <f>Z69*J37</f>
        <v>608.42731577182133</v>
      </c>
      <c r="K65" s="481">
        <f>Z69*K37</f>
        <v>617.42407778495851</v>
      </c>
      <c r="L65" s="1"/>
      <c r="M65" s="371"/>
      <c r="N65" s="1"/>
      <c r="O65" s="1"/>
      <c r="P65" s="1"/>
      <c r="Q65" s="1"/>
      <c r="R65" s="1"/>
      <c r="S65" s="1"/>
      <c r="T65" s="257" t="s">
        <v>596</v>
      </c>
      <c r="U65" s="1"/>
      <c r="V65" s="278">
        <f>V64/5</f>
        <v>895.2</v>
      </c>
      <c r="W65" s="257" t="s">
        <v>597</v>
      </c>
      <c r="X65" s="1"/>
      <c r="Y65" s="1"/>
      <c r="Z65" s="278">
        <f>V64/Z64</f>
        <v>0.12012850562854908</v>
      </c>
      <c r="AA65" s="1"/>
      <c r="AB65" s="1"/>
      <c r="AC65" s="1"/>
      <c r="AD65" s="1"/>
      <c r="AE65" s="1"/>
      <c r="AF65" s="1"/>
      <c r="AG65" s="1"/>
      <c r="AH65" s="1"/>
      <c r="AI65" s="1"/>
    </row>
    <row r="66" spans="1:35">
      <c r="A66" s="371" t="s">
        <v>598</v>
      </c>
      <c r="B66" s="1"/>
      <c r="C66" s="1"/>
      <c r="D66" s="1"/>
      <c r="E66" s="1"/>
      <c r="F66" s="371"/>
      <c r="G66" s="466">
        <f>-AVERAGE(E72,F72)*G64</f>
        <v>-485.64429400386848</v>
      </c>
      <c r="H66" s="466">
        <f>-AVERAGE(E72,F72)*H64</f>
        <v>-495.21211328503387</v>
      </c>
      <c r="I66" s="466">
        <f>-AVERAGE(E72,F72)*I64</f>
        <v>-504.70515385721149</v>
      </c>
      <c r="J66" s="466">
        <f>-AVERAGE(E72,F72)*J64</f>
        <v>-514.14421033469</v>
      </c>
      <c r="K66" s="371">
        <f>-AVERAGE(E72,F72)*K64</f>
        <v>-523.54820544179779</v>
      </c>
      <c r="L66" s="1"/>
      <c r="M66" s="371"/>
      <c r="N66" s="1"/>
      <c r="O66" s="1"/>
      <c r="P66" s="1"/>
      <c r="Q66" s="1"/>
      <c r="R66" s="1"/>
      <c r="S66" s="1"/>
      <c r="T66" s="257"/>
      <c r="U66" s="1"/>
      <c r="V66" s="278"/>
      <c r="W66" s="257"/>
      <c r="X66" s="1"/>
      <c r="Y66" s="1"/>
      <c r="Z66" s="278"/>
      <c r="AA66" s="1"/>
      <c r="AB66" s="1"/>
      <c r="AC66" s="1"/>
      <c r="AD66" s="1"/>
      <c r="AE66" s="1"/>
      <c r="AF66" s="1"/>
      <c r="AG66" s="1"/>
      <c r="AH66" s="1"/>
      <c r="AI66" s="1"/>
    </row>
    <row r="67" spans="1:35">
      <c r="A67" s="99"/>
      <c r="B67" s="101"/>
      <c r="C67" s="101"/>
      <c r="D67" s="101"/>
      <c r="E67" s="101"/>
      <c r="F67" s="99"/>
      <c r="G67" s="101"/>
      <c r="H67" s="101"/>
      <c r="I67" s="101"/>
      <c r="J67" s="101"/>
      <c r="K67" s="99"/>
      <c r="L67" s="101"/>
      <c r="M67" s="371"/>
      <c r="N67" s="1"/>
      <c r="O67" s="1"/>
      <c r="P67" s="1"/>
      <c r="Q67" s="1"/>
      <c r="R67" s="1"/>
      <c r="S67" s="1"/>
      <c r="T67" s="257"/>
      <c r="U67" s="1"/>
      <c r="V67" s="278"/>
      <c r="W67" s="257"/>
      <c r="X67" s="1"/>
      <c r="Y67" s="1"/>
      <c r="Z67" s="278"/>
      <c r="AA67" s="1"/>
      <c r="AB67" s="1"/>
      <c r="AC67" s="1"/>
      <c r="AD67" s="1"/>
      <c r="AE67" s="1"/>
      <c r="AF67" s="1"/>
      <c r="AG67" s="1"/>
      <c r="AH67" s="1"/>
      <c r="AI67" s="1"/>
    </row>
    <row r="68" spans="1:35">
      <c r="A68" s="371" t="s">
        <v>599</v>
      </c>
      <c r="B68" s="1">
        <f>B58</f>
        <v>5067</v>
      </c>
      <c r="C68" s="1">
        <f t="shared" ref="C68:F68" si="24">C58</f>
        <v>5129</v>
      </c>
      <c r="D68" s="1">
        <f t="shared" si="24"/>
        <v>4606</v>
      </c>
      <c r="E68" s="1">
        <f t="shared" si="24"/>
        <v>4620</v>
      </c>
      <c r="F68" s="371">
        <f t="shared" si="24"/>
        <v>4869</v>
      </c>
      <c r="G68" s="466">
        <f>G64+G65+G66</f>
        <v>4964.9255830968814</v>
      </c>
      <c r="H68" s="466">
        <f>H64+H65+H66</f>
        <v>5060.1014455884615</v>
      </c>
      <c r="I68" s="466">
        <f>I64+I65+I66</f>
        <v>5154.7360712934978</v>
      </c>
      <c r="J68" s="466">
        <f>J64+J65+J66</f>
        <v>5249.0191767306296</v>
      </c>
      <c r="K68" s="481">
        <f>K64+K65+K66</f>
        <v>5342.8950490737898</v>
      </c>
      <c r="L68" s="1"/>
      <c r="M68" s="371"/>
      <c r="N68" s="1"/>
      <c r="O68" s="1"/>
      <c r="P68" s="1"/>
      <c r="Q68" s="1"/>
      <c r="R68" s="1"/>
      <c r="S68" s="1"/>
      <c r="T68" s="257" t="s">
        <v>600</v>
      </c>
      <c r="U68" s="1"/>
      <c r="V68" s="278"/>
      <c r="W68" s="257"/>
      <c r="X68" s="1"/>
      <c r="Y68" s="1"/>
      <c r="Z68" s="278"/>
      <c r="AA68" s="1"/>
      <c r="AB68" s="1"/>
      <c r="AC68" s="1"/>
      <c r="AD68" s="1"/>
      <c r="AE68" s="1"/>
      <c r="AF68" s="1"/>
      <c r="AG68" s="1"/>
      <c r="AH68" s="1"/>
      <c r="AI68" s="1"/>
    </row>
    <row r="69" spans="1:35">
      <c r="A69" s="371" t="s">
        <v>601</v>
      </c>
      <c r="B69" s="1">
        <f>-('Reorganised Statements'!D74+'Reorganised Statements'!D75)</f>
        <v>-700</v>
      </c>
      <c r="C69" s="1">
        <f>-('Reorganised Statements'!E74+'Reorganised Statements'!E75)</f>
        <v>-593</v>
      </c>
      <c r="D69" s="1">
        <f>-('Reorganised Statements'!F74+'Reorganised Statements'!F75)</f>
        <v>-372</v>
      </c>
      <c r="E69" s="1">
        <f>-('Reorganised Statements'!G74+'Reorganised Statements'!G75)</f>
        <v>-532</v>
      </c>
      <c r="F69" s="1">
        <f>-('Reorganised Statements'!H74+'Reorganised Statements'!H75)</f>
        <v>-388</v>
      </c>
      <c r="G69" s="466">
        <f>G66</f>
        <v>-485.64429400386848</v>
      </c>
      <c r="H69" s="466">
        <f>H66</f>
        <v>-495.21211328503387</v>
      </c>
      <c r="I69" s="466">
        <f>I66</f>
        <v>-504.70515385721149</v>
      </c>
      <c r="J69" s="466">
        <f>J66</f>
        <v>-514.14421033469</v>
      </c>
      <c r="K69" s="481">
        <f>K66</f>
        <v>-523.54820544179779</v>
      </c>
      <c r="L69" s="1"/>
      <c r="M69" s="371"/>
      <c r="N69" s="1"/>
      <c r="O69" s="1"/>
      <c r="P69" s="1"/>
      <c r="Q69" s="1"/>
      <c r="R69" s="1"/>
      <c r="S69" s="1"/>
      <c r="T69" s="257" t="s">
        <v>602</v>
      </c>
      <c r="U69" s="1"/>
      <c r="V69" s="446">
        <f>AVERAGE(E60:F60)</f>
        <v>0.66960434003493996</v>
      </c>
      <c r="W69" s="257" t="s">
        <v>603</v>
      </c>
      <c r="X69" s="1"/>
      <c r="Y69" s="1"/>
      <c r="Z69" s="278">
        <f>V69*Z65</f>
        <v>8.0438568730788182E-2</v>
      </c>
      <c r="AA69" s="1"/>
      <c r="AB69" s="1"/>
      <c r="AC69" s="1"/>
      <c r="AD69" s="1"/>
      <c r="AE69" s="1"/>
      <c r="AF69" s="1"/>
      <c r="AG69" s="1"/>
      <c r="AH69" s="1"/>
      <c r="AI69" s="1"/>
    </row>
    <row r="70" spans="1:35" ht="15" thickBot="1">
      <c r="A70" s="371"/>
      <c r="B70" s="1"/>
      <c r="C70" s="1"/>
      <c r="D70" s="1"/>
      <c r="E70" s="1"/>
      <c r="F70" s="371"/>
      <c r="G70" s="1"/>
      <c r="H70" s="1"/>
      <c r="I70" s="1"/>
      <c r="J70" s="1"/>
      <c r="K70" s="371"/>
      <c r="L70" s="1"/>
      <c r="M70" s="371"/>
      <c r="N70" s="1"/>
      <c r="O70" s="1"/>
      <c r="P70" s="1"/>
      <c r="Q70" s="1"/>
      <c r="R70" s="1"/>
      <c r="S70" s="1"/>
      <c r="T70" s="269" t="s">
        <v>604</v>
      </c>
      <c r="U70" s="384"/>
      <c r="V70" s="483">
        <f>1-V69</f>
        <v>0.33039565996506004</v>
      </c>
      <c r="W70" s="269" t="s">
        <v>604</v>
      </c>
      <c r="X70" s="384"/>
      <c r="Y70" s="384"/>
      <c r="Z70" s="281">
        <f>V70*Z65</f>
        <v>3.9689936897760902E-2</v>
      </c>
      <c r="AA70" s="1"/>
      <c r="AB70" s="1"/>
      <c r="AC70" s="1"/>
      <c r="AD70" s="1"/>
      <c r="AE70" s="1"/>
      <c r="AF70" s="1"/>
      <c r="AG70" s="1"/>
      <c r="AH70" s="1"/>
      <c r="AI70" s="1"/>
    </row>
    <row r="71" spans="1:35">
      <c r="A71" s="371" t="s">
        <v>605</v>
      </c>
      <c r="B71" s="1"/>
      <c r="C71" s="1">
        <f>B68-C68+C69</f>
        <v>-655</v>
      </c>
      <c r="D71" s="1">
        <f t="shared" ref="D71:F71" si="25">C68-D68+D69</f>
        <v>151</v>
      </c>
      <c r="E71" s="1">
        <f t="shared" si="25"/>
        <v>-546</v>
      </c>
      <c r="F71" s="371">
        <f t="shared" si="25"/>
        <v>-637</v>
      </c>
      <c r="G71" s="1">
        <f>-V65*V69</f>
        <v>-599.42980519927823</v>
      </c>
      <c r="H71" s="1">
        <f>-V65*V69</f>
        <v>-599.42980519927823</v>
      </c>
      <c r="I71" s="1">
        <f>-V65*V69</f>
        <v>-599.42980519927823</v>
      </c>
      <c r="J71" s="1">
        <f>-V65*V69</f>
        <v>-599.42980519927823</v>
      </c>
      <c r="K71" s="371">
        <f>-V65*V69</f>
        <v>-599.42980519927823</v>
      </c>
      <c r="L71" s="1"/>
      <c r="M71" s="371"/>
      <c r="N71" s="1"/>
      <c r="O71" s="1"/>
      <c r="P71" s="1"/>
      <c r="Q71" s="1"/>
      <c r="R71" s="1"/>
      <c r="S71" s="1"/>
      <c r="T71" s="1"/>
      <c r="U71" s="1"/>
      <c r="V71" s="1"/>
      <c r="W71" s="1"/>
      <c r="X71" s="1"/>
      <c r="Y71" s="1"/>
      <c r="Z71" s="1"/>
      <c r="AA71" s="1"/>
      <c r="AB71" s="1"/>
      <c r="AC71" s="1"/>
      <c r="AD71" s="1"/>
      <c r="AE71" s="1"/>
      <c r="AF71" s="1"/>
      <c r="AG71" s="1"/>
      <c r="AH71" s="1"/>
      <c r="AI71" s="1"/>
    </row>
    <row r="72" spans="1:35">
      <c r="A72" s="371" t="s">
        <v>606</v>
      </c>
      <c r="B72" s="1"/>
      <c r="C72" s="373">
        <f>-C69/B68</f>
        <v>0.11703177422537991</v>
      </c>
      <c r="D72" s="373">
        <f>-D69/C68</f>
        <v>7.2528758042503416E-2</v>
      </c>
      <c r="E72" s="373">
        <f>-E69/D68</f>
        <v>0.11550151975683891</v>
      </c>
      <c r="F72" s="455">
        <f>-F69/E68</f>
        <v>8.3982683982683978E-2</v>
      </c>
      <c r="G72" s="484">
        <f t="shared" ref="G72:K72" si="26">-G69/F68</f>
        <v>9.9742101869761443E-2</v>
      </c>
      <c r="H72" s="484">
        <f t="shared" si="26"/>
        <v>9.9742101869761443E-2</v>
      </c>
      <c r="I72" s="484">
        <f t="shared" si="26"/>
        <v>9.9742101869761443E-2</v>
      </c>
      <c r="J72" s="484">
        <f t="shared" si="26"/>
        <v>9.9742101869761457E-2</v>
      </c>
      <c r="K72" s="485">
        <f t="shared" si="26"/>
        <v>9.9742101869761443E-2</v>
      </c>
      <c r="L72" s="1"/>
      <c r="M72" s="371"/>
      <c r="N72" s="1"/>
      <c r="O72" s="421"/>
      <c r="P72" s="1"/>
      <c r="Q72" s="1"/>
      <c r="R72" s="1"/>
      <c r="S72" s="1"/>
      <c r="T72" s="1"/>
      <c r="U72" s="1"/>
      <c r="V72" s="1"/>
      <c r="W72" s="1"/>
      <c r="X72" s="1"/>
      <c r="Y72" s="1"/>
      <c r="Z72" s="1"/>
      <c r="AA72" s="1"/>
      <c r="AB72" s="1"/>
      <c r="AC72" s="1"/>
      <c r="AD72" s="1"/>
      <c r="AE72" s="1"/>
      <c r="AF72" s="1"/>
      <c r="AG72" s="1"/>
      <c r="AH72" s="1"/>
      <c r="AI72" s="1"/>
    </row>
    <row r="73" spans="1:35">
      <c r="A73" s="371"/>
      <c r="B73" s="1"/>
      <c r="C73" s="1"/>
      <c r="D73" s="1"/>
      <c r="E73" s="1"/>
      <c r="F73" s="371"/>
      <c r="G73" s="1"/>
      <c r="H73" s="1"/>
      <c r="I73" s="1"/>
      <c r="J73" s="1"/>
      <c r="K73" s="371"/>
      <c r="L73" s="1"/>
      <c r="M73" s="371"/>
      <c r="N73" s="1"/>
      <c r="O73" s="421"/>
      <c r="P73" s="1"/>
      <c r="Q73" s="1"/>
      <c r="R73" s="1"/>
      <c r="S73" s="1"/>
      <c r="T73" s="1"/>
      <c r="U73" s="1"/>
      <c r="V73" s="1"/>
      <c r="W73" s="1"/>
      <c r="X73" s="1"/>
      <c r="Y73" s="1"/>
      <c r="Z73" s="1"/>
      <c r="AA73" s="1"/>
      <c r="AB73" s="1"/>
      <c r="AC73" s="1"/>
      <c r="AD73" s="1"/>
      <c r="AE73" s="1"/>
      <c r="AF73" s="1"/>
      <c r="AG73" s="1"/>
      <c r="AH73" s="1"/>
      <c r="AI73" s="1"/>
    </row>
    <row r="74" spans="1:35">
      <c r="A74" s="99" t="s">
        <v>607</v>
      </c>
      <c r="B74" s="101"/>
      <c r="C74" s="101"/>
      <c r="D74" s="101"/>
      <c r="E74" s="101"/>
      <c r="F74" s="99"/>
      <c r="G74" s="101"/>
      <c r="H74" s="101"/>
      <c r="I74" s="101"/>
      <c r="J74" s="101"/>
      <c r="K74" s="99"/>
      <c r="L74" s="101"/>
      <c r="M74" s="371"/>
      <c r="N74" s="1"/>
      <c r="O74" s="1"/>
      <c r="P74" s="1"/>
      <c r="Q74" s="1"/>
      <c r="R74" s="1"/>
      <c r="S74" s="1"/>
      <c r="T74" s="1"/>
      <c r="U74" s="1"/>
      <c r="V74" s="1"/>
      <c r="W74" s="1"/>
      <c r="X74" s="1"/>
      <c r="Y74" s="1"/>
      <c r="Z74" s="1"/>
      <c r="AA74" s="1"/>
      <c r="AB74" s="1"/>
      <c r="AC74" s="1"/>
      <c r="AD74" s="1"/>
      <c r="AE74" s="1"/>
      <c r="AF74" s="1"/>
      <c r="AG74" s="1"/>
      <c r="AH74" s="1"/>
      <c r="AI74" s="1"/>
    </row>
    <row r="75" spans="1:35">
      <c r="A75" s="371" t="s">
        <v>592</v>
      </c>
      <c r="B75" s="1"/>
      <c r="C75" s="1"/>
      <c r="D75" s="1"/>
      <c r="E75" s="1"/>
      <c r="F75" s="371"/>
      <c r="G75" s="1">
        <f>F79</f>
        <v>2379</v>
      </c>
      <c r="H75" s="466">
        <f>G79</f>
        <v>2544.298384106336</v>
      </c>
      <c r="I75" s="466">
        <f>H79</f>
        <v>2705.4946146409388</v>
      </c>
      <c r="J75" s="466">
        <f>I79</f>
        <v>2862.864443786727</v>
      </c>
      <c r="K75" s="481">
        <f>J79</f>
        <v>3016.670522386582</v>
      </c>
      <c r="L75" s="1"/>
      <c r="M75" s="371"/>
      <c r="N75" s="1"/>
      <c r="O75" s="1"/>
      <c r="P75" s="1"/>
      <c r="Q75" s="1"/>
      <c r="R75" s="1"/>
      <c r="S75" s="1"/>
      <c r="T75" s="1"/>
      <c r="U75" s="1"/>
      <c r="V75" s="1"/>
      <c r="W75" s="1"/>
      <c r="X75" s="1"/>
      <c r="Y75" s="1"/>
      <c r="Z75" s="1"/>
      <c r="AA75" s="1"/>
      <c r="AB75" s="1"/>
      <c r="AC75" s="1"/>
      <c r="AD75" s="1"/>
      <c r="AE75" s="1"/>
      <c r="AF75" s="1"/>
      <c r="AG75" s="1"/>
      <c r="AH75" s="1"/>
      <c r="AI75" s="1"/>
    </row>
    <row r="76" spans="1:35">
      <c r="A76" s="371" t="s">
        <v>595</v>
      </c>
      <c r="B76" s="1"/>
      <c r="C76" s="1"/>
      <c r="D76" s="1"/>
      <c r="E76" s="1"/>
      <c r="F76" s="371"/>
      <c r="G76" s="466">
        <f>Z70*G37</f>
        <v>286.95776277446896</v>
      </c>
      <c r="H76" s="466">
        <f>Z70*H37</f>
        <v>291.3087822608374</v>
      </c>
      <c r="I76" s="466">
        <f>Z70*I37</f>
        <v>295.72577441993559</v>
      </c>
      <c r="J76" s="466">
        <f>Z70*J37</f>
        <v>300.20973956756546</v>
      </c>
      <c r="K76" s="481">
        <f>Z70*K37</f>
        <v>304.64891498080124</v>
      </c>
      <c r="L76" s="1"/>
      <c r="M76" s="371"/>
      <c r="N76" s="1"/>
      <c r="O76" s="1"/>
      <c r="P76" s="1"/>
      <c r="Q76" s="1"/>
      <c r="R76" s="1"/>
      <c r="S76" s="1"/>
      <c r="T76" s="1"/>
      <c r="U76" s="1"/>
      <c r="V76" s="1"/>
      <c r="W76" s="1"/>
      <c r="X76" s="1"/>
      <c r="Y76" s="1"/>
      <c r="Z76" s="1"/>
      <c r="AA76" s="1"/>
      <c r="AB76" s="1"/>
      <c r="AC76" s="1"/>
      <c r="AD76" s="1"/>
      <c r="AE76" s="1"/>
      <c r="AF76" s="1"/>
      <c r="AG76" s="1"/>
      <c r="AH76" s="1"/>
      <c r="AI76" s="1"/>
    </row>
    <row r="77" spans="1:35">
      <c r="A77" s="371" t="s">
        <v>608</v>
      </c>
      <c r="B77" s="1"/>
      <c r="C77" s="1"/>
      <c r="D77" s="1"/>
      <c r="E77" s="1"/>
      <c r="F77" s="371"/>
      <c r="G77" s="466">
        <f>-AVERAGE(E83,F83)*G75</f>
        <v>-121.65937866813286</v>
      </c>
      <c r="H77" s="1">
        <f>-AVERAGE(E83,F83)*H75</f>
        <v>-130.11255172623424</v>
      </c>
      <c r="I77" s="1">
        <f>-AVERAGE(E83,F83)*I75</f>
        <v>-138.35594527414719</v>
      </c>
      <c r="J77" s="1">
        <f>-AVERAGE(E83,F83)*J75</f>
        <v>-146.40366096771038</v>
      </c>
      <c r="K77" s="371">
        <f>-AVERAGE(E83,F83)*K75</f>
        <v>-154.26913047499932</v>
      </c>
      <c r="L77" s="1"/>
      <c r="M77" s="371"/>
      <c r="N77" s="1"/>
      <c r="O77" s="1"/>
      <c r="P77" s="1"/>
      <c r="Q77" s="1"/>
      <c r="R77" s="1"/>
      <c r="S77" s="1"/>
      <c r="T77" s="1"/>
      <c r="U77" s="1"/>
      <c r="V77" s="1"/>
      <c r="W77" s="1"/>
      <c r="X77" s="1"/>
      <c r="Y77" s="1"/>
      <c r="Z77" s="1"/>
      <c r="AA77" s="1"/>
      <c r="AB77" s="1"/>
      <c r="AC77" s="1"/>
      <c r="AD77" s="1"/>
      <c r="AE77" s="1"/>
      <c r="AF77" s="1"/>
      <c r="AG77" s="1"/>
      <c r="AH77" s="1"/>
      <c r="AI77" s="1"/>
    </row>
    <row r="78" spans="1:35">
      <c r="A78" s="99"/>
      <c r="B78" s="101"/>
      <c r="C78" s="101"/>
      <c r="D78" s="101"/>
      <c r="E78" s="101"/>
      <c r="F78" s="99"/>
      <c r="G78" s="101"/>
      <c r="H78" s="101"/>
      <c r="I78" s="101"/>
      <c r="J78" s="101"/>
      <c r="K78" s="99"/>
      <c r="L78" s="101"/>
      <c r="M78" s="371"/>
      <c r="N78" s="1"/>
      <c r="O78" s="1"/>
      <c r="P78" s="1"/>
      <c r="Q78" s="1"/>
      <c r="R78" s="1"/>
      <c r="S78" s="1"/>
      <c r="T78" s="1"/>
      <c r="U78" s="1"/>
      <c r="V78" s="1"/>
      <c r="W78" s="1"/>
      <c r="X78" s="1"/>
      <c r="Y78" s="1"/>
      <c r="Z78" s="1"/>
      <c r="AA78" s="1"/>
      <c r="AB78" s="1"/>
      <c r="AC78" s="1"/>
      <c r="AD78" s="1"/>
      <c r="AE78" s="1"/>
      <c r="AF78" s="1"/>
      <c r="AG78" s="1"/>
      <c r="AH78" s="1"/>
      <c r="AI78" s="1"/>
    </row>
    <row r="79" spans="1:35">
      <c r="A79" s="371" t="s">
        <v>609</v>
      </c>
      <c r="B79" s="1">
        <f>B59</f>
        <v>1348</v>
      </c>
      <c r="C79" s="1">
        <f t="shared" ref="C79:F79" si="27">C59</f>
        <v>1704</v>
      </c>
      <c r="D79" s="1">
        <f t="shared" si="27"/>
        <v>1863</v>
      </c>
      <c r="E79" s="1">
        <f t="shared" si="27"/>
        <v>2302</v>
      </c>
      <c r="F79" s="371">
        <f t="shared" si="27"/>
        <v>2379</v>
      </c>
      <c r="G79" s="466">
        <f>G75+G76+G77</f>
        <v>2544.298384106336</v>
      </c>
      <c r="H79" s="466">
        <f>H75+H76+H77</f>
        <v>2705.4946146409388</v>
      </c>
      <c r="I79" s="466">
        <f>I75+I76+I77</f>
        <v>2862.864443786727</v>
      </c>
      <c r="J79" s="466">
        <f>J75+J76+J77</f>
        <v>3016.670522386582</v>
      </c>
      <c r="K79" s="481">
        <f>K75+K76+K77</f>
        <v>3167.050306892384</v>
      </c>
      <c r="L79" s="1"/>
      <c r="M79" s="371"/>
      <c r="N79" s="1"/>
      <c r="O79" s="1"/>
      <c r="P79" s="1"/>
      <c r="Q79" s="1"/>
      <c r="R79" s="1"/>
      <c r="S79" s="1"/>
      <c r="T79" s="1"/>
      <c r="U79" s="1"/>
      <c r="V79" s="1"/>
      <c r="W79" s="1"/>
      <c r="X79" s="1"/>
      <c r="Y79" s="1"/>
      <c r="Z79" s="1"/>
      <c r="AA79" s="1"/>
      <c r="AB79" s="1"/>
      <c r="AC79" s="1"/>
      <c r="AD79" s="1"/>
      <c r="AE79" s="1"/>
      <c r="AF79" s="1"/>
      <c r="AG79" s="1"/>
      <c r="AH79" s="1"/>
      <c r="AI79" s="1"/>
    </row>
    <row r="80" spans="1:35">
      <c r="A80" s="371" t="s">
        <v>535</v>
      </c>
      <c r="B80" s="1">
        <f>-'Reorganised Statements'!D73</f>
        <v>-54</v>
      </c>
      <c r="C80" s="1">
        <f>-'Reorganised Statements'!E73</f>
        <v>-55</v>
      </c>
      <c r="D80" s="1">
        <f>-'Reorganised Statements'!F73</f>
        <v>-72</v>
      </c>
      <c r="E80" s="1">
        <f>-'Reorganised Statements'!G73</f>
        <v>-91</v>
      </c>
      <c r="F80" s="1">
        <f>-'Reorganised Statements'!H73</f>
        <v>-123</v>
      </c>
      <c r="G80" s="466">
        <f>G77</f>
        <v>-121.65937866813286</v>
      </c>
      <c r="H80" s="466">
        <f>H77</f>
        <v>-130.11255172623424</v>
      </c>
      <c r="I80" s="466">
        <f>I77</f>
        <v>-138.35594527414719</v>
      </c>
      <c r="J80" s="466">
        <f>J77</f>
        <v>-146.40366096771038</v>
      </c>
      <c r="K80" s="481">
        <f>K77</f>
        <v>-154.26913047499932</v>
      </c>
      <c r="L80" s="1"/>
      <c r="M80" s="371"/>
      <c r="N80" s="1"/>
      <c r="O80" s="1"/>
      <c r="P80" s="1"/>
      <c r="Q80" s="1"/>
      <c r="R80" s="1"/>
      <c r="S80" s="1"/>
      <c r="T80" s="1"/>
      <c r="U80" s="1"/>
      <c r="V80" s="1"/>
      <c r="W80" s="1"/>
      <c r="X80" s="1"/>
      <c r="Y80" s="1"/>
      <c r="Z80" s="1"/>
      <c r="AA80" s="1"/>
      <c r="AB80" s="1"/>
      <c r="AC80" s="1"/>
      <c r="AD80" s="1"/>
      <c r="AE80" s="1"/>
      <c r="AF80" s="1"/>
      <c r="AG80" s="1"/>
      <c r="AH80" s="1"/>
      <c r="AI80" s="1"/>
    </row>
    <row r="81" spans="1:35">
      <c r="A81" s="371"/>
      <c r="B81" s="1"/>
      <c r="C81" s="1"/>
      <c r="D81" s="1"/>
      <c r="E81" s="1"/>
      <c r="F81" s="371"/>
      <c r="G81" s="1"/>
      <c r="H81" s="1"/>
      <c r="I81" s="1"/>
      <c r="J81" s="1"/>
      <c r="K81" s="371"/>
      <c r="L81" s="1"/>
      <c r="M81" s="371"/>
      <c r="N81" s="1"/>
      <c r="O81" s="1"/>
      <c r="P81" s="1"/>
      <c r="Q81" s="1"/>
      <c r="R81" s="1"/>
      <c r="S81" s="1"/>
      <c r="T81" s="1"/>
      <c r="U81" s="1"/>
      <c r="V81" s="1"/>
      <c r="W81" s="1"/>
      <c r="X81" s="1"/>
      <c r="Y81" s="1"/>
      <c r="Z81" s="1"/>
      <c r="AA81" s="1"/>
      <c r="AB81" s="1"/>
      <c r="AC81" s="1"/>
      <c r="AD81" s="1"/>
      <c r="AE81" s="1"/>
      <c r="AF81" s="1"/>
      <c r="AG81" s="1"/>
      <c r="AH81" s="1"/>
      <c r="AI81" s="1"/>
    </row>
    <row r="82" spans="1:35">
      <c r="A82" s="371" t="s">
        <v>610</v>
      </c>
      <c r="B82" s="1"/>
      <c r="C82" s="1">
        <f>B79-C79+C80</f>
        <v>-411</v>
      </c>
      <c r="D82" s="1">
        <f t="shared" ref="D82:F82" si="28">C79-D79+D80</f>
        <v>-231</v>
      </c>
      <c r="E82" s="1">
        <f t="shared" si="28"/>
        <v>-530</v>
      </c>
      <c r="F82" s="371">
        <f t="shared" si="28"/>
        <v>-200</v>
      </c>
      <c r="G82" s="466">
        <f>-G76</f>
        <v>-286.95776277446896</v>
      </c>
      <c r="H82" s="466">
        <f t="shared" ref="H82:K82" si="29">-H76</f>
        <v>-291.3087822608374</v>
      </c>
      <c r="I82" s="466">
        <f t="shared" si="29"/>
        <v>-295.72577441993559</v>
      </c>
      <c r="J82" s="466">
        <f t="shared" si="29"/>
        <v>-300.20973956756546</v>
      </c>
      <c r="K82" s="466">
        <f t="shared" si="29"/>
        <v>-304.64891498080124</v>
      </c>
      <c r="L82" s="1"/>
      <c r="M82" s="371"/>
      <c r="N82" s="1"/>
      <c r="O82" s="1"/>
      <c r="P82" s="1"/>
      <c r="Q82" s="1"/>
      <c r="R82" s="1"/>
      <c r="S82" s="1"/>
      <c r="T82" s="1"/>
      <c r="U82" s="1"/>
      <c r="V82" s="1"/>
      <c r="W82" s="1"/>
      <c r="X82" s="1"/>
      <c r="Y82" s="1"/>
      <c r="Z82" s="1"/>
      <c r="AA82" s="1"/>
      <c r="AB82" s="1"/>
      <c r="AC82" s="1"/>
      <c r="AD82" s="1"/>
      <c r="AE82" s="1"/>
      <c r="AF82" s="1"/>
      <c r="AG82" s="1"/>
      <c r="AH82" s="1"/>
      <c r="AI82" s="1"/>
    </row>
    <row r="83" spans="1:35">
      <c r="A83" s="99" t="s">
        <v>606</v>
      </c>
      <c r="B83" s="101"/>
      <c r="C83" s="476">
        <f>-C80/B79</f>
        <v>4.0801186943620178E-2</v>
      </c>
      <c r="D83" s="476">
        <f t="shared" ref="D83:K83" si="30">-D80/C79</f>
        <v>4.2253521126760563E-2</v>
      </c>
      <c r="E83" s="476">
        <f t="shared" si="30"/>
        <v>4.8845947396672036E-2</v>
      </c>
      <c r="F83" s="477">
        <f t="shared" si="30"/>
        <v>5.3431798436142486E-2</v>
      </c>
      <c r="G83" s="486">
        <f t="shared" si="30"/>
        <v>5.1138872916407258E-2</v>
      </c>
      <c r="H83" s="486">
        <f t="shared" si="30"/>
        <v>5.1138872916407251E-2</v>
      </c>
      <c r="I83" s="486">
        <f t="shared" si="30"/>
        <v>5.1138872916407258E-2</v>
      </c>
      <c r="J83" s="486">
        <f t="shared" si="30"/>
        <v>5.1138872916407258E-2</v>
      </c>
      <c r="K83" s="487">
        <f t="shared" si="30"/>
        <v>5.1138872916407258E-2</v>
      </c>
      <c r="L83" s="101"/>
      <c r="M83" s="371"/>
      <c r="N83" s="1"/>
      <c r="O83" s="1"/>
      <c r="P83" s="1"/>
      <c r="Q83" s="1"/>
      <c r="R83" s="1"/>
      <c r="S83" s="1"/>
      <c r="T83" s="1"/>
      <c r="U83" s="1"/>
      <c r="V83" s="1"/>
      <c r="W83" s="1"/>
      <c r="X83" s="1"/>
      <c r="Y83" s="1"/>
      <c r="Z83" s="1"/>
      <c r="AA83" s="1"/>
      <c r="AB83" s="1"/>
      <c r="AC83" s="1"/>
      <c r="AD83" s="1"/>
      <c r="AE83" s="1"/>
      <c r="AF83" s="1"/>
      <c r="AG83" s="1"/>
      <c r="AH83" s="1"/>
      <c r="AI83" s="1"/>
    </row>
    <row r="84" spans="1:35">
      <c r="A84" s="371"/>
      <c r="B84" s="1"/>
      <c r="C84" s="1"/>
      <c r="D84" s="1"/>
      <c r="E84" s="1"/>
      <c r="F84" s="380"/>
      <c r="G84" s="1"/>
      <c r="H84" s="1"/>
      <c r="I84" s="1"/>
      <c r="J84" s="1"/>
      <c r="K84" s="371"/>
      <c r="L84" s="1"/>
      <c r="M84" s="371"/>
      <c r="N84" s="1"/>
      <c r="O84" s="1"/>
      <c r="P84" s="1"/>
      <c r="Q84" s="1"/>
      <c r="R84" s="1"/>
      <c r="S84" s="1"/>
      <c r="T84" s="1"/>
      <c r="U84" s="466"/>
      <c r="V84" s="1"/>
      <c r="W84" s="1"/>
      <c r="X84" s="1"/>
      <c r="Y84" s="1"/>
      <c r="Z84" s="1"/>
      <c r="AA84" s="1"/>
      <c r="AB84" s="1"/>
      <c r="AC84" s="1"/>
      <c r="AD84" s="1"/>
      <c r="AE84" s="1"/>
      <c r="AF84" s="1"/>
      <c r="AG84" s="1"/>
      <c r="AH84" s="1"/>
      <c r="AI84" s="1"/>
    </row>
    <row r="85" spans="1:35">
      <c r="A85" s="371" t="s">
        <v>611</v>
      </c>
      <c r="B85" s="1">
        <f>'Reorganised Statements'!D76</f>
        <v>-79</v>
      </c>
      <c r="C85" s="1">
        <f>'Reorganised Statements'!E76</f>
        <v>-71</v>
      </c>
      <c r="D85" s="1">
        <f>'Reorganised Statements'!F76</f>
        <v>-45</v>
      </c>
      <c r="E85" s="1">
        <f>'Reorganised Statements'!G76</f>
        <v>-20</v>
      </c>
      <c r="F85" s="1">
        <f>'Reorganised Statements'!H76</f>
        <v>-36</v>
      </c>
      <c r="G85" s="1">
        <f>AVERAGE(B85,C85,D85,E85,F85)</f>
        <v>-50.2</v>
      </c>
      <c r="H85" s="1">
        <f>G85</f>
        <v>-50.2</v>
      </c>
      <c r="I85" s="1">
        <f>H85</f>
        <v>-50.2</v>
      </c>
      <c r="J85" s="1">
        <f>I85</f>
        <v>-50.2</v>
      </c>
      <c r="K85" s="371">
        <f>J85</f>
        <v>-50.2</v>
      </c>
      <c r="L85" s="1"/>
      <c r="M85" s="371"/>
      <c r="N85" s="1"/>
      <c r="O85" s="1"/>
      <c r="P85" s="1"/>
      <c r="Q85" s="1"/>
      <c r="R85" s="1"/>
      <c r="S85" s="1"/>
      <c r="T85" s="1"/>
      <c r="U85" s="466"/>
      <c r="V85" s="1"/>
      <c r="W85" s="1"/>
      <c r="X85" s="1"/>
      <c r="Y85" s="1"/>
      <c r="Z85" s="1"/>
      <c r="AA85" s="1"/>
      <c r="AB85" s="1"/>
      <c r="AC85" s="1"/>
      <c r="AD85" s="1"/>
      <c r="AE85" s="1"/>
      <c r="AF85" s="1"/>
      <c r="AG85" s="1"/>
      <c r="AH85" s="1"/>
      <c r="AI85" s="1"/>
    </row>
    <row r="86" spans="1:35">
      <c r="A86" s="371"/>
      <c r="B86" s="1"/>
      <c r="C86" s="1"/>
      <c r="D86" s="1"/>
      <c r="E86" s="1"/>
      <c r="F86" s="371"/>
      <c r="G86" s="1"/>
      <c r="H86" s="1"/>
      <c r="I86" s="1"/>
      <c r="J86" s="1"/>
      <c r="K86" s="371"/>
      <c r="L86" s="1"/>
      <c r="M86" s="371"/>
      <c r="N86" s="1"/>
      <c r="O86" s="1"/>
      <c r="P86" s="1"/>
      <c r="Q86" s="1"/>
      <c r="R86" s="1"/>
      <c r="S86" s="1"/>
      <c r="T86" s="1"/>
      <c r="U86" s="466"/>
      <c r="V86" s="1"/>
      <c r="W86" s="1"/>
      <c r="X86" s="1"/>
      <c r="Y86" s="1"/>
      <c r="Z86" s="1"/>
      <c r="AA86" s="1"/>
      <c r="AB86" s="1"/>
      <c r="AC86" s="1"/>
      <c r="AD86" s="1"/>
      <c r="AE86" s="1"/>
      <c r="AF86" s="1"/>
      <c r="AG86" s="1"/>
      <c r="AH86" s="1"/>
      <c r="AI86" s="1"/>
    </row>
    <row r="87" spans="1:35" ht="15" thickBot="1">
      <c r="A87" s="371"/>
      <c r="B87" s="1"/>
      <c r="C87" s="1"/>
      <c r="D87" s="1"/>
      <c r="E87" s="1"/>
      <c r="F87" s="371"/>
      <c r="G87" s="1"/>
      <c r="H87" s="1"/>
      <c r="I87" s="1"/>
      <c r="J87" s="1"/>
      <c r="K87" s="371"/>
      <c r="L87" s="1"/>
      <c r="M87" s="371"/>
      <c r="N87" s="1"/>
      <c r="O87" s="1"/>
      <c r="P87" s="1"/>
      <c r="Q87" s="1"/>
      <c r="R87" s="1"/>
      <c r="S87" s="1"/>
      <c r="T87" s="1"/>
      <c r="U87" s="1"/>
      <c r="V87" s="1"/>
      <c r="W87" s="1"/>
      <c r="X87" s="1"/>
      <c r="Y87" s="1"/>
      <c r="Z87" s="1"/>
      <c r="AA87" s="1"/>
      <c r="AB87" s="1"/>
      <c r="AC87" s="1"/>
      <c r="AD87" s="1"/>
      <c r="AE87" s="1"/>
      <c r="AF87" s="1"/>
      <c r="AG87" s="1"/>
      <c r="AH87" s="1"/>
      <c r="AI87" s="1"/>
    </row>
    <row r="88" spans="1:35" ht="15" thickBot="1">
      <c r="A88" s="488" t="s">
        <v>612</v>
      </c>
      <c r="B88" s="1"/>
      <c r="C88" s="1"/>
      <c r="D88" s="1"/>
      <c r="E88" s="1"/>
      <c r="F88" s="371"/>
      <c r="G88" s="1"/>
      <c r="H88" s="1"/>
      <c r="I88" s="1"/>
      <c r="J88" s="1"/>
      <c r="K88" s="371"/>
      <c r="L88" s="1"/>
      <c r="M88" s="371"/>
      <c r="N88" s="1"/>
      <c r="O88" s="1"/>
      <c r="P88" s="1"/>
      <c r="Q88" s="1"/>
      <c r="R88" s="1"/>
      <c r="S88" s="1"/>
      <c r="T88" s="1"/>
      <c r="U88" s="1"/>
      <c r="V88" s="1"/>
      <c r="W88" s="1"/>
      <c r="X88" s="1"/>
      <c r="Y88" s="1"/>
      <c r="Z88" s="1"/>
      <c r="AA88" s="1"/>
      <c r="AB88" s="1"/>
      <c r="AC88" s="1"/>
      <c r="AD88" s="1"/>
      <c r="AE88" s="1"/>
      <c r="AF88" s="1"/>
      <c r="AG88" s="1"/>
      <c r="AH88" s="1"/>
      <c r="AI88" s="1"/>
    </row>
    <row r="89" spans="1:35">
      <c r="A89" s="371"/>
      <c r="B89" s="1"/>
      <c r="C89" s="1"/>
      <c r="D89" s="1"/>
      <c r="E89" s="1"/>
      <c r="F89" s="371"/>
      <c r="G89" s="1"/>
      <c r="H89" s="1"/>
      <c r="I89" s="1"/>
      <c r="J89" s="1"/>
      <c r="K89" s="371"/>
      <c r="L89" s="1"/>
      <c r="M89" s="371"/>
      <c r="N89" s="1"/>
      <c r="O89" s="1"/>
      <c r="P89" s="1"/>
      <c r="Q89" s="1"/>
      <c r="R89" s="1"/>
      <c r="S89" s="1"/>
      <c r="T89" s="1"/>
      <c r="U89" s="1"/>
      <c r="V89" s="1"/>
      <c r="W89" s="1"/>
      <c r="X89" s="1"/>
      <c r="Y89" s="1"/>
      <c r="Z89" s="1"/>
      <c r="AA89" s="1"/>
      <c r="AB89" s="1"/>
      <c r="AC89" s="1"/>
      <c r="AD89" s="1"/>
      <c r="AE89" s="1"/>
      <c r="AF89" s="1"/>
      <c r="AG89" s="1"/>
      <c r="AH89" s="1"/>
      <c r="AI89" s="1"/>
    </row>
    <row r="90" spans="1:35">
      <c r="A90" s="371" t="s">
        <v>614</v>
      </c>
      <c r="B90" s="1">
        <f>'Reorganised Statements'!D10</f>
        <v>184</v>
      </c>
      <c r="C90" s="1">
        <f>'Reorganised Statements'!E10</f>
        <v>159</v>
      </c>
      <c r="D90" s="1">
        <f>'Reorganised Statements'!F10</f>
        <v>147</v>
      </c>
      <c r="E90" s="1">
        <f>'Reorganised Statements'!G10</f>
        <v>187</v>
      </c>
      <c r="F90" s="508">
        <f>'Reorganised Statements'!H10</f>
        <v>184</v>
      </c>
      <c r="G90" s="507">
        <f>-G94*G42/365</f>
        <v>196.621492165576</v>
      </c>
      <c r="H90" s="507">
        <f t="shared" ref="H90:K90" si="31">-H94*H42/365</f>
        <v>199.60278089455053</v>
      </c>
      <c r="I90" s="507">
        <f t="shared" si="31"/>
        <v>202.62927364668457</v>
      </c>
      <c r="J90" s="507">
        <f t="shared" si="31"/>
        <v>205.70165583150927</v>
      </c>
      <c r="K90" s="508">
        <f t="shared" si="31"/>
        <v>208.74334839732828</v>
      </c>
      <c r="L90" s="1"/>
      <c r="M90" s="371"/>
      <c r="N90" s="1"/>
      <c r="O90" s="1"/>
      <c r="P90" s="1"/>
      <c r="Q90" s="1"/>
      <c r="R90" s="1"/>
      <c r="S90" s="1"/>
      <c r="T90" s="1"/>
      <c r="U90" s="1"/>
      <c r="V90" s="1"/>
      <c r="W90" s="1"/>
      <c r="X90" s="1"/>
      <c r="Y90" s="1"/>
      <c r="Z90" s="1"/>
      <c r="AA90" s="1"/>
      <c r="AB90" s="1"/>
      <c r="AC90" s="1"/>
      <c r="AD90" s="1"/>
      <c r="AE90" s="1"/>
      <c r="AF90" s="1"/>
      <c r="AG90" s="1"/>
      <c r="AH90" s="1"/>
      <c r="AI90" s="1"/>
    </row>
    <row r="91" spans="1:35">
      <c r="A91" s="371" t="s">
        <v>318</v>
      </c>
      <c r="B91" s="1">
        <f>'Reorganised Statements'!D11</f>
        <v>1485</v>
      </c>
      <c r="C91" s="1">
        <f>'Reorganised Statements'!E11</f>
        <v>1821</v>
      </c>
      <c r="D91" s="1">
        <f>'Reorganised Statements'!F11</f>
        <v>1671</v>
      </c>
      <c r="E91" s="1">
        <f>'Reorganised Statements'!G11</f>
        <v>1781</v>
      </c>
      <c r="F91" s="371">
        <f>'Reorganised Statements'!H11</f>
        <v>1852</v>
      </c>
      <c r="G91" s="507">
        <f xml:space="preserve"> G95*G37/365</f>
        <v>1966.7195790703108</v>
      </c>
      <c r="H91" s="507">
        <f t="shared" ref="H91:K91" si="32" xml:space="preserve"> H95*H37/365</f>
        <v>1996.5401182675125</v>
      </c>
      <c r="I91" s="507">
        <f t="shared" si="32"/>
        <v>2026.8128137189537</v>
      </c>
      <c r="J91" s="507">
        <f t="shared" si="32"/>
        <v>2057.5445212791478</v>
      </c>
      <c r="K91" s="508">
        <f t="shared" si="32"/>
        <v>2087.9692538799522</v>
      </c>
      <c r="L91" s="1"/>
      <c r="M91" s="371"/>
      <c r="N91" s="1"/>
      <c r="O91" s="1"/>
      <c r="P91" s="1"/>
      <c r="Q91" s="1"/>
      <c r="R91" s="1"/>
      <c r="S91" s="1"/>
      <c r="T91" s="1"/>
      <c r="U91" s="1"/>
      <c r="V91" s="1"/>
      <c r="W91" s="1"/>
      <c r="X91" s="1"/>
      <c r="Y91" s="1"/>
      <c r="Z91" s="1"/>
      <c r="AA91" s="1"/>
      <c r="AB91" s="1"/>
      <c r="AC91" s="1"/>
      <c r="AD91" s="1"/>
      <c r="AE91" s="1"/>
      <c r="AF91" s="1"/>
      <c r="AG91" s="1"/>
      <c r="AH91" s="1"/>
      <c r="AI91" s="1"/>
    </row>
    <row r="92" spans="1:35">
      <c r="A92" s="371" t="s">
        <v>613</v>
      </c>
      <c r="B92" s="1">
        <f>'Reorganised Statements'!D12</f>
        <v>-1170</v>
      </c>
      <c r="C92" s="1">
        <f>'Reorganised Statements'!E12</f>
        <v>-1384</v>
      </c>
      <c r="D92" s="1">
        <f>'Reorganised Statements'!F12</f>
        <v>-1381</v>
      </c>
      <c r="E92" s="1">
        <f>'Reorganised Statements'!G12</f>
        <v>-1413</v>
      </c>
      <c r="F92" s="371">
        <f>'Reorganised Statements'!H12</f>
        <v>-1481</v>
      </c>
      <c r="G92" s="507">
        <f>G96*(G42+G43)/365</f>
        <v>-1532.4726897665257</v>
      </c>
      <c r="H92" s="507">
        <f t="shared" ref="H92:K92" si="33">H96*(H42+H43)/365</f>
        <v>-1555.7089265946688</v>
      </c>
      <c r="I92" s="507">
        <f t="shared" si="33"/>
        <v>-1579.2974846782179</v>
      </c>
      <c r="J92" s="507">
        <f t="shared" si="33"/>
        <v>-1603.2437061157204</v>
      </c>
      <c r="K92" s="508">
        <f t="shared" si="33"/>
        <v>-1626.9507319166341</v>
      </c>
      <c r="L92" s="1"/>
      <c r="M92" s="371"/>
      <c r="N92" s="1"/>
      <c r="O92" s="1"/>
      <c r="P92" s="1"/>
      <c r="Q92" s="1"/>
      <c r="R92" s="1"/>
      <c r="S92" s="1"/>
      <c r="T92" s="1"/>
      <c r="U92" s="1"/>
      <c r="V92" s="1"/>
      <c r="W92" s="1"/>
      <c r="X92" s="1"/>
      <c r="Y92" s="1"/>
      <c r="Z92" s="1"/>
      <c r="AA92" s="1"/>
      <c r="AB92" s="1"/>
      <c r="AC92" s="1"/>
      <c r="AD92" s="1"/>
      <c r="AE92" s="1"/>
      <c r="AF92" s="1"/>
      <c r="AG92" s="1"/>
      <c r="AH92" s="1"/>
      <c r="AI92" s="1"/>
    </row>
    <row r="93" spans="1:35">
      <c r="A93" s="99" t="s">
        <v>734</v>
      </c>
      <c r="B93" s="101">
        <f>'Reorganised Statements'!D15+'Reorganised Statements'!D21</f>
        <v>-47</v>
      </c>
      <c r="C93" s="101">
        <f>'Reorganised Statements'!E15+'Reorganised Statements'!E21</f>
        <v>-198</v>
      </c>
      <c r="D93" s="101">
        <f>'Reorganised Statements'!F15+'Reorganised Statements'!F21</f>
        <v>-110</v>
      </c>
      <c r="E93" s="101">
        <f>'Reorganised Statements'!G15+'Reorganised Statements'!G21</f>
        <v>-253</v>
      </c>
      <c r="F93" s="99">
        <f>'Reorganised Statements'!H15+'Reorganised Statements'!H21</f>
        <v>-334</v>
      </c>
      <c r="G93" s="495">
        <f>-G97*G37/365</f>
        <v>-315.37706633831738</v>
      </c>
      <c r="H93" s="495">
        <f t="shared" ref="H93:K93" si="34">-H97*H37/365</f>
        <v>-320.15899573421319</v>
      </c>
      <c r="I93" s="495">
        <f t="shared" si="34"/>
        <v>-325.01343150799136</v>
      </c>
      <c r="J93" s="495">
        <f t="shared" si="34"/>
        <v>-329.94147304326845</v>
      </c>
      <c r="K93" s="496">
        <f t="shared" si="34"/>
        <v>-334.82028902388998</v>
      </c>
      <c r="L93" s="101"/>
      <c r="M93" s="371"/>
      <c r="N93" s="1"/>
      <c r="O93" s="1"/>
      <c r="P93" s="1"/>
      <c r="Q93" s="1"/>
      <c r="R93" s="1"/>
      <c r="S93" s="1"/>
      <c r="T93" s="1"/>
      <c r="U93" s="1"/>
      <c r="V93" s="1"/>
      <c r="W93" s="1"/>
      <c r="X93" s="1"/>
      <c r="Y93" s="1"/>
      <c r="Z93" s="1"/>
      <c r="AA93" s="1"/>
      <c r="AB93" s="1"/>
      <c r="AC93" s="1"/>
      <c r="AD93" s="1"/>
      <c r="AE93" s="1"/>
      <c r="AF93" s="1"/>
      <c r="AG93" s="1"/>
      <c r="AH93" s="1"/>
      <c r="AI93" s="1"/>
    </row>
    <row r="94" spans="1:35">
      <c r="A94" s="371" t="s">
        <v>736</v>
      </c>
      <c r="B94" s="507">
        <f>-B90/(B42/365)</f>
        <v>29.378827646544181</v>
      </c>
      <c r="C94" s="507">
        <f t="shared" ref="C94:F94" si="35">-C90/(C42/365)</f>
        <v>27.62256068538791</v>
      </c>
      <c r="D94" s="507">
        <f t="shared" si="35"/>
        <v>18.952666902154714</v>
      </c>
      <c r="E94" s="507">
        <f t="shared" si="35"/>
        <v>20.398983861326958</v>
      </c>
      <c r="F94" s="508">
        <f t="shared" si="35"/>
        <v>16.773226773226774</v>
      </c>
      <c r="G94" s="507">
        <f>AVERAGE(E94,F94)</f>
        <v>18.586105317276868</v>
      </c>
      <c r="H94" s="507">
        <f>G94</f>
        <v>18.586105317276868</v>
      </c>
      <c r="I94" s="507">
        <f t="shared" ref="I94:K94" si="36">H94</f>
        <v>18.586105317276868</v>
      </c>
      <c r="J94" s="507">
        <f t="shared" si="36"/>
        <v>18.586105317276868</v>
      </c>
      <c r="K94" s="508">
        <f t="shared" si="36"/>
        <v>18.586105317276868</v>
      </c>
      <c r="L94" s="1"/>
      <c r="M94" s="371"/>
      <c r="N94" s="1"/>
      <c r="O94" s="1"/>
      <c r="P94" s="1"/>
      <c r="Q94" s="1"/>
      <c r="R94" s="1"/>
      <c r="S94" s="1"/>
      <c r="T94" s="1"/>
      <c r="U94" s="1"/>
      <c r="V94" s="1"/>
      <c r="W94" s="1"/>
      <c r="X94" s="1"/>
      <c r="Y94" s="1"/>
      <c r="Z94" s="1"/>
      <c r="AA94" s="1"/>
      <c r="AB94" s="1"/>
      <c r="AC94" s="1"/>
      <c r="AD94" s="1"/>
      <c r="AE94" s="1"/>
      <c r="AF94" s="1"/>
      <c r="AG94" s="1"/>
      <c r="AH94" s="1"/>
      <c r="AI94" s="1"/>
    </row>
    <row r="95" spans="1:35">
      <c r="A95" s="371" t="s">
        <v>737</v>
      </c>
      <c r="B95" s="507">
        <f>B91/(B37/365)</f>
        <v>114.54459002535926</v>
      </c>
      <c r="C95" s="507">
        <f t="shared" ref="C95:F95" si="37">C91/(C37/365)</f>
        <v>145.09168303863785</v>
      </c>
      <c r="D95" s="507">
        <f t="shared" si="37"/>
        <v>109.10822898032201</v>
      </c>
      <c r="E95" s="507">
        <f t="shared" si="37"/>
        <v>103.66209535959176</v>
      </c>
      <c r="F95" s="508">
        <f t="shared" si="37"/>
        <v>94.91434990171301</v>
      </c>
      <c r="G95" s="507">
        <f>AVERAGE(F95,E95)</f>
        <v>99.288222630652385</v>
      </c>
      <c r="H95" s="507">
        <f t="shared" ref="H95:K97" si="38">G95</f>
        <v>99.288222630652385</v>
      </c>
      <c r="I95" s="507">
        <f t="shared" si="38"/>
        <v>99.288222630652385</v>
      </c>
      <c r="J95" s="507">
        <f t="shared" si="38"/>
        <v>99.288222630652385</v>
      </c>
      <c r="K95" s="508">
        <f t="shared" si="38"/>
        <v>99.288222630652385</v>
      </c>
      <c r="L95" s="1"/>
      <c r="M95" s="371"/>
      <c r="N95" s="1"/>
      <c r="O95" s="1"/>
      <c r="P95" s="1"/>
      <c r="Q95" s="1"/>
      <c r="R95" s="1"/>
      <c r="S95" s="1"/>
      <c r="T95" s="1"/>
      <c r="U95" s="1"/>
      <c r="V95" s="1"/>
      <c r="W95" s="1"/>
      <c r="X95" s="1"/>
      <c r="Y95" s="1"/>
      <c r="Z95" s="1"/>
      <c r="AA95" s="1"/>
      <c r="AB95" s="1"/>
      <c r="AC95" s="1"/>
      <c r="AD95" s="1"/>
      <c r="AE95" s="1"/>
      <c r="AF95" s="1"/>
      <c r="AG95" s="1"/>
      <c r="AH95" s="1"/>
      <c r="AI95" s="1"/>
    </row>
    <row r="96" spans="1:35">
      <c r="A96" s="371" t="s">
        <v>739</v>
      </c>
      <c r="B96" s="507">
        <f>B92/((B42+B43)/365)</f>
        <v>142.73061497326202</v>
      </c>
      <c r="C96" s="507">
        <f t="shared" ref="C96:F96" si="39">C92/((C42+C43)/365)</f>
        <v>176.6911507520112</v>
      </c>
      <c r="D96" s="507">
        <f t="shared" si="39"/>
        <v>136.93697364846508</v>
      </c>
      <c r="E96" s="507">
        <f t="shared" si="39"/>
        <v>119.05470914127423</v>
      </c>
      <c r="F96" s="508">
        <f t="shared" si="39"/>
        <v>104.84193173002328</v>
      </c>
      <c r="G96" s="507">
        <f t="shared" ref="G96:G97" si="40">AVERAGE(F96,E96)</f>
        <v>111.94832043564875</v>
      </c>
      <c r="H96" s="507">
        <f t="shared" si="38"/>
        <v>111.94832043564875</v>
      </c>
      <c r="I96" s="507">
        <f t="shared" si="38"/>
        <v>111.94832043564875</v>
      </c>
      <c r="J96" s="507">
        <f t="shared" si="38"/>
        <v>111.94832043564875</v>
      </c>
      <c r="K96" s="508">
        <f t="shared" si="38"/>
        <v>111.94832043564875</v>
      </c>
      <c r="L96" s="1"/>
      <c r="M96" s="371"/>
      <c r="N96" s="1"/>
      <c r="O96" s="1"/>
      <c r="P96" s="1"/>
      <c r="Q96" s="1"/>
      <c r="R96" s="1"/>
      <c r="S96" s="1"/>
      <c r="T96" s="1"/>
      <c r="U96" s="1"/>
      <c r="V96" s="1"/>
      <c r="W96" s="1"/>
      <c r="X96" s="1"/>
      <c r="Y96" s="1"/>
      <c r="Z96" s="1"/>
      <c r="AA96" s="1"/>
      <c r="AB96" s="1"/>
      <c r="AC96" s="1"/>
      <c r="AD96" s="1"/>
      <c r="AE96" s="1"/>
      <c r="AF96" s="1"/>
      <c r="AG96" s="1"/>
      <c r="AH96" s="1"/>
      <c r="AI96" s="1"/>
    </row>
    <row r="97" spans="1:35">
      <c r="A97" s="371" t="s">
        <v>738</v>
      </c>
      <c r="B97" s="507">
        <f>-B93/(B37/365)</f>
        <v>3.6253169907016063</v>
      </c>
      <c r="C97" s="507">
        <f t="shared" ref="C97:F97" si="41">-C93/(C37/365)</f>
        <v>15.776031434184675</v>
      </c>
      <c r="D97" s="507">
        <f t="shared" si="41"/>
        <v>7.1824686940966007</v>
      </c>
      <c r="E97" s="507">
        <f t="shared" si="41"/>
        <v>14.725721575506297</v>
      </c>
      <c r="F97" s="508">
        <f t="shared" si="41"/>
        <v>17.117382757652347</v>
      </c>
      <c r="G97" s="507">
        <f t="shared" si="40"/>
        <v>15.921552166579321</v>
      </c>
      <c r="H97" s="507">
        <f t="shared" si="38"/>
        <v>15.921552166579321</v>
      </c>
      <c r="I97" s="507">
        <f t="shared" si="38"/>
        <v>15.921552166579321</v>
      </c>
      <c r="J97" s="507">
        <f t="shared" si="38"/>
        <v>15.921552166579321</v>
      </c>
      <c r="K97" s="508">
        <f t="shared" si="38"/>
        <v>15.921552166579321</v>
      </c>
      <c r="L97" s="1"/>
      <c r="M97" s="371"/>
      <c r="N97" s="1"/>
      <c r="O97" s="1"/>
      <c r="P97" s="1"/>
      <c r="Q97" s="1"/>
      <c r="R97" s="1"/>
      <c r="S97" s="1"/>
      <c r="T97" s="1"/>
      <c r="U97" s="1"/>
      <c r="V97" s="1"/>
      <c r="W97" s="1"/>
      <c r="X97" s="1"/>
      <c r="Y97" s="1"/>
      <c r="Z97" s="1"/>
      <c r="AA97" s="1"/>
      <c r="AB97" s="1"/>
      <c r="AC97" s="1"/>
      <c r="AD97" s="1"/>
      <c r="AE97" s="1"/>
      <c r="AF97" s="1"/>
      <c r="AG97" s="1"/>
      <c r="AH97" s="1"/>
      <c r="AI97" s="1"/>
    </row>
    <row r="98" spans="1:35">
      <c r="A98" s="99"/>
      <c r="B98" s="101"/>
      <c r="C98" s="101"/>
      <c r="D98" s="101"/>
      <c r="E98" s="101"/>
      <c r="F98" s="99"/>
      <c r="G98" s="101"/>
      <c r="H98" s="101"/>
      <c r="I98" s="101"/>
      <c r="J98" s="101"/>
      <c r="K98" s="99"/>
      <c r="L98" s="101"/>
      <c r="M98" s="371"/>
      <c r="N98" s="1"/>
      <c r="O98" s="1"/>
      <c r="P98" s="1"/>
      <c r="Q98" s="1"/>
      <c r="R98" s="1"/>
      <c r="S98" s="1"/>
      <c r="T98" s="1"/>
      <c r="U98" s="1"/>
      <c r="V98" s="1"/>
      <c r="W98" s="1"/>
      <c r="X98" s="1"/>
      <c r="Y98" s="1"/>
      <c r="Z98" s="1"/>
      <c r="AA98" s="1"/>
      <c r="AB98" s="1"/>
      <c r="AC98" s="1"/>
      <c r="AD98" s="1"/>
      <c r="AE98" s="1"/>
      <c r="AF98" s="1"/>
      <c r="AG98" s="1"/>
      <c r="AH98" s="1"/>
      <c r="AI98" s="1"/>
    </row>
    <row r="99" spans="1:35">
      <c r="A99" s="371" t="s">
        <v>735</v>
      </c>
      <c r="B99" s="1"/>
      <c r="C99" s="1">
        <f>SUM(B90:B93) - SUM(C90:C93)</f>
        <v>54</v>
      </c>
      <c r="D99" s="1">
        <f t="shared" ref="D99:K99" si="42">SUM(C90:C93) - SUM(D90:D93)</f>
        <v>71</v>
      </c>
      <c r="E99" s="1">
        <f t="shared" si="42"/>
        <v>25</v>
      </c>
      <c r="F99" s="371">
        <f t="shared" si="42"/>
        <v>81</v>
      </c>
      <c r="G99" s="507">
        <f t="shared" si="42"/>
        <v>-94.491315131043734</v>
      </c>
      <c r="H99" s="507">
        <f t="shared" si="42"/>
        <v>-4.7836617021375218</v>
      </c>
      <c r="I99" s="507">
        <f t="shared" si="42"/>
        <v>-4.856194346247662</v>
      </c>
      <c r="J99" s="507">
        <f t="shared" si="42"/>
        <v>-4.9298267722394939</v>
      </c>
      <c r="K99" s="508">
        <f t="shared" si="42"/>
        <v>-4.8805833850879026</v>
      </c>
      <c r="L99" s="1"/>
      <c r="M99" s="371"/>
      <c r="N99" s="1"/>
      <c r="O99" s="1"/>
      <c r="P99" s="1"/>
      <c r="Q99" s="1"/>
      <c r="R99" s="1"/>
      <c r="S99" s="1"/>
      <c r="T99" s="1"/>
      <c r="U99" s="1"/>
      <c r="V99" s="1"/>
      <c r="W99" s="1"/>
      <c r="X99" s="1"/>
      <c r="Y99" s="1"/>
      <c r="Z99" s="1"/>
      <c r="AA99" s="1"/>
      <c r="AB99" s="1"/>
      <c r="AC99" s="1"/>
      <c r="AD99" s="1"/>
      <c r="AE99" s="1"/>
      <c r="AF99" s="1"/>
      <c r="AG99" s="1"/>
      <c r="AH99" s="1"/>
      <c r="AI99" s="1"/>
    </row>
    <row r="100" spans="1:35">
      <c r="A100" s="371"/>
      <c r="B100" s="1"/>
      <c r="C100" s="1"/>
      <c r="D100" s="1"/>
      <c r="E100" s="1"/>
      <c r="F100" s="371"/>
      <c r="G100" s="1"/>
      <c r="H100" s="1"/>
      <c r="I100" s="1"/>
      <c r="J100" s="1"/>
      <c r="K100" s="371"/>
      <c r="L100" s="1"/>
      <c r="M100" s="371"/>
      <c r="N100" s="1"/>
      <c r="O100" s="1"/>
      <c r="P100" s="1"/>
      <c r="Q100" s="1"/>
      <c r="R100" s="1"/>
      <c r="S100" s="1"/>
      <c r="T100" s="1"/>
      <c r="U100" s="1"/>
      <c r="V100" s="1"/>
      <c r="W100" s="1"/>
      <c r="X100" s="1"/>
      <c r="Y100" s="1"/>
      <c r="Z100" s="1"/>
      <c r="AA100" s="1"/>
      <c r="AB100" s="1"/>
      <c r="AC100" s="1"/>
      <c r="AD100" s="1"/>
      <c r="AE100" s="1"/>
      <c r="AF100" s="1"/>
      <c r="AG100" s="1"/>
      <c r="AH100" s="1"/>
      <c r="AI100" s="1"/>
    </row>
    <row r="101" spans="1:35" ht="15" thickBot="1">
      <c r="A101" s="371"/>
      <c r="B101" s="1"/>
      <c r="C101" s="1"/>
      <c r="D101" s="1"/>
      <c r="E101" s="1"/>
      <c r="F101" s="371"/>
      <c r="G101" s="1"/>
      <c r="H101" s="1"/>
      <c r="I101" s="1"/>
      <c r="J101" s="1"/>
      <c r="K101" s="371"/>
      <c r="L101" s="1"/>
      <c r="M101" s="37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489" t="s">
        <v>615</v>
      </c>
      <c r="B102" s="1"/>
      <c r="C102" s="1"/>
      <c r="D102" s="1"/>
      <c r="E102" s="1"/>
      <c r="F102" s="371"/>
      <c r="G102" s="1"/>
      <c r="H102" s="1"/>
      <c r="I102" s="1"/>
      <c r="J102" s="1"/>
      <c r="K102" s="371"/>
      <c r="L102" s="1"/>
      <c r="M102" s="37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490"/>
      <c r="B103" s="1">
        <f>'Reorganised Statements'!D26</f>
        <v>452</v>
      </c>
      <c r="C103" s="1">
        <f>'Reorganised Statements'!E26</f>
        <v>398</v>
      </c>
      <c r="D103" s="1">
        <f>'Reorganised Statements'!F26</f>
        <v>327</v>
      </c>
      <c r="E103" s="1">
        <f>'Reorganised Statements'!G26</f>
        <v>302</v>
      </c>
      <c r="F103" s="1">
        <f>'Reorganised Statements'!H26</f>
        <v>221</v>
      </c>
      <c r="G103" s="507">
        <f>G105*G37</f>
        <v>286.26702444732001</v>
      </c>
      <c r="H103" s="507">
        <f t="shared" ref="H103:K103" si="43">H105*H37</f>
        <v>290.60757055986392</v>
      </c>
      <c r="I103" s="507">
        <f t="shared" si="43"/>
        <v>295.01393054178902</v>
      </c>
      <c r="J103" s="507">
        <f t="shared" si="43"/>
        <v>299.48710230102921</v>
      </c>
      <c r="K103" s="508">
        <f t="shared" si="43"/>
        <v>303.91559213960329</v>
      </c>
      <c r="L103" s="1"/>
      <c r="M103" s="37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490"/>
      <c r="B104" s="1"/>
      <c r="C104" s="1"/>
      <c r="D104" s="1"/>
      <c r="E104" s="1"/>
      <c r="F104" s="371"/>
      <c r="G104" s="1"/>
      <c r="H104" s="1"/>
      <c r="I104" s="1"/>
      <c r="J104" s="1"/>
      <c r="K104" s="371"/>
      <c r="L104" s="1"/>
      <c r="M104" s="37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490" t="s">
        <v>616</v>
      </c>
      <c r="B105" s="373">
        <f>B103/B37</f>
        <v>9.5519864750633982E-2</v>
      </c>
      <c r="C105" s="373">
        <f t="shared" ref="C105:F105" si="44">C103/C37</f>
        <v>8.6880593756821653E-2</v>
      </c>
      <c r="D105" s="373">
        <f t="shared" si="44"/>
        <v>5.8497316636851523E-2</v>
      </c>
      <c r="E105" s="373">
        <f t="shared" si="44"/>
        <v>4.8158188486684739E-2</v>
      </c>
      <c r="F105" s="455">
        <f t="shared" si="44"/>
        <v>3.1030609379387813E-2</v>
      </c>
      <c r="G105" s="373">
        <f>AVERAGE(E105,F105)</f>
        <v>3.9594398933036276E-2</v>
      </c>
      <c r="H105" s="421">
        <f>G105</f>
        <v>3.9594398933036276E-2</v>
      </c>
      <c r="I105" s="421">
        <f t="shared" ref="I105:K105" si="45">H105</f>
        <v>3.9594398933036276E-2</v>
      </c>
      <c r="J105" s="421">
        <f t="shared" si="45"/>
        <v>3.9594398933036276E-2</v>
      </c>
      <c r="K105" s="456">
        <f t="shared" si="45"/>
        <v>3.9594398933036276E-2</v>
      </c>
      <c r="L105" s="1"/>
      <c r="M105" s="37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490"/>
      <c r="B106" s="1"/>
      <c r="C106" s="373"/>
      <c r="D106" s="373"/>
      <c r="E106" s="373"/>
      <c r="F106" s="455"/>
      <c r="G106" s="1"/>
      <c r="H106" s="1"/>
      <c r="I106" s="1"/>
      <c r="J106" s="1"/>
      <c r="K106" s="371"/>
      <c r="L106" s="1"/>
      <c r="M106" s="37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490" t="s">
        <v>735</v>
      </c>
      <c r="B107" s="1"/>
      <c r="C107" s="1">
        <f>B103-C103</f>
        <v>54</v>
      </c>
      <c r="D107" s="1">
        <f t="shared" ref="D107:K107" si="46">C103-D103</f>
        <v>71</v>
      </c>
      <c r="E107" s="1">
        <f t="shared" si="46"/>
        <v>25</v>
      </c>
      <c r="F107" s="371">
        <f t="shared" si="46"/>
        <v>81</v>
      </c>
      <c r="G107" s="507">
        <f t="shared" si="46"/>
        <v>-65.267024447320011</v>
      </c>
      <c r="H107" s="507">
        <f t="shared" si="46"/>
        <v>-4.3405461125439047</v>
      </c>
      <c r="I107" s="507">
        <f t="shared" si="46"/>
        <v>-4.4063599819251067</v>
      </c>
      <c r="J107" s="507">
        <f t="shared" si="46"/>
        <v>-4.4731717592401878</v>
      </c>
      <c r="K107" s="508">
        <f t="shared" si="46"/>
        <v>-4.4284898385740803</v>
      </c>
      <c r="L107" s="1"/>
      <c r="M107" s="371"/>
      <c r="N107" s="1"/>
      <c r="O107" s="1"/>
      <c r="P107" s="1"/>
      <c r="Q107" s="1"/>
      <c r="R107" s="1"/>
      <c r="S107" s="1"/>
      <c r="T107" s="1"/>
      <c r="U107" s="1"/>
      <c r="V107" s="1"/>
      <c r="W107" s="1"/>
      <c r="X107" s="1"/>
      <c r="Y107" s="1"/>
      <c r="Z107" s="1"/>
      <c r="AA107" s="1"/>
      <c r="AB107" s="1"/>
      <c r="AC107" s="1"/>
      <c r="AD107" s="1"/>
      <c r="AE107" s="1"/>
      <c r="AF107" s="1"/>
      <c r="AG107" s="1"/>
      <c r="AH107" s="1"/>
      <c r="AI107" s="1"/>
    </row>
    <row r="108" spans="1:35" ht="15" thickBot="1">
      <c r="A108" s="371"/>
      <c r="B108" s="1"/>
      <c r="C108" s="1"/>
      <c r="D108" s="1"/>
      <c r="E108" s="1"/>
      <c r="F108" s="371"/>
      <c r="G108" s="1"/>
      <c r="H108" s="1"/>
      <c r="I108" s="1"/>
      <c r="J108" s="1"/>
      <c r="K108" s="371"/>
      <c r="L108" s="1"/>
      <c r="M108" s="371"/>
      <c r="N108" s="1"/>
      <c r="O108" s="1"/>
      <c r="P108" s="1"/>
      <c r="Q108" s="1"/>
      <c r="R108" s="1"/>
      <c r="S108" s="1"/>
      <c r="T108" s="1"/>
      <c r="U108" s="1"/>
      <c r="V108" s="1"/>
      <c r="W108" s="1"/>
      <c r="X108" s="1"/>
      <c r="Y108" s="1"/>
      <c r="Z108" s="1"/>
      <c r="AA108" s="1"/>
      <c r="AB108" s="1"/>
      <c r="AC108" s="1"/>
      <c r="AD108" s="1"/>
      <c r="AE108" s="1"/>
      <c r="AF108" s="1"/>
      <c r="AG108" s="1"/>
      <c r="AH108" s="1"/>
      <c r="AI108" s="1"/>
    </row>
    <row r="109" spans="1:35" ht="15" thickBot="1">
      <c r="A109" s="461" t="s">
        <v>617</v>
      </c>
      <c r="B109" s="1"/>
      <c r="C109" s="1"/>
      <c r="D109" s="1"/>
      <c r="E109" s="1"/>
      <c r="F109" s="371"/>
      <c r="G109" s="1"/>
      <c r="H109" s="1"/>
      <c r="I109" s="1"/>
      <c r="J109" s="1"/>
      <c r="K109" s="371"/>
      <c r="L109" s="1"/>
      <c r="M109" s="37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371"/>
      <c r="B110" s="1"/>
      <c r="C110" s="1"/>
      <c r="D110" s="1"/>
      <c r="E110" s="1"/>
      <c r="F110" s="371"/>
      <c r="G110" s="1"/>
      <c r="H110" s="1"/>
      <c r="I110" s="1"/>
      <c r="J110" s="1"/>
      <c r="K110" s="371"/>
      <c r="L110" s="1"/>
      <c r="M110" s="37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491" t="s">
        <v>618</v>
      </c>
      <c r="B111" s="1">
        <f>'Reorganised Statements'!D28</f>
        <v>308</v>
      </c>
      <c r="C111" s="1">
        <f>'Reorganised Statements'!E28</f>
        <v>341</v>
      </c>
      <c r="D111" s="1">
        <f>'Reorganised Statements'!F28</f>
        <v>301</v>
      </c>
      <c r="E111" s="1">
        <f>'Reorganised Statements'!G28</f>
        <v>264</v>
      </c>
      <c r="F111" s="1">
        <f>'Reorganised Statements'!H28</f>
        <v>277</v>
      </c>
      <c r="G111" s="1">
        <f>F111</f>
        <v>277</v>
      </c>
      <c r="H111" s="1">
        <f t="shared" ref="H111:K113" si="47">G111</f>
        <v>277</v>
      </c>
      <c r="I111" s="1">
        <f t="shared" si="47"/>
        <v>277</v>
      </c>
      <c r="J111" s="1">
        <f t="shared" si="47"/>
        <v>277</v>
      </c>
      <c r="K111" s="371">
        <f t="shared" si="47"/>
        <v>277</v>
      </c>
      <c r="L111" s="1"/>
      <c r="M111" s="37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491" t="s">
        <v>619</v>
      </c>
      <c r="B112" s="1">
        <f>'Reorganised Statements'!D29</f>
        <v>-332</v>
      </c>
      <c r="C112" s="1">
        <f>'Reorganised Statements'!E29</f>
        <v>-365</v>
      </c>
      <c r="D112" s="1">
        <f>'Reorganised Statements'!F29</f>
        <v>-319</v>
      </c>
      <c r="E112" s="1">
        <f>'Reorganised Statements'!G29</f>
        <v>-314</v>
      </c>
      <c r="F112" s="1">
        <f>'Reorganised Statements'!H29</f>
        <v>-307</v>
      </c>
      <c r="G112" s="1">
        <f>F112</f>
        <v>-307</v>
      </c>
      <c r="H112" s="1">
        <f t="shared" si="47"/>
        <v>-307</v>
      </c>
      <c r="I112" s="1">
        <f t="shared" si="47"/>
        <v>-307</v>
      </c>
      <c r="J112" s="1">
        <f t="shared" si="47"/>
        <v>-307</v>
      </c>
      <c r="K112" s="371">
        <f t="shared" si="47"/>
        <v>-307</v>
      </c>
      <c r="L112" s="1"/>
      <c r="M112" s="37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491" t="s">
        <v>620</v>
      </c>
      <c r="B113" s="1">
        <f>'Reorganised Statements'!D30</f>
        <v>-576</v>
      </c>
      <c r="C113" s="1">
        <f>'Reorganised Statements'!E30</f>
        <v>-671</v>
      </c>
      <c r="D113" s="1">
        <f>'Reorganised Statements'!F30</f>
        <v>-625</v>
      </c>
      <c r="E113" s="1">
        <f>'Reorganised Statements'!G30</f>
        <v>-642</v>
      </c>
      <c r="F113" s="1">
        <f>'Reorganised Statements'!H30</f>
        <v>-676</v>
      </c>
      <c r="G113" s="1">
        <f>F113</f>
        <v>-676</v>
      </c>
      <c r="H113" s="1">
        <f t="shared" si="47"/>
        <v>-676</v>
      </c>
      <c r="I113" s="1">
        <f t="shared" si="47"/>
        <v>-676</v>
      </c>
      <c r="J113" s="1">
        <f t="shared" si="47"/>
        <v>-676</v>
      </c>
      <c r="K113" s="371">
        <f t="shared" si="47"/>
        <v>-676</v>
      </c>
      <c r="L113" s="1"/>
      <c r="M113" s="37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371"/>
      <c r="B114" s="1"/>
      <c r="C114" s="1"/>
      <c r="D114" s="1"/>
      <c r="E114" s="1"/>
      <c r="F114" s="371"/>
      <c r="G114" s="1"/>
      <c r="H114" s="1"/>
      <c r="I114" s="1"/>
      <c r="J114" s="1"/>
      <c r="K114" s="371"/>
      <c r="L114" s="1"/>
      <c r="M114" s="371"/>
      <c r="N114" s="1"/>
      <c r="O114" s="1"/>
      <c r="P114" s="1"/>
      <c r="Q114" s="1"/>
      <c r="R114" s="1"/>
      <c r="S114" s="1"/>
      <c r="T114" s="1"/>
      <c r="U114" s="1"/>
      <c r="V114" s="1"/>
      <c r="W114" s="1"/>
      <c r="X114" s="1"/>
      <c r="Y114" s="1"/>
      <c r="Z114" s="1"/>
      <c r="AA114" s="1"/>
      <c r="AB114" s="1"/>
      <c r="AC114" s="1"/>
      <c r="AD114" s="1"/>
      <c r="AE114" s="1"/>
      <c r="AF114" s="1"/>
      <c r="AG114" s="1"/>
      <c r="AH114" s="1"/>
      <c r="AI114" s="1"/>
    </row>
    <row r="115" spans="1:35" ht="15" thickBot="1">
      <c r="A115" s="437"/>
      <c r="B115" s="1"/>
      <c r="C115" s="1"/>
      <c r="D115" s="1"/>
      <c r="E115" s="1"/>
      <c r="F115" s="371"/>
      <c r="G115" s="1"/>
      <c r="H115" s="1"/>
      <c r="I115" s="1"/>
      <c r="J115" s="1"/>
      <c r="K115" s="371"/>
      <c r="L115" s="1"/>
      <c r="M115" s="371"/>
      <c r="N115" s="1"/>
      <c r="O115" s="1"/>
      <c r="P115" s="1"/>
      <c r="Q115" s="1"/>
      <c r="R115" s="1"/>
      <c r="S115" s="1"/>
      <c r="T115" s="1"/>
      <c r="U115" s="1"/>
      <c r="V115" s="1"/>
      <c r="W115" s="1"/>
      <c r="X115" s="1"/>
      <c r="Y115" s="1"/>
      <c r="Z115" s="1"/>
      <c r="AA115" s="1"/>
      <c r="AB115" s="1"/>
      <c r="AC115" s="1"/>
      <c r="AD115" s="1"/>
      <c r="AE115" s="1"/>
      <c r="AF115" s="1"/>
      <c r="AG115" s="1"/>
      <c r="AH115" s="1"/>
      <c r="AI115" s="1"/>
    </row>
    <row r="116" spans="1:35" ht="15" thickBot="1">
      <c r="A116" s="461" t="s">
        <v>621</v>
      </c>
      <c r="B116" s="1"/>
      <c r="C116" s="1"/>
      <c r="D116" s="1"/>
      <c r="E116" s="1"/>
      <c r="F116" s="371"/>
      <c r="G116" s="1"/>
      <c r="H116" s="1"/>
      <c r="I116" s="1"/>
      <c r="J116" s="1"/>
      <c r="K116" s="371"/>
      <c r="L116" s="1"/>
      <c r="M116" s="371"/>
      <c r="N116" s="1"/>
      <c r="O116" s="1"/>
      <c r="P116" s="1"/>
      <c r="Q116" s="1"/>
      <c r="R116" s="1"/>
      <c r="S116" s="1"/>
      <c r="T116" s="1"/>
      <c r="U116" s="492" t="s">
        <v>622</v>
      </c>
      <c r="V116" s="103"/>
      <c r="W116" s="103"/>
      <c r="X116" s="103"/>
      <c r="Y116" s="103"/>
      <c r="Z116" s="380"/>
      <c r="AA116" s="1"/>
      <c r="AB116" s="1"/>
      <c r="AC116" s="1"/>
      <c r="AD116" s="1"/>
      <c r="AE116" s="1"/>
      <c r="AF116" s="1"/>
      <c r="AG116" s="1"/>
      <c r="AH116" s="1"/>
      <c r="AI116" s="1"/>
    </row>
    <row r="117" spans="1:35">
      <c r="A117" s="463" t="s">
        <v>623</v>
      </c>
      <c r="B117" s="1">
        <f>'Reorganised Statements'!D38</f>
        <v>-692</v>
      </c>
      <c r="C117" s="1">
        <f>'Reorganised Statements'!E38</f>
        <v>-359</v>
      </c>
      <c r="D117" s="1">
        <f>'Reorganised Statements'!F38</f>
        <v>-437</v>
      </c>
      <c r="E117" s="1">
        <f>'Reorganised Statements'!G38</f>
        <v>-694</v>
      </c>
      <c r="F117" s="1">
        <f>'Reorganised Statements'!H38</f>
        <v>-304</v>
      </c>
      <c r="G117" s="1">
        <v>-465</v>
      </c>
      <c r="H117" s="1">
        <v>-598</v>
      </c>
      <c r="I117" s="1">
        <v>-394</v>
      </c>
      <c r="J117" s="1">
        <v>-372</v>
      </c>
      <c r="K117" s="371">
        <v>-372</v>
      </c>
      <c r="L117" s="1"/>
      <c r="M117" s="371"/>
      <c r="N117" s="1"/>
      <c r="O117" s="1"/>
      <c r="P117" s="1"/>
      <c r="Q117" s="1"/>
      <c r="R117" s="1"/>
      <c r="S117" s="1"/>
      <c r="T117" s="1"/>
      <c r="U117" s="493"/>
      <c r="V117" s="1"/>
      <c r="W117" s="1"/>
      <c r="X117" s="1"/>
      <c r="Y117" s="52"/>
      <c r="Z117" s="371"/>
      <c r="AA117" s="1"/>
      <c r="AB117" s="1"/>
      <c r="AC117" s="1"/>
      <c r="AD117" s="1"/>
      <c r="AE117" s="1"/>
      <c r="AF117" s="1"/>
      <c r="AG117" s="1"/>
      <c r="AH117" s="1"/>
      <c r="AI117" s="1"/>
    </row>
    <row r="118" spans="1:35">
      <c r="A118" s="371"/>
      <c r="B118" s="1"/>
      <c r="C118" s="1"/>
      <c r="D118" s="1"/>
      <c r="E118" s="1"/>
      <c r="F118" s="371"/>
      <c r="G118" s="1"/>
      <c r="H118" s="1"/>
      <c r="I118" s="1"/>
      <c r="J118" s="1"/>
      <c r="K118" s="371"/>
      <c r="L118" s="1"/>
      <c r="M118" s="371"/>
      <c r="N118" s="1"/>
      <c r="O118" s="1"/>
      <c r="P118" s="1"/>
      <c r="Q118" s="1"/>
      <c r="R118" s="1"/>
      <c r="S118" s="1"/>
      <c r="T118" s="1"/>
      <c r="U118" s="493" t="s">
        <v>624</v>
      </c>
      <c r="V118" s="494">
        <f>AVERAGE(B121:F121)</f>
        <v>0.73578288562725003</v>
      </c>
      <c r="W118" s="1"/>
      <c r="X118" s="1"/>
      <c r="Y118" s="52"/>
      <c r="Z118" s="371"/>
      <c r="AA118" s="1"/>
      <c r="AB118" s="1"/>
      <c r="AC118" s="1"/>
      <c r="AD118" s="1"/>
      <c r="AE118" s="1"/>
      <c r="AF118" s="1"/>
      <c r="AG118" s="1"/>
      <c r="AH118" s="1"/>
      <c r="AI118" s="1"/>
    </row>
    <row r="119" spans="1:35">
      <c r="A119" s="99" t="s">
        <v>625</v>
      </c>
      <c r="B119" s="101">
        <f>'Reorganised Statements'!D37</f>
        <v>-3089</v>
      </c>
      <c r="C119" s="101">
        <f>'Reorganised Statements'!E37</f>
        <v>-3436</v>
      </c>
      <c r="D119" s="101">
        <f>'Reorganised Statements'!F37</f>
        <v>-3501</v>
      </c>
      <c r="E119" s="101">
        <f>'Reorganised Statements'!G37</f>
        <v>-2984</v>
      </c>
      <c r="F119" s="101">
        <f>'Reorganised Statements'!H37</f>
        <v>-3307</v>
      </c>
      <c r="G119" s="495">
        <f>G126-G117</f>
        <v>-3386.4393811435498</v>
      </c>
      <c r="H119" s="495">
        <f t="shared" ref="H119:K119" si="48">H126-H117</f>
        <v>-3380.5442191171983</v>
      </c>
      <c r="I119" s="495">
        <f t="shared" si="48"/>
        <v>-3715.8437589250243</v>
      </c>
      <c r="J119" s="495">
        <f t="shared" si="48"/>
        <v>-3873.4764337199913</v>
      </c>
      <c r="K119" s="496">
        <f t="shared" si="48"/>
        <v>-4016.8739353367855</v>
      </c>
      <c r="L119" s="1"/>
      <c r="M119" s="371"/>
      <c r="N119" s="1"/>
      <c r="O119" s="1"/>
      <c r="P119" s="1"/>
      <c r="Q119" s="1"/>
      <c r="R119" s="1"/>
      <c r="S119" s="1"/>
      <c r="T119" s="1"/>
      <c r="U119" s="378" t="s">
        <v>626</v>
      </c>
      <c r="V119" s="497">
        <f>1-V118</f>
        <v>0.26421711437274997</v>
      </c>
      <c r="W119" s="101"/>
      <c r="X119" s="101"/>
      <c r="Y119" s="101"/>
      <c r="Z119" s="99"/>
      <c r="AA119" s="1"/>
      <c r="AB119" s="1"/>
      <c r="AC119" s="1"/>
      <c r="AD119" s="1"/>
      <c r="AE119" s="1"/>
      <c r="AF119" s="1"/>
      <c r="AG119" s="1"/>
      <c r="AH119" s="1"/>
      <c r="AI119" s="1"/>
    </row>
    <row r="120" spans="1:35">
      <c r="A120" s="371" t="s">
        <v>627</v>
      </c>
      <c r="B120" s="1"/>
      <c r="C120" s="1"/>
      <c r="D120" s="1"/>
      <c r="E120" s="1"/>
      <c r="F120" s="371"/>
      <c r="G120" s="1"/>
      <c r="H120" s="1"/>
      <c r="I120" s="1"/>
      <c r="J120" s="1"/>
      <c r="K120" s="371"/>
      <c r="L120" s="1"/>
      <c r="M120" s="371"/>
      <c r="N120" s="1"/>
      <c r="O120" s="1"/>
      <c r="P120" s="1"/>
      <c r="Q120" s="1"/>
      <c r="R120" s="1"/>
      <c r="S120" s="1"/>
      <c r="T120" s="1"/>
      <c r="U120" s="493"/>
      <c r="V120" s="1">
        <v>2020</v>
      </c>
      <c r="W120" s="1">
        <v>2021</v>
      </c>
      <c r="X120" s="1">
        <v>2022</v>
      </c>
      <c r="Y120" s="52">
        <v>2023</v>
      </c>
      <c r="Z120" s="371">
        <v>2024</v>
      </c>
      <c r="AA120" s="1"/>
      <c r="AB120" s="1"/>
      <c r="AC120" s="1"/>
      <c r="AD120" s="1"/>
      <c r="AE120" s="1"/>
      <c r="AF120" s="1"/>
      <c r="AG120" s="1"/>
      <c r="AH120" s="1"/>
      <c r="AI120" s="1"/>
    </row>
    <row r="121" spans="1:35">
      <c r="A121" s="371" t="s">
        <v>628</v>
      </c>
      <c r="B121" s="484">
        <v>0.79</v>
      </c>
      <c r="C121" s="484">
        <v>0.67</v>
      </c>
      <c r="D121" s="484">
        <v>0.76</v>
      </c>
      <c r="E121" s="484">
        <v>0.74</v>
      </c>
      <c r="F121" s="485">
        <f>-2596/F126</f>
        <v>0.71891442813625039</v>
      </c>
      <c r="G121" s="1"/>
      <c r="H121" s="1"/>
      <c r="I121" s="1"/>
      <c r="J121" s="1"/>
      <c r="K121" s="371"/>
      <c r="L121" s="1"/>
      <c r="M121" s="371"/>
      <c r="N121" s="1"/>
      <c r="O121" s="1"/>
      <c r="P121" s="1"/>
      <c r="Q121" s="1"/>
      <c r="R121" s="1"/>
      <c r="S121" s="1"/>
      <c r="T121" s="1"/>
      <c r="U121" s="493" t="s">
        <v>629</v>
      </c>
      <c r="V121" s="1">
        <f>-V118*G133</f>
        <v>400.58917890691527</v>
      </c>
      <c r="W121" s="1">
        <f>-V118*H133</f>
        <v>435.6606062781064</v>
      </c>
      <c r="X121" s="1">
        <f>-V118*I133</f>
        <v>536.60611988642768</v>
      </c>
      <c r="Y121" s="52">
        <f>-V118*J133</f>
        <v>389.69465778311968</v>
      </c>
      <c r="Z121" s="371">
        <f>-V118*K133</f>
        <v>379.22066098468014</v>
      </c>
      <c r="AA121" s="1"/>
      <c r="AB121" s="1"/>
      <c r="AC121" s="1"/>
      <c r="AD121" s="1"/>
      <c r="AE121" s="1"/>
      <c r="AF121" s="1"/>
      <c r="AG121" s="1"/>
      <c r="AH121" s="1"/>
      <c r="AI121" s="1"/>
    </row>
    <row r="122" spans="1:35">
      <c r="A122" s="371" t="s">
        <v>630</v>
      </c>
      <c r="B122" s="484">
        <v>0.21</v>
      </c>
      <c r="C122" s="484">
        <v>0.33</v>
      </c>
      <c r="D122" s="484">
        <v>0.24</v>
      </c>
      <c r="E122" s="484">
        <v>0.26</v>
      </c>
      <c r="F122" s="485">
        <f>1-F121</f>
        <v>0.28108557186374961</v>
      </c>
      <c r="G122" s="1"/>
      <c r="H122" s="1"/>
      <c r="I122" s="1"/>
      <c r="J122" s="1"/>
      <c r="K122" s="371"/>
      <c r="L122" s="1"/>
      <c r="M122" s="371"/>
      <c r="N122" s="1"/>
      <c r="O122" s="1"/>
      <c r="P122" s="1"/>
      <c r="Q122" s="1"/>
      <c r="R122" s="1"/>
      <c r="S122" s="1"/>
      <c r="T122" s="1"/>
      <c r="U122" s="493"/>
      <c r="V122" s="1"/>
      <c r="W122" s="1"/>
      <c r="X122" s="1"/>
      <c r="Y122" s="52"/>
      <c r="Z122" s="371"/>
      <c r="AA122" s="1"/>
      <c r="AB122" s="1"/>
      <c r="AC122" s="1"/>
      <c r="AD122" s="1"/>
      <c r="AE122" s="1"/>
      <c r="AF122" s="1"/>
      <c r="AG122" s="1"/>
      <c r="AH122" s="1"/>
      <c r="AI122" s="1"/>
    </row>
    <row r="123" spans="1:35">
      <c r="A123" s="371" t="s">
        <v>631</v>
      </c>
      <c r="B123" s="498">
        <f>B121*B126</f>
        <v>-2986.9900000000002</v>
      </c>
      <c r="C123" s="498">
        <f t="shared" ref="C123:F123" si="49">C121*C126</f>
        <v>-2542.65</v>
      </c>
      <c r="D123" s="498">
        <f t="shared" si="49"/>
        <v>-2992.88</v>
      </c>
      <c r="E123" s="498">
        <f t="shared" si="49"/>
        <v>-2721.72</v>
      </c>
      <c r="F123" s="499">
        <f t="shared" si="49"/>
        <v>-2596</v>
      </c>
      <c r="G123" s="1">
        <f>V118*G126</f>
        <v>-2833.8231816762309</v>
      </c>
      <c r="H123" s="1">
        <f>V118*H126</f>
        <v>-2927.3447461376663</v>
      </c>
      <c r="I123" s="1">
        <f>V118*I126</f>
        <v>-3023.9527004189986</v>
      </c>
      <c r="J123" s="1">
        <f>V118*J126</f>
        <v>-3123.7489012649817</v>
      </c>
      <c r="K123" s="371">
        <f>V118*K126</f>
        <v>-3229.2583287963248</v>
      </c>
      <c r="L123" s="1"/>
      <c r="M123" s="371"/>
      <c r="N123" s="1"/>
      <c r="O123" s="1"/>
      <c r="P123" s="1"/>
      <c r="Q123" s="1"/>
      <c r="R123" s="1"/>
      <c r="S123" s="1"/>
      <c r="T123" s="1"/>
      <c r="U123" s="378"/>
      <c r="V123" s="101"/>
      <c r="W123" s="101"/>
      <c r="X123" s="101"/>
      <c r="Y123" s="101"/>
      <c r="Z123" s="99"/>
      <c r="AA123" s="1"/>
      <c r="AB123" s="1"/>
      <c r="AC123" s="1"/>
      <c r="AD123" s="1"/>
      <c r="AE123" s="1"/>
      <c r="AF123" s="1"/>
      <c r="AG123" s="1"/>
      <c r="AH123" s="1"/>
      <c r="AI123" s="1"/>
    </row>
    <row r="124" spans="1:35">
      <c r="A124" s="99" t="s">
        <v>632</v>
      </c>
      <c r="B124" s="500">
        <f>B122*B126</f>
        <v>-794.01</v>
      </c>
      <c r="C124" s="500">
        <f t="shared" ref="C124:F124" si="50">C122*C126</f>
        <v>-1252.3500000000001</v>
      </c>
      <c r="D124" s="500">
        <f t="shared" si="50"/>
        <v>-945.12</v>
      </c>
      <c r="E124" s="500">
        <f t="shared" si="50"/>
        <v>-956.28000000000009</v>
      </c>
      <c r="F124" s="501">
        <f t="shared" si="50"/>
        <v>-1014.9999999999998</v>
      </c>
      <c r="G124" s="495">
        <f>G126-G123</f>
        <v>-1017.6161994673189</v>
      </c>
      <c r="H124" s="495">
        <f t="shared" ref="H124:K124" si="51">H126-H123</f>
        <v>-1051.1994729795319</v>
      </c>
      <c r="I124" s="495">
        <f t="shared" si="51"/>
        <v>-1085.8910585060257</v>
      </c>
      <c r="J124" s="495">
        <f t="shared" si="51"/>
        <v>-1121.7275324550096</v>
      </c>
      <c r="K124" s="496">
        <f t="shared" si="51"/>
        <v>-1159.6156065404607</v>
      </c>
      <c r="L124" s="101"/>
      <c r="M124" s="99"/>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371"/>
      <c r="B125" s="1"/>
      <c r="C125" s="1"/>
      <c r="D125" s="1"/>
      <c r="E125" s="1"/>
      <c r="F125" s="371"/>
      <c r="G125" s="1"/>
      <c r="H125" s="1"/>
      <c r="I125" s="1"/>
      <c r="J125" s="1"/>
      <c r="K125" s="380"/>
      <c r="L125" s="1"/>
      <c r="M125" s="37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465" t="s">
        <v>427</v>
      </c>
      <c r="B126" s="502">
        <f>B117+B119</f>
        <v>-3781</v>
      </c>
      <c r="C126" s="502">
        <f>C117+C119</f>
        <v>-3795</v>
      </c>
      <c r="D126" s="502">
        <f>D117+D119</f>
        <v>-3938</v>
      </c>
      <c r="E126" s="502">
        <f>E117+E119</f>
        <v>-3678</v>
      </c>
      <c r="F126" s="503">
        <f>F117+F119</f>
        <v>-3611</v>
      </c>
      <c r="G126" s="502">
        <f>G128/G129</f>
        <v>-3851.4393811435498</v>
      </c>
      <c r="H126" s="502">
        <f t="shared" ref="H126:K126" si="52">H128/H129</f>
        <v>-3978.5442191171983</v>
      </c>
      <c r="I126" s="502">
        <f t="shared" si="52"/>
        <v>-4109.8437589250243</v>
      </c>
      <c r="J126" s="502">
        <f t="shared" si="52"/>
        <v>-4245.4764337199913</v>
      </c>
      <c r="K126" s="503">
        <f t="shared" si="52"/>
        <v>-4388.8739353367855</v>
      </c>
      <c r="L126" s="1"/>
      <c r="M126" s="37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99"/>
      <c r="B127" s="101"/>
      <c r="C127" s="101"/>
      <c r="D127" s="101"/>
      <c r="E127" s="101"/>
      <c r="F127" s="99"/>
      <c r="G127" s="101"/>
      <c r="H127" s="101"/>
      <c r="I127" s="101"/>
      <c r="J127" s="101"/>
      <c r="K127" s="99"/>
      <c r="L127" s="101"/>
      <c r="M127" s="99"/>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504" t="s">
        <v>633</v>
      </c>
      <c r="B128" s="505">
        <f>'Reorganised Statements'!D42</f>
        <v>-3145</v>
      </c>
      <c r="C128" s="505">
        <f>'Reorganised Statements'!E42</f>
        <v>-3393</v>
      </c>
      <c r="D128" s="505">
        <f>'Reorganised Statements'!F42</f>
        <v>-3247</v>
      </c>
      <c r="E128" s="505">
        <f>'Reorganised Statements'!G42</f>
        <v>-3054</v>
      </c>
      <c r="F128" s="505">
        <f>'Reorganised Statements'!H42</f>
        <v>-3177</v>
      </c>
      <c r="G128" s="505">
        <f>-G52*G130</f>
        <v>-3281.8470533430491</v>
      </c>
      <c r="H128" s="505">
        <f t="shared" ref="H128:K128" si="53">-H52*H130</f>
        <v>-3390.1542592182741</v>
      </c>
      <c r="I128" s="505">
        <f t="shared" si="53"/>
        <v>-3502.0358092520873</v>
      </c>
      <c r="J128" s="505">
        <f t="shared" si="53"/>
        <v>-3617.6096636121511</v>
      </c>
      <c r="K128" s="504">
        <f t="shared" si="53"/>
        <v>-3739.7999985923429</v>
      </c>
      <c r="L128" s="103"/>
      <c r="M128" s="380"/>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371" t="s">
        <v>634</v>
      </c>
      <c r="B129" s="373">
        <f>B128/B126</f>
        <v>0.8317905316053954</v>
      </c>
      <c r="C129" s="373">
        <f t="shared" ref="C129:F129" si="54">C128/C126</f>
        <v>0.89407114624505923</v>
      </c>
      <c r="D129" s="373">
        <f t="shared" si="54"/>
        <v>0.82453021838496698</v>
      </c>
      <c r="E129" s="373">
        <f t="shared" si="54"/>
        <v>0.83034257748776508</v>
      </c>
      <c r="F129" s="455">
        <f t="shared" si="54"/>
        <v>0.87981168651343122</v>
      </c>
      <c r="G129" s="421">
        <f>AVERAGE(B129:F129)</f>
        <v>0.85210923204732347</v>
      </c>
      <c r="H129" s="421">
        <f>G129</f>
        <v>0.85210923204732347</v>
      </c>
      <c r="I129" s="421">
        <f t="shared" ref="I129:K129" si="55">H129</f>
        <v>0.85210923204732347</v>
      </c>
      <c r="J129" s="421">
        <f t="shared" si="55"/>
        <v>0.85210923204732347</v>
      </c>
      <c r="K129" s="456">
        <f t="shared" si="55"/>
        <v>0.85210923204732347</v>
      </c>
      <c r="L129" s="1"/>
      <c r="M129" s="37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99" t="s">
        <v>635</v>
      </c>
      <c r="B130" s="479">
        <f>-B128/B52</f>
        <v>3.0009541984732824</v>
      </c>
      <c r="C130" s="479">
        <f t="shared" ref="C130:F130" si="56">-C128/C52</f>
        <v>2.9199655765920824</v>
      </c>
      <c r="D130" s="479">
        <f t="shared" si="56"/>
        <v>2.7080900750625521</v>
      </c>
      <c r="E130" s="479">
        <f t="shared" si="56"/>
        <v>2.4809098294069862</v>
      </c>
      <c r="F130" s="480">
        <f t="shared" si="56"/>
        <v>2.5745542949756888</v>
      </c>
      <c r="G130" s="479">
        <f>F130*(1-0.0224476)</f>
        <v>2.5167617299837923</v>
      </c>
      <c r="H130" s="479">
        <f t="shared" ref="H130:J130" si="57">G130*(1-0.0224476)</f>
        <v>2.4602664693738081</v>
      </c>
      <c r="I130" s="479">
        <f t="shared" si="57"/>
        <v>2.4050393917758925</v>
      </c>
      <c r="J130" s="479">
        <f t="shared" si="57"/>
        <v>2.3510520295250639</v>
      </c>
      <c r="K130" s="506">
        <v>2.2999999999999998</v>
      </c>
      <c r="L130" s="101"/>
      <c r="M130" s="99"/>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371"/>
      <c r="B131" s="1"/>
      <c r="C131" s="1"/>
      <c r="D131" s="1"/>
      <c r="E131" s="1"/>
      <c r="F131" s="371"/>
      <c r="G131" s="1"/>
      <c r="H131" s="1"/>
      <c r="I131" s="1"/>
      <c r="J131" s="1"/>
      <c r="K131" s="371"/>
      <c r="L131" s="1"/>
      <c r="M131" s="37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371" t="s">
        <v>636</v>
      </c>
      <c r="B132" s="1"/>
      <c r="C132" s="1"/>
      <c r="D132" s="1"/>
      <c r="E132" s="1"/>
      <c r="F132" s="371"/>
      <c r="G132" s="1">
        <f>-F117</f>
        <v>304</v>
      </c>
      <c r="H132" s="1">
        <f t="shared" ref="H132:K132" si="58">-G117</f>
        <v>465</v>
      </c>
      <c r="I132" s="1">
        <f t="shared" si="58"/>
        <v>598</v>
      </c>
      <c r="J132" s="1">
        <f t="shared" si="58"/>
        <v>394</v>
      </c>
      <c r="K132" s="371">
        <f t="shared" si="58"/>
        <v>372</v>
      </c>
      <c r="L132" s="1"/>
      <c r="M132" s="37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371" t="s">
        <v>637</v>
      </c>
      <c r="B133" s="1"/>
      <c r="C133" s="1"/>
      <c r="D133" s="1"/>
      <c r="E133" s="1"/>
      <c r="F133" s="371"/>
      <c r="G133" s="507">
        <f>G126-F126-G132</f>
        <v>-544.43938114354978</v>
      </c>
      <c r="H133" s="507">
        <f t="shared" ref="H133:K133" si="59">H126-G126-H132</f>
        <v>-592.1048379736485</v>
      </c>
      <c r="I133" s="507">
        <f t="shared" si="59"/>
        <v>-729.29953980782602</v>
      </c>
      <c r="J133" s="507">
        <f t="shared" si="59"/>
        <v>-529.63267479496699</v>
      </c>
      <c r="K133" s="508">
        <f t="shared" si="59"/>
        <v>-515.39750161679422</v>
      </c>
      <c r="L133" s="1"/>
      <c r="M133" s="371"/>
      <c r="N133" s="1"/>
      <c r="O133" s="1"/>
      <c r="P133" s="1"/>
      <c r="Q133" s="1"/>
      <c r="R133" s="1"/>
      <c r="S133" s="1"/>
      <c r="T133" s="1"/>
      <c r="U133" s="1"/>
      <c r="V133" s="1"/>
      <c r="W133" s="1"/>
      <c r="X133" s="1"/>
      <c r="Y133" s="1"/>
      <c r="Z133" s="1"/>
      <c r="AA133" s="1"/>
      <c r="AB133" s="1"/>
      <c r="AC133" s="1"/>
      <c r="AD133" s="1"/>
      <c r="AE133" s="1"/>
      <c r="AF133" s="1"/>
      <c r="AG133" s="1"/>
      <c r="AH133" s="1"/>
      <c r="AI133" s="1"/>
    </row>
    <row r="134" spans="1:35" ht="15" thickBot="1">
      <c r="A134" s="371"/>
      <c r="B134" s="1"/>
      <c r="C134" s="1"/>
      <c r="D134" s="1"/>
      <c r="E134" s="1"/>
      <c r="F134" s="371"/>
      <c r="G134" s="1"/>
      <c r="H134" s="1"/>
      <c r="I134" s="1"/>
      <c r="J134" s="1"/>
      <c r="K134" s="371"/>
      <c r="L134" s="1"/>
      <c r="M134" s="371"/>
      <c r="N134" s="1"/>
      <c r="O134" s="1"/>
      <c r="P134" s="1"/>
      <c r="Q134" s="1"/>
      <c r="R134" s="1"/>
      <c r="S134" s="1"/>
      <c r="T134" s="1"/>
      <c r="U134" s="1"/>
      <c r="V134" s="1"/>
      <c r="W134" s="1"/>
      <c r="X134" s="1"/>
      <c r="Y134" s="1"/>
      <c r="Z134" s="1"/>
      <c r="AA134" s="1"/>
      <c r="AB134" s="1"/>
      <c r="AC134" s="1"/>
      <c r="AD134" s="1"/>
      <c r="AE134" s="1"/>
      <c r="AF134" s="1"/>
      <c r="AG134" s="1"/>
      <c r="AH134" s="1"/>
      <c r="AI134" s="1"/>
    </row>
    <row r="135" spans="1:35" ht="15" thickBot="1">
      <c r="A135" s="509" t="s">
        <v>638</v>
      </c>
      <c r="B135" s="1"/>
      <c r="C135" s="1"/>
      <c r="D135" s="1"/>
      <c r="E135" s="1"/>
      <c r="F135" s="371"/>
      <c r="G135" s="1"/>
      <c r="H135" s="1"/>
      <c r="I135" s="1"/>
      <c r="J135" s="1"/>
      <c r="K135" s="371"/>
      <c r="L135" s="1"/>
      <c r="M135" s="371"/>
      <c r="N135" s="1"/>
      <c r="O135" s="1"/>
      <c r="P135" s="1"/>
      <c r="Q135" s="1"/>
      <c r="R135" s="1"/>
      <c r="S135" s="1"/>
      <c r="T135" s="1"/>
      <c r="U135" s="1"/>
      <c r="V135" s="1"/>
      <c r="W135" s="1"/>
      <c r="X135" s="1"/>
      <c r="Y135" s="1"/>
      <c r="Z135" s="1"/>
      <c r="AA135" s="1"/>
      <c r="AB135" s="1"/>
      <c r="AC135" s="1"/>
      <c r="AD135" s="1"/>
      <c r="AE135" s="1"/>
      <c r="AF135" s="1"/>
      <c r="AG135" s="1"/>
      <c r="AH135" s="1"/>
      <c r="AI135" s="1"/>
    </row>
    <row r="136" spans="1:35" ht="15" thickBot="1">
      <c r="A136" s="371"/>
      <c r="B136" s="1"/>
      <c r="C136" s="1"/>
      <c r="D136" s="1"/>
      <c r="E136" s="1"/>
      <c r="F136" s="371"/>
      <c r="G136" s="1"/>
      <c r="H136" s="1"/>
      <c r="I136" s="1"/>
      <c r="J136" s="1"/>
      <c r="K136" s="371"/>
      <c r="L136" s="1"/>
      <c r="M136" s="371"/>
      <c r="N136" s="1"/>
      <c r="O136" s="1"/>
      <c r="P136" s="1"/>
      <c r="Q136" s="1"/>
      <c r="R136" s="1"/>
      <c r="S136" s="1"/>
      <c r="T136" s="1"/>
      <c r="U136" s="342" t="s">
        <v>622</v>
      </c>
      <c r="V136" s="482"/>
      <c r="W136" s="1"/>
      <c r="X136" s="1"/>
      <c r="Y136" s="1"/>
      <c r="Z136" s="1"/>
      <c r="AA136" s="1"/>
      <c r="AB136" s="1"/>
      <c r="AC136" s="1"/>
      <c r="AD136" s="1"/>
      <c r="AE136" s="1"/>
      <c r="AF136" s="1"/>
      <c r="AG136" s="1"/>
      <c r="AH136" s="1"/>
      <c r="AI136" s="1"/>
    </row>
    <row r="137" spans="1:35">
      <c r="A137" s="510" t="s">
        <v>228</v>
      </c>
      <c r="B137" s="1">
        <f>-'Reorganised Statements'!D89</f>
        <v>-125</v>
      </c>
      <c r="C137" s="1">
        <f>-'Reorganised Statements'!E89</f>
        <v>-125</v>
      </c>
      <c r="D137" s="1">
        <f>-'Reorganised Statements'!F89</f>
        <v>-104</v>
      </c>
      <c r="E137" s="1">
        <f>-'Reorganised Statements'!G89</f>
        <v>-102</v>
      </c>
      <c r="F137" s="1">
        <f>-'Reorganised Statements'!H89</f>
        <v>-94</v>
      </c>
      <c r="G137" s="466">
        <f>-(U138+U139+U140+U141+U142+U143+U144+W149)*W146</f>
        <v>-74.929244775865939</v>
      </c>
      <c r="H137" s="466">
        <f>-(U138+U139+U140+U141+U142+U143+U144+W149+X149)*X146</f>
        <v>-84.408457460312206</v>
      </c>
      <c r="I137" s="466">
        <f>-(U139+U140+U141+U142+U143+U144+W149+X149+Y149)*Y146</f>
        <v>-80.705942935251173</v>
      </c>
      <c r="J137" s="466">
        <f>-(U140+U141+U142+U143+U144+W149+X149+Y149+Z149)*Z146</f>
        <v>-70.745016989425835</v>
      </c>
      <c r="K137" s="481">
        <f>-(U141+U142+U143+U144+W149+X149+Y149+Z149+AA149)*AA146</f>
        <v>-66.825195195598937</v>
      </c>
      <c r="L137" s="1"/>
      <c r="M137" s="371"/>
      <c r="N137" s="1"/>
      <c r="O137" s="1"/>
      <c r="P137" s="1"/>
      <c r="Q137" s="1"/>
      <c r="R137" s="1"/>
      <c r="S137" s="1"/>
      <c r="T137" s="1"/>
      <c r="U137" s="462" t="s">
        <v>639</v>
      </c>
      <c r="V137" s="463" t="s">
        <v>640</v>
      </c>
      <c r="W137" s="282">
        <v>2020</v>
      </c>
      <c r="X137" s="282">
        <v>2021</v>
      </c>
      <c r="Y137" s="282">
        <v>2022</v>
      </c>
      <c r="Z137" s="282">
        <v>2023</v>
      </c>
      <c r="AA137" s="280">
        <v>2024</v>
      </c>
      <c r="AB137" s="1"/>
      <c r="AC137" s="1"/>
      <c r="AD137" s="1"/>
      <c r="AE137" s="1"/>
      <c r="AF137" s="1"/>
      <c r="AG137" s="1"/>
      <c r="AH137" s="1"/>
      <c r="AI137" s="1"/>
    </row>
    <row r="138" spans="1:35">
      <c r="A138" s="511" t="s">
        <v>230</v>
      </c>
      <c r="B138" s="101">
        <f>-'Reorganised Statements'!D90</f>
        <v>-15</v>
      </c>
      <c r="C138" s="101">
        <f>-'Reorganised Statements'!E90</f>
        <v>-9</v>
      </c>
      <c r="D138" s="101">
        <f>-'Reorganised Statements'!F90</f>
        <v>-9</v>
      </c>
      <c r="E138" s="101">
        <f>-'Reorganised Statements'!G90</f>
        <v>-6</v>
      </c>
      <c r="F138" s="101">
        <f>-'Reorganised Statements'!H90</f>
        <v>-4</v>
      </c>
      <c r="G138" s="479">
        <f>-(-0.0051*G124)</f>
        <v>-5.1898426172833263</v>
      </c>
      <c r="H138" s="479">
        <f>-(-0.0051*H124)</f>
        <v>-5.3611173121956135</v>
      </c>
      <c r="I138" s="479">
        <f>-(-0.0051*I124)</f>
        <v>-5.5380443983807313</v>
      </c>
      <c r="J138" s="479">
        <f>-(-0.0051*J124)</f>
        <v>-5.7208104155205497</v>
      </c>
      <c r="K138" s="480">
        <f>-(-0.0051*K124)</f>
        <v>-5.9140395933563497</v>
      </c>
      <c r="L138" s="101"/>
      <c r="M138" s="99"/>
      <c r="N138" s="1"/>
      <c r="O138" s="1"/>
      <c r="P138" s="1"/>
      <c r="Q138" s="1"/>
      <c r="R138" s="1"/>
      <c r="S138" s="1"/>
      <c r="T138" s="1"/>
      <c r="U138" s="257">
        <v>351.5</v>
      </c>
      <c r="V138" s="371">
        <v>2021</v>
      </c>
      <c r="W138" s="373">
        <v>4.3749999999999997E-2</v>
      </c>
      <c r="X138" s="373">
        <v>4.3749999999999997E-2</v>
      </c>
      <c r="Y138" s="498">
        <v>0</v>
      </c>
      <c r="Z138" s="498">
        <v>0</v>
      </c>
      <c r="AA138" s="512">
        <v>0</v>
      </c>
      <c r="AB138" s="1"/>
      <c r="AC138" s="1"/>
      <c r="AD138" s="1"/>
      <c r="AE138" s="1"/>
      <c r="AF138" s="1"/>
      <c r="AG138" s="1"/>
      <c r="AH138" s="1"/>
      <c r="AI138" s="1"/>
    </row>
    <row r="139" spans="1:35">
      <c r="A139" s="74" t="s">
        <v>641</v>
      </c>
      <c r="B139" s="102">
        <f>B137+B138</f>
        <v>-140</v>
      </c>
      <c r="C139" s="102">
        <f t="shared" ref="C139:F139" si="60">C137+C138</f>
        <v>-134</v>
      </c>
      <c r="D139" s="102">
        <f t="shared" si="60"/>
        <v>-113</v>
      </c>
      <c r="E139" s="102">
        <f t="shared" si="60"/>
        <v>-108</v>
      </c>
      <c r="F139" s="74">
        <f t="shared" si="60"/>
        <v>-98</v>
      </c>
      <c r="G139" s="513">
        <f>G137+G138</f>
        <v>-80.119087393149272</v>
      </c>
      <c r="H139" s="513">
        <f t="shared" ref="H139:K139" si="61">H137+H138</f>
        <v>-89.769574772507823</v>
      </c>
      <c r="I139" s="513">
        <f t="shared" si="61"/>
        <v>-86.243987333631907</v>
      </c>
      <c r="J139" s="513">
        <f t="shared" si="61"/>
        <v>-76.465827404946381</v>
      </c>
      <c r="K139" s="514">
        <f t="shared" si="61"/>
        <v>-72.739234788955287</v>
      </c>
      <c r="L139" s="102"/>
      <c r="M139" s="74"/>
      <c r="N139" s="1"/>
      <c r="O139" s="1"/>
      <c r="P139" s="1"/>
      <c r="Q139" s="1"/>
      <c r="R139" s="1"/>
      <c r="S139" s="1"/>
      <c r="T139" s="1"/>
      <c r="U139" s="257">
        <v>500</v>
      </c>
      <c r="V139" s="371">
        <v>2022</v>
      </c>
      <c r="W139" s="373">
        <v>3.6880000000000003E-2</v>
      </c>
      <c r="X139" s="373">
        <v>3.6880000000000003E-2</v>
      </c>
      <c r="Y139" s="373">
        <v>3.6880000000000003E-2</v>
      </c>
      <c r="Z139" s="498">
        <v>0</v>
      </c>
      <c r="AA139" s="512">
        <v>0</v>
      </c>
      <c r="AB139" s="1"/>
      <c r="AC139" s="1"/>
      <c r="AD139" s="1"/>
      <c r="AE139" s="1"/>
      <c r="AF139" s="1"/>
      <c r="AG139" s="1"/>
      <c r="AH139" s="1"/>
      <c r="AI139" s="1"/>
    </row>
    <row r="140" spans="1:35">
      <c r="A140" s="371" t="s">
        <v>242</v>
      </c>
      <c r="B140" s="1">
        <f>-'Reorganised Statements'!D96</f>
        <v>-162</v>
      </c>
      <c r="C140" s="1">
        <f>-'Reorganised Statements'!E96</f>
        <v>-192</v>
      </c>
      <c r="D140" s="1">
        <f>-'Reorganised Statements'!F96</f>
        <v>-158</v>
      </c>
      <c r="E140" s="1">
        <f>-'Reorganised Statements'!G96</f>
        <v>-132</v>
      </c>
      <c r="F140" s="1">
        <f>-'Reorganised Statements'!H96</f>
        <v>-130</v>
      </c>
      <c r="G140" s="466">
        <f>G139/G141</f>
        <v>-101.93086741299238</v>
      </c>
      <c r="H140" s="466">
        <f t="shared" ref="H140:K140" si="62">H139/H141</f>
        <v>-114.20862270879553</v>
      </c>
      <c r="I140" s="466">
        <f t="shared" si="62"/>
        <v>-109.72322231947831</v>
      </c>
      <c r="J140" s="466">
        <f t="shared" si="62"/>
        <v>-97.283036645083016</v>
      </c>
      <c r="K140" s="481">
        <f t="shared" si="62"/>
        <v>-92.541909028653066</v>
      </c>
      <c r="L140" s="1"/>
      <c r="M140" s="371"/>
      <c r="N140" s="1"/>
      <c r="O140" s="1"/>
      <c r="P140" s="1"/>
      <c r="Q140" s="1"/>
      <c r="R140" s="1"/>
      <c r="S140" s="1"/>
      <c r="T140" s="1"/>
      <c r="U140" s="257">
        <v>300</v>
      </c>
      <c r="V140" s="371">
        <v>2023</v>
      </c>
      <c r="W140" s="373">
        <v>4.0570000000000002E-2</v>
      </c>
      <c r="X140" s="373">
        <v>4.0570000000000002E-2</v>
      </c>
      <c r="Y140" s="373">
        <v>4.0570000000000002E-2</v>
      </c>
      <c r="Z140" s="373">
        <v>4.0570000000000002E-2</v>
      </c>
      <c r="AA140" s="512">
        <v>0</v>
      </c>
      <c r="AB140" s="1"/>
      <c r="AC140" s="1"/>
      <c r="AD140" s="1"/>
      <c r="AE140" s="1"/>
      <c r="AF140" s="1"/>
      <c r="AG140" s="1"/>
      <c r="AH140" s="1"/>
      <c r="AI140" s="1"/>
    </row>
    <row r="141" spans="1:35">
      <c r="A141" s="371" t="s">
        <v>642</v>
      </c>
      <c r="B141" s="373">
        <f>B139/B140</f>
        <v>0.86419753086419748</v>
      </c>
      <c r="C141" s="373">
        <f t="shared" ref="C141:F141" si="63">C139/C140</f>
        <v>0.69791666666666663</v>
      </c>
      <c r="D141" s="373">
        <f t="shared" si="63"/>
        <v>0.71518987341772156</v>
      </c>
      <c r="E141" s="373">
        <f t="shared" si="63"/>
        <v>0.81818181818181823</v>
      </c>
      <c r="F141" s="455">
        <f t="shared" si="63"/>
        <v>0.75384615384615383</v>
      </c>
      <c r="G141" s="421">
        <f>AVERAGE(E141,F141)</f>
        <v>0.78601398601398609</v>
      </c>
      <c r="H141" s="421">
        <f>G141</f>
        <v>0.78601398601398609</v>
      </c>
      <c r="I141" s="421">
        <f t="shared" ref="I141:K141" si="64">H141</f>
        <v>0.78601398601398609</v>
      </c>
      <c r="J141" s="421">
        <f t="shared" si="64"/>
        <v>0.78601398601398609</v>
      </c>
      <c r="K141" s="456">
        <f t="shared" si="64"/>
        <v>0.78601398601398609</v>
      </c>
      <c r="L141" s="1"/>
      <c r="M141" s="371"/>
      <c r="N141" s="1"/>
      <c r="O141" s="1"/>
      <c r="P141" s="1"/>
      <c r="Q141" s="1"/>
      <c r="R141" s="1"/>
      <c r="S141" s="1"/>
      <c r="T141" s="1"/>
      <c r="U141" s="257">
        <v>300</v>
      </c>
      <c r="V141" s="371">
        <v>2024</v>
      </c>
      <c r="W141" s="373">
        <v>1.2840000000000001E-2</v>
      </c>
      <c r="X141" s="373">
        <v>1.2840000000000001E-2</v>
      </c>
      <c r="Y141" s="373">
        <v>1.2840000000000001E-2</v>
      </c>
      <c r="Z141" s="373">
        <v>1.2840000000000001E-2</v>
      </c>
      <c r="AA141" s="445">
        <v>1.2840000000000001E-2</v>
      </c>
      <c r="AB141" s="1"/>
      <c r="AC141" s="1"/>
      <c r="AD141" s="1"/>
      <c r="AE141" s="1"/>
      <c r="AF141" s="1"/>
      <c r="AG141" s="1"/>
      <c r="AH141" s="1"/>
      <c r="AI141" s="1"/>
    </row>
    <row r="142" spans="1:35">
      <c r="A142" s="371"/>
      <c r="B142" s="1"/>
      <c r="C142" s="1"/>
      <c r="D142" s="1"/>
      <c r="E142" s="1"/>
      <c r="F142" s="371"/>
      <c r="G142" s="1"/>
      <c r="H142" s="1"/>
      <c r="I142" s="1"/>
      <c r="J142" s="1"/>
      <c r="K142" s="371"/>
      <c r="L142" s="1"/>
      <c r="M142" s="371"/>
      <c r="N142" s="1"/>
      <c r="O142" s="1"/>
      <c r="P142" s="1"/>
      <c r="Q142" s="1"/>
      <c r="R142" s="1"/>
      <c r="S142" s="1"/>
      <c r="T142" s="1"/>
      <c r="U142" s="257">
        <v>300</v>
      </c>
      <c r="V142" s="371">
        <v>2025</v>
      </c>
      <c r="W142" s="373">
        <v>1.8360000000000001E-2</v>
      </c>
      <c r="X142" s="373">
        <v>1.8360000000000001E-2</v>
      </c>
      <c r="Y142" s="373">
        <v>1.8360000000000001E-2</v>
      </c>
      <c r="Z142" s="373">
        <v>1.8360000000000001E-2</v>
      </c>
      <c r="AA142" s="445">
        <v>1.8360000000000001E-2</v>
      </c>
      <c r="AB142" s="1"/>
      <c r="AC142" s="1"/>
      <c r="AD142" s="1"/>
      <c r="AE142" s="1"/>
      <c r="AF142" s="1"/>
      <c r="AG142" s="1"/>
      <c r="AH142" s="1"/>
      <c r="AI142" s="1"/>
    </row>
    <row r="143" spans="1:35">
      <c r="A143" s="371" t="s">
        <v>643</v>
      </c>
      <c r="B143" s="1">
        <f>'Reorganised Statements'!D83</f>
        <v>-138</v>
      </c>
      <c r="C143" s="1">
        <f>'Reorganised Statements'!E83</f>
        <v>-161</v>
      </c>
      <c r="D143" s="1">
        <f>'Reorganised Statements'!F83</f>
        <v>-134</v>
      </c>
      <c r="E143" s="1">
        <f>'Reorganised Statements'!G83</f>
        <v>-112</v>
      </c>
      <c r="F143" s="1">
        <f>'Reorganised Statements'!H83</f>
        <v>-110</v>
      </c>
      <c r="G143" s="1"/>
      <c r="H143" s="1"/>
      <c r="I143" s="1"/>
      <c r="J143" s="1"/>
      <c r="K143" s="371"/>
      <c r="L143" s="1"/>
      <c r="M143" s="371"/>
      <c r="N143" s="1"/>
      <c r="O143" s="1"/>
      <c r="P143" s="1"/>
      <c r="Q143" s="1"/>
      <c r="R143" s="1"/>
      <c r="S143" s="1"/>
      <c r="T143" s="1"/>
      <c r="U143" s="257">
        <v>300</v>
      </c>
      <c r="V143" s="371">
        <v>2027</v>
      </c>
      <c r="W143" s="373">
        <v>1.7680000000000001E-2</v>
      </c>
      <c r="X143" s="373">
        <v>1.7680000000000001E-2</v>
      </c>
      <c r="Y143" s="373">
        <v>1.7680000000000001E-2</v>
      </c>
      <c r="Z143" s="373">
        <v>1.7680000000000001E-2</v>
      </c>
      <c r="AA143" s="445">
        <v>1.7680000000000001E-2</v>
      </c>
      <c r="AB143" s="1"/>
      <c r="AC143" s="1"/>
      <c r="AD143" s="1"/>
      <c r="AE143" s="1"/>
      <c r="AF143" s="1"/>
      <c r="AG143" s="1"/>
      <c r="AH143" s="1"/>
      <c r="AI143" s="1"/>
    </row>
    <row r="144" spans="1:35">
      <c r="A144" s="371" t="s">
        <v>644</v>
      </c>
      <c r="B144" s="1">
        <f>'Reorganised Statements'!D99</f>
        <v>-137</v>
      </c>
      <c r="C144" s="1">
        <f>'Reorganised Statements'!E99</f>
        <v>-109</v>
      </c>
      <c r="D144" s="1">
        <f>'Reorganised Statements'!F99</f>
        <v>-134</v>
      </c>
      <c r="E144" s="1">
        <f>'Reorganised Statements'!G99</f>
        <v>-98</v>
      </c>
      <c r="F144" s="1">
        <f>'Reorganised Statements'!H99</f>
        <v>-106</v>
      </c>
      <c r="G144" s="466">
        <f>G140</f>
        <v>-101.93086741299238</v>
      </c>
      <c r="H144" s="466">
        <f t="shared" ref="H144:K144" si="65">H140</f>
        <v>-114.20862270879553</v>
      </c>
      <c r="I144" s="466">
        <f t="shared" si="65"/>
        <v>-109.72322231947831</v>
      </c>
      <c r="J144" s="466">
        <f t="shared" si="65"/>
        <v>-97.283036645083016</v>
      </c>
      <c r="K144" s="481">
        <f t="shared" si="65"/>
        <v>-92.541909028653066</v>
      </c>
      <c r="L144" s="1"/>
      <c r="M144" s="371"/>
      <c r="N144" s="1"/>
      <c r="O144" s="1"/>
      <c r="P144" s="1"/>
      <c r="Q144" s="1"/>
      <c r="R144" s="1"/>
      <c r="S144" s="1"/>
      <c r="T144" s="1"/>
      <c r="U144" s="257">
        <v>400</v>
      </c>
      <c r="V144" s="371">
        <v>2029</v>
      </c>
      <c r="W144" s="373">
        <v>1.3899999999999999E-2</v>
      </c>
      <c r="X144" s="373">
        <v>1.3899999999999999E-2</v>
      </c>
      <c r="Y144" s="373">
        <v>1.3899999999999999E-2</v>
      </c>
      <c r="Z144" s="373">
        <v>1.3899999999999999E-2</v>
      </c>
      <c r="AA144" s="445">
        <v>1.3899999999999999E-2</v>
      </c>
      <c r="AB144" s="1"/>
      <c r="AC144" s="1"/>
      <c r="AD144" s="1"/>
      <c r="AE144" s="1"/>
      <c r="AF144" s="1"/>
      <c r="AG144" s="1"/>
      <c r="AH144" s="1"/>
      <c r="AI144" s="1"/>
    </row>
    <row r="145" spans="1:35" ht="15" thickBot="1">
      <c r="A145" s="371"/>
      <c r="B145" s="1"/>
      <c r="C145" s="1"/>
      <c r="D145" s="1"/>
      <c r="E145" s="1"/>
      <c r="F145" s="371"/>
      <c r="G145" s="1"/>
      <c r="H145" s="1"/>
      <c r="I145" s="1"/>
      <c r="J145" s="1"/>
      <c r="K145" s="371"/>
      <c r="L145" s="1"/>
      <c r="M145" s="371"/>
      <c r="N145" s="1"/>
      <c r="O145" s="1"/>
      <c r="P145" s="1"/>
      <c r="Q145" s="1"/>
      <c r="R145" s="1"/>
      <c r="S145" s="1"/>
      <c r="T145" s="1"/>
      <c r="U145" s="277"/>
      <c r="V145" s="99" t="s">
        <v>645</v>
      </c>
      <c r="W145" s="476">
        <f>'[2]WACC '!C22</f>
        <v>2.1758250683779193E-2</v>
      </c>
      <c r="X145" s="476">
        <f>W145</f>
        <v>2.1758250683779193E-2</v>
      </c>
      <c r="Y145" s="476">
        <f t="shared" ref="Y145:AA145" si="66">X145</f>
        <v>2.1758250683779193E-2</v>
      </c>
      <c r="Z145" s="476">
        <f t="shared" si="66"/>
        <v>2.1758250683779193E-2</v>
      </c>
      <c r="AA145" s="515">
        <f t="shared" si="66"/>
        <v>2.1758250683779193E-2</v>
      </c>
      <c r="AB145" s="1"/>
      <c r="AC145" s="1"/>
      <c r="AD145" s="1"/>
      <c r="AE145" s="1"/>
      <c r="AF145" s="1"/>
      <c r="AG145" s="1"/>
      <c r="AH145" s="1"/>
      <c r="AI145" s="1"/>
    </row>
    <row r="146" spans="1:35" ht="15" thickBot="1">
      <c r="A146" s="516" t="s">
        <v>451</v>
      </c>
      <c r="B146" s="1"/>
      <c r="C146" s="1"/>
      <c r="D146" s="1"/>
      <c r="E146" s="1"/>
      <c r="F146" s="371"/>
      <c r="G146" s="1"/>
      <c r="H146" s="1"/>
      <c r="I146" s="1"/>
      <c r="J146" s="1"/>
      <c r="K146" s="371"/>
      <c r="L146" s="1"/>
      <c r="M146" s="371"/>
      <c r="N146" s="1"/>
      <c r="O146" s="1"/>
      <c r="P146" s="1"/>
      <c r="Q146" s="1"/>
      <c r="R146" s="1"/>
      <c r="S146" s="1"/>
      <c r="T146" s="1"/>
      <c r="U146" s="517" t="s">
        <v>646</v>
      </c>
      <c r="V146" s="518"/>
      <c r="W146" s="519">
        <f>(SUM((W138*U138),(W139*U139),(W140*U140),(W141*U141),(W142*U142),(W143*U143),(W144*U144),W145*W149))/(SUM(U138:U144) +W149)</f>
        <v>2.6271704731400839E-2</v>
      </c>
      <c r="X146" s="519">
        <f>(SUM((W138*U138),(W139*U139),(W140*U140),(W141*U141),(W142*U142),(W143*U143),(W144*U144),(W145*X149),(W149*W145)))/(SUM(U138:U144) +X149+W149)</f>
        <v>2.5673625724398619E-2</v>
      </c>
      <c r="Y146" s="519">
        <f>(SUM((W139*U139),(W140*U140),(W141*U141),(W142*U142),(W143*U143),(W144*U144),(W145*Y149),(X149*W145),(W149*W145)))/(SUM(U139:U144)+Y149+W149+X149)</f>
        <v>2.3239070419649548E-2</v>
      </c>
      <c r="Z146" s="519">
        <f>(SUM((W140*U140),(W141*U141),(W142*U142),(W143*U143),(W144*U144),(W145*Z149),(Y149*W145),(X149*W145),(W149*W145)))/(SUM(U140:U144)+Z149+Y149+X149+W149)</f>
        <v>2.103909388632904E-2</v>
      </c>
      <c r="AA146" s="520">
        <f>SUM((U141*W141),(U142*W142),(U143*W143),(U144*W144),(AA145*AA149),(Z149*W145),(Y149*W145),(X149*W145),(W149*W145))/(U141+U142+U143+U144+W149+X149+Y149+Z149+AA149)</f>
        <v>1.9415931754190315E-2</v>
      </c>
      <c r="AB146" s="1"/>
      <c r="AC146" s="1"/>
      <c r="AD146" s="1"/>
      <c r="AE146" s="1"/>
      <c r="AF146" s="1"/>
      <c r="AG146" s="1"/>
      <c r="AH146" s="1"/>
      <c r="AI146" s="1"/>
    </row>
    <row r="147" spans="1:35">
      <c r="A147" s="371" t="s">
        <v>647</v>
      </c>
      <c r="B147" s="1"/>
      <c r="C147" s="1"/>
      <c r="D147" s="1"/>
      <c r="E147" s="1"/>
      <c r="F147" s="371"/>
      <c r="G147" s="507">
        <f>'Output forecasts Simone '!G22</f>
        <v>544.56139017900625</v>
      </c>
      <c r="H147" s="507">
        <f>'Output forecasts Simone '!H22</f>
        <v>588.22893768113204</v>
      </c>
      <c r="I147" s="507">
        <f>'Output forecasts Simone '!I22</f>
        <v>653.13977415749594</v>
      </c>
      <c r="J147" s="507">
        <f>'Output forecasts Simone '!J22</f>
        <v>730.68861768672582</v>
      </c>
      <c r="K147" s="507">
        <f>'Output forecasts Simone '!K22</f>
        <v>805.4407544425253</v>
      </c>
      <c r="L147" s="1"/>
      <c r="M147" s="371"/>
      <c r="N147" s="1"/>
      <c r="O147" s="1"/>
      <c r="P147" s="1"/>
      <c r="Q147" s="1"/>
      <c r="R147" s="1"/>
      <c r="S147" s="1"/>
      <c r="T147" s="1"/>
      <c r="U147" s="257"/>
      <c r="V147" s="371"/>
      <c r="W147" s="1"/>
      <c r="X147" s="1"/>
      <c r="Y147" s="1"/>
      <c r="Z147" s="1"/>
      <c r="AA147" s="278"/>
      <c r="AB147" s="1"/>
      <c r="AC147" s="1"/>
      <c r="AD147" s="1"/>
      <c r="AE147" s="1"/>
      <c r="AF147" s="1"/>
      <c r="AG147" s="1"/>
      <c r="AH147" s="1"/>
      <c r="AI147" s="1"/>
    </row>
    <row r="148" spans="1:35">
      <c r="A148" s="99" t="s">
        <v>648</v>
      </c>
      <c r="B148" s="101"/>
      <c r="C148" s="101"/>
      <c r="D148" s="101"/>
      <c r="E148" s="101"/>
      <c r="F148" s="99"/>
      <c r="G148" s="497">
        <v>0.24</v>
      </c>
      <c r="H148" s="497">
        <f>G148</f>
        <v>0.24</v>
      </c>
      <c r="I148" s="497">
        <f t="shared" ref="I148:K148" si="67">H148</f>
        <v>0.24</v>
      </c>
      <c r="J148" s="497">
        <f t="shared" si="67"/>
        <v>0.24</v>
      </c>
      <c r="K148" s="521">
        <f t="shared" si="67"/>
        <v>0.24</v>
      </c>
      <c r="L148" s="101"/>
      <c r="M148" s="99"/>
      <c r="N148" s="1"/>
      <c r="O148" s="1"/>
      <c r="P148" s="1"/>
      <c r="Q148" s="1"/>
      <c r="R148" s="1"/>
      <c r="S148" s="1"/>
      <c r="T148" s="1"/>
      <c r="U148" s="257"/>
      <c r="V148" s="371"/>
      <c r="W148" s="378">
        <v>2020</v>
      </c>
      <c r="X148" s="101">
        <v>2021</v>
      </c>
      <c r="Y148" s="101">
        <v>2022</v>
      </c>
      <c r="Z148" s="101">
        <v>2023</v>
      </c>
      <c r="AA148" s="279">
        <v>2024</v>
      </c>
      <c r="AB148" s="1"/>
      <c r="AC148" s="1"/>
      <c r="AD148" s="1"/>
      <c r="AE148" s="1"/>
      <c r="AF148" s="1"/>
      <c r="AG148" s="1"/>
      <c r="AH148" s="1"/>
      <c r="AI148" s="1"/>
    </row>
    <row r="149" spans="1:35" ht="15" thickBot="1">
      <c r="A149" s="371" t="s">
        <v>649</v>
      </c>
      <c r="B149" s="1"/>
      <c r="C149" s="1"/>
      <c r="D149" s="1"/>
      <c r="E149" s="1"/>
      <c r="F149" s="371"/>
      <c r="G149" s="466">
        <f>-G148*G147</f>
        <v>-130.69473364296149</v>
      </c>
      <c r="H149" s="466">
        <f t="shared" ref="H149:K149" si="68">-H148*H147</f>
        <v>-141.17494504347169</v>
      </c>
      <c r="I149" s="466">
        <f t="shared" si="68"/>
        <v>-156.75354579779901</v>
      </c>
      <c r="J149" s="466">
        <f t="shared" si="68"/>
        <v>-175.36526824481419</v>
      </c>
      <c r="K149" s="481">
        <f t="shared" si="68"/>
        <v>-193.30578106620607</v>
      </c>
      <c r="L149" s="1"/>
      <c r="M149" s="380"/>
      <c r="N149" s="1"/>
      <c r="O149" s="1"/>
      <c r="P149" s="1"/>
      <c r="Q149" s="1"/>
      <c r="R149" s="1"/>
      <c r="S149" s="1"/>
      <c r="T149" s="1"/>
      <c r="U149" s="269" t="s">
        <v>650</v>
      </c>
      <c r="V149" s="385"/>
      <c r="W149" s="522">
        <f>V121</f>
        <v>400.58917890691527</v>
      </c>
      <c r="X149" s="522">
        <f t="shared" ref="X149:AA149" si="69">W121</f>
        <v>435.6606062781064</v>
      </c>
      <c r="Y149" s="522">
        <f t="shared" si="69"/>
        <v>536.60611988642768</v>
      </c>
      <c r="Z149" s="522">
        <f t="shared" si="69"/>
        <v>389.69465778311968</v>
      </c>
      <c r="AA149" s="460">
        <f t="shared" si="69"/>
        <v>379.22066098468014</v>
      </c>
      <c r="AB149" s="1"/>
      <c r="AC149" s="1"/>
      <c r="AD149" s="1"/>
      <c r="AE149" s="1"/>
      <c r="AF149" s="1"/>
      <c r="AG149" s="1"/>
      <c r="AH149" s="1"/>
      <c r="AI149" s="1"/>
    </row>
    <row r="150" spans="1:35">
      <c r="A150" s="371"/>
      <c r="B150" s="1"/>
      <c r="C150" s="1"/>
      <c r="D150" s="1"/>
      <c r="E150" s="1"/>
      <c r="F150" s="371"/>
      <c r="G150" s="1"/>
      <c r="H150" s="1"/>
      <c r="I150" s="1"/>
      <c r="J150" s="1"/>
      <c r="K150" s="371"/>
      <c r="L150" s="1"/>
      <c r="M150" s="371"/>
      <c r="N150" s="1"/>
      <c r="O150" s="1"/>
      <c r="P150" s="1"/>
      <c r="Q150" s="1"/>
      <c r="R150" s="1"/>
      <c r="S150" s="1"/>
      <c r="T150" s="1"/>
      <c r="U150" s="1"/>
      <c r="V150" s="1"/>
      <c r="W150" s="466"/>
      <c r="X150" s="466"/>
      <c r="Y150" s="466"/>
      <c r="Z150" s="466"/>
      <c r="AA150" s="466"/>
      <c r="AB150" s="1"/>
      <c r="AC150" s="1"/>
      <c r="AD150" s="1"/>
      <c r="AE150" s="1"/>
      <c r="AF150" s="1"/>
      <c r="AG150" s="1"/>
      <c r="AH150" s="1"/>
      <c r="AI150" s="1"/>
    </row>
    <row r="151" spans="1:35" ht="15" thickBot="1">
      <c r="A151" s="371" t="s">
        <v>651</v>
      </c>
      <c r="B151" s="1"/>
      <c r="C151" s="1"/>
      <c r="D151" s="1"/>
      <c r="E151" s="1"/>
      <c r="F151" s="371"/>
      <c r="G151" s="507">
        <f>'[2]Output forecasts simo '!G18</f>
        <v>646.49225759199862</v>
      </c>
      <c r="H151" s="507">
        <f>'[2]Output forecasts simo '!H18</f>
        <v>702.43756038992751</v>
      </c>
      <c r="I151" s="507">
        <f>'[2]Output forecasts simo '!I18</f>
        <v>762.86299647697422</v>
      </c>
      <c r="J151" s="507">
        <f>'[2]Output forecasts simo '!J18</f>
        <v>827.97165433180885</v>
      </c>
      <c r="K151" s="508">
        <f>'[2]Output forecasts simo '!K18</f>
        <v>897.9826634711784</v>
      </c>
      <c r="L151" s="1"/>
      <c r="M151" s="371"/>
      <c r="N151" s="1"/>
      <c r="O151" s="1"/>
      <c r="P151" s="1"/>
      <c r="Q151" s="1"/>
      <c r="R151" s="1"/>
      <c r="S151" s="1"/>
      <c r="T151" s="1"/>
      <c r="U151" s="1"/>
      <c r="V151" s="1"/>
      <c r="W151" s="1"/>
      <c r="X151" s="1"/>
      <c r="Y151" s="1"/>
      <c r="Z151" s="1"/>
      <c r="AA151" s="1"/>
      <c r="AB151" s="1"/>
      <c r="AC151" s="1"/>
      <c r="AD151" s="1"/>
      <c r="AE151" s="1"/>
      <c r="AF151" s="1"/>
      <c r="AG151" s="1"/>
      <c r="AH151" s="1"/>
      <c r="AI151" s="1"/>
    </row>
    <row r="152" spans="1:35">
      <c r="A152" s="99" t="s">
        <v>652</v>
      </c>
      <c r="B152" s="101"/>
      <c r="C152" s="101"/>
      <c r="D152" s="101"/>
      <c r="E152" s="101"/>
      <c r="F152" s="99"/>
      <c r="G152" s="523">
        <v>3.9E-2</v>
      </c>
      <c r="H152" s="523">
        <f>G152</f>
        <v>3.9E-2</v>
      </c>
      <c r="I152" s="523">
        <f t="shared" ref="I152:K152" si="70">H152</f>
        <v>3.9E-2</v>
      </c>
      <c r="J152" s="523">
        <f t="shared" si="70"/>
        <v>3.9E-2</v>
      </c>
      <c r="K152" s="524">
        <f t="shared" si="70"/>
        <v>3.9E-2</v>
      </c>
      <c r="L152" s="101"/>
      <c r="M152" s="99"/>
      <c r="N152" s="1"/>
      <c r="O152" s="1"/>
      <c r="P152" s="1"/>
      <c r="Q152" s="1"/>
      <c r="R152" s="1"/>
      <c r="S152" s="1"/>
      <c r="T152" s="1"/>
      <c r="U152" s="462" t="s">
        <v>653</v>
      </c>
      <c r="V152" s="282"/>
      <c r="W152" s="282"/>
      <c r="X152" s="282"/>
      <c r="Y152" s="282"/>
      <c r="Z152" s="282"/>
      <c r="AA152" s="280"/>
      <c r="AB152" s="1"/>
      <c r="AC152" s="1"/>
      <c r="AD152" s="1"/>
      <c r="AE152" s="1"/>
      <c r="AF152" s="1"/>
      <c r="AG152" s="1"/>
      <c r="AH152" s="1"/>
      <c r="AI152" s="1"/>
    </row>
    <row r="153" spans="1:35">
      <c r="A153" s="371" t="s">
        <v>654</v>
      </c>
      <c r="B153" s="1"/>
      <c r="C153" s="1"/>
      <c r="D153" s="1"/>
      <c r="E153" s="1"/>
      <c r="F153" s="371"/>
      <c r="G153" s="466">
        <f>-G152*G151</f>
        <v>-25.213198046087946</v>
      </c>
      <c r="H153" s="466">
        <f t="shared" ref="H153:K153" si="71">-H152*H151</f>
        <v>-27.395064855207174</v>
      </c>
      <c r="I153" s="466">
        <f t="shared" si="71"/>
        <v>-29.751656862601994</v>
      </c>
      <c r="J153" s="466">
        <f t="shared" si="71"/>
        <v>-32.290894518940547</v>
      </c>
      <c r="K153" s="481">
        <f t="shared" si="71"/>
        <v>-35.021323875375955</v>
      </c>
      <c r="L153" s="1"/>
      <c r="M153" s="371"/>
      <c r="N153" s="1"/>
      <c r="O153" s="1"/>
      <c r="P153" s="1"/>
      <c r="Q153" s="1"/>
      <c r="R153" s="1"/>
      <c r="S153" s="1"/>
      <c r="T153" s="1"/>
      <c r="U153" s="257"/>
      <c r="V153" s="1"/>
      <c r="W153" s="1"/>
      <c r="X153" s="1"/>
      <c r="Y153" s="1"/>
      <c r="Z153" s="1"/>
      <c r="AA153" s="278"/>
      <c r="AB153" s="1"/>
      <c r="AC153" s="1"/>
      <c r="AD153" s="1"/>
      <c r="AE153" s="1"/>
      <c r="AF153" s="1"/>
      <c r="AG153" s="1"/>
      <c r="AH153" s="1"/>
      <c r="AI153" s="1"/>
    </row>
    <row r="154" spans="1:35" ht="15" thickBot="1">
      <c r="A154" s="371"/>
      <c r="B154" s="1"/>
      <c r="C154" s="1"/>
      <c r="D154" s="1"/>
      <c r="E154" s="1"/>
      <c r="F154" s="371"/>
      <c r="G154" s="1"/>
      <c r="H154" s="1"/>
      <c r="I154" s="1"/>
      <c r="J154" s="1"/>
      <c r="K154" s="371"/>
      <c r="L154" s="1"/>
      <c r="M154" s="371"/>
      <c r="N154" s="1"/>
      <c r="O154" s="1"/>
      <c r="P154" s="1"/>
      <c r="Q154" s="1"/>
      <c r="R154" s="1"/>
      <c r="S154" s="1"/>
      <c r="T154" s="1"/>
      <c r="U154" s="269"/>
      <c r="V154" s="384"/>
      <c r="W154" s="384"/>
      <c r="X154" s="525">
        <f>C138/C124</f>
        <v>7.1864893999281339E-3</v>
      </c>
      <c r="Y154" s="525">
        <f>D138/D124</f>
        <v>9.5226003047232093E-3</v>
      </c>
      <c r="Z154" s="525">
        <f>E138/E124</f>
        <v>6.2743129627305808E-3</v>
      </c>
      <c r="AA154" s="526">
        <f>F138/F124</f>
        <v>3.9408866995073897E-3</v>
      </c>
      <c r="AB154" s="1"/>
      <c r="AC154" s="1"/>
      <c r="AD154" s="1"/>
      <c r="AE154" s="1"/>
      <c r="AF154" s="1"/>
      <c r="AG154" s="1"/>
      <c r="AH154" s="1"/>
      <c r="AI154" s="1"/>
    </row>
    <row r="155" spans="1:35">
      <c r="A155" s="464" t="s">
        <v>655</v>
      </c>
      <c r="B155" s="379"/>
      <c r="C155" s="379"/>
      <c r="D155" s="379"/>
      <c r="E155" s="379"/>
      <c r="F155" s="464"/>
      <c r="G155" s="527">
        <f>G149+G153</f>
        <v>-155.90793168904943</v>
      </c>
      <c r="H155" s="527">
        <f t="shared" ref="H155:K155" si="72">H149+H153</f>
        <v>-168.57000989867888</v>
      </c>
      <c r="I155" s="527">
        <f t="shared" si="72"/>
        <v>-186.50520266040101</v>
      </c>
      <c r="J155" s="527">
        <f t="shared" si="72"/>
        <v>-207.65616276375474</v>
      </c>
      <c r="K155" s="528">
        <f t="shared" si="72"/>
        <v>-228.32710494158204</v>
      </c>
      <c r="L155" s="101"/>
      <c r="M155" s="99"/>
      <c r="N155" s="1"/>
      <c r="O155" s="1"/>
      <c r="P155" s="1"/>
      <c r="Q155" s="1"/>
      <c r="R155" s="1"/>
      <c r="S155" s="1"/>
      <c r="T155" s="1"/>
      <c r="U155" s="1"/>
      <c r="V155" s="1"/>
      <c r="W155" s="1"/>
      <c r="X155" s="1"/>
      <c r="Y155" s="1"/>
      <c r="Z155" s="1"/>
      <c r="AA155" s="1"/>
      <c r="AB155" s="1"/>
      <c r="AC155" s="1"/>
      <c r="AD155" s="1"/>
      <c r="AE155" s="1"/>
      <c r="AF155" s="1"/>
      <c r="AG155" s="1"/>
      <c r="AH155" s="1"/>
      <c r="AI155" s="1"/>
    </row>
    <row r="156" spans="1:35">
      <c r="A156" s="371"/>
      <c r="B156" s="1"/>
      <c r="C156" s="1"/>
      <c r="D156" s="1"/>
      <c r="E156" s="1"/>
      <c r="F156" s="371"/>
      <c r="G156" s="1"/>
      <c r="H156" s="1"/>
      <c r="I156" s="1"/>
      <c r="J156" s="1"/>
      <c r="K156" s="371"/>
      <c r="L156" s="1"/>
      <c r="M156" s="371"/>
      <c r="N156" s="1"/>
      <c r="O156" s="1"/>
      <c r="P156" s="1"/>
      <c r="Q156" s="1"/>
      <c r="R156" s="1"/>
      <c r="S156" s="1"/>
      <c r="T156" s="1"/>
      <c r="U156" s="1"/>
      <c r="V156" s="1"/>
      <c r="W156" s="1"/>
      <c r="X156" s="1"/>
      <c r="Y156" s="1"/>
      <c r="Z156" s="1"/>
      <c r="AA156" s="1"/>
      <c r="AB156" s="1"/>
      <c r="AC156" s="1"/>
      <c r="AD156" s="1"/>
      <c r="AE156" s="1"/>
      <c r="AF156" s="1"/>
      <c r="AG156" s="1"/>
      <c r="AH156" s="1"/>
      <c r="AI156" s="1"/>
    </row>
    <row r="157" spans="1:35">
      <c r="A157" s="371" t="s">
        <v>656</v>
      </c>
      <c r="B157" s="1"/>
      <c r="C157" s="1"/>
      <c r="D157" s="1"/>
      <c r="E157" s="1"/>
      <c r="F157" s="371"/>
      <c r="G157" s="507">
        <f>G147</f>
        <v>544.56139017900625</v>
      </c>
      <c r="H157" s="507">
        <f t="shared" ref="H157:K157" si="73">H147</f>
        <v>588.22893768113204</v>
      </c>
      <c r="I157" s="507">
        <f t="shared" si="73"/>
        <v>653.13977415749594</v>
      </c>
      <c r="J157" s="507">
        <f t="shared" si="73"/>
        <v>730.68861768672582</v>
      </c>
      <c r="K157" s="508">
        <f t="shared" si="73"/>
        <v>805.4407544425253</v>
      </c>
      <c r="L157" s="1"/>
      <c r="M157" s="371"/>
      <c r="N157" s="1"/>
      <c r="O157" s="1"/>
      <c r="P157" s="1"/>
      <c r="Q157" s="1"/>
      <c r="R157" s="1"/>
      <c r="S157" s="1"/>
      <c r="T157" s="1"/>
      <c r="U157" s="1"/>
      <c r="V157" s="1"/>
      <c r="W157" s="1"/>
      <c r="X157" s="1"/>
      <c r="Y157" s="1"/>
      <c r="Z157" s="1"/>
      <c r="AA157" s="1"/>
      <c r="AB157" s="1"/>
      <c r="AC157" s="1"/>
      <c r="AD157" s="1"/>
      <c r="AE157" s="1"/>
      <c r="AF157" s="1"/>
      <c r="AG157" s="1"/>
      <c r="AH157" s="1"/>
      <c r="AI157" s="1"/>
    </row>
    <row r="158" spans="1:35">
      <c r="A158" s="371" t="s">
        <v>657</v>
      </c>
      <c r="B158" s="1"/>
      <c r="C158" s="1"/>
      <c r="D158" s="1"/>
      <c r="E158" s="1"/>
      <c r="F158" s="371"/>
      <c r="G158" s="373">
        <f>-G155/G157</f>
        <v>0.28630001043188158</v>
      </c>
      <c r="H158" s="373">
        <f t="shared" ref="H158:K158" si="74">-H155/H157</f>
        <v>0.28657211350941314</v>
      </c>
      <c r="I158" s="373">
        <f t="shared" si="74"/>
        <v>0.28555174564430641</v>
      </c>
      <c r="J158" s="373">
        <f t="shared" si="74"/>
        <v>0.2841924148499394</v>
      </c>
      <c r="K158" s="455">
        <f t="shared" si="74"/>
        <v>0.28348094342409513</v>
      </c>
      <c r="L158" s="1"/>
      <c r="M158" s="371"/>
      <c r="N158" s="1"/>
      <c r="O158" s="1"/>
      <c r="P158" s="1"/>
      <c r="Q158" s="1"/>
      <c r="R158" s="1"/>
      <c r="S158" s="1"/>
      <c r="T158" s="1"/>
      <c r="U158" s="1"/>
      <c r="V158" s="1"/>
      <c r="W158" s="1"/>
      <c r="X158" s="1"/>
      <c r="Y158" s="1"/>
      <c r="Z158" s="1"/>
      <c r="AA158" s="1"/>
      <c r="AB158" s="1"/>
      <c r="AC158" s="1"/>
      <c r="AD158" s="1"/>
      <c r="AE158" s="1"/>
      <c r="AF158" s="1"/>
      <c r="AG158" s="1"/>
      <c r="AH158" s="1"/>
      <c r="AI158" s="1"/>
    </row>
    <row r="159" spans="1:35">
      <c r="A159" s="371"/>
      <c r="B159" s="1"/>
      <c r="C159" s="1"/>
      <c r="D159" s="1"/>
      <c r="E159" s="1"/>
      <c r="F159" s="371"/>
      <c r="G159" s="1"/>
      <c r="H159" s="1"/>
      <c r="I159" s="1"/>
      <c r="J159" s="1"/>
      <c r="K159" s="371"/>
      <c r="L159" s="1"/>
      <c r="M159" s="371"/>
      <c r="N159" s="1"/>
      <c r="O159" s="1"/>
      <c r="P159" s="1"/>
      <c r="Q159" s="1"/>
      <c r="R159" s="1"/>
      <c r="S159" s="1"/>
      <c r="T159" s="1"/>
      <c r="U159" s="1"/>
      <c r="V159" s="1"/>
      <c r="W159" s="1"/>
      <c r="X159" s="1"/>
      <c r="Y159" s="1"/>
      <c r="Z159" s="1"/>
      <c r="AA159" s="1"/>
      <c r="AB159" s="1"/>
      <c r="AC159" s="1"/>
      <c r="AD159" s="1"/>
      <c r="AE159" s="1"/>
      <c r="AF159" s="1"/>
      <c r="AG159" s="1"/>
      <c r="AH159" s="1"/>
      <c r="AI159" s="1"/>
    </row>
    <row r="160" spans="1:35" ht="15" thickBot="1">
      <c r="A160" s="371"/>
      <c r="B160" s="1"/>
      <c r="C160" s="1"/>
      <c r="D160" s="1"/>
      <c r="E160" s="1"/>
      <c r="F160" s="371"/>
      <c r="G160" s="1"/>
      <c r="H160" s="1"/>
      <c r="I160" s="1"/>
      <c r="J160" s="1"/>
      <c r="K160" s="371"/>
      <c r="L160" s="1"/>
      <c r="M160" s="371"/>
      <c r="N160" s="1"/>
      <c r="O160" s="1"/>
      <c r="P160" s="1"/>
      <c r="Q160" s="1"/>
      <c r="R160" s="1"/>
      <c r="S160" s="1"/>
      <c r="T160" s="1"/>
      <c r="U160" s="1"/>
      <c r="V160" s="1"/>
      <c r="W160" s="1"/>
      <c r="X160" s="1"/>
      <c r="Y160" s="1"/>
      <c r="Z160" s="1"/>
      <c r="AA160" s="1"/>
      <c r="AB160" s="1"/>
      <c r="AC160" s="1"/>
      <c r="AD160" s="1"/>
      <c r="AE160" s="1"/>
      <c r="AF160" s="1"/>
      <c r="AG160" s="1"/>
      <c r="AH160" s="1"/>
      <c r="AI160" s="1"/>
    </row>
    <row r="161" spans="1:35" ht="15" thickBot="1">
      <c r="A161" s="461" t="s">
        <v>658</v>
      </c>
      <c r="B161" s="1"/>
      <c r="C161" s="1"/>
      <c r="D161" s="1"/>
      <c r="E161" s="1"/>
      <c r="F161" s="371"/>
      <c r="G161" s="1"/>
      <c r="H161" s="1"/>
      <c r="I161" s="1"/>
      <c r="J161" s="1"/>
      <c r="K161" s="371"/>
      <c r="L161" s="1"/>
      <c r="M161" s="371"/>
      <c r="N161" s="1"/>
      <c r="O161" s="1"/>
      <c r="P161" s="1"/>
      <c r="Q161" s="1"/>
      <c r="R161" s="1"/>
      <c r="S161" s="1"/>
      <c r="T161" s="1"/>
      <c r="U161" s="1"/>
      <c r="V161" s="1"/>
      <c r="W161" s="1"/>
      <c r="X161" s="1"/>
      <c r="Y161" s="1"/>
      <c r="Z161" s="1"/>
      <c r="AA161" s="1"/>
      <c r="AB161" s="1"/>
      <c r="AC161" s="1"/>
      <c r="AD161" s="1"/>
      <c r="AE161" s="1"/>
      <c r="AF161" s="1"/>
      <c r="AG161" s="1"/>
      <c r="AH161" s="1"/>
      <c r="AI161" s="1"/>
    </row>
    <row r="162" spans="1:35">
      <c r="A162" s="371"/>
      <c r="B162" s="1"/>
      <c r="C162" s="1"/>
      <c r="D162" s="1"/>
      <c r="E162" s="1"/>
      <c r="F162" s="371"/>
      <c r="G162" s="1"/>
      <c r="H162" s="1"/>
      <c r="I162" s="1"/>
      <c r="J162" s="1"/>
      <c r="K162" s="371"/>
      <c r="L162" s="1"/>
      <c r="M162" s="371"/>
      <c r="N162" s="1"/>
      <c r="O162" s="1"/>
      <c r="P162" s="1"/>
      <c r="Q162" s="1"/>
      <c r="R162" s="1"/>
      <c r="S162" s="1"/>
      <c r="T162" s="1"/>
      <c r="U162" s="1"/>
      <c r="V162" s="1"/>
      <c r="W162" s="1"/>
      <c r="X162" s="1"/>
      <c r="Y162" s="1"/>
      <c r="Z162" s="1"/>
      <c r="AA162" s="1"/>
      <c r="AB162" s="1"/>
      <c r="AC162" s="1"/>
      <c r="AD162" s="1"/>
      <c r="AE162" s="1"/>
      <c r="AF162" s="1"/>
      <c r="AG162" s="1"/>
      <c r="AH162" s="1"/>
      <c r="AI162" s="1"/>
    </row>
    <row r="163" spans="1:35">
      <c r="A163" s="371" t="s">
        <v>659</v>
      </c>
      <c r="B163" s="1">
        <f>'[2]Reorganised Statements'!D114</f>
        <v>75</v>
      </c>
      <c r="C163" s="1">
        <f>'[2]Reorganised Statements'!E114</f>
        <v>232</v>
      </c>
      <c r="D163" s="1">
        <f>'[2]Reorganised Statements'!F114</f>
        <v>293</v>
      </c>
      <c r="E163" s="1">
        <f>'[2]Reorganised Statements'!G114</f>
        <v>344</v>
      </c>
      <c r="F163" s="371">
        <f>'[2]Reorganised Statements'!H114</f>
        <v>389</v>
      </c>
      <c r="G163" s="507">
        <f>'[2]Output forecasts simo '!G27</f>
        <v>384.67815390052436</v>
      </c>
      <c r="H163" s="507">
        <f>'[2]Output forecasts simo '!H27</f>
        <v>415.36648672688739</v>
      </c>
      <c r="I163" s="507">
        <f>'[2]Output forecasts simo '!I27</f>
        <v>461.8616445794558</v>
      </c>
      <c r="J163" s="507">
        <f>'[2]Output forecasts simo '!J27</f>
        <v>517.68266766890713</v>
      </c>
      <c r="K163" s="508">
        <f>'[2]Output forecasts simo '!K27</f>
        <v>571.2106979399332</v>
      </c>
      <c r="L163" s="1"/>
      <c r="M163" s="371"/>
      <c r="N163" s="1"/>
      <c r="O163" s="1"/>
      <c r="P163" s="1"/>
      <c r="Q163" s="1"/>
      <c r="R163" s="1"/>
      <c r="S163" s="1"/>
      <c r="T163" s="1"/>
      <c r="U163" s="1"/>
      <c r="V163" s="1"/>
      <c r="W163" s="1"/>
      <c r="X163" s="1"/>
      <c r="Y163" s="1"/>
      <c r="Z163" s="1"/>
      <c r="AA163" s="1"/>
      <c r="AB163" s="1"/>
      <c r="AC163" s="1"/>
      <c r="AD163" s="1"/>
      <c r="AE163" s="1"/>
      <c r="AF163" s="1"/>
      <c r="AG163" s="1"/>
      <c r="AH163" s="1"/>
      <c r="AI163" s="1"/>
    </row>
    <row r="164" spans="1:35">
      <c r="A164" s="371" t="s">
        <v>660</v>
      </c>
      <c r="B164" s="1">
        <f>B8</f>
        <v>126</v>
      </c>
      <c r="C164" s="1">
        <f>C8</f>
        <v>153</v>
      </c>
      <c r="D164" s="1">
        <f>D8</f>
        <v>180</v>
      </c>
      <c r="E164" s="1">
        <f>E8</f>
        <v>218</v>
      </c>
      <c r="F164" s="371">
        <f>F8</f>
        <v>241</v>
      </c>
      <c r="G164" s="466">
        <f>G165*G166</f>
        <v>248.73470848000002</v>
      </c>
      <c r="H164" s="466">
        <f t="shared" ref="H164:K164" si="75">H165*H166</f>
        <v>261.171443904</v>
      </c>
      <c r="I164" s="466">
        <f t="shared" si="75"/>
        <v>274.23001609920004</v>
      </c>
      <c r="J164" s="466">
        <f t="shared" si="75"/>
        <v>287.9415169041601</v>
      </c>
      <c r="K164" s="481">
        <f t="shared" si="75"/>
        <v>302.3385927493681</v>
      </c>
      <c r="L164" s="1"/>
      <c r="M164" s="371"/>
      <c r="N164" s="1"/>
      <c r="O164" s="1"/>
      <c r="P164" s="1"/>
      <c r="Q164" s="1"/>
      <c r="R164" s="1"/>
      <c r="S164" s="1"/>
      <c r="T164" s="1"/>
      <c r="U164" s="1"/>
      <c r="V164" s="1"/>
      <c r="W164" s="1"/>
      <c r="X164" s="1"/>
      <c r="Y164" s="1"/>
      <c r="Z164" s="1"/>
      <c r="AA164" s="1"/>
      <c r="AB164" s="1"/>
      <c r="AC164" s="1"/>
      <c r="AD164" s="1"/>
      <c r="AE164" s="1"/>
      <c r="AF164" s="1"/>
      <c r="AG164" s="1"/>
      <c r="AH164" s="1"/>
      <c r="AI164" s="1"/>
    </row>
    <row r="165" spans="1:35">
      <c r="A165" s="371" t="s">
        <v>661</v>
      </c>
      <c r="B165" s="529">
        <f>B164/B166</f>
        <v>4.0566645202833228E-2</v>
      </c>
      <c r="C165" s="529">
        <f t="shared" ref="C165:F165" si="76">C164/C166</f>
        <v>4.9209055201012208E-2</v>
      </c>
      <c r="D165" s="529">
        <f t="shared" si="76"/>
        <v>5.7893006118837895E-2</v>
      </c>
      <c r="E165" s="529">
        <f t="shared" si="76"/>
        <v>7.011486296614812E-2</v>
      </c>
      <c r="F165" s="530">
        <f t="shared" si="76"/>
        <v>7.7512302636888505E-2</v>
      </c>
      <c r="G165" s="1">
        <f>0.08</f>
        <v>0.08</v>
      </c>
      <c r="H165" s="457">
        <f>H9</f>
        <v>8.4000000000000005E-2</v>
      </c>
      <c r="I165" s="457">
        <f>I9</f>
        <v>8.8200000000000014E-2</v>
      </c>
      <c r="J165" s="457">
        <f>J9</f>
        <v>9.2610000000000026E-2</v>
      </c>
      <c r="K165" s="458">
        <f>K9</f>
        <v>9.7240500000000035E-2</v>
      </c>
      <c r="L165" s="1"/>
      <c r="M165" s="371"/>
      <c r="N165" s="1"/>
      <c r="O165" s="1"/>
      <c r="P165" s="1"/>
      <c r="Q165" s="1"/>
      <c r="R165" s="1"/>
      <c r="S165" s="1"/>
      <c r="T165" s="1"/>
      <c r="U165" s="1"/>
      <c r="V165" s="1"/>
      <c r="W165" s="1"/>
      <c r="X165" s="1"/>
      <c r="Y165" s="1"/>
      <c r="Z165" s="1"/>
      <c r="AA165" s="1"/>
      <c r="AB165" s="1"/>
      <c r="AC165" s="1"/>
      <c r="AD165" s="1"/>
      <c r="AE165" s="1"/>
      <c r="AF165" s="1"/>
      <c r="AG165" s="1"/>
      <c r="AH165" s="1"/>
      <c r="AI165" s="1"/>
    </row>
    <row r="166" spans="1:35">
      <c r="A166" s="99" t="s">
        <v>662</v>
      </c>
      <c r="B166" s="531">
        <f>B6</f>
        <v>3106</v>
      </c>
      <c r="C166" s="479">
        <f>C6</f>
        <v>3109.1838560000001</v>
      </c>
      <c r="D166" s="479">
        <f>D6</f>
        <v>3109.1838560000001</v>
      </c>
      <c r="E166" s="479">
        <f>E6</f>
        <v>3109.1838560000001</v>
      </c>
      <c r="F166" s="480">
        <f>F6</f>
        <v>3109.1838560000001</v>
      </c>
      <c r="G166" s="479">
        <f>F166</f>
        <v>3109.1838560000001</v>
      </c>
      <c r="H166" s="479">
        <f t="shared" ref="H166:K166" si="77">G166</f>
        <v>3109.1838560000001</v>
      </c>
      <c r="I166" s="479">
        <f t="shared" si="77"/>
        <v>3109.1838560000001</v>
      </c>
      <c r="J166" s="479">
        <f t="shared" si="77"/>
        <v>3109.1838560000001</v>
      </c>
      <c r="K166" s="480">
        <f t="shared" si="77"/>
        <v>3109.1838560000001</v>
      </c>
      <c r="L166" s="101"/>
      <c r="M166" s="99"/>
      <c r="N166" s="1"/>
      <c r="O166" s="1"/>
      <c r="P166" s="1"/>
      <c r="Q166" s="1"/>
      <c r="R166" s="1"/>
      <c r="S166" s="1"/>
      <c r="T166" s="1"/>
      <c r="U166" s="1"/>
      <c r="V166" s="1"/>
      <c r="W166" s="1"/>
      <c r="X166" s="1"/>
      <c r="Y166" s="1"/>
      <c r="Z166" s="1"/>
      <c r="AA166" s="1"/>
      <c r="AB166" s="1"/>
      <c r="AC166" s="1"/>
      <c r="AD166" s="1"/>
      <c r="AE166" s="1"/>
      <c r="AF166" s="1"/>
      <c r="AG166" s="1"/>
      <c r="AH166" s="1"/>
      <c r="AI166" s="1"/>
    </row>
    <row r="167" spans="1:35">
      <c r="A167" s="371" t="s">
        <v>663</v>
      </c>
      <c r="B167" s="373">
        <f>B164/B163</f>
        <v>1.68</v>
      </c>
      <c r="C167" s="373">
        <f t="shared" ref="C167:K167" si="78">C164/C163</f>
        <v>0.65948275862068961</v>
      </c>
      <c r="D167" s="373">
        <f t="shared" si="78"/>
        <v>0.61433447098976113</v>
      </c>
      <c r="E167" s="373">
        <f t="shared" si="78"/>
        <v>0.63372093023255816</v>
      </c>
      <c r="F167" s="455">
        <f t="shared" si="78"/>
        <v>0.61953727506426737</v>
      </c>
      <c r="G167" s="373">
        <f t="shared" si="78"/>
        <v>0.64660471606693171</v>
      </c>
      <c r="H167" s="373">
        <f t="shared" si="78"/>
        <v>0.62877351026089401</v>
      </c>
      <c r="I167" s="373">
        <f t="shared" si="78"/>
        <v>0.5937492738737763</v>
      </c>
      <c r="J167" s="373">
        <f t="shared" si="78"/>
        <v>0.55621239590798521</v>
      </c>
      <c r="K167" s="455">
        <f t="shared" si="78"/>
        <v>0.52929434592130331</v>
      </c>
      <c r="L167" s="1"/>
      <c r="M167" s="371"/>
      <c r="N167" s="1"/>
      <c r="O167" s="1"/>
      <c r="P167" s="1"/>
      <c r="Q167" s="1"/>
      <c r="R167" s="1"/>
      <c r="S167" s="1"/>
      <c r="T167" s="1"/>
      <c r="U167" s="1"/>
      <c r="V167" s="1"/>
      <c r="W167" s="1"/>
      <c r="X167" s="1"/>
      <c r="Y167" s="1"/>
      <c r="Z167" s="1"/>
      <c r="AA167" s="1"/>
      <c r="AB167" s="1"/>
      <c r="AC167" s="1"/>
      <c r="AD167" s="1"/>
      <c r="AE167" s="1"/>
      <c r="AF167" s="1"/>
      <c r="AG167" s="1"/>
      <c r="AH167" s="1"/>
      <c r="AI167" s="1"/>
    </row>
    <row r="168" spans="1:35">
      <c r="A168" s="371"/>
      <c r="B168" s="1"/>
      <c r="C168" s="1"/>
      <c r="D168" s="1"/>
      <c r="E168" s="1"/>
      <c r="F168" s="371"/>
      <c r="G168" s="1"/>
      <c r="H168" s="1"/>
      <c r="I168" s="1"/>
      <c r="J168" s="1"/>
      <c r="K168" s="371"/>
      <c r="L168" s="1"/>
      <c r="M168" s="371"/>
      <c r="N168" s="1"/>
      <c r="O168" s="1"/>
      <c r="P168" s="1"/>
      <c r="Q168" s="1"/>
      <c r="R168" s="1"/>
      <c r="S168" s="1"/>
      <c r="T168" s="1"/>
      <c r="U168" s="1"/>
      <c r="V168" s="1"/>
      <c r="W168" s="1"/>
      <c r="X168" s="1"/>
      <c r="Y168" s="1"/>
      <c r="Z168" s="1"/>
      <c r="AA168" s="1"/>
      <c r="AB168" s="1"/>
      <c r="AC168" s="1"/>
      <c r="AD168" s="1"/>
      <c r="AE168" s="1"/>
      <c r="AF168" s="1"/>
      <c r="AG168" s="1"/>
      <c r="AH168" s="1"/>
      <c r="AI168" s="1"/>
    </row>
    <row r="169" spans="1:35">
      <c r="A169" s="464" t="s">
        <v>664</v>
      </c>
      <c r="B169" s="1"/>
      <c r="C169" s="1"/>
      <c r="D169" s="1"/>
      <c r="E169" s="1"/>
      <c r="F169" s="371"/>
      <c r="G169" s="1"/>
      <c r="H169" s="1"/>
      <c r="I169" s="1"/>
      <c r="J169" s="1"/>
      <c r="K169" s="371"/>
      <c r="L169" s="1"/>
      <c r="M169" s="371"/>
      <c r="N169" s="1"/>
      <c r="O169" s="1"/>
      <c r="P169" s="1"/>
      <c r="Q169" s="1"/>
      <c r="R169" s="1"/>
      <c r="S169" s="1"/>
      <c r="T169" s="1"/>
      <c r="U169" s="1"/>
      <c r="V169" s="1"/>
      <c r="W169" s="1"/>
      <c r="X169" s="1"/>
      <c r="Y169" s="1"/>
      <c r="Z169" s="1"/>
      <c r="AA169" s="1"/>
      <c r="AB169" s="1"/>
      <c r="AC169" s="1"/>
      <c r="AD169" s="1"/>
      <c r="AE169" s="1"/>
      <c r="AF169" s="1"/>
      <c r="AG169" s="1"/>
      <c r="AH169" s="1"/>
      <c r="AI169" s="1"/>
    </row>
    <row r="170" spans="1:35">
      <c r="A170" s="371" t="s">
        <v>665</v>
      </c>
      <c r="B170" s="1"/>
      <c r="C170" s="1"/>
      <c r="D170" s="1"/>
      <c r="E170" s="1"/>
      <c r="F170" s="371"/>
      <c r="G170" s="1">
        <f>-'[2]Reorganised Statements'!H35</f>
        <v>3651</v>
      </c>
      <c r="H170" s="466">
        <f>G174</f>
        <v>3786.9434454205243</v>
      </c>
      <c r="I170" s="466">
        <f>H174</f>
        <v>3941.1384882434118</v>
      </c>
      <c r="J170" s="466">
        <f>I174</f>
        <v>4128.7701167236673</v>
      </c>
      <c r="K170" s="481">
        <f>J174</f>
        <v>4358.511267488414</v>
      </c>
      <c r="L170" s="1"/>
      <c r="M170" s="371"/>
      <c r="N170" s="1"/>
      <c r="O170" s="1"/>
      <c r="P170" s="1"/>
      <c r="Q170" s="1"/>
      <c r="R170" s="1"/>
      <c r="S170" s="1"/>
      <c r="T170" s="1"/>
      <c r="U170" s="1"/>
      <c r="V170" s="1"/>
      <c r="W170" s="1"/>
      <c r="X170" s="1"/>
      <c r="Y170" s="1"/>
      <c r="Z170" s="1"/>
      <c r="AA170" s="1"/>
      <c r="AB170" s="1"/>
      <c r="AC170" s="1"/>
      <c r="AD170" s="1"/>
      <c r="AE170" s="1"/>
      <c r="AF170" s="1"/>
      <c r="AG170" s="1"/>
      <c r="AH170" s="1"/>
      <c r="AI170" s="1"/>
    </row>
    <row r="171" spans="1:35">
      <c r="A171" s="371" t="s">
        <v>666</v>
      </c>
      <c r="B171" s="1"/>
      <c r="C171" s="1"/>
      <c r="D171" s="1"/>
      <c r="E171" s="1"/>
      <c r="F171" s="371"/>
      <c r="G171" s="507">
        <f>G163</f>
        <v>384.67815390052436</v>
      </c>
      <c r="H171" s="507">
        <f>H163</f>
        <v>415.36648672688739</v>
      </c>
      <c r="I171" s="507">
        <f t="shared" ref="I171:K171" si="79">I163</f>
        <v>461.8616445794558</v>
      </c>
      <c r="J171" s="507">
        <f t="shared" si="79"/>
        <v>517.68266766890713</v>
      </c>
      <c r="K171" s="508">
        <f t="shared" si="79"/>
        <v>571.2106979399332</v>
      </c>
      <c r="L171" s="1"/>
      <c r="M171" s="371"/>
      <c r="N171" s="1"/>
      <c r="O171" s="1"/>
      <c r="P171" s="1"/>
      <c r="Q171" s="1"/>
      <c r="R171" s="1"/>
      <c r="S171" s="1"/>
      <c r="T171" s="1"/>
      <c r="U171" s="1"/>
      <c r="V171" s="1"/>
      <c r="W171" s="1"/>
      <c r="X171" s="1"/>
      <c r="Y171" s="1"/>
      <c r="Z171" s="1"/>
      <c r="AA171" s="1"/>
      <c r="AB171" s="1"/>
      <c r="AC171" s="1"/>
      <c r="AD171" s="1"/>
      <c r="AE171" s="1"/>
      <c r="AF171" s="1"/>
      <c r="AG171" s="1"/>
      <c r="AH171" s="1"/>
      <c r="AI171" s="1"/>
    </row>
    <row r="172" spans="1:35">
      <c r="A172" s="371" t="s">
        <v>667</v>
      </c>
      <c r="B172" s="1"/>
      <c r="C172" s="1"/>
      <c r="D172" s="1"/>
      <c r="E172" s="1"/>
      <c r="F172" s="371"/>
      <c r="G172" s="466">
        <f>-G164</f>
        <v>-248.73470848000002</v>
      </c>
      <c r="H172" s="466">
        <f t="shared" ref="H172:K172" si="80">-H164</f>
        <v>-261.171443904</v>
      </c>
      <c r="I172" s="466">
        <f t="shared" si="80"/>
        <v>-274.23001609920004</v>
      </c>
      <c r="J172" s="466">
        <f t="shared" si="80"/>
        <v>-287.9415169041601</v>
      </c>
      <c r="K172" s="481">
        <f t="shared" si="80"/>
        <v>-302.3385927493681</v>
      </c>
      <c r="L172" s="1"/>
      <c r="M172" s="371"/>
      <c r="N172" s="1"/>
      <c r="O172" s="1"/>
      <c r="P172" s="1"/>
      <c r="Q172" s="1"/>
      <c r="R172" s="1"/>
      <c r="S172" s="1"/>
      <c r="T172" s="1"/>
      <c r="U172" s="1"/>
      <c r="V172" s="1"/>
      <c r="W172" s="1"/>
      <c r="X172" s="1"/>
      <c r="Y172" s="1"/>
      <c r="Z172" s="1"/>
      <c r="AA172" s="1"/>
      <c r="AB172" s="1"/>
      <c r="AC172" s="1"/>
      <c r="AD172" s="1"/>
      <c r="AE172" s="1"/>
      <c r="AF172" s="1"/>
      <c r="AG172" s="1"/>
      <c r="AH172" s="1"/>
      <c r="AI172" s="1"/>
    </row>
    <row r="173" spans="1:35">
      <c r="A173" s="99" t="s">
        <v>453</v>
      </c>
      <c r="B173" s="101"/>
      <c r="C173" s="101"/>
      <c r="D173" s="101"/>
      <c r="E173" s="101"/>
      <c r="F173" s="99"/>
      <c r="G173" s="101"/>
      <c r="H173" s="101"/>
      <c r="I173" s="101"/>
      <c r="J173" s="101"/>
      <c r="K173" s="99"/>
      <c r="L173" s="1"/>
      <c r="M173" s="371"/>
      <c r="N173" s="1"/>
      <c r="O173" s="1"/>
      <c r="P173" s="1"/>
      <c r="Q173" s="1"/>
      <c r="R173" s="1"/>
      <c r="S173" s="1"/>
      <c r="T173" s="1"/>
      <c r="U173" s="1"/>
      <c r="V173" s="1"/>
      <c r="W173" s="1"/>
      <c r="X173" s="1"/>
      <c r="Y173" s="1"/>
      <c r="Z173" s="1"/>
      <c r="AA173" s="1"/>
      <c r="AB173" s="1"/>
      <c r="AC173" s="1"/>
      <c r="AD173" s="1"/>
      <c r="AE173" s="1"/>
      <c r="AF173" s="1"/>
      <c r="AG173" s="1"/>
      <c r="AH173" s="1"/>
      <c r="AI173" s="1"/>
    </row>
    <row r="174" spans="1:35">
      <c r="A174" s="465" t="s">
        <v>668</v>
      </c>
      <c r="B174" s="443"/>
      <c r="C174" s="443"/>
      <c r="D174" s="443"/>
      <c r="E174" s="443"/>
      <c r="F174" s="465"/>
      <c r="G174" s="468">
        <f>G170+G171+G172</f>
        <v>3786.9434454205243</v>
      </c>
      <c r="H174" s="468">
        <f>H170+H171+H172</f>
        <v>3941.1384882434118</v>
      </c>
      <c r="I174" s="468">
        <f>I170+I171+I172</f>
        <v>4128.7701167236673</v>
      </c>
      <c r="J174" s="468">
        <f>J170+J171+J172</f>
        <v>4358.511267488414</v>
      </c>
      <c r="K174" s="469">
        <f>K170+K171+K172</f>
        <v>4627.383372678979</v>
      </c>
      <c r="L174" s="1"/>
      <c r="M174" s="371"/>
      <c r="N174" s="1"/>
      <c r="O174" s="1"/>
      <c r="P174" s="1"/>
      <c r="Q174" s="1"/>
      <c r="R174" s="1"/>
      <c r="S174" s="1"/>
      <c r="T174" s="1"/>
      <c r="U174" s="1"/>
      <c r="V174" s="1"/>
      <c r="W174" s="1"/>
      <c r="X174" s="1"/>
      <c r="Y174" s="1"/>
      <c r="Z174" s="1"/>
      <c r="AA174" s="1"/>
      <c r="AB174" s="1"/>
      <c r="AC174" s="1"/>
      <c r="AD174" s="1"/>
      <c r="AE174" s="1"/>
      <c r="AF174" s="1"/>
      <c r="AG174" s="1"/>
      <c r="AH174" s="1"/>
      <c r="AI174" s="1"/>
    </row>
    <row r="175" spans="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c r="A180" s="1"/>
      <c r="B180" s="1"/>
      <c r="C180" s="1"/>
      <c r="D180" s="1"/>
      <c r="E180" s="1"/>
      <c r="F180" s="1"/>
      <c r="G180" s="1"/>
      <c r="H180" s="1"/>
      <c r="I180" s="1"/>
      <c r="J180" s="1"/>
      <c r="K180" s="1"/>
      <c r="L180" s="1"/>
      <c r="M180" s="1"/>
      <c r="N180" s="1"/>
      <c r="O180" s="1"/>
      <c r="P180" s="1"/>
      <c r="Q180" s="1"/>
      <c r="R180" s="1"/>
      <c r="S180" s="1"/>
      <c r="T180" s="1"/>
      <c r="U180" s="421"/>
      <c r="V180" s="1"/>
      <c r="W180" s="373"/>
      <c r="X180" s="373">
        <f>C138/C124</f>
        <v>7.1864893999281339E-3</v>
      </c>
      <c r="Y180" s="373">
        <f>D138/D124</f>
        <v>9.5226003047232093E-3</v>
      </c>
      <c r="Z180" s="373">
        <f>E138/E124</f>
        <v>6.2743129627305808E-3</v>
      </c>
      <c r="AA180" s="373">
        <f>F138/F124</f>
        <v>3.9408866995073897E-3</v>
      </c>
      <c r="AB180" s="1"/>
      <c r="AC180" s="1"/>
      <c r="AD180" s="1"/>
      <c r="AE180" s="1"/>
      <c r="AF180" s="1"/>
      <c r="AG180" s="1"/>
      <c r="AH180" s="1"/>
      <c r="AI180" s="1"/>
    </row>
    <row r="181" spans="1:35">
      <c r="A181" s="694"/>
      <c r="B181" s="694"/>
      <c r="C181" s="52"/>
      <c r="D181" s="52"/>
      <c r="E181" s="52"/>
      <c r="F181" s="52"/>
      <c r="G181" s="52"/>
      <c r="H181" s="52"/>
      <c r="I181" s="52"/>
      <c r="J181" s="52"/>
      <c r="K181" s="52"/>
      <c r="L181" s="52"/>
      <c r="M181" s="52"/>
      <c r="N181" s="52"/>
      <c r="O181" s="52"/>
      <c r="P181" s="52"/>
      <c r="Q181" s="52"/>
      <c r="R181" s="52"/>
      <c r="S181" s="52"/>
      <c r="T181" s="52"/>
      <c r="U181" s="52"/>
      <c r="V181" s="1" t="s">
        <v>669</v>
      </c>
      <c r="W181" s="1"/>
      <c r="X181" s="1"/>
      <c r="Y181" s="1"/>
      <c r="Z181" s="1"/>
      <c r="AA181" s="1"/>
      <c r="AB181" s="1"/>
      <c r="AC181" s="1"/>
      <c r="AD181" s="1"/>
      <c r="AE181" s="1"/>
      <c r="AF181" s="1"/>
      <c r="AG181" s="1"/>
      <c r="AH181" s="1"/>
      <c r="AI181" s="1"/>
    </row>
    <row r="182" spans="1:35">
      <c r="A182" s="52"/>
      <c r="B182" s="52"/>
      <c r="C182" s="52"/>
      <c r="D182" s="52"/>
      <c r="E182" s="52"/>
      <c r="F182" s="52"/>
      <c r="G182" s="52"/>
      <c r="H182" s="52"/>
      <c r="I182" s="52"/>
      <c r="J182" s="52"/>
      <c r="K182" s="52"/>
      <c r="L182" s="52"/>
      <c r="M182" s="52"/>
      <c r="N182" s="52"/>
      <c r="O182" s="52"/>
      <c r="P182" s="52"/>
      <c r="Q182" s="52"/>
      <c r="R182" s="52"/>
      <c r="S182" s="52"/>
      <c r="T182" s="52"/>
      <c r="U182" s="52"/>
      <c r="V182" s="1"/>
      <c r="W182" s="1"/>
      <c r="X182" s="1"/>
      <c r="Y182" s="1"/>
      <c r="Z182" s="1"/>
      <c r="AA182" s="1"/>
      <c r="AB182" s="1"/>
      <c r="AC182" s="1"/>
      <c r="AD182" s="1"/>
      <c r="AE182" s="1"/>
      <c r="AF182" s="1"/>
      <c r="AG182" s="1"/>
      <c r="AH182" s="1"/>
      <c r="AI182" s="1"/>
    </row>
    <row r="183" spans="1:35">
      <c r="A183" s="52"/>
      <c r="B183" s="52"/>
      <c r="C183" s="52"/>
      <c r="D183" s="52"/>
      <c r="E183" s="52"/>
      <c r="F183" s="52"/>
      <c r="G183" s="52"/>
      <c r="H183" s="52"/>
      <c r="I183" s="52"/>
      <c r="J183" s="52"/>
      <c r="K183" s="52"/>
      <c r="L183" s="52"/>
      <c r="M183" s="52"/>
      <c r="N183" s="52"/>
      <c r="O183" s="52"/>
      <c r="P183" s="52"/>
      <c r="Q183" s="52"/>
      <c r="R183" s="52"/>
      <c r="S183" s="52"/>
      <c r="T183" s="52"/>
      <c r="U183" s="52"/>
      <c r="V183" s="1"/>
      <c r="W183" s="1"/>
      <c r="X183" s="1"/>
      <c r="Y183" s="1"/>
      <c r="Z183" s="1"/>
      <c r="AA183" s="1"/>
      <c r="AB183" s="1"/>
      <c r="AC183" s="1"/>
      <c r="AD183" s="1"/>
      <c r="AE183" s="1"/>
      <c r="AF183" s="1"/>
      <c r="AG183" s="1"/>
      <c r="AH183" s="1"/>
      <c r="AI183" s="1"/>
    </row>
    <row r="184" spans="1:35">
      <c r="A184" s="52"/>
      <c r="B184" s="52"/>
      <c r="C184" s="52"/>
      <c r="D184" s="52"/>
      <c r="E184" s="52"/>
      <c r="F184" s="52"/>
      <c r="G184" s="52"/>
      <c r="H184" s="52"/>
      <c r="I184" s="52"/>
      <c r="J184" s="52"/>
      <c r="K184" s="52"/>
      <c r="L184" s="52"/>
      <c r="M184" s="52"/>
      <c r="N184" s="52"/>
      <c r="O184" s="52"/>
      <c r="P184" s="52"/>
      <c r="Q184" s="52"/>
      <c r="R184" s="52"/>
      <c r="S184" s="52"/>
      <c r="T184" s="52"/>
      <c r="U184" s="52"/>
      <c r="V184" s="1"/>
      <c r="W184" s="1"/>
      <c r="X184" s="1"/>
      <c r="Y184" s="1"/>
      <c r="Z184" s="1"/>
      <c r="AA184" s="1"/>
      <c r="AB184" s="1"/>
      <c r="AC184" s="1"/>
      <c r="AD184" s="1"/>
      <c r="AE184" s="1"/>
      <c r="AF184" s="1"/>
      <c r="AG184" s="1"/>
      <c r="AH184" s="1"/>
      <c r="AI184" s="1"/>
    </row>
    <row r="185" spans="1:35">
      <c r="A185" s="52"/>
      <c r="B185" s="52"/>
      <c r="C185" s="52"/>
      <c r="D185" s="100"/>
      <c r="E185" s="52"/>
      <c r="F185" s="52"/>
      <c r="G185" s="52"/>
      <c r="H185" s="52"/>
      <c r="I185" s="52"/>
      <c r="J185" s="52"/>
      <c r="K185" s="52"/>
      <c r="L185" s="52"/>
      <c r="M185" s="52"/>
      <c r="N185" s="52"/>
      <c r="O185" s="52"/>
      <c r="P185" s="52"/>
      <c r="Q185" s="52"/>
      <c r="R185" s="52"/>
      <c r="S185" s="52"/>
      <c r="T185" s="52"/>
      <c r="U185" s="52"/>
      <c r="V185" s="101"/>
      <c r="W185" s="101"/>
      <c r="X185" s="1"/>
      <c r="Y185" s="1"/>
      <c r="Z185" s="1"/>
      <c r="AA185" s="1"/>
      <c r="AB185" s="1"/>
      <c r="AC185" s="1"/>
      <c r="AD185" s="443"/>
      <c r="AE185" s="1"/>
      <c r="AF185" s="1"/>
      <c r="AG185" s="1"/>
      <c r="AH185" s="1"/>
      <c r="AI185" s="1"/>
    </row>
    <row r="186" spans="1:35">
      <c r="A186" s="52"/>
      <c r="B186" s="52"/>
      <c r="C186" s="52"/>
      <c r="D186" s="52"/>
      <c r="E186" s="52"/>
      <c r="F186" s="52"/>
      <c r="G186" s="52"/>
      <c r="H186" s="52"/>
      <c r="I186" s="695"/>
      <c r="J186" s="52"/>
      <c r="K186" s="52"/>
      <c r="L186" s="52"/>
      <c r="M186" s="52"/>
      <c r="N186" s="52"/>
      <c r="O186" s="52"/>
      <c r="P186" s="52"/>
      <c r="Q186" s="52"/>
      <c r="R186" s="52"/>
      <c r="S186" s="52"/>
      <c r="T186" s="52"/>
      <c r="U186" s="52"/>
      <c r="V186" s="1"/>
      <c r="W186" s="1"/>
      <c r="X186" s="1"/>
      <c r="Y186" s="1"/>
      <c r="Z186" s="1"/>
      <c r="AA186" s="1"/>
      <c r="AB186" s="1"/>
      <c r="AC186" s="1"/>
      <c r="AD186" s="1"/>
      <c r="AE186" s="1"/>
      <c r="AF186" s="1"/>
      <c r="AG186" s="1"/>
      <c r="AH186" s="1"/>
      <c r="AI186" s="1"/>
    </row>
    <row r="187" spans="1:35">
      <c r="A187" s="100"/>
      <c r="B187" s="52"/>
      <c r="C187" s="100"/>
      <c r="D187" s="372"/>
      <c r="E187" s="100"/>
      <c r="F187" s="372"/>
      <c r="G187" s="100"/>
      <c r="H187" s="372"/>
      <c r="I187" s="696"/>
      <c r="J187" s="372"/>
      <c r="K187" s="100"/>
      <c r="L187" s="52"/>
      <c r="M187" s="100"/>
      <c r="N187" s="52"/>
      <c r="O187" s="100"/>
      <c r="P187" s="52"/>
      <c r="Q187" s="100"/>
      <c r="R187" s="52"/>
      <c r="S187" s="100"/>
      <c r="T187" s="52"/>
      <c r="U187" s="100"/>
      <c r="V187" s="1"/>
      <c r="W187" s="1"/>
      <c r="X187" s="1"/>
      <c r="Y187" s="1"/>
      <c r="Z187" s="1"/>
      <c r="AA187" s="1"/>
      <c r="AB187" s="1"/>
      <c r="AC187" s="1"/>
      <c r="AD187" s="443"/>
      <c r="AE187" s="1"/>
      <c r="AF187" s="1"/>
      <c r="AG187" s="1"/>
      <c r="AH187" s="1"/>
      <c r="AI187" s="1"/>
    </row>
    <row r="188" spans="1:35">
      <c r="A188" s="52"/>
      <c r="B188" s="52"/>
      <c r="C188" s="52"/>
      <c r="D188" s="52"/>
      <c r="E188" s="52"/>
      <c r="F188" s="52"/>
      <c r="G188" s="52"/>
      <c r="H188" s="52"/>
      <c r="I188" s="52"/>
      <c r="J188" s="52"/>
      <c r="K188" s="52"/>
      <c r="L188" s="52"/>
      <c r="M188" s="52"/>
      <c r="N188" s="52"/>
      <c r="O188" s="52"/>
      <c r="P188" s="52"/>
      <c r="Q188" s="52"/>
      <c r="R188" s="52"/>
      <c r="S188" s="52"/>
      <c r="T188" s="52"/>
      <c r="U188" s="52"/>
      <c r="V188" s="1"/>
      <c r="W188" s="1"/>
      <c r="X188" s="1"/>
      <c r="Y188" s="1"/>
      <c r="Z188" s="1"/>
      <c r="AA188" s="1"/>
      <c r="AB188" s="1"/>
      <c r="AC188" s="1"/>
      <c r="AD188" s="1"/>
      <c r="AE188" s="1"/>
      <c r="AF188" s="1"/>
      <c r="AG188" s="1"/>
      <c r="AH188" s="1"/>
      <c r="AI188" s="1"/>
    </row>
    <row r="189" spans="1:35">
      <c r="A189" s="52"/>
      <c r="B189" s="52"/>
      <c r="C189" s="52"/>
      <c r="D189" s="52"/>
      <c r="E189" s="52"/>
      <c r="F189" s="52"/>
      <c r="G189" s="52"/>
      <c r="H189" s="52"/>
      <c r="I189" s="52"/>
      <c r="J189" s="52"/>
      <c r="K189" s="52"/>
      <c r="L189" s="52"/>
      <c r="M189" s="52"/>
      <c r="N189" s="52"/>
      <c r="O189" s="52"/>
      <c r="P189" s="52"/>
      <c r="Q189" s="52"/>
      <c r="R189" s="52"/>
      <c r="S189" s="52"/>
      <c r="T189" s="52"/>
      <c r="U189" s="52"/>
      <c r="V189" s="101"/>
      <c r="W189" s="101"/>
      <c r="X189" s="1"/>
      <c r="Y189" s="1"/>
      <c r="Z189" s="1"/>
      <c r="AA189" s="1"/>
      <c r="AB189" s="1"/>
      <c r="AC189" s="1"/>
      <c r="AD189" s="1"/>
      <c r="AE189" s="1"/>
      <c r="AF189" s="1"/>
      <c r="AG189" s="1"/>
      <c r="AH189" s="1"/>
      <c r="AI189" s="1"/>
    </row>
    <row r="190" spans="1:35">
      <c r="A190" s="52"/>
      <c r="B190" s="52"/>
      <c r="C190" s="52"/>
      <c r="D190" s="52"/>
      <c r="E190" s="52"/>
      <c r="F190" s="52"/>
      <c r="G190" s="52"/>
      <c r="H190" s="52"/>
      <c r="I190" s="52"/>
      <c r="J190" s="52"/>
      <c r="K190" s="52"/>
      <c r="L190" s="52"/>
      <c r="M190" s="52"/>
      <c r="N190" s="52"/>
      <c r="O190" s="52"/>
      <c r="P190" s="52"/>
      <c r="Q190" s="52"/>
      <c r="R190" s="52"/>
      <c r="S190" s="52"/>
      <c r="T190" s="52"/>
      <c r="U190" s="52"/>
      <c r="V190" s="1"/>
      <c r="W190" s="1"/>
      <c r="X190" s="1"/>
      <c r="Y190" s="1"/>
      <c r="Z190" s="1"/>
      <c r="AA190" s="1"/>
      <c r="AB190" s="1"/>
      <c r="AC190" s="1"/>
      <c r="AD190" s="1"/>
      <c r="AE190" s="1"/>
      <c r="AF190" s="1"/>
      <c r="AG190" s="1"/>
      <c r="AH190" s="1"/>
      <c r="AI190" s="1"/>
    </row>
    <row r="191" spans="1:35">
      <c r="A191" s="52"/>
      <c r="B191" s="52"/>
      <c r="C191" s="52"/>
      <c r="D191" s="52"/>
      <c r="E191" s="52"/>
      <c r="F191" s="52"/>
      <c r="G191" s="52"/>
      <c r="H191" s="52"/>
      <c r="I191" s="52"/>
      <c r="J191" s="52"/>
      <c r="K191" s="52"/>
      <c r="L191" s="52"/>
      <c r="M191" s="52"/>
      <c r="N191" s="52"/>
      <c r="O191" s="52"/>
      <c r="P191" s="52"/>
      <c r="Q191" s="52"/>
      <c r="R191" s="52"/>
      <c r="S191" s="52"/>
      <c r="T191" s="52"/>
      <c r="U191" s="52"/>
      <c r="V191" s="1"/>
      <c r="W191" s="1"/>
      <c r="X191" s="1"/>
      <c r="Y191" s="1"/>
      <c r="Z191" s="1"/>
      <c r="AA191" s="1"/>
      <c r="AB191" s="1"/>
      <c r="AC191" s="1"/>
      <c r="AD191" s="1"/>
      <c r="AE191" s="1"/>
      <c r="AF191" s="1"/>
      <c r="AG191" s="1"/>
      <c r="AH191" s="1"/>
      <c r="AI191" s="1"/>
    </row>
    <row r="192" spans="1:35">
      <c r="A192" s="52"/>
      <c r="B192" s="52"/>
      <c r="C192" s="52"/>
      <c r="D192" s="52"/>
      <c r="E192" s="52"/>
      <c r="F192" s="52"/>
      <c r="G192" s="52"/>
      <c r="H192" s="52"/>
      <c r="I192" s="52"/>
      <c r="J192" s="52"/>
      <c r="K192" s="52"/>
      <c r="L192" s="52"/>
      <c r="M192" s="52"/>
      <c r="N192" s="52"/>
      <c r="O192" s="52"/>
      <c r="P192" s="52"/>
      <c r="Q192" s="52"/>
      <c r="R192" s="52"/>
      <c r="S192" s="52"/>
      <c r="T192" s="52"/>
      <c r="U192" s="52"/>
      <c r="V192" s="1"/>
      <c r="W192" s="1"/>
      <c r="X192" s="1"/>
      <c r="Y192" s="1"/>
      <c r="Z192" s="1"/>
      <c r="AA192" s="1"/>
      <c r="AB192" s="1"/>
      <c r="AC192" s="1"/>
      <c r="AD192" s="1"/>
      <c r="AE192" s="1"/>
      <c r="AF192" s="1"/>
      <c r="AG192" s="1"/>
      <c r="AH192" s="1"/>
      <c r="AI192" s="1"/>
    </row>
    <row r="193" spans="1:26">
      <c r="A193" s="52"/>
      <c r="B193" s="52"/>
      <c r="C193" s="52"/>
      <c r="D193" s="52"/>
      <c r="E193" s="52"/>
      <c r="F193" s="52"/>
      <c r="G193" s="52"/>
      <c r="H193" s="52"/>
      <c r="I193" s="52"/>
      <c r="J193" s="52"/>
      <c r="K193" s="52"/>
      <c r="L193" s="52"/>
      <c r="M193" s="52"/>
      <c r="N193" s="52"/>
      <c r="O193" s="52"/>
      <c r="P193" s="52"/>
      <c r="Q193" s="52"/>
      <c r="R193" s="52"/>
      <c r="S193" s="52"/>
      <c r="T193" s="52"/>
      <c r="U193" s="52"/>
      <c r="V193" s="101"/>
      <c r="W193" s="101"/>
      <c r="X193" s="1"/>
      <c r="Y193" s="1"/>
      <c r="Z193" s="1"/>
    </row>
    <row r="194" spans="1:26">
      <c r="A194" s="100"/>
      <c r="B194" s="52"/>
      <c r="C194" s="100"/>
      <c r="D194" s="372"/>
      <c r="E194" s="100"/>
      <c r="F194" s="372"/>
      <c r="G194" s="100"/>
      <c r="H194" s="372"/>
      <c r="I194" s="100"/>
      <c r="J194" s="372"/>
      <c r="K194" s="100"/>
      <c r="L194" s="52"/>
      <c r="M194" s="100"/>
      <c r="N194" s="52"/>
      <c r="O194" s="100"/>
      <c r="P194" s="52"/>
      <c r="Q194" s="100"/>
      <c r="R194" s="52"/>
      <c r="S194" s="100"/>
      <c r="T194" s="52"/>
      <c r="U194" s="100"/>
      <c r="V194" s="1"/>
      <c r="W194" s="1"/>
      <c r="X194" s="1"/>
      <c r="Y194" s="1"/>
      <c r="Z194" s="1"/>
    </row>
    <row r="195" spans="1:26">
      <c r="A195" s="52"/>
      <c r="B195" s="52"/>
      <c r="C195" s="52"/>
      <c r="D195" s="52"/>
      <c r="E195" s="52"/>
      <c r="F195" s="52"/>
      <c r="G195" s="52"/>
      <c r="H195" s="52"/>
      <c r="I195" s="52"/>
      <c r="J195" s="52"/>
      <c r="K195" s="52"/>
      <c r="L195" s="52"/>
      <c r="M195" s="52"/>
      <c r="N195" s="52"/>
      <c r="O195" s="52"/>
      <c r="P195" s="52"/>
      <c r="Q195" s="52"/>
      <c r="R195" s="52"/>
      <c r="S195" s="52"/>
      <c r="T195" s="52"/>
      <c r="U195" s="52"/>
      <c r="V195" s="1"/>
      <c r="W195" s="1"/>
      <c r="X195" s="1"/>
      <c r="Y195" s="1"/>
      <c r="Z195" s="1"/>
    </row>
    <row r="196" spans="1:26">
      <c r="A196" s="52"/>
      <c r="B196" s="52"/>
      <c r="C196" s="372"/>
      <c r="D196" s="372"/>
      <c r="E196" s="372"/>
      <c r="F196" s="372"/>
      <c r="G196" s="372"/>
      <c r="H196" s="372"/>
      <c r="I196" s="372"/>
      <c r="J196" s="372"/>
      <c r="K196" s="372"/>
      <c r="L196" s="52"/>
      <c r="M196" s="697"/>
      <c r="N196" s="52"/>
      <c r="O196" s="372"/>
      <c r="P196" s="52"/>
      <c r="Q196" s="372"/>
      <c r="R196" s="52"/>
      <c r="S196" s="372"/>
      <c r="T196" s="52"/>
      <c r="U196" s="372"/>
      <c r="V196" s="1"/>
      <c r="W196" s="1"/>
      <c r="X196" s="1"/>
      <c r="Y196" s="1"/>
      <c r="Z196" s="1"/>
    </row>
    <row r="197" spans="1:26">
      <c r="A197" s="52"/>
      <c r="B197" s="52"/>
      <c r="C197" s="52"/>
      <c r="D197" s="52"/>
      <c r="E197" s="52"/>
      <c r="F197" s="52"/>
      <c r="G197" s="52"/>
      <c r="H197" s="52"/>
      <c r="I197" s="52"/>
      <c r="J197" s="52"/>
      <c r="K197" s="52"/>
      <c r="L197" s="52"/>
      <c r="M197" s="52"/>
      <c r="N197" s="52"/>
      <c r="O197" s="52"/>
      <c r="P197" s="52"/>
      <c r="Q197" s="52"/>
      <c r="R197" s="52"/>
      <c r="S197" s="52"/>
      <c r="T197" s="52"/>
      <c r="U197" s="52"/>
      <c r="V197" s="1"/>
      <c r="W197" s="1"/>
      <c r="X197" s="1"/>
      <c r="Y197" s="1"/>
      <c r="Z197" s="1"/>
    </row>
    <row r="198" spans="1:26">
      <c r="A198" s="52"/>
      <c r="B198" s="52"/>
      <c r="C198" s="52"/>
      <c r="D198" s="52"/>
      <c r="E198" s="52"/>
      <c r="F198" s="52"/>
      <c r="G198" s="52"/>
      <c r="H198" s="52"/>
      <c r="I198" s="52"/>
      <c r="J198" s="52"/>
      <c r="K198" s="52"/>
      <c r="L198" s="52"/>
      <c r="M198" s="52"/>
      <c r="N198" s="52"/>
      <c r="O198" s="52"/>
      <c r="P198" s="52"/>
      <c r="Q198" s="52"/>
      <c r="R198" s="52"/>
      <c r="S198" s="52"/>
      <c r="T198" s="52"/>
      <c r="U198" s="52"/>
      <c r="V198" s="1"/>
      <c r="W198" s="1"/>
      <c r="X198" s="1"/>
      <c r="Y198" s="1"/>
      <c r="Z198" s="1"/>
    </row>
    <row r="199" spans="1:26">
      <c r="A199" s="52"/>
      <c r="B199" s="52"/>
      <c r="C199" s="52"/>
      <c r="D199" s="52"/>
      <c r="E199" s="52"/>
      <c r="F199" s="52"/>
      <c r="G199" s="52"/>
      <c r="H199" s="52"/>
      <c r="I199" s="52"/>
      <c r="J199" s="52"/>
      <c r="K199" s="52"/>
      <c r="L199" s="52"/>
      <c r="M199" s="52"/>
      <c r="N199" s="52"/>
      <c r="O199" s="52"/>
      <c r="P199" s="52"/>
      <c r="Q199" s="52"/>
      <c r="R199" s="52"/>
      <c r="S199" s="52"/>
      <c r="T199" s="52"/>
      <c r="U199" s="52"/>
      <c r="V199" s="1"/>
      <c r="W199" s="1"/>
      <c r="X199" s="1"/>
      <c r="Y199" s="1"/>
      <c r="Z199" s="1"/>
    </row>
    <row r="200" spans="1:26">
      <c r="A200" s="52"/>
      <c r="B200" s="52"/>
      <c r="C200" s="100"/>
      <c r="D200" s="372"/>
      <c r="E200" s="100"/>
      <c r="F200" s="372"/>
      <c r="G200" s="100"/>
      <c r="H200" s="372"/>
      <c r="I200" s="100"/>
      <c r="J200" s="372"/>
      <c r="K200" s="100"/>
      <c r="L200" s="697"/>
      <c r="M200" s="100"/>
      <c r="N200" s="372"/>
      <c r="O200" s="100"/>
      <c r="P200" s="372"/>
      <c r="Q200" s="100"/>
      <c r="R200" s="52"/>
      <c r="S200" s="100"/>
      <c r="T200" s="372"/>
      <c r="U200" s="100"/>
      <c r="V200" s="1"/>
      <c r="W200" s="1"/>
      <c r="X200" s="1"/>
      <c r="Y200" s="1"/>
      <c r="Z200" s="1"/>
    </row>
    <row r="201" spans="1:26">
      <c r="A201" s="52"/>
      <c r="B201" s="52"/>
      <c r="C201" s="100"/>
      <c r="D201" s="372"/>
      <c r="E201" s="100"/>
      <c r="F201" s="372"/>
      <c r="G201" s="100"/>
      <c r="H201" s="372"/>
      <c r="I201" s="100"/>
      <c r="J201" s="372"/>
      <c r="K201" s="100"/>
      <c r="L201" s="697"/>
      <c r="M201" s="100"/>
      <c r="N201" s="372"/>
      <c r="O201" s="100"/>
      <c r="P201" s="372"/>
      <c r="Q201" s="100"/>
      <c r="R201" s="372"/>
      <c r="S201" s="100"/>
      <c r="T201" s="372"/>
      <c r="U201" s="100"/>
      <c r="V201" s="1"/>
      <c r="W201" s="1"/>
      <c r="X201" s="1"/>
      <c r="Y201" s="1"/>
      <c r="Z201" s="1"/>
    </row>
    <row r="202" spans="1:26">
      <c r="A202" s="52"/>
      <c r="B202" s="52"/>
      <c r="C202" s="372"/>
      <c r="D202" s="698"/>
      <c r="E202" s="372"/>
      <c r="F202" s="698"/>
      <c r="G202" s="372"/>
      <c r="H202" s="698"/>
      <c r="I202" s="372"/>
      <c r="J202" s="698"/>
      <c r="K202" s="372"/>
      <c r="L202" s="697"/>
      <c r="M202" s="699"/>
      <c r="N202" s="372"/>
      <c r="O202" s="100"/>
      <c r="P202" s="372"/>
      <c r="Q202" s="100"/>
      <c r="R202" s="52"/>
      <c r="S202" s="100"/>
      <c r="T202" s="372"/>
      <c r="U202" s="100"/>
      <c r="V202" s="1"/>
      <c r="W202" s="1"/>
      <c r="X202" s="1"/>
      <c r="Y202" s="1"/>
      <c r="Z202" s="1"/>
    </row>
    <row r="203" spans="1:26">
      <c r="A203" s="52"/>
      <c r="B203" s="52"/>
      <c r="C203" s="372"/>
      <c r="D203" s="372"/>
      <c r="E203" s="372"/>
      <c r="F203" s="372"/>
      <c r="G203" s="372"/>
      <c r="H203" s="372"/>
      <c r="I203" s="372"/>
      <c r="J203" s="372"/>
      <c r="K203" s="372"/>
      <c r="L203" s="697"/>
      <c r="M203" s="343"/>
      <c r="N203" s="343"/>
      <c r="O203" s="343"/>
      <c r="P203" s="343"/>
      <c r="Q203" s="343"/>
      <c r="R203" s="343"/>
      <c r="S203" s="343"/>
      <c r="T203" s="343"/>
      <c r="U203" s="343"/>
      <c r="V203" s="101"/>
      <c r="W203" s="101"/>
      <c r="X203" s="1"/>
      <c r="Y203" s="1"/>
      <c r="Z203" s="1"/>
    </row>
    <row r="204" spans="1:26">
      <c r="A204" s="52"/>
      <c r="B204" s="52"/>
      <c r="C204" s="52"/>
      <c r="D204" s="52"/>
      <c r="E204" s="52"/>
      <c r="F204" s="52"/>
      <c r="G204" s="52"/>
      <c r="H204" s="52"/>
      <c r="I204" s="52"/>
      <c r="J204" s="52"/>
      <c r="K204" s="52"/>
      <c r="L204" s="52"/>
      <c r="M204" s="52"/>
      <c r="N204" s="52"/>
      <c r="O204" s="52"/>
      <c r="P204" s="52"/>
      <c r="Q204" s="52"/>
      <c r="R204" s="52"/>
      <c r="S204" s="52"/>
      <c r="T204" s="52"/>
      <c r="U204" s="52"/>
      <c r="V204" s="1"/>
      <c r="W204" s="1"/>
      <c r="X204" s="1"/>
      <c r="Y204" s="1"/>
      <c r="Z204" s="1"/>
    </row>
    <row r="205" spans="1:26">
      <c r="A205" s="52"/>
      <c r="B205" s="52"/>
      <c r="C205" s="52"/>
      <c r="D205" s="52"/>
      <c r="E205" s="52"/>
      <c r="F205" s="52"/>
      <c r="G205" s="52"/>
      <c r="H205" s="52"/>
      <c r="I205" s="52"/>
      <c r="J205" s="52"/>
      <c r="K205" s="52"/>
      <c r="L205" s="52"/>
      <c r="M205" s="52"/>
      <c r="N205" s="52"/>
      <c r="O205" s="52"/>
      <c r="P205" s="52"/>
      <c r="Q205" s="52"/>
      <c r="R205" s="52"/>
      <c r="S205" s="52"/>
      <c r="T205" s="52"/>
      <c r="U205" s="52"/>
      <c r="V205" s="1"/>
      <c r="W205" s="1"/>
      <c r="X205" s="1"/>
      <c r="Y205" s="1"/>
      <c r="Z205" s="1"/>
    </row>
    <row r="206" spans="1:26">
      <c r="A206" s="52"/>
      <c r="B206" s="52"/>
      <c r="C206" s="52"/>
      <c r="D206" s="52"/>
      <c r="E206" s="52"/>
      <c r="F206" s="52"/>
      <c r="G206" s="52"/>
      <c r="H206" s="52"/>
      <c r="I206" s="52"/>
      <c r="J206" s="52"/>
      <c r="K206" s="52"/>
      <c r="L206" s="52"/>
      <c r="M206" s="52"/>
      <c r="N206" s="52"/>
      <c r="O206" s="52"/>
      <c r="P206" s="52"/>
      <c r="Q206" s="52"/>
      <c r="R206" s="52"/>
      <c r="S206" s="52"/>
      <c r="T206" s="52"/>
      <c r="U206" s="52"/>
      <c r="V206" s="1"/>
      <c r="W206" s="1"/>
      <c r="X206" s="1"/>
      <c r="Y206" s="1"/>
      <c r="Z206" s="1"/>
    </row>
    <row r="207" spans="1:26">
      <c r="A207" s="52"/>
      <c r="B207" s="52"/>
      <c r="C207" s="343"/>
      <c r="D207" s="343"/>
      <c r="E207" s="343"/>
      <c r="F207" s="343"/>
      <c r="G207" s="343"/>
      <c r="H207" s="343"/>
      <c r="I207" s="343"/>
      <c r="J207" s="343"/>
      <c r="K207" s="343"/>
      <c r="L207" s="52"/>
      <c r="M207" s="343"/>
      <c r="N207" s="343"/>
      <c r="O207" s="343"/>
      <c r="P207" s="343"/>
      <c r="Q207" s="343"/>
      <c r="R207" s="343"/>
      <c r="S207" s="343"/>
      <c r="T207" s="343"/>
      <c r="U207" s="343"/>
      <c r="V207" s="1"/>
      <c r="W207" s="1"/>
      <c r="X207" s="1"/>
      <c r="Y207" s="1"/>
      <c r="Z207" s="1"/>
    </row>
    <row r="208" spans="1:26">
      <c r="A208" s="694"/>
      <c r="B208" s="52"/>
      <c r="C208" s="343"/>
      <c r="D208" s="343"/>
      <c r="E208" s="343"/>
      <c r="F208" s="343"/>
      <c r="G208" s="343"/>
      <c r="H208" s="343"/>
      <c r="I208" s="343"/>
      <c r="J208" s="343"/>
      <c r="K208" s="343"/>
      <c r="L208" s="52"/>
      <c r="M208" s="343"/>
      <c r="N208" s="343"/>
      <c r="O208" s="343"/>
      <c r="P208" s="343"/>
      <c r="Q208" s="343"/>
      <c r="R208" s="343"/>
      <c r="S208" s="343"/>
      <c r="T208" s="343"/>
      <c r="U208" s="343"/>
      <c r="V208" s="1"/>
      <c r="W208" s="1"/>
      <c r="X208" s="1"/>
      <c r="Y208" s="1"/>
      <c r="Z208" s="1"/>
    </row>
    <row r="209" spans="1:26">
      <c r="A209" s="52"/>
      <c r="B209" s="52"/>
      <c r="C209" s="343"/>
      <c r="D209" s="343"/>
      <c r="E209" s="343"/>
      <c r="F209" s="343"/>
      <c r="G209" s="343"/>
      <c r="H209" s="343"/>
      <c r="I209" s="343"/>
      <c r="J209" s="343"/>
      <c r="K209" s="343"/>
      <c r="L209" s="52"/>
      <c r="M209" s="343"/>
      <c r="N209" s="343"/>
      <c r="O209" s="343"/>
      <c r="P209" s="343"/>
      <c r="Q209" s="343"/>
      <c r="R209" s="343"/>
      <c r="S209" s="343"/>
      <c r="T209" s="343"/>
      <c r="U209" s="343"/>
      <c r="V209" s="1"/>
      <c r="W209" s="1"/>
      <c r="X209" s="1"/>
      <c r="Y209" s="1"/>
      <c r="Z209" s="1"/>
    </row>
    <row r="210" spans="1:26">
      <c r="A210" s="52"/>
      <c r="B210" s="52"/>
      <c r="C210" s="700"/>
      <c r="D210" s="700"/>
      <c r="E210" s="700"/>
      <c r="F210" s="700"/>
      <c r="G210" s="700"/>
      <c r="H210" s="700"/>
      <c r="I210" s="700"/>
      <c r="J210" s="700"/>
      <c r="K210" s="700"/>
      <c r="L210" s="343"/>
      <c r="M210" s="700"/>
      <c r="N210" s="700"/>
      <c r="O210" s="700"/>
      <c r="P210" s="700"/>
      <c r="Q210" s="700"/>
      <c r="R210" s="700"/>
      <c r="S210" s="700"/>
      <c r="T210" s="372"/>
      <c r="U210" s="700"/>
      <c r="V210" s="1"/>
      <c r="W210" s="1"/>
      <c r="X210" s="1"/>
      <c r="Y210" s="1"/>
      <c r="Z210" s="1"/>
    </row>
    <row r="211" spans="1:26">
      <c r="A211" s="52"/>
      <c r="B211" s="52"/>
      <c r="C211" s="700"/>
      <c r="D211" s="700"/>
      <c r="E211" s="700"/>
      <c r="F211" s="700"/>
      <c r="G211" s="700"/>
      <c r="H211" s="700"/>
      <c r="I211" s="700"/>
      <c r="J211" s="700"/>
      <c r="K211" s="700"/>
      <c r="L211" s="701"/>
      <c r="M211" s="700"/>
      <c r="N211" s="700"/>
      <c r="O211" s="700"/>
      <c r="P211" s="700"/>
      <c r="Q211" s="700"/>
      <c r="R211" s="700"/>
      <c r="S211" s="700"/>
      <c r="T211" s="700"/>
      <c r="U211" s="700"/>
      <c r="V211" s="1"/>
      <c r="W211" s="1"/>
      <c r="X211" s="1"/>
      <c r="Y211" s="1"/>
      <c r="Z211" s="1"/>
    </row>
    <row r="212" spans="1:26">
      <c r="A212" s="52"/>
      <c r="B212" s="52"/>
      <c r="C212" s="702"/>
      <c r="D212" s="372"/>
      <c r="E212" s="702"/>
      <c r="F212" s="372"/>
      <c r="G212" s="702"/>
      <c r="H212" s="372"/>
      <c r="I212" s="702"/>
      <c r="J212" s="372"/>
      <c r="K212" s="702"/>
      <c r="L212" s="372"/>
      <c r="M212" s="700"/>
      <c r="N212" s="700"/>
      <c r="O212" s="703"/>
      <c r="P212" s="700"/>
      <c r="Q212" s="702"/>
      <c r="R212" s="700"/>
      <c r="S212" s="702"/>
      <c r="T212" s="700"/>
      <c r="U212" s="702"/>
      <c r="V212" s="1"/>
      <c r="W212" s="1"/>
      <c r="X212" s="1"/>
      <c r="Y212" s="1"/>
      <c r="Z212" s="1"/>
    </row>
    <row r="213" spans="1:26">
      <c r="A213" s="52"/>
      <c r="B213" s="52"/>
      <c r="C213" s="700"/>
      <c r="D213" s="700"/>
      <c r="E213" s="700"/>
      <c r="F213" s="700"/>
      <c r="G213" s="700"/>
      <c r="H213" s="700"/>
      <c r="I213" s="700"/>
      <c r="J213" s="700"/>
      <c r="K213" s="700"/>
      <c r="L213" s="52"/>
      <c r="M213" s="700"/>
      <c r="N213" s="343"/>
      <c r="O213" s="700"/>
      <c r="P213" s="343"/>
      <c r="Q213" s="700"/>
      <c r="R213" s="343"/>
      <c r="S213" s="700"/>
      <c r="T213" s="343"/>
      <c r="U213" s="700"/>
      <c r="V213" s="1"/>
      <c r="W213" s="1"/>
      <c r="X213" s="1"/>
      <c r="Y213" s="1"/>
      <c r="Z213" s="1"/>
    </row>
    <row r="214" spans="1:26">
      <c r="A214" s="52"/>
      <c r="B214" s="52"/>
      <c r="C214" s="704"/>
      <c r="D214" s="700"/>
      <c r="E214" s="704"/>
      <c r="F214" s="700"/>
      <c r="G214" s="704"/>
      <c r="H214" s="700"/>
      <c r="I214" s="704"/>
      <c r="J214" s="700"/>
      <c r="K214" s="704"/>
      <c r="L214" s="52"/>
      <c r="M214" s="343"/>
      <c r="N214" s="343"/>
      <c r="O214" s="343"/>
      <c r="P214" s="343"/>
      <c r="Q214" s="343"/>
      <c r="R214" s="343"/>
      <c r="S214" s="343"/>
      <c r="T214" s="343"/>
      <c r="U214" s="343"/>
      <c r="V214" s="1"/>
      <c r="W214" s="1"/>
      <c r="X214" s="1"/>
      <c r="Y214" s="1"/>
      <c r="Z214" s="1"/>
    </row>
    <row r="215" spans="1:26">
      <c r="A215" s="52"/>
      <c r="B215" s="52"/>
      <c r="C215" s="700"/>
      <c r="D215" s="700"/>
      <c r="E215" s="700"/>
      <c r="F215" s="700"/>
      <c r="G215" s="700"/>
      <c r="H215" s="700"/>
      <c r="I215" s="700"/>
      <c r="J215" s="700"/>
      <c r="K215" s="700"/>
      <c r="L215" s="52"/>
      <c r="M215" s="343"/>
      <c r="N215" s="343"/>
      <c r="O215" s="343"/>
      <c r="P215" s="343"/>
      <c r="Q215" s="343"/>
      <c r="R215" s="343"/>
      <c r="S215" s="343"/>
      <c r="T215" s="343"/>
      <c r="U215" s="343"/>
      <c r="V215" s="1"/>
      <c r="W215" s="1"/>
      <c r="X215" s="1"/>
      <c r="Y215" s="1"/>
      <c r="Z215" s="1"/>
    </row>
    <row r="216" spans="1:26">
      <c r="A216" s="100"/>
      <c r="B216" s="52"/>
      <c r="C216" s="700"/>
      <c r="D216" s="700"/>
      <c r="E216" s="700"/>
      <c r="F216" s="700"/>
      <c r="G216" s="700"/>
      <c r="H216" s="700"/>
      <c r="I216" s="700"/>
      <c r="J216" s="700"/>
      <c r="K216" s="700"/>
      <c r="L216" s="701"/>
      <c r="M216" s="700"/>
      <c r="N216" s="700"/>
      <c r="O216" s="700"/>
      <c r="P216" s="700"/>
      <c r="Q216" s="700"/>
      <c r="R216" s="700"/>
      <c r="S216" s="700"/>
      <c r="T216" s="700"/>
      <c r="U216" s="700"/>
      <c r="V216" s="1"/>
      <c r="W216" s="1"/>
      <c r="X216" s="1"/>
      <c r="Y216" s="1"/>
      <c r="Z216" s="1"/>
    </row>
    <row r="217" spans="1:26">
      <c r="A217" s="52"/>
      <c r="B217" s="52"/>
      <c r="C217" s="700"/>
      <c r="D217" s="700"/>
      <c r="E217" s="700"/>
      <c r="F217" s="700"/>
      <c r="G217" s="700"/>
      <c r="H217" s="700"/>
      <c r="I217" s="700"/>
      <c r="J217" s="700"/>
      <c r="K217" s="700"/>
      <c r="L217" s="701"/>
      <c r="M217" s="700"/>
      <c r="N217" s="700"/>
      <c r="O217" s="700"/>
      <c r="P217" s="700"/>
      <c r="Q217" s="700"/>
      <c r="R217" s="700"/>
      <c r="S217" s="700"/>
      <c r="T217" s="700"/>
      <c r="U217" s="700"/>
      <c r="V217" s="1"/>
      <c r="W217" s="1"/>
      <c r="X217" s="1"/>
      <c r="Y217" s="1"/>
      <c r="Z217" s="1"/>
    </row>
    <row r="218" spans="1:26">
      <c r="A218" s="52"/>
      <c r="B218" s="52"/>
      <c r="C218" s="700"/>
      <c r="D218" s="700"/>
      <c r="E218" s="700"/>
      <c r="F218" s="700"/>
      <c r="G218" s="700"/>
      <c r="H218" s="700"/>
      <c r="I218" s="700"/>
      <c r="J218" s="700"/>
      <c r="K218" s="700"/>
      <c r="L218" s="701"/>
      <c r="M218" s="700"/>
      <c r="N218" s="700"/>
      <c r="O218" s="700"/>
      <c r="P218" s="700"/>
      <c r="Q218" s="700"/>
      <c r="R218" s="700"/>
      <c r="S218" s="700"/>
      <c r="T218" s="700"/>
      <c r="U218" s="700"/>
      <c r="V218" s="1"/>
      <c r="W218" s="1"/>
      <c r="X218" s="1"/>
      <c r="Y218" s="1"/>
      <c r="Z218" s="1"/>
    </row>
    <row r="219" spans="1:26">
      <c r="A219" s="52"/>
      <c r="B219" s="52"/>
      <c r="C219" s="700"/>
      <c r="D219" s="700"/>
      <c r="E219" s="700"/>
      <c r="F219" s="700"/>
      <c r="G219" s="700"/>
      <c r="H219" s="700"/>
      <c r="I219" s="700"/>
      <c r="J219" s="700"/>
      <c r="K219" s="700"/>
      <c r="L219" s="701"/>
      <c r="M219" s="700"/>
      <c r="N219" s="700"/>
      <c r="O219" s="700"/>
      <c r="P219" s="700"/>
      <c r="Q219" s="700"/>
      <c r="R219" s="700"/>
      <c r="S219" s="700"/>
      <c r="T219" s="700"/>
      <c r="U219" s="700"/>
      <c r="V219" s="1"/>
      <c r="W219" s="1"/>
      <c r="X219" s="1"/>
      <c r="Y219" s="1"/>
      <c r="Z219" s="1"/>
    </row>
    <row r="220" spans="1:26">
      <c r="A220" s="52"/>
      <c r="B220" s="52"/>
      <c r="C220" s="700"/>
      <c r="D220" s="700"/>
      <c r="E220" s="700"/>
      <c r="F220" s="700"/>
      <c r="G220" s="700"/>
      <c r="H220" s="700"/>
      <c r="I220" s="700"/>
      <c r="J220" s="700"/>
      <c r="K220" s="700"/>
      <c r="L220" s="701"/>
      <c r="M220" s="700"/>
      <c r="N220" s="700"/>
      <c r="O220" s="700"/>
      <c r="P220" s="700"/>
      <c r="Q220" s="700"/>
      <c r="R220" s="700"/>
      <c r="S220" s="700"/>
      <c r="T220" s="700"/>
      <c r="U220" s="700"/>
      <c r="V220" s="1"/>
      <c r="W220" s="1"/>
      <c r="X220" s="1"/>
      <c r="Y220" s="1"/>
      <c r="Z220" s="1"/>
    </row>
    <row r="221" spans="1:26">
      <c r="A221" s="52"/>
      <c r="B221" s="52"/>
      <c r="C221" s="700"/>
      <c r="D221" s="700"/>
      <c r="E221" s="700"/>
      <c r="F221" s="700"/>
      <c r="G221" s="700"/>
      <c r="H221" s="700"/>
      <c r="I221" s="700"/>
      <c r="J221" s="702"/>
      <c r="K221" s="700"/>
      <c r="L221" s="701"/>
      <c r="M221" s="700"/>
      <c r="N221" s="700"/>
      <c r="O221" s="700"/>
      <c r="P221" s="700"/>
      <c r="Q221" s="700"/>
      <c r="R221" s="700"/>
      <c r="S221" s="700"/>
      <c r="T221" s="700"/>
      <c r="U221" s="700"/>
      <c r="V221" s="1"/>
      <c r="W221" s="1"/>
      <c r="X221" s="1"/>
      <c r="Y221" s="1"/>
      <c r="Z221" s="1"/>
    </row>
    <row r="222" spans="1:26">
      <c r="A222" s="52"/>
      <c r="B222" s="52"/>
      <c r="C222" s="700"/>
      <c r="D222" s="700"/>
      <c r="E222" s="700"/>
      <c r="F222" s="700"/>
      <c r="G222" s="700"/>
      <c r="H222" s="700"/>
      <c r="I222" s="700"/>
      <c r="J222" s="700"/>
      <c r="K222" s="700"/>
      <c r="L222" s="701"/>
      <c r="M222" s="700"/>
      <c r="N222" s="700"/>
      <c r="O222" s="700"/>
      <c r="P222" s="700"/>
      <c r="Q222" s="700"/>
      <c r="R222" s="700"/>
      <c r="S222" s="700"/>
      <c r="T222" s="700"/>
      <c r="U222" s="700"/>
      <c r="V222" s="1"/>
      <c r="W222" s="1"/>
      <c r="X222" s="1"/>
      <c r="Y222" s="1"/>
      <c r="Z222" s="1"/>
    </row>
    <row r="223" spans="1:26">
      <c r="A223" s="52"/>
      <c r="B223" s="52"/>
      <c r="C223" s="52"/>
      <c r="D223" s="701"/>
      <c r="E223" s="701"/>
      <c r="F223" s="701"/>
      <c r="G223" s="701"/>
      <c r="H223" s="701"/>
      <c r="I223" s="701"/>
      <c r="J223" s="701"/>
      <c r="K223" s="701"/>
      <c r="L223" s="701"/>
      <c r="M223" s="701"/>
      <c r="N223" s="701"/>
      <c r="O223" s="701"/>
      <c r="P223" s="701"/>
      <c r="Q223" s="701"/>
      <c r="R223" s="701"/>
      <c r="S223" s="701"/>
      <c r="T223" s="701"/>
      <c r="U223" s="701"/>
      <c r="V223" s="1"/>
      <c r="W223" s="1"/>
      <c r="X223" s="1"/>
      <c r="Y223" s="1"/>
      <c r="Z223" s="1"/>
    </row>
    <row r="224" spans="1:26">
      <c r="A224" s="694"/>
      <c r="B224" s="694"/>
      <c r="C224" s="52"/>
      <c r="D224" s="52"/>
      <c r="E224" s="52"/>
      <c r="F224" s="52"/>
      <c r="G224" s="52"/>
      <c r="H224" s="52"/>
      <c r="I224" s="52"/>
      <c r="J224" s="52"/>
      <c r="K224" s="52"/>
      <c r="L224" s="52"/>
      <c r="M224" s="52"/>
      <c r="N224" s="52"/>
      <c r="O224" s="52"/>
      <c r="P224" s="52"/>
      <c r="Q224" s="52"/>
      <c r="R224" s="52"/>
      <c r="S224" s="52"/>
      <c r="T224" s="52"/>
      <c r="U224" s="52"/>
      <c r="V224" s="1"/>
      <c r="W224" s="1"/>
      <c r="X224" s="1"/>
      <c r="Y224" s="1"/>
      <c r="Z224" s="1"/>
    </row>
    <row r="225" spans="1:32">
      <c r="A225" s="52"/>
      <c r="B225" s="52"/>
      <c r="C225" s="52"/>
      <c r="D225" s="52"/>
      <c r="E225" s="52"/>
      <c r="F225" s="52"/>
      <c r="G225" s="52"/>
      <c r="H225" s="52"/>
      <c r="I225" s="52"/>
      <c r="J225" s="52"/>
      <c r="K225" s="52"/>
      <c r="L225" s="52"/>
      <c r="M225" s="52"/>
      <c r="N225" s="52"/>
      <c r="O225" s="52"/>
      <c r="P225" s="52"/>
      <c r="Q225" s="52"/>
      <c r="R225" s="52"/>
      <c r="S225" s="52"/>
      <c r="T225" s="52"/>
      <c r="U225" s="52"/>
      <c r="V225" s="1"/>
      <c r="W225" s="1"/>
      <c r="X225" s="1"/>
      <c r="Y225" s="1"/>
      <c r="Z225" s="1"/>
    </row>
    <row r="226" spans="1:32">
      <c r="A226" s="52"/>
      <c r="B226" s="52"/>
      <c r="C226" s="52"/>
      <c r="D226" s="52"/>
      <c r="E226" s="52"/>
      <c r="F226" s="52"/>
      <c r="G226" s="52"/>
      <c r="H226" s="52"/>
      <c r="I226" s="52"/>
      <c r="J226" s="52"/>
      <c r="K226" s="52"/>
      <c r="L226" s="52"/>
      <c r="M226" s="52"/>
      <c r="N226" s="52"/>
      <c r="O226" s="52"/>
      <c r="P226" s="52"/>
      <c r="Q226" s="52"/>
      <c r="R226" s="52"/>
      <c r="S226" s="52"/>
      <c r="T226" s="52"/>
      <c r="U226" s="52"/>
      <c r="V226" s="1"/>
      <c r="W226" s="1"/>
      <c r="X226" s="1"/>
      <c r="Y226" s="1"/>
      <c r="Z226" s="1"/>
    </row>
    <row r="227" spans="1:32">
      <c r="A227" s="52"/>
      <c r="B227" s="52"/>
      <c r="C227" s="52"/>
      <c r="D227" s="52"/>
      <c r="E227" s="52"/>
      <c r="F227" s="52"/>
      <c r="G227" s="52"/>
      <c r="H227" s="52"/>
      <c r="I227" s="52"/>
      <c r="J227" s="52"/>
      <c r="K227" s="52"/>
      <c r="L227" s="52"/>
      <c r="M227" s="52"/>
      <c r="N227" s="52"/>
      <c r="O227" s="52"/>
      <c r="P227" s="52"/>
      <c r="Q227" s="52"/>
      <c r="R227" s="52"/>
      <c r="S227" s="52"/>
      <c r="T227" s="52"/>
      <c r="U227" s="52"/>
      <c r="V227" s="1"/>
      <c r="W227" s="1"/>
      <c r="X227" s="1"/>
      <c r="Y227" s="1"/>
      <c r="Z227" s="1"/>
    </row>
    <row r="228" spans="1:32">
      <c r="A228" s="52"/>
      <c r="B228" s="52"/>
      <c r="C228" s="52"/>
      <c r="D228" s="52"/>
      <c r="E228" s="52"/>
      <c r="F228" s="52"/>
      <c r="G228" s="52"/>
      <c r="H228" s="52"/>
      <c r="I228" s="52"/>
      <c r="J228" s="52"/>
      <c r="K228" s="52"/>
      <c r="L228" s="52"/>
      <c r="M228" s="52"/>
      <c r="N228" s="52"/>
      <c r="O228" s="52"/>
      <c r="P228" s="52"/>
      <c r="Q228" s="52"/>
      <c r="R228" s="52"/>
      <c r="S228" s="52"/>
      <c r="T228" s="52"/>
      <c r="U228" s="52"/>
      <c r="V228" s="1"/>
      <c r="W228" s="1"/>
      <c r="X228" s="1"/>
      <c r="Y228" s="1"/>
      <c r="Z228" s="1"/>
    </row>
    <row r="229" spans="1:32">
      <c r="A229" s="52"/>
      <c r="B229" s="52"/>
      <c r="C229" s="52"/>
      <c r="D229" s="52"/>
      <c r="E229" s="52"/>
      <c r="F229" s="52"/>
      <c r="G229" s="52"/>
      <c r="H229" s="52"/>
      <c r="I229" s="52"/>
      <c r="J229" s="52"/>
      <c r="K229" s="52"/>
      <c r="L229" s="52"/>
      <c r="M229" s="52"/>
      <c r="N229" s="52"/>
      <c r="O229" s="52"/>
      <c r="P229" s="52"/>
      <c r="Q229" s="52"/>
      <c r="R229" s="52"/>
      <c r="S229" s="52"/>
      <c r="T229" s="52"/>
      <c r="U229" s="52"/>
      <c r="V229" s="1"/>
      <c r="W229" s="1"/>
      <c r="X229" s="1"/>
      <c r="Y229" s="1"/>
      <c r="Z229" s="1"/>
    </row>
    <row r="230" spans="1:32">
      <c r="A230" s="52"/>
      <c r="B230" s="52"/>
      <c r="C230" s="52"/>
      <c r="D230" s="52"/>
      <c r="E230" s="52"/>
      <c r="F230" s="52"/>
      <c r="G230" s="52"/>
      <c r="H230" s="52"/>
      <c r="I230" s="52"/>
      <c r="J230" s="52"/>
      <c r="K230" s="52"/>
      <c r="L230" s="52"/>
      <c r="M230" s="52"/>
      <c r="N230" s="52"/>
      <c r="O230" s="52"/>
      <c r="P230" s="52"/>
      <c r="Q230" s="52"/>
      <c r="R230" s="52"/>
      <c r="S230" s="52"/>
      <c r="T230" s="52"/>
      <c r="U230" s="52"/>
      <c r="V230" s="1"/>
      <c r="W230" s="1"/>
      <c r="X230" s="1"/>
      <c r="Y230" s="1"/>
      <c r="Z230" s="1"/>
    </row>
    <row r="231" spans="1:32">
      <c r="A231" s="52"/>
      <c r="B231" s="52"/>
      <c r="C231" s="704"/>
      <c r="D231" s="704"/>
      <c r="E231" s="704"/>
      <c r="F231" s="704"/>
      <c r="G231" s="704"/>
      <c r="H231" s="704"/>
      <c r="I231" s="704"/>
      <c r="J231" s="704"/>
      <c r="K231" s="704"/>
      <c r="L231" s="52"/>
      <c r="M231" s="372"/>
      <c r="N231" s="372"/>
      <c r="O231" s="372"/>
      <c r="P231" s="372"/>
      <c r="Q231" s="372"/>
      <c r="R231" s="372"/>
      <c r="S231" s="372"/>
      <c r="T231" s="372"/>
      <c r="U231" s="372"/>
      <c r="V231" s="1"/>
      <c r="W231" s="1"/>
      <c r="X231" s="1"/>
      <c r="Y231" s="1"/>
      <c r="Z231" s="1"/>
    </row>
    <row r="232" spans="1:32">
      <c r="A232" s="52"/>
      <c r="B232" s="52"/>
      <c r="C232" s="704"/>
      <c r="D232" s="704"/>
      <c r="E232" s="704"/>
      <c r="F232" s="704"/>
      <c r="G232" s="704"/>
      <c r="H232" s="704"/>
      <c r="I232" s="704"/>
      <c r="J232" s="704"/>
      <c r="K232" s="704"/>
      <c r="L232" s="52"/>
      <c r="M232" s="372"/>
      <c r="N232" s="372"/>
      <c r="O232" s="372"/>
      <c r="P232" s="372"/>
      <c r="Q232" s="372"/>
      <c r="R232" s="372"/>
      <c r="S232" s="372"/>
      <c r="T232" s="372"/>
      <c r="U232" s="372"/>
      <c r="V232" s="1"/>
      <c r="W232" s="1"/>
      <c r="X232" s="1"/>
      <c r="Y232" s="1"/>
      <c r="Z232" s="1"/>
    </row>
    <row r="233" spans="1:32">
      <c r="A233" s="52"/>
      <c r="B233" s="52"/>
      <c r="C233" s="52"/>
      <c r="D233" s="52"/>
      <c r="E233" s="52"/>
      <c r="F233" s="52"/>
      <c r="G233" s="52"/>
      <c r="H233" s="52"/>
      <c r="I233" s="52"/>
      <c r="J233" s="52"/>
      <c r="K233" s="52"/>
      <c r="L233" s="701"/>
      <c r="M233" s="701"/>
      <c r="N233" s="701"/>
      <c r="O233" s="701"/>
      <c r="P233" s="701"/>
      <c r="Q233" s="701"/>
      <c r="R233" s="701"/>
      <c r="S233" s="701"/>
      <c r="T233" s="701"/>
      <c r="U233" s="701"/>
      <c r="V233" s="1"/>
      <c r="W233" s="1"/>
      <c r="X233" s="1"/>
      <c r="Y233" s="1"/>
      <c r="Z233" s="1"/>
    </row>
    <row r="234" spans="1:32">
      <c r="A234" s="52"/>
      <c r="B234" s="52"/>
      <c r="C234" s="52"/>
      <c r="D234" s="52"/>
      <c r="E234" s="52"/>
      <c r="F234" s="52"/>
      <c r="G234" s="52"/>
      <c r="H234" s="52"/>
      <c r="I234" s="52"/>
      <c r="J234" s="52"/>
      <c r="K234" s="52"/>
      <c r="L234" s="52"/>
      <c r="M234" s="701"/>
      <c r="N234" s="701"/>
      <c r="O234" s="701"/>
      <c r="P234" s="701"/>
      <c r="Q234" s="701"/>
      <c r="R234" s="701"/>
      <c r="S234" s="701"/>
      <c r="T234" s="701"/>
      <c r="U234" s="701"/>
      <c r="V234" s="1"/>
      <c r="W234" s="1"/>
      <c r="X234" s="1"/>
      <c r="Y234" s="1"/>
      <c r="Z234" s="1"/>
    </row>
    <row r="235" spans="1:32">
      <c r="A235" s="52"/>
      <c r="B235" s="52"/>
      <c r="C235" s="52"/>
      <c r="D235" s="52"/>
      <c r="E235" s="52"/>
      <c r="F235" s="52"/>
      <c r="G235" s="52"/>
      <c r="H235" s="52"/>
      <c r="I235" s="52"/>
      <c r="J235" s="52"/>
      <c r="K235" s="52"/>
      <c r="L235" s="52"/>
      <c r="M235" s="52"/>
      <c r="N235" s="52"/>
      <c r="O235" s="52"/>
      <c r="P235" s="52"/>
      <c r="Q235" s="52"/>
      <c r="R235" s="52"/>
      <c r="S235" s="52"/>
      <c r="T235" s="52"/>
      <c r="U235" s="52"/>
      <c r="V235" s="1"/>
      <c r="W235" s="1"/>
      <c r="X235" s="1"/>
      <c r="Y235" s="1"/>
      <c r="Z235" s="1"/>
    </row>
    <row r="236" spans="1:32">
      <c r="A236" s="52"/>
      <c r="B236" s="52"/>
      <c r="C236" s="52"/>
      <c r="D236" s="52"/>
      <c r="E236" s="52"/>
      <c r="F236" s="52"/>
      <c r="G236" s="52"/>
      <c r="H236" s="52"/>
      <c r="I236" s="52"/>
      <c r="J236" s="52"/>
      <c r="K236" s="52"/>
      <c r="L236" s="52"/>
      <c r="M236" s="52"/>
      <c r="N236" s="52"/>
      <c r="O236" s="52"/>
      <c r="P236" s="52"/>
      <c r="Q236" s="52"/>
      <c r="R236" s="52"/>
      <c r="S236" s="52"/>
      <c r="T236" s="52"/>
      <c r="U236" s="52"/>
      <c r="V236" s="1"/>
      <c r="W236" s="1"/>
      <c r="X236" s="1"/>
      <c r="Y236" s="1"/>
      <c r="Z236" s="1"/>
    </row>
    <row r="237" spans="1:32">
      <c r="A237" s="52"/>
      <c r="B237" s="52"/>
      <c r="C237" s="52"/>
      <c r="D237" s="52"/>
      <c r="E237" s="52"/>
      <c r="F237" s="52"/>
      <c r="G237" s="52"/>
      <c r="H237" s="52"/>
      <c r="I237" s="52"/>
      <c r="J237" s="52"/>
      <c r="K237" s="52"/>
      <c r="L237" s="52"/>
      <c r="M237" s="52"/>
      <c r="N237" s="52"/>
      <c r="O237" s="52"/>
      <c r="P237" s="52"/>
      <c r="Q237" s="52"/>
      <c r="R237" s="52"/>
      <c r="S237" s="52"/>
      <c r="T237" s="52"/>
      <c r="U237" s="52"/>
      <c r="V237" s="1"/>
      <c r="W237" s="1"/>
      <c r="X237" s="1"/>
      <c r="Y237" s="1"/>
      <c r="Z237" s="1"/>
    </row>
    <row r="238" spans="1:32">
      <c r="A238" s="52"/>
      <c r="B238" s="52"/>
      <c r="C238" s="52"/>
      <c r="D238" s="52"/>
      <c r="E238" s="52"/>
      <c r="F238" s="52"/>
      <c r="G238" s="52"/>
      <c r="H238" s="52"/>
      <c r="I238" s="52"/>
      <c r="J238" s="52"/>
      <c r="K238" s="52"/>
      <c r="L238" s="52"/>
      <c r="M238" s="52"/>
      <c r="N238" s="52"/>
      <c r="O238" s="52"/>
      <c r="P238" s="52"/>
      <c r="Q238" s="52"/>
      <c r="R238" s="52"/>
      <c r="S238" s="52"/>
      <c r="T238" s="52"/>
      <c r="U238" s="52"/>
      <c r="V238" s="1"/>
      <c r="W238" s="1"/>
      <c r="X238" s="1"/>
      <c r="Y238" s="1"/>
      <c r="Z238" s="1"/>
    </row>
    <row r="239" spans="1:32">
      <c r="A239" s="52"/>
      <c r="B239" s="52"/>
      <c r="C239" s="52"/>
      <c r="D239" s="52"/>
      <c r="E239" s="52"/>
      <c r="F239" s="52"/>
      <c r="G239" s="52"/>
      <c r="H239" s="52"/>
      <c r="I239" s="52"/>
      <c r="J239" s="52"/>
      <c r="K239" s="52"/>
      <c r="L239" s="52"/>
      <c r="M239" s="52"/>
      <c r="N239" s="52"/>
      <c r="O239" s="52"/>
      <c r="P239" s="52"/>
      <c r="Q239" s="52"/>
      <c r="R239" s="52"/>
      <c r="S239" s="52"/>
      <c r="T239" s="52"/>
      <c r="U239" s="52"/>
      <c r="V239" s="1"/>
      <c r="W239" s="1"/>
      <c r="X239" s="1"/>
      <c r="Y239" s="1"/>
      <c r="Z239" s="1"/>
      <c r="AC239" s="533"/>
      <c r="AD239" s="533"/>
      <c r="AE239" s="534"/>
      <c r="AF239" s="534"/>
    </row>
    <row r="240" spans="1:32">
      <c r="A240" s="52"/>
      <c r="B240" s="52"/>
      <c r="C240" s="700"/>
      <c r="D240" s="700"/>
      <c r="E240" s="700"/>
      <c r="F240" s="700"/>
      <c r="G240" s="700"/>
      <c r="H240" s="700"/>
      <c r="I240" s="700"/>
      <c r="J240" s="700"/>
      <c r="K240" s="700"/>
      <c r="L240" s="52"/>
      <c r="M240" s="52"/>
      <c r="N240" s="52"/>
      <c r="O240" s="52"/>
      <c r="P240" s="52"/>
      <c r="Q240" s="52"/>
      <c r="R240" s="52"/>
      <c r="S240" s="52"/>
      <c r="T240" s="52"/>
      <c r="U240" s="52"/>
      <c r="V240" s="1"/>
      <c r="W240" s="1"/>
      <c r="X240" s="1"/>
      <c r="Y240" s="1"/>
      <c r="Z240" s="1"/>
      <c r="AC240" s="535"/>
      <c r="AD240" s="535"/>
      <c r="AE240" s="536"/>
      <c r="AF240" s="536"/>
    </row>
    <row r="241" spans="1:34">
      <c r="A241" s="52"/>
      <c r="B241" s="52"/>
      <c r="C241" s="372"/>
      <c r="D241" s="372"/>
      <c r="E241" s="372"/>
      <c r="F241" s="372"/>
      <c r="G241" s="372"/>
      <c r="H241" s="372"/>
      <c r="I241" s="372"/>
      <c r="J241" s="372"/>
      <c r="K241" s="372"/>
      <c r="L241" s="52"/>
      <c r="M241" s="372"/>
      <c r="N241" s="372"/>
      <c r="O241" s="372"/>
      <c r="P241" s="372"/>
      <c r="Q241" s="372"/>
      <c r="R241" s="372"/>
      <c r="S241" s="372"/>
      <c r="T241" s="372"/>
      <c r="U241" s="372"/>
      <c r="V241" s="1"/>
      <c r="W241" s="1"/>
      <c r="X241" s="1"/>
      <c r="Y241" s="1"/>
      <c r="Z241" s="1"/>
    </row>
    <row r="242" spans="1:34">
      <c r="A242" s="52"/>
      <c r="B242" s="52"/>
      <c r="C242" s="701"/>
      <c r="D242" s="701"/>
      <c r="E242" s="701"/>
      <c r="F242" s="701"/>
      <c r="G242" s="701"/>
      <c r="H242" s="701"/>
      <c r="I242" s="701"/>
      <c r="J242" s="701"/>
      <c r="K242" s="701"/>
      <c r="L242" s="372"/>
      <c r="M242" s="52"/>
      <c r="N242" s="52"/>
      <c r="O242" s="52"/>
      <c r="P242" s="52"/>
      <c r="Q242" s="52"/>
      <c r="R242" s="52"/>
      <c r="S242" s="52"/>
      <c r="T242" s="52"/>
      <c r="U242" s="52"/>
      <c r="V242" s="1"/>
      <c r="W242" s="1"/>
      <c r="X242" s="1"/>
      <c r="Y242" s="1"/>
      <c r="Z242" s="1"/>
    </row>
    <row r="243" spans="1:34">
      <c r="A243" s="52"/>
      <c r="B243" s="52"/>
      <c r="C243" s="52"/>
      <c r="D243" s="52"/>
      <c r="E243" s="52"/>
      <c r="F243" s="52"/>
      <c r="G243" s="52"/>
      <c r="H243" s="52"/>
      <c r="I243" s="52"/>
      <c r="J243" s="52"/>
      <c r="K243" s="52"/>
      <c r="L243" s="52"/>
      <c r="M243" s="52"/>
      <c r="N243" s="52"/>
      <c r="O243" s="52"/>
      <c r="P243" s="52"/>
      <c r="Q243" s="52"/>
      <c r="R243" s="52"/>
      <c r="S243" s="52"/>
      <c r="T243" s="52"/>
      <c r="U243" s="52"/>
      <c r="V243" s="1"/>
      <c r="W243" s="1"/>
      <c r="X243" s="1"/>
      <c r="Y243" s="1"/>
      <c r="Z243" s="1"/>
    </row>
    <row r="244" spans="1:34" ht="15" thickBot="1">
      <c r="A244" s="52"/>
      <c r="B244" s="52"/>
      <c r="C244" s="52"/>
      <c r="D244" s="52"/>
      <c r="E244" s="52"/>
      <c r="F244" s="52"/>
      <c r="G244" s="52"/>
      <c r="H244" s="52"/>
      <c r="I244" s="52"/>
      <c r="J244" s="52"/>
      <c r="K244" s="52"/>
      <c r="L244" s="52"/>
      <c r="M244" s="52"/>
      <c r="N244" s="52"/>
      <c r="O244" s="52"/>
      <c r="P244" s="52"/>
      <c r="Q244" s="52"/>
      <c r="R244" s="52"/>
      <c r="S244" s="52"/>
      <c r="T244" s="52"/>
      <c r="U244" s="52"/>
      <c r="V244" s="1"/>
      <c r="W244" s="1"/>
      <c r="X244" s="1"/>
      <c r="Y244" s="1"/>
      <c r="Z244" s="1"/>
    </row>
    <row r="245" spans="1:34">
      <c r="A245" s="694"/>
      <c r="B245" s="52"/>
      <c r="C245" s="52"/>
      <c r="D245" s="52"/>
      <c r="E245" s="52"/>
      <c r="F245" s="52"/>
      <c r="G245" s="52"/>
      <c r="H245" s="52"/>
      <c r="I245" s="52"/>
      <c r="J245" s="52"/>
      <c r="K245" s="52"/>
      <c r="L245" s="52"/>
      <c r="M245" s="52"/>
      <c r="N245" s="52"/>
      <c r="O245" s="52"/>
      <c r="P245" s="52"/>
      <c r="Q245" s="52"/>
      <c r="R245" s="52"/>
      <c r="S245" s="52"/>
      <c r="T245" s="52"/>
      <c r="U245" s="52"/>
      <c r="V245" s="1"/>
      <c r="W245" s="1"/>
      <c r="X245" s="1"/>
      <c r="Y245" s="1"/>
      <c r="Z245" s="1"/>
      <c r="AA245" s="537" t="s">
        <v>639</v>
      </c>
      <c r="AB245" s="538" t="s">
        <v>640</v>
      </c>
      <c r="AC245" s="80">
        <v>2020</v>
      </c>
      <c r="AD245" s="80">
        <v>2021</v>
      </c>
      <c r="AE245" s="80">
        <v>2022</v>
      </c>
      <c r="AF245" s="80">
        <v>2023</v>
      </c>
      <c r="AG245" s="539">
        <v>2024</v>
      </c>
    </row>
    <row r="246" spans="1:34">
      <c r="A246" s="52"/>
      <c r="B246" s="52"/>
      <c r="C246" s="52"/>
      <c r="D246" s="52"/>
      <c r="E246" s="52"/>
      <c r="F246" s="52"/>
      <c r="G246" s="52"/>
      <c r="H246" s="52"/>
      <c r="I246" s="52"/>
      <c r="J246" s="52"/>
      <c r="K246" s="52"/>
      <c r="L246" s="52"/>
      <c r="M246" s="52"/>
      <c r="N246" s="52"/>
      <c r="O246" s="52"/>
      <c r="P246" s="52"/>
      <c r="Q246" s="52"/>
      <c r="R246" s="52"/>
      <c r="S246" s="52"/>
      <c r="T246" s="52"/>
      <c r="U246" s="52"/>
      <c r="V246" s="1"/>
      <c r="W246" s="1"/>
      <c r="X246" s="1"/>
      <c r="Y246" s="1"/>
      <c r="Z246" s="1"/>
      <c r="AA246" s="97">
        <v>351.5</v>
      </c>
      <c r="AB246" s="540">
        <v>2021</v>
      </c>
      <c r="AC246">
        <v>4.3749999999999997E-2</v>
      </c>
      <c r="AD246">
        <v>4.3749999999999997E-2</v>
      </c>
      <c r="AE246">
        <v>0</v>
      </c>
      <c r="AF246">
        <v>0</v>
      </c>
      <c r="AG246" s="541">
        <v>0</v>
      </c>
    </row>
    <row r="247" spans="1:34">
      <c r="A247" s="705"/>
      <c r="B247" s="52"/>
      <c r="C247" s="52"/>
      <c r="D247" s="52"/>
      <c r="E247" s="52"/>
      <c r="F247" s="52"/>
      <c r="G247" s="52"/>
      <c r="H247" s="52"/>
      <c r="I247" s="52"/>
      <c r="J247" s="52"/>
      <c r="K247" s="52"/>
      <c r="L247" s="52"/>
      <c r="M247" s="52"/>
      <c r="N247" s="52"/>
      <c r="O247" s="52"/>
      <c r="P247" s="52"/>
      <c r="Q247" s="52"/>
      <c r="R247" s="52"/>
      <c r="S247" s="52"/>
      <c r="T247" s="52"/>
      <c r="U247" s="52"/>
      <c r="V247" s="1"/>
      <c r="W247" s="1"/>
      <c r="X247" s="1"/>
      <c r="Y247" s="1"/>
      <c r="Z247" s="1"/>
      <c r="AA247" s="97">
        <v>500</v>
      </c>
      <c r="AB247" s="540">
        <v>2022</v>
      </c>
      <c r="AC247">
        <v>3.6880000000000003E-2</v>
      </c>
      <c r="AD247">
        <v>3.6880000000000003E-2</v>
      </c>
      <c r="AE247">
        <v>3.6880000000000003E-2</v>
      </c>
      <c r="AF247">
        <v>0</v>
      </c>
      <c r="AG247" s="541">
        <v>0</v>
      </c>
    </row>
    <row r="248" spans="1:34">
      <c r="A248" s="705"/>
      <c r="B248" s="52"/>
      <c r="C248" s="52"/>
      <c r="D248" s="52"/>
      <c r="E248" s="52"/>
      <c r="F248" s="52"/>
      <c r="G248" s="52"/>
      <c r="H248" s="52"/>
      <c r="I248" s="52"/>
      <c r="J248" s="52"/>
      <c r="K248" s="52"/>
      <c r="L248" s="52"/>
      <c r="M248" s="701"/>
      <c r="N248" s="701"/>
      <c r="O248" s="701"/>
      <c r="P248" s="701"/>
      <c r="Q248" s="701"/>
      <c r="R248" s="701"/>
      <c r="S248" s="701"/>
      <c r="T248" s="701"/>
      <c r="U248" s="701"/>
      <c r="V248" s="1"/>
      <c r="W248" s="1"/>
      <c r="X248" s="1"/>
      <c r="Y248" s="1"/>
      <c r="Z248" s="1"/>
      <c r="AA248" s="97">
        <v>300</v>
      </c>
      <c r="AB248" s="540">
        <v>2023</v>
      </c>
      <c r="AC248">
        <v>4.0570000000000002E-2</v>
      </c>
      <c r="AD248">
        <v>4.0570000000000002E-2</v>
      </c>
      <c r="AE248">
        <v>4.0570000000000002E-2</v>
      </c>
      <c r="AF248">
        <v>4.0570000000000002E-2</v>
      </c>
      <c r="AG248" s="541">
        <v>0</v>
      </c>
    </row>
    <row r="249" spans="1:34">
      <c r="A249" s="52"/>
      <c r="B249" s="52"/>
      <c r="C249" s="52"/>
      <c r="D249" s="52"/>
      <c r="E249" s="52"/>
      <c r="F249" s="52"/>
      <c r="G249" s="52"/>
      <c r="H249" s="52"/>
      <c r="I249" s="52"/>
      <c r="J249" s="52"/>
      <c r="K249" s="52"/>
      <c r="L249" s="52"/>
      <c r="M249" s="701"/>
      <c r="N249" s="52"/>
      <c r="O249" s="701"/>
      <c r="P249" s="52"/>
      <c r="Q249" s="701"/>
      <c r="R249" s="52"/>
      <c r="S249" s="701"/>
      <c r="T249" s="52"/>
      <c r="U249" s="701"/>
      <c r="V249" s="1"/>
      <c r="W249" s="1"/>
      <c r="X249" s="1"/>
      <c r="Y249" s="1"/>
      <c r="Z249" s="1"/>
      <c r="AA249" s="97">
        <v>300</v>
      </c>
      <c r="AB249" s="540">
        <v>2024</v>
      </c>
      <c r="AC249">
        <v>1.2840000000000001E-2</v>
      </c>
      <c r="AD249">
        <v>1.2840000000000001E-2</v>
      </c>
      <c r="AE249">
        <v>1.2840000000000001E-2</v>
      </c>
      <c r="AF249">
        <v>1.2840000000000001E-2</v>
      </c>
      <c r="AG249" s="541">
        <v>1.2840000000000001E-2</v>
      </c>
    </row>
    <row r="250" spans="1:34">
      <c r="A250" s="52"/>
      <c r="B250" s="52"/>
      <c r="C250" s="52"/>
      <c r="D250" s="52"/>
      <c r="E250" s="52"/>
      <c r="F250" s="52"/>
      <c r="G250" s="52"/>
      <c r="H250" s="52"/>
      <c r="I250" s="52"/>
      <c r="J250" s="52"/>
      <c r="K250" s="52"/>
      <c r="L250" s="52"/>
      <c r="M250" s="52"/>
      <c r="N250" s="52"/>
      <c r="O250" s="52"/>
      <c r="P250" s="52"/>
      <c r="Q250" s="52"/>
      <c r="R250" s="52"/>
      <c r="S250" s="52"/>
      <c r="T250" s="52"/>
      <c r="U250" s="52"/>
      <c r="V250" s="1"/>
      <c r="W250" s="1"/>
      <c r="X250" s="1"/>
      <c r="Y250" s="1"/>
      <c r="Z250" s="1"/>
      <c r="AA250" s="97">
        <v>300</v>
      </c>
      <c r="AB250" s="540">
        <v>2025</v>
      </c>
      <c r="AC250">
        <v>1.8360000000000001E-2</v>
      </c>
      <c r="AD250">
        <v>1.8360000000000001E-2</v>
      </c>
      <c r="AE250">
        <v>1.8360000000000001E-2</v>
      </c>
      <c r="AF250">
        <v>1.8360000000000001E-2</v>
      </c>
      <c r="AG250" s="541">
        <v>1.8360000000000001E-2</v>
      </c>
    </row>
    <row r="251" spans="1:34">
      <c r="A251" s="52"/>
      <c r="B251" s="52"/>
      <c r="C251" s="52"/>
      <c r="D251" s="52"/>
      <c r="E251" s="52"/>
      <c r="F251" s="52"/>
      <c r="G251" s="52"/>
      <c r="H251" s="52"/>
      <c r="I251" s="52"/>
      <c r="J251" s="52"/>
      <c r="K251" s="52"/>
      <c r="L251" s="52"/>
      <c r="M251" s="701"/>
      <c r="N251" s="52"/>
      <c r="O251" s="701"/>
      <c r="P251" s="52"/>
      <c r="Q251" s="701"/>
      <c r="R251" s="52"/>
      <c r="S251" s="701"/>
      <c r="T251" s="52"/>
      <c r="U251" s="701"/>
      <c r="V251" s="1"/>
      <c r="W251" s="1"/>
      <c r="X251" s="1"/>
      <c r="Y251" s="1"/>
      <c r="Z251" s="1"/>
      <c r="AA251" s="97">
        <v>300</v>
      </c>
      <c r="AB251" s="540">
        <v>2027</v>
      </c>
      <c r="AC251">
        <v>1.7680000000000001E-2</v>
      </c>
      <c r="AD251">
        <v>1.7680000000000001E-2</v>
      </c>
      <c r="AE251">
        <v>1.7680000000000001E-2</v>
      </c>
      <c r="AF251">
        <v>1.7680000000000001E-2</v>
      </c>
      <c r="AG251" s="541">
        <v>1.7680000000000001E-2</v>
      </c>
    </row>
    <row r="252" spans="1:34">
      <c r="A252" s="52"/>
      <c r="B252" s="52"/>
      <c r="C252" s="52"/>
      <c r="D252" s="52"/>
      <c r="E252" s="52"/>
      <c r="F252" s="52"/>
      <c r="G252" s="52"/>
      <c r="H252" s="52"/>
      <c r="I252" s="52"/>
      <c r="J252" s="52"/>
      <c r="K252" s="52"/>
      <c r="L252" s="52"/>
      <c r="M252" s="52"/>
      <c r="N252" s="52"/>
      <c r="O252" s="52"/>
      <c r="P252" s="52"/>
      <c r="Q252" s="52"/>
      <c r="R252" s="52"/>
      <c r="S252" s="52"/>
      <c r="T252" s="52"/>
      <c r="U252" s="52"/>
      <c r="V252" s="1"/>
      <c r="W252" s="1"/>
      <c r="X252" s="1"/>
      <c r="Y252" s="1"/>
      <c r="Z252" s="1"/>
      <c r="AA252" s="97">
        <v>400</v>
      </c>
      <c r="AB252" s="540">
        <v>2029</v>
      </c>
      <c r="AC252">
        <v>1.3899999999999999E-2</v>
      </c>
      <c r="AD252">
        <v>1.3899999999999999E-2</v>
      </c>
      <c r="AE252">
        <v>1.3899999999999999E-2</v>
      </c>
      <c r="AF252">
        <v>1.3899999999999999E-2</v>
      </c>
      <c r="AG252" s="541">
        <v>1.3899999999999999E-2</v>
      </c>
    </row>
    <row r="253" spans="1:34">
      <c r="A253" s="52"/>
      <c r="B253" s="52"/>
      <c r="C253" s="52"/>
      <c r="D253" s="52"/>
      <c r="E253" s="52"/>
      <c r="F253" s="52"/>
      <c r="G253" s="52"/>
      <c r="H253" s="52"/>
      <c r="I253" s="52"/>
      <c r="J253" s="52"/>
      <c r="K253" s="52"/>
      <c r="L253" s="52"/>
      <c r="M253" s="52"/>
      <c r="N253" s="52"/>
      <c r="O253" s="52"/>
      <c r="P253" s="52"/>
      <c r="Q253" s="52"/>
      <c r="R253" s="52"/>
      <c r="S253" s="52"/>
      <c r="T253" s="52"/>
      <c r="U253" s="52"/>
      <c r="V253" s="1"/>
      <c r="W253" s="1"/>
      <c r="X253" s="1"/>
      <c r="Y253" s="1"/>
      <c r="Z253" s="1"/>
      <c r="AA253" s="542"/>
      <c r="AB253" s="543" t="s">
        <v>645</v>
      </c>
      <c r="AC253" s="544">
        <f>'[2]WACC '!C22</f>
        <v>2.1758250683779193E-2</v>
      </c>
      <c r="AD253" s="544">
        <f>AC253</f>
        <v>2.1758250683779193E-2</v>
      </c>
      <c r="AE253" s="544">
        <f>AD253</f>
        <v>2.1758250683779193E-2</v>
      </c>
      <c r="AF253" s="544">
        <f>AE253</f>
        <v>2.1758250683779193E-2</v>
      </c>
      <c r="AG253" s="545">
        <f>AE253</f>
        <v>2.1758250683779193E-2</v>
      </c>
      <c r="AH253" t="s">
        <v>418</v>
      </c>
    </row>
    <row r="254" spans="1:34">
      <c r="A254" s="437"/>
      <c r="B254" s="437"/>
      <c r="C254" s="1"/>
      <c r="D254" s="1"/>
      <c r="E254" s="1"/>
      <c r="F254" s="1"/>
      <c r="G254" s="1"/>
      <c r="H254" s="1"/>
      <c r="I254" s="1"/>
      <c r="J254" s="1"/>
      <c r="K254" s="1"/>
      <c r="L254" s="1"/>
      <c r="M254" s="1"/>
      <c r="N254" s="1"/>
      <c r="O254" s="1"/>
      <c r="P254" s="1"/>
      <c r="Q254" s="1"/>
      <c r="R254" s="1"/>
      <c r="S254" s="1"/>
      <c r="T254" s="1"/>
      <c r="U254" s="1"/>
      <c r="V254" s="1"/>
      <c r="W254" s="1"/>
      <c r="X254" s="1"/>
      <c r="Y254" s="1"/>
      <c r="Z254" s="1"/>
      <c r="AA254" s="517" t="s">
        <v>646</v>
      </c>
      <c r="AB254" s="518"/>
      <c r="AC254" s="532">
        <f>(SUM((AC246*AA246),(AC247*AA247),(AC248*AA248),(AC249*AA249),(AC250*AA250),(AC251*AA251),(AC252*AA252),AC253*AC257))/(SUM(AA246:AA252) +AC257)</f>
        <v>2.7009229043442794E-2</v>
      </c>
      <c r="AD254" s="532">
        <f>(SUM((AC246*AA246),(AC247*AA247),(AC248*AA248),(AC249*AA249),(AC250*AA250),(AC251*AA251),(AC252*AA252),AC253*AD257))/(SUM(AA246:AA252) +AD257)</f>
        <v>2.6351568595898843E-2</v>
      </c>
      <c r="AE254" s="532">
        <f>(SUM((AC247*AA247),(AC248*AA248),(AC249*AA249),(AC250*AA250),(AC251*AA251),(AC252*AA252),(AC253*AE257))/(SUM(AA247:AA252)+AE257))</f>
        <v>2.3736202054572927E-2</v>
      </c>
      <c r="AF254" s="532">
        <f>(SUM((AC248*AA248),(AC249*AA249),(AC250*AA250),(AC251*AA251),(AC252*AA252),(AC253*AF257))/(SUM(AA248:AA252)+AF257))</f>
        <v>2.0485513265859876E-2</v>
      </c>
      <c r="AG254" s="546">
        <f>SUM((AA249*AC249),(AA250*AC250),(AA251*AC251),(AA252*AC252),(AG253*AG257))/(AA249+AA250+AA251+AA252+AG257)</f>
        <v>1.6719672003208598E-2</v>
      </c>
    </row>
    <row r="255" spans="1:34">
      <c r="A255" s="1"/>
      <c r="B255" s="1"/>
      <c r="C255" s="1"/>
      <c r="D255" s="1"/>
      <c r="E255" s="1"/>
      <c r="F255" s="1"/>
      <c r="G255" s="1"/>
      <c r="H255" s="1"/>
      <c r="I255" s="1"/>
      <c r="J255" s="1"/>
      <c r="K255" s="1"/>
      <c r="L255" s="1"/>
      <c r="M255" s="507"/>
      <c r="N255" s="1"/>
      <c r="O255" s="507"/>
      <c r="P255" s="1"/>
      <c r="Q255" s="507"/>
      <c r="R255" s="1"/>
      <c r="S255" s="507"/>
      <c r="T255" s="1"/>
      <c r="U255" s="507"/>
      <c r="V255" s="1"/>
      <c r="W255" s="1"/>
      <c r="X255" s="1"/>
      <c r="Y255" s="1"/>
      <c r="Z255" s="1"/>
      <c r="AA255" s="97"/>
      <c r="AB255" s="540"/>
      <c r="AG255" s="541"/>
    </row>
    <row r="256" spans="1:34">
      <c r="A256" s="1"/>
      <c r="B256" s="1"/>
      <c r="C256" s="1"/>
      <c r="D256" s="1"/>
      <c r="E256" s="1"/>
      <c r="F256" s="1"/>
      <c r="G256" s="1"/>
      <c r="H256" s="1"/>
      <c r="I256" s="1"/>
      <c r="J256" s="1"/>
      <c r="K256" s="1"/>
      <c r="L256" s="1"/>
      <c r="M256" s="494"/>
      <c r="N256" s="1"/>
      <c r="O256" s="494"/>
      <c r="P256" s="1"/>
      <c r="Q256" s="494"/>
      <c r="R256" s="1"/>
      <c r="S256" s="494"/>
      <c r="T256" s="1"/>
      <c r="U256" s="494"/>
      <c r="V256" s="1"/>
      <c r="W256" s="1"/>
      <c r="X256" s="1"/>
      <c r="Y256" s="1"/>
      <c r="Z256" s="1"/>
      <c r="AA256" s="97"/>
      <c r="AB256" s="540"/>
      <c r="AC256" s="547">
        <v>2020</v>
      </c>
      <c r="AD256" s="544">
        <v>2021</v>
      </c>
      <c r="AE256" s="544">
        <v>2022</v>
      </c>
      <c r="AF256" s="544">
        <v>2023</v>
      </c>
      <c r="AG256" s="545">
        <v>2024</v>
      </c>
    </row>
    <row r="257" spans="1:33" ht="1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548" t="s">
        <v>670</v>
      </c>
      <c r="AB257" s="549"/>
      <c r="AC257" s="550"/>
      <c r="AD257" s="550">
        <f>351 + (O233-M233)</f>
        <v>351</v>
      </c>
      <c r="AE257" s="550">
        <f>500 + (Q233-O233)</f>
        <v>500</v>
      </c>
      <c r="AF257" s="550">
        <f>300+(S233-Q233)</f>
        <v>300</v>
      </c>
      <c r="AG257" s="551">
        <f>300 + (U233-S233)</f>
        <v>300</v>
      </c>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33">
      <c r="A259" s="1"/>
      <c r="B259" s="1"/>
      <c r="C259" s="1"/>
      <c r="D259" s="1"/>
      <c r="E259" s="1"/>
      <c r="F259" s="1"/>
      <c r="G259" s="1"/>
      <c r="H259" s="1"/>
      <c r="I259" s="1"/>
      <c r="J259" s="1"/>
      <c r="K259" s="1"/>
      <c r="L259" s="1"/>
      <c r="M259" s="507"/>
      <c r="N259" s="1"/>
      <c r="O259" s="507"/>
      <c r="P259" s="1"/>
      <c r="Q259" s="507"/>
      <c r="R259" s="1"/>
      <c r="S259" s="507"/>
      <c r="T259" s="1"/>
      <c r="U259" s="507"/>
      <c r="V259" s="1"/>
      <c r="W259" s="1"/>
      <c r="X259" s="1"/>
      <c r="Y259" s="1"/>
      <c r="Z259" s="1"/>
    </row>
    <row r="260" spans="1:33">
      <c r="A260" s="1"/>
      <c r="B260" s="1"/>
      <c r="C260" s="1"/>
      <c r="D260" s="1"/>
      <c r="E260" s="1"/>
      <c r="F260" s="1"/>
      <c r="G260" s="1"/>
      <c r="H260" s="1"/>
      <c r="I260" s="1"/>
      <c r="J260" s="1"/>
      <c r="K260" s="1"/>
      <c r="L260" s="1"/>
      <c r="M260" s="421"/>
      <c r="N260" s="1"/>
      <c r="O260" s="421"/>
      <c r="P260" s="1"/>
      <c r="Q260" s="421"/>
      <c r="R260" s="1"/>
      <c r="S260" s="421"/>
      <c r="T260" s="1"/>
      <c r="U260" s="421"/>
      <c r="V260" s="1"/>
      <c r="W260" s="1"/>
      <c r="X260" s="1"/>
      <c r="Y260" s="1"/>
      <c r="Z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33">
      <c r="A263" s="1"/>
      <c r="B263" s="1"/>
      <c r="C263" s="1"/>
      <c r="D263" s="1"/>
      <c r="E263" s="1"/>
      <c r="F263" s="1"/>
      <c r="G263" s="1"/>
      <c r="H263" s="1"/>
      <c r="I263" s="1"/>
      <c r="J263" s="1"/>
      <c r="K263" s="1"/>
      <c r="L263" s="1"/>
      <c r="M263" s="466"/>
      <c r="N263" s="466"/>
      <c r="O263" s="466"/>
      <c r="P263" s="466"/>
      <c r="Q263" s="466"/>
      <c r="R263" s="466"/>
      <c r="S263" s="466"/>
      <c r="T263" s="466"/>
      <c r="U263" s="466"/>
      <c r="V263" s="1"/>
      <c r="W263" s="1"/>
      <c r="X263" s="1"/>
      <c r="Y263" s="1"/>
      <c r="Z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33">
      <c r="A265" s="1"/>
      <c r="B265" s="1"/>
      <c r="C265" s="1"/>
      <c r="D265" s="1"/>
      <c r="E265" s="1"/>
      <c r="F265" s="1"/>
      <c r="G265" s="1"/>
      <c r="H265" s="1"/>
      <c r="I265" s="1"/>
      <c r="J265" s="1"/>
      <c r="K265" s="1"/>
      <c r="L265" s="1"/>
      <c r="M265" s="507"/>
      <c r="N265" s="1"/>
      <c r="O265" s="507"/>
      <c r="P265" s="1"/>
      <c r="Q265" s="507"/>
      <c r="R265" s="1"/>
      <c r="S265" s="507"/>
      <c r="T265" s="1"/>
      <c r="U265" s="507"/>
      <c r="V265" s="1"/>
      <c r="W265" s="1"/>
      <c r="X265" s="1"/>
      <c r="Y265" s="1"/>
      <c r="Z265" s="1"/>
    </row>
    <row r="266" spans="1:33">
      <c r="A266" s="1"/>
      <c r="B266" s="1"/>
      <c r="C266" s="1"/>
      <c r="D266" s="1"/>
      <c r="E266" s="1"/>
      <c r="F266" s="1"/>
      <c r="G266" s="1"/>
      <c r="H266" s="1"/>
      <c r="I266" s="1"/>
      <c r="J266" s="1"/>
      <c r="K266" s="1"/>
      <c r="L266" s="1"/>
      <c r="M266" s="373"/>
      <c r="N266" s="373"/>
      <c r="O266" s="373"/>
      <c r="P266" s="373"/>
      <c r="Q266" s="373"/>
      <c r="R266" s="373"/>
      <c r="S266" s="373"/>
      <c r="T266" s="373"/>
      <c r="U266" s="373"/>
      <c r="V266" s="1"/>
      <c r="W266" s="1"/>
      <c r="X266" s="1"/>
      <c r="Y266" s="1"/>
      <c r="Z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37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37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37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37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37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37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37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37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37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37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37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37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37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37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37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37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37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37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37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37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37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37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37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37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37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37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37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37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37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37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37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37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37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37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37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37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37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37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37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37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37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37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37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37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37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37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37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37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37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37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37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37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37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37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37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37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37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37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37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37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37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37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37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37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37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37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37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37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37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V404" s="1"/>
      <c r="W404" s="1"/>
      <c r="X404" s="1"/>
      <c r="Y404" s="1"/>
      <c r="Z404"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A63B-DE2B-4355-B25C-CFE89AE26AA4}">
  <dimension ref="A1:P139"/>
  <sheetViews>
    <sheetView workbookViewId="0">
      <selection activeCell="N45" sqref="N45"/>
    </sheetView>
  </sheetViews>
  <sheetFormatPr defaultRowHeight="14.4"/>
  <cols>
    <col min="1" max="1" width="21.88671875" customWidth="1"/>
    <col min="2" max="5" width="10.109375" bestFit="1" customWidth="1"/>
    <col min="6" max="11" width="11.109375" bestFit="1" customWidth="1"/>
    <col min="12" max="12" width="11.21875" customWidth="1"/>
  </cols>
  <sheetData>
    <row r="1" spans="1:16">
      <c r="A1" s="763" t="s">
        <v>757</v>
      </c>
      <c r="B1" s="757"/>
      <c r="C1" s="757"/>
      <c r="D1" s="757"/>
      <c r="E1" s="757"/>
      <c r="F1" s="758"/>
      <c r="G1" s="757" t="s">
        <v>758</v>
      </c>
      <c r="H1" s="757"/>
      <c r="I1" s="757"/>
      <c r="J1" s="757"/>
      <c r="K1" s="758"/>
      <c r="L1" s="759" t="s">
        <v>574</v>
      </c>
      <c r="M1" s="1"/>
      <c r="N1" s="1"/>
      <c r="O1" s="1"/>
      <c r="P1" s="1"/>
    </row>
    <row r="2" spans="1:16" ht="15" thickBot="1">
      <c r="A2" s="764"/>
      <c r="B2" s="760">
        <v>2015</v>
      </c>
      <c r="C2" s="760">
        <v>2016</v>
      </c>
      <c r="D2" s="760">
        <v>2017</v>
      </c>
      <c r="E2" s="760">
        <v>2018</v>
      </c>
      <c r="F2" s="762">
        <v>2019</v>
      </c>
      <c r="G2" s="760">
        <v>2020</v>
      </c>
      <c r="H2" s="760">
        <v>2021</v>
      </c>
      <c r="I2" s="760">
        <v>2022</v>
      </c>
      <c r="J2" s="760">
        <v>2023</v>
      </c>
      <c r="K2" s="762">
        <v>2024</v>
      </c>
      <c r="L2" s="761"/>
      <c r="M2" s="1"/>
      <c r="N2" s="1"/>
      <c r="O2" s="1"/>
      <c r="P2" s="1"/>
    </row>
    <row r="3" spans="1:16">
      <c r="A3" s="490"/>
      <c r="B3" s="52"/>
      <c r="C3" s="52"/>
      <c r="D3" s="52"/>
      <c r="E3" s="52"/>
      <c r="F3" s="371"/>
      <c r="G3" s="52"/>
      <c r="H3" s="52"/>
      <c r="I3" s="52"/>
      <c r="J3" s="52"/>
      <c r="K3" s="371"/>
      <c r="L3" s="278"/>
      <c r="M3" s="1"/>
      <c r="N3" s="1"/>
      <c r="O3" s="1"/>
      <c r="P3" s="1"/>
    </row>
    <row r="4" spans="1:16">
      <c r="A4" s="749" t="s">
        <v>671</v>
      </c>
      <c r="B4" s="750">
        <f>'Forecasts Simone'!B37</f>
        <v>4732</v>
      </c>
      <c r="C4" s="750">
        <f>'Forecasts Simone'!C37</f>
        <v>4581</v>
      </c>
      <c r="D4" s="750">
        <f>'Forecasts Simone'!D37</f>
        <v>5590</v>
      </c>
      <c r="E4" s="750">
        <f>'Forecasts Simone'!E37</f>
        <v>6271</v>
      </c>
      <c r="F4" s="503">
        <f>'Forecasts Simone'!F37</f>
        <v>7122</v>
      </c>
      <c r="G4" s="750">
        <f>'Forecasts Simone'!G37</f>
        <v>7229.9878811512444</v>
      </c>
      <c r="H4" s="750">
        <f>'Forecasts Simone'!H37</f>
        <v>7339.613136983131</v>
      </c>
      <c r="I4" s="750">
        <f>'Forecasts Simone'!I37</f>
        <v>7450.9005943171169</v>
      </c>
      <c r="J4" s="750">
        <f>'Forecasts Simone'!J37</f>
        <v>7563.8754564132787</v>
      </c>
      <c r="K4" s="503">
        <f>'Forecasts Simone'!K37</f>
        <v>7675.7218275645055</v>
      </c>
      <c r="L4" s="278"/>
      <c r="M4" s="1"/>
      <c r="N4" s="1"/>
      <c r="O4" s="1"/>
      <c r="P4" s="1"/>
    </row>
    <row r="5" spans="1:16">
      <c r="A5" s="490" t="s">
        <v>672</v>
      </c>
      <c r="B5" s="751">
        <f>'Forecasts Simone'!B38</f>
        <v>189</v>
      </c>
      <c r="C5" s="751">
        <f>'Forecasts Simone'!C38</f>
        <v>279</v>
      </c>
      <c r="D5" s="751">
        <f>'Forecasts Simone'!D38</f>
        <v>206</v>
      </c>
      <c r="E5" s="751">
        <f>'Forecasts Simone'!E38</f>
        <v>223</v>
      </c>
      <c r="F5" s="508">
        <f>'Forecasts Simone'!F38</f>
        <v>202</v>
      </c>
      <c r="G5" s="751">
        <f>'Forecasts Simone'!G38</f>
        <v>231.0824726511394</v>
      </c>
      <c r="H5" s="751">
        <f>'Forecasts Simone'!H38</f>
        <v>234.58627868775648</v>
      </c>
      <c r="I5" s="751">
        <f>'Forecasts Simone'!I38</f>
        <v>238.14321145701319</v>
      </c>
      <c r="J5" s="751">
        <f>'Forecasts Simone'!J38</f>
        <v>241.7540764971418</v>
      </c>
      <c r="K5" s="508">
        <f>'Forecasts Simone'!K38</f>
        <v>245.32887308429278</v>
      </c>
      <c r="L5" s="278"/>
      <c r="M5" s="1"/>
      <c r="N5" s="1"/>
      <c r="O5" s="1"/>
      <c r="P5" s="1"/>
    </row>
    <row r="6" spans="1:16">
      <c r="A6" s="752" t="s">
        <v>457</v>
      </c>
      <c r="B6" s="552">
        <f>SUM(B4:B5)</f>
        <v>4921</v>
      </c>
      <c r="C6" s="552">
        <f t="shared" ref="C6:K6" si="0">SUM(C4:C5)</f>
        <v>4860</v>
      </c>
      <c r="D6" s="552">
        <f t="shared" si="0"/>
        <v>5796</v>
      </c>
      <c r="E6" s="552">
        <f t="shared" si="0"/>
        <v>6494</v>
      </c>
      <c r="F6" s="553">
        <f t="shared" si="0"/>
        <v>7324</v>
      </c>
      <c r="G6" s="552">
        <f t="shared" si="0"/>
        <v>7461.0703538023836</v>
      </c>
      <c r="H6" s="552">
        <f t="shared" si="0"/>
        <v>7574.1994156708879</v>
      </c>
      <c r="I6" s="552">
        <f t="shared" si="0"/>
        <v>7689.0438057741303</v>
      </c>
      <c r="J6" s="552">
        <f t="shared" si="0"/>
        <v>7805.6295329104205</v>
      </c>
      <c r="K6" s="553">
        <f t="shared" si="0"/>
        <v>7921.0507006487978</v>
      </c>
      <c r="L6" s="279"/>
      <c r="M6" s="1"/>
      <c r="N6" s="1"/>
      <c r="O6" s="1"/>
      <c r="P6" s="1"/>
    </row>
    <row r="7" spans="1:16">
      <c r="A7" s="490"/>
      <c r="B7" s="751"/>
      <c r="C7" s="751"/>
      <c r="D7" s="751"/>
      <c r="E7" s="751"/>
      <c r="F7" s="508"/>
      <c r="G7" s="751"/>
      <c r="H7" s="751"/>
      <c r="I7" s="751"/>
      <c r="J7" s="751"/>
      <c r="K7" s="508"/>
      <c r="L7" s="278"/>
      <c r="M7" s="1"/>
      <c r="N7" s="1"/>
      <c r="O7" s="1"/>
      <c r="P7" s="1"/>
    </row>
    <row r="8" spans="1:16">
      <c r="A8" s="490" t="s">
        <v>41</v>
      </c>
      <c r="B8" s="751">
        <f>'Forecasts Simone'!B42</f>
        <v>-2286</v>
      </c>
      <c r="C8" s="751">
        <f>'Forecasts Simone'!C42</f>
        <v>-2101</v>
      </c>
      <c r="D8" s="751">
        <f>'Forecasts Simone'!D42</f>
        <v>-2831</v>
      </c>
      <c r="E8" s="751">
        <f>'Forecasts Simone'!E42</f>
        <v>-3346</v>
      </c>
      <c r="F8" s="508">
        <f>'Forecasts Simone'!F42</f>
        <v>-4004</v>
      </c>
      <c r="G8" s="751">
        <f>'Forecasts Simone'!G42</f>
        <v>-3861.3170115701314</v>
      </c>
      <c r="H8" s="751">
        <f>'Forecasts Simone'!H42</f>
        <v>-3919.8645322851989</v>
      </c>
      <c r="I8" s="751">
        <f>'Forecasts Simone'!I42</f>
        <v>-3979.2997843550379</v>
      </c>
      <c r="J8" s="751">
        <f>'Forecasts Simone'!J42</f>
        <v>-4039.6362280756375</v>
      </c>
      <c r="K8" s="508">
        <f>'Forecasts Simone'!K42</f>
        <v>-4099.3699790456121</v>
      </c>
      <c r="L8" s="278"/>
      <c r="M8" s="1"/>
      <c r="N8" s="1"/>
      <c r="O8" s="1"/>
      <c r="P8" s="1"/>
    </row>
    <row r="9" spans="1:16">
      <c r="A9" s="490" t="s">
        <v>673</v>
      </c>
      <c r="B9" s="751">
        <f>'Forecasts Simone'!B43</f>
        <v>-706</v>
      </c>
      <c r="C9" s="751">
        <f>'Forecasts Simone'!C43</f>
        <v>-758</v>
      </c>
      <c r="D9" s="751">
        <f>'Forecasts Simone'!D43</f>
        <v>-850</v>
      </c>
      <c r="E9" s="751">
        <f>'Forecasts Simone'!E43</f>
        <v>-986</v>
      </c>
      <c r="F9" s="508">
        <f>'Forecasts Simone'!F43</f>
        <v>-1152</v>
      </c>
      <c r="G9" s="751">
        <f>'Forecasts Simone'!G43</f>
        <v>-1135.2075417956739</v>
      </c>
      <c r="H9" s="751">
        <f>'Forecasts Simone'!H43</f>
        <v>-1152.4202147955934</v>
      </c>
      <c r="I9" s="751">
        <f>'Forecasts Simone'!I43</f>
        <v>-1169.8938762939981</v>
      </c>
      <c r="J9" s="751">
        <f>'Forecasts Simone'!J43</f>
        <v>-1187.6324835493767</v>
      </c>
      <c r="K9" s="508">
        <f>'Forecasts Simone'!K43</f>
        <v>-1205.1939022046365</v>
      </c>
      <c r="L9" s="278"/>
      <c r="M9" s="1"/>
      <c r="N9" s="1"/>
      <c r="O9" s="1"/>
      <c r="P9" s="1"/>
    </row>
    <row r="10" spans="1:16">
      <c r="A10" s="490" t="s">
        <v>674</v>
      </c>
      <c r="B10" s="751">
        <f>'Forecasts Simone'!B44</f>
        <v>-252</v>
      </c>
      <c r="C10" s="751">
        <f>'Forecasts Simone'!C44</f>
        <v>-243</v>
      </c>
      <c r="D10" s="751">
        <f>'Forecasts Simone'!D44</f>
        <v>-281</v>
      </c>
      <c r="E10" s="751">
        <f>'Forecasts Simone'!E44</f>
        <v>-266</v>
      </c>
      <c r="F10" s="508">
        <f>'Forecasts Simone'!F44</f>
        <v>-234</v>
      </c>
      <c r="G10" s="751">
        <f>'Forecasts Simone'!G44</f>
        <v>-394.3485356689381</v>
      </c>
      <c r="H10" s="751">
        <f>'Forecasts Simone'!H44</f>
        <v>-346.13352111880317</v>
      </c>
      <c r="I10" s="751">
        <f>'Forecasts Simone'!I44</f>
        <v>-294.11338730152363</v>
      </c>
      <c r="J10" s="751">
        <f>'Forecasts Simone'!J44</f>
        <v>-238.05606978490357</v>
      </c>
      <c r="K10" s="508">
        <f>'Forecasts Simone'!K44</f>
        <v>-177.04862284693229</v>
      </c>
      <c r="L10" s="278"/>
      <c r="M10" s="1"/>
      <c r="N10" s="1"/>
      <c r="O10" s="1"/>
      <c r="P10" s="1"/>
    </row>
    <row r="11" spans="1:16">
      <c r="A11" s="490" t="s">
        <v>310</v>
      </c>
      <c r="B11" s="751">
        <f>'Forecasts Simone'!B45</f>
        <v>-629</v>
      </c>
      <c r="C11" s="751">
        <f>'Forecasts Simone'!C45</f>
        <v>-596</v>
      </c>
      <c r="D11" s="751">
        <f>'Forecasts Simone'!D45</f>
        <v>-635</v>
      </c>
      <c r="E11" s="751">
        <f>'Forecasts Simone'!E45</f>
        <v>-665</v>
      </c>
      <c r="F11" s="508">
        <f>'Forecasts Simone'!F45</f>
        <v>-700</v>
      </c>
      <c r="G11" s="751">
        <f>'Forecasts Simone'!G45</f>
        <v>-766.20133450364017</v>
      </c>
      <c r="H11" s="751">
        <f>'Forecasts Simone'!H45</f>
        <v>-777.81892207009673</v>
      </c>
      <c r="I11" s="751">
        <f>'Forecasts Simone'!I45</f>
        <v>-789.61266221523772</v>
      </c>
      <c r="J11" s="751">
        <f>'Forecasts Simone'!J45</f>
        <v>-801.5852258662934</v>
      </c>
      <c r="K11" s="508">
        <f>'Forecasts Simone'!K45</f>
        <v>-813.43819716364135</v>
      </c>
      <c r="L11" s="278"/>
      <c r="M11" s="1"/>
      <c r="N11" s="1"/>
      <c r="O11" s="1"/>
      <c r="P11" s="1"/>
    </row>
    <row r="12" spans="1:16">
      <c r="A12" s="753"/>
      <c r="B12" s="101"/>
      <c r="C12" s="101"/>
      <c r="D12" s="101"/>
      <c r="E12" s="101"/>
      <c r="F12" s="99"/>
      <c r="G12" s="495"/>
      <c r="H12" s="495"/>
      <c r="I12" s="495"/>
      <c r="J12" s="495"/>
      <c r="K12" s="496"/>
      <c r="L12" s="279"/>
      <c r="M12" s="1"/>
      <c r="N12" s="1"/>
      <c r="O12" s="1"/>
      <c r="P12" s="1"/>
    </row>
    <row r="13" spans="1:16">
      <c r="A13" s="749" t="s">
        <v>583</v>
      </c>
      <c r="B13" s="100">
        <f>B6+SUM(B8:B11)</f>
        <v>1048</v>
      </c>
      <c r="C13" s="100">
        <f>C6+SUM(C8:C11)</f>
        <v>1162</v>
      </c>
      <c r="D13" s="100">
        <f>D6+SUM(D8:D11)</f>
        <v>1199</v>
      </c>
      <c r="E13" s="100">
        <f>E6+SUM(E8:E11)</f>
        <v>1231</v>
      </c>
      <c r="F13" s="465">
        <f>F6+SUM(F8:F11)</f>
        <v>1234</v>
      </c>
      <c r="G13" s="754">
        <f t="shared" ref="G13:K13" si="1">G6+SUM(G8:G11)</f>
        <v>1303.995930264</v>
      </c>
      <c r="H13" s="754">
        <f t="shared" si="1"/>
        <v>1377.9622254011956</v>
      </c>
      <c r="I13" s="754">
        <f t="shared" si="1"/>
        <v>1456.1240956083329</v>
      </c>
      <c r="J13" s="754">
        <f t="shared" si="1"/>
        <v>1538.7195256342093</v>
      </c>
      <c r="K13" s="469">
        <f t="shared" si="1"/>
        <v>1625.9999993879755</v>
      </c>
      <c r="L13" s="278"/>
      <c r="M13" s="1"/>
      <c r="N13" s="1"/>
      <c r="O13" s="1"/>
      <c r="P13" s="1"/>
    </row>
    <row r="14" spans="1:16">
      <c r="A14" s="490" t="s">
        <v>675</v>
      </c>
      <c r="B14" s="372">
        <f>B13/B6</f>
        <v>0.21296484454379191</v>
      </c>
      <c r="C14" s="372">
        <f>C13/C6</f>
        <v>0.23909465020576132</v>
      </c>
      <c r="D14" s="372">
        <f>D13/D6</f>
        <v>0.20686680469289165</v>
      </c>
      <c r="E14" s="372">
        <f>E13/E6</f>
        <v>0.18955959347089621</v>
      </c>
      <c r="F14" s="455">
        <f>F13/F6</f>
        <v>0.16848716548334244</v>
      </c>
      <c r="G14" s="372">
        <f>G13/G4</f>
        <v>0.18035935214546478</v>
      </c>
      <c r="H14" s="372">
        <f t="shared" ref="H14:K14" si="2">H13/H4</f>
        <v>0.18774316843184355</v>
      </c>
      <c r="I14" s="372">
        <f t="shared" si="2"/>
        <v>0.19542927424356388</v>
      </c>
      <c r="J14" s="372">
        <f t="shared" si="2"/>
        <v>0.20343004515358007</v>
      </c>
      <c r="K14" s="455">
        <f t="shared" si="2"/>
        <v>0.21183675436866409</v>
      </c>
      <c r="L14" s="278"/>
      <c r="M14" s="1"/>
      <c r="N14" s="1"/>
      <c r="O14" s="1"/>
      <c r="P14" s="1"/>
    </row>
    <row r="15" spans="1:16">
      <c r="A15" s="490"/>
      <c r="B15" s="52"/>
      <c r="C15" s="52"/>
      <c r="D15" s="52"/>
      <c r="E15" s="52"/>
      <c r="F15" s="371"/>
      <c r="G15" s="751"/>
      <c r="H15" s="751"/>
      <c r="I15" s="751"/>
      <c r="J15" s="751"/>
      <c r="K15" s="508"/>
      <c r="L15" s="278"/>
      <c r="M15" s="1"/>
      <c r="N15" s="1"/>
      <c r="O15" s="1"/>
      <c r="P15" s="1"/>
    </row>
    <row r="16" spans="1:16">
      <c r="A16" s="490" t="s">
        <v>676</v>
      </c>
      <c r="B16" s="52">
        <f>'Forecasts Simone'!B69+'Forecasts Simone'!B80</f>
        <v>-754</v>
      </c>
      <c r="C16" s="52">
        <f>'Forecasts Simone'!C69+'Forecasts Simone'!C80</f>
        <v>-648</v>
      </c>
      <c r="D16" s="52">
        <f>'Forecasts Simone'!D69+'Forecasts Simone'!D80</f>
        <v>-444</v>
      </c>
      <c r="E16" s="52">
        <f>'Forecasts Simone'!E69+'Forecasts Simone'!E80</f>
        <v>-623</v>
      </c>
      <c r="F16" s="508">
        <f>'Forecasts Simone'!F69+'Forecasts Simone'!F80</f>
        <v>-511</v>
      </c>
      <c r="G16" s="751">
        <f>'Forecasts Simone'!G69+'Forecasts Simone'!G80</f>
        <v>-607.30367267200131</v>
      </c>
      <c r="H16" s="751">
        <f>'Forecasts Simone'!H69+'Forecasts Simone'!H80</f>
        <v>-625.32466501126805</v>
      </c>
      <c r="I16" s="751">
        <f>'Forecasts Simone'!I69+'Forecasts Simone'!I80</f>
        <v>-643.06109913135867</v>
      </c>
      <c r="J16" s="751">
        <f>'Forecasts Simone'!J69+'Forecasts Simone'!J80</f>
        <v>-660.54787130240038</v>
      </c>
      <c r="K16" s="508">
        <f>'Forecasts Simone'!K69+'Forecasts Simone'!K80</f>
        <v>-677.81733591679711</v>
      </c>
      <c r="L16" s="278"/>
      <c r="M16" s="1"/>
      <c r="N16" s="1"/>
      <c r="O16" s="1"/>
      <c r="P16" s="1"/>
    </row>
    <row r="17" spans="1:16">
      <c r="A17" s="490" t="s">
        <v>611</v>
      </c>
      <c r="B17" s="751">
        <f>'Forecasts Simone'!B85</f>
        <v>-79</v>
      </c>
      <c r="C17" s="751">
        <f>'Forecasts Simone'!C85</f>
        <v>-71</v>
      </c>
      <c r="D17" s="751">
        <f>'Forecasts Simone'!D85</f>
        <v>-45</v>
      </c>
      <c r="E17" s="751">
        <f>'Forecasts Simone'!E85</f>
        <v>-20</v>
      </c>
      <c r="F17" s="508">
        <f>'Forecasts Simone'!F85</f>
        <v>-36</v>
      </c>
      <c r="G17" s="701">
        <f>AVERAGE(B17:F17)</f>
        <v>-50.2</v>
      </c>
      <c r="H17" s="701">
        <f>G17</f>
        <v>-50.2</v>
      </c>
      <c r="I17" s="701">
        <f t="shared" ref="I17:K17" si="3">H17</f>
        <v>-50.2</v>
      </c>
      <c r="J17" s="701">
        <f t="shared" si="3"/>
        <v>-50.2</v>
      </c>
      <c r="K17" s="481">
        <f t="shared" si="3"/>
        <v>-50.2</v>
      </c>
      <c r="L17" s="279"/>
      <c r="M17" s="1"/>
      <c r="N17" s="1"/>
      <c r="O17" s="1"/>
      <c r="P17" s="1"/>
    </row>
    <row r="18" spans="1:16">
      <c r="A18" s="755" t="s">
        <v>677</v>
      </c>
      <c r="B18" s="554">
        <f>B13+B16+B17</f>
        <v>215</v>
      </c>
      <c r="C18" s="554">
        <f t="shared" ref="C18:F18" si="4">C13+C16+C17</f>
        <v>443</v>
      </c>
      <c r="D18" s="554">
        <f t="shared" si="4"/>
        <v>710</v>
      </c>
      <c r="E18" s="554">
        <f t="shared" si="4"/>
        <v>588</v>
      </c>
      <c r="F18" s="555">
        <f t="shared" si="4"/>
        <v>687</v>
      </c>
      <c r="G18" s="554">
        <f>G13+G16+G17</f>
        <v>646.49225759199862</v>
      </c>
      <c r="H18" s="554">
        <f t="shared" ref="H18:K18" si="5">H13+H16+H17</f>
        <v>702.43756038992751</v>
      </c>
      <c r="I18" s="554">
        <f t="shared" si="5"/>
        <v>762.86299647697422</v>
      </c>
      <c r="J18" s="554">
        <f t="shared" si="5"/>
        <v>827.97165433180885</v>
      </c>
      <c r="K18" s="555">
        <f t="shared" si="5"/>
        <v>897.9826634711784</v>
      </c>
      <c r="L18" s="278"/>
      <c r="M18" s="1"/>
      <c r="N18" s="1"/>
      <c r="O18" s="1"/>
      <c r="P18" s="1"/>
    </row>
    <row r="19" spans="1:16">
      <c r="A19" s="490" t="s">
        <v>675</v>
      </c>
      <c r="B19" s="372">
        <f t="shared" ref="B19:K19" si="6">B18/B6</f>
        <v>4.3690306848201584E-2</v>
      </c>
      <c r="C19" s="372">
        <f t="shared" si="6"/>
        <v>9.1152263374485593E-2</v>
      </c>
      <c r="D19" s="372">
        <f t="shared" si="6"/>
        <v>0.12249827467218771</v>
      </c>
      <c r="E19" s="372">
        <f t="shared" si="6"/>
        <v>9.0545118570988611E-2</v>
      </c>
      <c r="F19" s="455">
        <f t="shared" si="6"/>
        <v>9.3801201529219003E-2</v>
      </c>
      <c r="G19" s="343">
        <f t="shared" si="6"/>
        <v>8.6648728256868257E-2</v>
      </c>
      <c r="H19" s="343">
        <f t="shared" si="6"/>
        <v>9.2740832639895424E-2</v>
      </c>
      <c r="I19" s="343">
        <f t="shared" si="6"/>
        <v>9.9214286684658759E-2</v>
      </c>
      <c r="J19" s="343">
        <f t="shared" si="6"/>
        <v>0.10607365502562993</v>
      </c>
      <c r="K19" s="556">
        <f t="shared" si="6"/>
        <v>0.11336660973494671</v>
      </c>
      <c r="L19" s="278"/>
      <c r="M19" s="1"/>
      <c r="N19" s="1"/>
      <c r="O19" s="1"/>
      <c r="P19" s="1"/>
    </row>
    <row r="20" spans="1:16">
      <c r="A20" s="490"/>
      <c r="B20" s="52"/>
      <c r="C20" s="52"/>
      <c r="D20" s="52"/>
      <c r="E20" s="52"/>
      <c r="F20" s="371"/>
      <c r="G20" s="751"/>
      <c r="H20" s="751"/>
      <c r="I20" s="751"/>
      <c r="J20" s="751"/>
      <c r="K20" s="508"/>
      <c r="L20" s="278"/>
      <c r="M20" s="1"/>
      <c r="N20" s="1"/>
      <c r="O20" s="1"/>
      <c r="P20" s="1"/>
    </row>
    <row r="21" spans="1:16">
      <c r="A21" s="753" t="s">
        <v>644</v>
      </c>
      <c r="B21" s="101">
        <f>'Forecasts Simone'!B144</f>
        <v>-137</v>
      </c>
      <c r="C21" s="101">
        <f>'Forecasts Simone'!C144</f>
        <v>-109</v>
      </c>
      <c r="D21" s="101">
        <f>'Forecasts Simone'!D144</f>
        <v>-134</v>
      </c>
      <c r="E21" s="101">
        <f>'Forecasts Simone'!E144</f>
        <v>-98</v>
      </c>
      <c r="F21" s="99">
        <f>'Forecasts Simone'!F144</f>
        <v>-106</v>
      </c>
      <c r="G21" s="495">
        <f>'Forecasts Simone'!G144</f>
        <v>-101.93086741299238</v>
      </c>
      <c r="H21" s="495">
        <f>'Forecasts Simone'!H144</f>
        <v>-114.20862270879553</v>
      </c>
      <c r="I21" s="495">
        <f>'Forecasts Simone'!I144</f>
        <v>-109.72322231947831</v>
      </c>
      <c r="J21" s="495">
        <f>'Forecasts Simone'!J144</f>
        <v>-97.283036645083016</v>
      </c>
      <c r="K21" s="496">
        <f>'Forecasts Simone'!K144</f>
        <v>-92.541909028653066</v>
      </c>
      <c r="L21" s="279"/>
      <c r="M21" s="1"/>
      <c r="N21" s="1"/>
      <c r="O21" s="1"/>
      <c r="P21" s="1"/>
    </row>
    <row r="22" spans="1:16">
      <c r="A22" s="749" t="s">
        <v>678</v>
      </c>
      <c r="B22" s="750">
        <f>B18+B21</f>
        <v>78</v>
      </c>
      <c r="C22" s="750">
        <f>C18+C21</f>
        <v>334</v>
      </c>
      <c r="D22" s="750">
        <f t="shared" ref="D22:K22" si="7">D18+D21</f>
        <v>576</v>
      </c>
      <c r="E22" s="750">
        <f t="shared" si="7"/>
        <v>490</v>
      </c>
      <c r="F22" s="503">
        <f t="shared" si="7"/>
        <v>581</v>
      </c>
      <c r="G22" s="750">
        <f t="shared" si="7"/>
        <v>544.56139017900625</v>
      </c>
      <c r="H22" s="750">
        <f t="shared" si="7"/>
        <v>588.22893768113204</v>
      </c>
      <c r="I22" s="750">
        <f t="shared" si="7"/>
        <v>653.13977415749594</v>
      </c>
      <c r="J22" s="750">
        <f t="shared" si="7"/>
        <v>730.68861768672582</v>
      </c>
      <c r="K22" s="503">
        <f t="shared" si="7"/>
        <v>805.4407544425253</v>
      </c>
      <c r="L22" s="278"/>
      <c r="M22" s="1"/>
      <c r="N22" s="1"/>
      <c r="O22" s="1"/>
      <c r="P22" s="1"/>
    </row>
    <row r="23" spans="1:16">
      <c r="A23" s="490"/>
      <c r="B23" s="52"/>
      <c r="C23" s="52"/>
      <c r="D23" s="52"/>
      <c r="E23" s="52"/>
      <c r="F23" s="371"/>
      <c r="G23" s="751"/>
      <c r="H23" s="751"/>
      <c r="I23" s="751"/>
      <c r="J23" s="751"/>
      <c r="K23" s="508"/>
      <c r="L23" s="278"/>
      <c r="M23" s="1"/>
      <c r="N23" s="1"/>
      <c r="O23" s="1"/>
      <c r="P23" s="1"/>
    </row>
    <row r="24" spans="1:16">
      <c r="A24" s="753" t="s">
        <v>679</v>
      </c>
      <c r="B24" s="101">
        <v>-133</v>
      </c>
      <c r="C24" s="101">
        <v>-122</v>
      </c>
      <c r="D24" s="101">
        <v>-192</v>
      </c>
      <c r="E24" s="101">
        <v>-157</v>
      </c>
      <c r="F24" s="99">
        <v>-189</v>
      </c>
      <c r="G24" s="495">
        <f>'Forecasts Simone'!G155</f>
        <v>-155.90793168904943</v>
      </c>
      <c r="H24" s="495">
        <f>'Forecasts Simone'!H155</f>
        <v>-168.57000989867888</v>
      </c>
      <c r="I24" s="495">
        <f>'Forecasts Simone'!I155</f>
        <v>-186.50520266040101</v>
      </c>
      <c r="J24" s="495">
        <f>'Forecasts Simone'!J155</f>
        <v>-207.65616276375474</v>
      </c>
      <c r="K24" s="496">
        <f>'Forecasts Simone'!K155</f>
        <v>-228.32710494158204</v>
      </c>
      <c r="L24" s="765"/>
      <c r="M24" s="466"/>
      <c r="N24" s="466"/>
      <c r="O24" s="466"/>
      <c r="P24" s="1"/>
    </row>
    <row r="25" spans="1:16">
      <c r="A25" s="490" t="s">
        <v>680</v>
      </c>
      <c r="B25" s="751">
        <f>B22+B24</f>
        <v>-55</v>
      </c>
      <c r="C25" s="751">
        <f>C22+C24</f>
        <v>212</v>
      </c>
      <c r="D25" s="751">
        <f>D22+D24</f>
        <v>384</v>
      </c>
      <c r="E25" s="751">
        <f>E22+E24</f>
        <v>333</v>
      </c>
      <c r="F25" s="508">
        <f t="shared" ref="F25:K25" si="8">F22+F24</f>
        <v>392</v>
      </c>
      <c r="G25" s="751">
        <f t="shared" si="8"/>
        <v>388.65345848995685</v>
      </c>
      <c r="H25" s="751">
        <f t="shared" si="8"/>
        <v>419.65892778245313</v>
      </c>
      <c r="I25" s="751">
        <f t="shared" si="8"/>
        <v>466.63457149709495</v>
      </c>
      <c r="J25" s="751">
        <f t="shared" si="8"/>
        <v>523.03245492297106</v>
      </c>
      <c r="K25" s="508">
        <f t="shared" si="8"/>
        <v>577.11364950094321</v>
      </c>
      <c r="L25" s="459"/>
      <c r="M25" s="466"/>
      <c r="N25" s="466"/>
      <c r="O25" s="466"/>
      <c r="P25" s="1"/>
    </row>
    <row r="26" spans="1:16">
      <c r="A26" s="753" t="s">
        <v>453</v>
      </c>
      <c r="B26" s="101">
        <v>130</v>
      </c>
      <c r="C26" s="101">
        <v>1</v>
      </c>
      <c r="D26" s="101">
        <v>-6</v>
      </c>
      <c r="E26" s="101">
        <v>-10</v>
      </c>
      <c r="F26" s="99">
        <v>-4</v>
      </c>
      <c r="G26" s="495">
        <f>G25*(-0.010228404)</f>
        <v>-3.9753045894325085</v>
      </c>
      <c r="H26" s="495">
        <f t="shared" ref="H26:K26" si="9">H25*(-0.010228404)</f>
        <v>-4.2924410555657548</v>
      </c>
      <c r="I26" s="495">
        <f t="shared" si="9"/>
        <v>-4.7729269176391718</v>
      </c>
      <c r="J26" s="495">
        <f t="shared" si="9"/>
        <v>-5.3497872540639371</v>
      </c>
      <c r="K26" s="496">
        <f t="shared" si="9"/>
        <v>-5.9029515610100454</v>
      </c>
      <c r="L26" s="279"/>
      <c r="M26" s="1"/>
      <c r="N26" s="1"/>
      <c r="O26" s="1"/>
      <c r="P26" s="1"/>
    </row>
    <row r="27" spans="1:16">
      <c r="A27" s="749" t="s">
        <v>681</v>
      </c>
      <c r="B27" s="100">
        <v>75</v>
      </c>
      <c r="C27" s="100">
        <v>232</v>
      </c>
      <c r="D27" s="100">
        <v>293</v>
      </c>
      <c r="E27" s="100">
        <v>344</v>
      </c>
      <c r="F27" s="465">
        <v>389</v>
      </c>
      <c r="G27" s="750">
        <f>G22+G24+G26</f>
        <v>384.67815390052436</v>
      </c>
      <c r="H27" s="750">
        <f t="shared" ref="H27:K27" si="10">H22+H24+H26</f>
        <v>415.36648672688739</v>
      </c>
      <c r="I27" s="750">
        <f t="shared" si="10"/>
        <v>461.8616445794558</v>
      </c>
      <c r="J27" s="750">
        <f t="shared" si="10"/>
        <v>517.68266766890713</v>
      </c>
      <c r="K27" s="503">
        <f t="shared" si="10"/>
        <v>571.2106979399332</v>
      </c>
      <c r="L27" s="278"/>
      <c r="M27" s="1"/>
      <c r="N27" s="1"/>
      <c r="O27" s="1"/>
      <c r="P27" s="1"/>
    </row>
    <row r="28" spans="1:16">
      <c r="A28" s="490" t="s">
        <v>675</v>
      </c>
      <c r="B28" s="52">
        <f t="shared" ref="B28:K28" si="11">B27/B6</f>
        <v>1.5240804714488925E-2</v>
      </c>
      <c r="C28" s="52">
        <f t="shared" si="11"/>
        <v>4.7736625514403296E-2</v>
      </c>
      <c r="D28" s="52">
        <f t="shared" si="11"/>
        <v>5.0552104899930984E-2</v>
      </c>
      <c r="E28" s="52">
        <f t="shared" si="11"/>
        <v>5.2971974129966119E-2</v>
      </c>
      <c r="F28" s="371">
        <f t="shared" si="11"/>
        <v>5.3113052976515564E-2</v>
      </c>
      <c r="G28" s="343">
        <f t="shared" si="11"/>
        <v>5.1558038680667433E-2</v>
      </c>
      <c r="H28" s="343">
        <f t="shared" si="11"/>
        <v>5.4839655510983944E-2</v>
      </c>
      <c r="I28" s="343">
        <f t="shared" si="11"/>
        <v>6.0067500751214115E-2</v>
      </c>
      <c r="J28" s="343">
        <f t="shared" si="11"/>
        <v>6.6321706082287393E-2</v>
      </c>
      <c r="K28" s="556">
        <f t="shared" si="11"/>
        <v>7.2112996056589621E-2</v>
      </c>
      <c r="L28" s="278"/>
      <c r="M28" s="1"/>
      <c r="N28" s="1"/>
      <c r="O28" s="1"/>
      <c r="P28" s="1"/>
    </row>
    <row r="29" spans="1:16" ht="15" thickBot="1">
      <c r="A29" s="756"/>
      <c r="B29" s="384"/>
      <c r="C29" s="384"/>
      <c r="D29" s="384"/>
      <c r="E29" s="384"/>
      <c r="F29" s="385"/>
      <c r="G29" s="384"/>
      <c r="H29" s="384"/>
      <c r="I29" s="384"/>
      <c r="J29" s="384"/>
      <c r="K29" s="385"/>
      <c r="L29" s="281"/>
      <c r="M29" s="1"/>
      <c r="N29" s="1"/>
      <c r="O29" s="1"/>
      <c r="P29" s="1"/>
    </row>
    <row r="30" spans="1:16">
      <c r="A30" s="1"/>
      <c r="B30" s="1"/>
      <c r="C30" s="1"/>
      <c r="D30" s="1"/>
      <c r="E30" s="1"/>
      <c r="F30" s="1"/>
      <c r="G30" s="1"/>
      <c r="H30" s="1"/>
      <c r="I30" s="1"/>
      <c r="J30" s="1"/>
      <c r="K30" s="1"/>
      <c r="L30" s="1"/>
      <c r="M30" s="1"/>
      <c r="N30" s="1"/>
      <c r="O30" s="1"/>
      <c r="P30" s="1"/>
    </row>
    <row r="31" spans="1:16">
      <c r="A31" s="1"/>
      <c r="B31" s="1"/>
      <c r="C31" s="1"/>
      <c r="D31" s="1"/>
      <c r="E31" s="1"/>
      <c r="F31" s="1"/>
      <c r="G31" s="1"/>
      <c r="H31" s="1"/>
      <c r="I31" s="1"/>
      <c r="J31" s="1"/>
      <c r="K31" s="1"/>
      <c r="L31" s="1"/>
      <c r="M31" s="1"/>
      <c r="N31" s="1"/>
      <c r="O31" s="1"/>
      <c r="P31" s="1"/>
    </row>
    <row r="32" spans="1:16">
      <c r="A32" s="1"/>
      <c r="B32" s="1"/>
      <c r="C32" s="1"/>
      <c r="D32" s="1"/>
      <c r="E32" s="1"/>
      <c r="F32" s="1"/>
      <c r="G32" s="1"/>
      <c r="H32" s="1"/>
      <c r="I32" s="1"/>
      <c r="J32" s="1"/>
      <c r="K32" s="1"/>
      <c r="L32" s="1"/>
      <c r="M32" s="1"/>
      <c r="N32" s="1"/>
      <c r="O32" s="1"/>
      <c r="P32" s="1"/>
    </row>
    <row r="33" spans="1:16">
      <c r="A33" s="1"/>
      <c r="B33" s="1"/>
      <c r="C33" s="1"/>
      <c r="D33" s="1"/>
      <c r="E33" s="1"/>
      <c r="F33" s="1"/>
      <c r="G33" s="1"/>
      <c r="H33" s="1"/>
      <c r="I33" s="1"/>
      <c r="J33" s="1"/>
      <c r="K33" s="1"/>
      <c r="L33" s="1"/>
      <c r="M33" s="1"/>
      <c r="N33" s="1"/>
      <c r="O33" s="1"/>
      <c r="P33" s="1"/>
    </row>
    <row r="34" spans="1:16" ht="15" thickBot="1">
      <c r="A34" s="1"/>
      <c r="B34" s="1"/>
      <c r="C34" s="1"/>
      <c r="D34" s="1"/>
      <c r="E34" s="1"/>
      <c r="F34" s="1"/>
      <c r="G34" s="1"/>
      <c r="H34" s="1"/>
      <c r="I34" s="1"/>
      <c r="J34" s="1"/>
      <c r="K34" s="52"/>
      <c r="L34" s="52"/>
      <c r="M34" s="1"/>
      <c r="N34" s="1"/>
      <c r="O34" s="1"/>
      <c r="P34" s="1"/>
    </row>
    <row r="35" spans="1:16">
      <c r="A35" s="774" t="s">
        <v>682</v>
      </c>
      <c r="B35" s="757"/>
      <c r="C35" s="757"/>
      <c r="D35" s="757"/>
      <c r="E35" s="757"/>
      <c r="F35" s="758"/>
      <c r="G35" s="757" t="s">
        <v>758</v>
      </c>
      <c r="H35" s="757"/>
      <c r="I35" s="757"/>
      <c r="J35" s="757"/>
      <c r="K35" s="758"/>
      <c r="L35" s="759" t="s">
        <v>669</v>
      </c>
      <c r="M35" s="1"/>
      <c r="N35" s="1"/>
      <c r="O35" s="1"/>
      <c r="P35" s="1"/>
    </row>
    <row r="36" spans="1:16" ht="15" thickBot="1">
      <c r="A36" s="764"/>
      <c r="B36" s="760">
        <v>2015</v>
      </c>
      <c r="C36" s="760">
        <v>2016</v>
      </c>
      <c r="D36" s="760">
        <v>2017</v>
      </c>
      <c r="E36" s="760">
        <v>2018</v>
      </c>
      <c r="F36" s="762">
        <v>2019</v>
      </c>
      <c r="G36" s="760">
        <v>2020</v>
      </c>
      <c r="H36" s="760">
        <v>2021</v>
      </c>
      <c r="I36" s="760">
        <v>2022</v>
      </c>
      <c r="J36" s="760">
        <v>2023</v>
      </c>
      <c r="K36" s="762">
        <v>2024</v>
      </c>
      <c r="L36" s="761"/>
      <c r="M36" s="1"/>
      <c r="N36" s="1"/>
      <c r="O36" s="1"/>
      <c r="P36" s="1"/>
    </row>
    <row r="37" spans="1:16">
      <c r="A37" s="490" t="s">
        <v>683</v>
      </c>
      <c r="B37" s="52">
        <f>'Forecasts Simone'!B68</f>
        <v>5067</v>
      </c>
      <c r="C37" s="52">
        <f>'Forecasts Simone'!C68</f>
        <v>5129</v>
      </c>
      <c r="D37" s="52">
        <f>'Forecasts Simone'!D68</f>
        <v>4606</v>
      </c>
      <c r="E37" s="52">
        <f>'Forecasts Simone'!E68</f>
        <v>4620</v>
      </c>
      <c r="F37" s="371">
        <f>'Forecasts Simone'!F68</f>
        <v>4869</v>
      </c>
      <c r="G37" s="701">
        <f>'Forecasts Simone'!G68</f>
        <v>4964.9255830968814</v>
      </c>
      <c r="H37" s="701">
        <f>'Forecasts Simone'!H68</f>
        <v>5060.1014455884615</v>
      </c>
      <c r="I37" s="701">
        <f>'Forecasts Simone'!I68</f>
        <v>5154.7360712934978</v>
      </c>
      <c r="J37" s="701">
        <f>'Forecasts Simone'!J68</f>
        <v>5249.0191767306296</v>
      </c>
      <c r="K37" s="481">
        <f>'Forecasts Simone'!K68</f>
        <v>5342.8950490737898</v>
      </c>
      <c r="L37" s="278"/>
      <c r="M37" s="1"/>
      <c r="N37" s="1"/>
      <c r="O37" s="1"/>
      <c r="P37" s="1"/>
    </row>
    <row r="38" spans="1:16">
      <c r="A38" s="490" t="s">
        <v>684</v>
      </c>
      <c r="B38" s="52">
        <f>'Reorganised Statements'!D6</f>
        <v>1348</v>
      </c>
      <c r="C38" s="52">
        <f>'Reorganised Statements'!E6</f>
        <v>1704</v>
      </c>
      <c r="D38" s="52">
        <f>'Reorganised Statements'!F6</f>
        <v>1863</v>
      </c>
      <c r="E38" s="52">
        <f>'Reorganised Statements'!G6</f>
        <v>2302</v>
      </c>
      <c r="F38" s="371">
        <f>'Reorganised Statements'!H6</f>
        <v>2379</v>
      </c>
      <c r="G38" s="701">
        <f>'Forecasts Simone'!G79</f>
        <v>2544.298384106336</v>
      </c>
      <c r="H38" s="701">
        <f>'Forecasts Simone'!H79</f>
        <v>2705.4946146409388</v>
      </c>
      <c r="I38" s="701">
        <f>'Forecasts Simone'!I79</f>
        <v>2862.864443786727</v>
      </c>
      <c r="J38" s="701">
        <f>'Forecasts Simone'!J79</f>
        <v>3016.670522386582</v>
      </c>
      <c r="K38" s="481">
        <f>'Forecasts Simone'!K79</f>
        <v>3167.050306892384</v>
      </c>
      <c r="L38" s="278"/>
      <c r="M38" s="1"/>
      <c r="N38" s="1"/>
      <c r="O38" s="1"/>
      <c r="P38" s="1"/>
    </row>
    <row r="39" spans="1:16">
      <c r="A39" s="753" t="s">
        <v>685</v>
      </c>
      <c r="B39" s="101">
        <f>'Reorganised Statements'!D7</f>
        <v>137</v>
      </c>
      <c r="C39" s="101">
        <f>'Reorganised Statements'!E7</f>
        <v>136</v>
      </c>
      <c r="D39" s="101">
        <f>'Reorganised Statements'!F7</f>
        <v>107</v>
      </c>
      <c r="E39" s="101">
        <f>'Reorganised Statements'!G7</f>
        <v>45</v>
      </c>
      <c r="F39" s="99">
        <f>'Reorganised Statements'!H7</f>
        <v>65</v>
      </c>
      <c r="G39" s="101">
        <f>AVERAGE(B39:F39)</f>
        <v>98</v>
      </c>
      <c r="H39" s="101">
        <f>G39</f>
        <v>98</v>
      </c>
      <c r="I39" s="101">
        <f t="shared" ref="I39:K39" si="12">H39</f>
        <v>98</v>
      </c>
      <c r="J39" s="101">
        <f t="shared" si="12"/>
        <v>98</v>
      </c>
      <c r="K39" s="99">
        <f t="shared" si="12"/>
        <v>98</v>
      </c>
      <c r="L39" s="278"/>
      <c r="M39" s="1"/>
      <c r="N39" s="1"/>
      <c r="O39" s="1"/>
      <c r="P39" s="1"/>
    </row>
    <row r="40" spans="1:16">
      <c r="A40" s="749" t="s">
        <v>586</v>
      </c>
      <c r="B40" s="100">
        <v>6552</v>
      </c>
      <c r="C40" s="100">
        <v>6969</v>
      </c>
      <c r="D40" s="100">
        <v>6576</v>
      </c>
      <c r="E40" s="100">
        <v>6967</v>
      </c>
      <c r="F40" s="465">
        <v>7313</v>
      </c>
      <c r="G40" s="750">
        <f>G37+G38+G39</f>
        <v>7607.2239672032174</v>
      </c>
      <c r="H40" s="750">
        <f t="shared" ref="H40:K40" si="13">H37+H38+H39</f>
        <v>7863.5960602293999</v>
      </c>
      <c r="I40" s="750">
        <f t="shared" si="13"/>
        <v>8115.6005150802248</v>
      </c>
      <c r="J40" s="750">
        <f t="shared" si="13"/>
        <v>8363.6896991172107</v>
      </c>
      <c r="K40" s="503">
        <f t="shared" si="13"/>
        <v>8607.9453559661742</v>
      </c>
      <c r="L40" s="278"/>
      <c r="M40" s="1"/>
      <c r="N40" s="1"/>
      <c r="O40" s="1"/>
      <c r="P40" s="1"/>
    </row>
    <row r="41" spans="1:16">
      <c r="A41" s="490"/>
      <c r="B41" s="52"/>
      <c r="C41" s="52"/>
      <c r="D41" s="52"/>
      <c r="E41" s="52"/>
      <c r="F41" s="371"/>
      <c r="G41" s="52"/>
      <c r="H41" s="52"/>
      <c r="I41" s="52"/>
      <c r="J41" s="52"/>
      <c r="K41" s="371"/>
      <c r="L41" s="278"/>
      <c r="M41" s="1"/>
      <c r="N41" s="1"/>
      <c r="O41" s="1"/>
      <c r="P41" s="1"/>
    </row>
    <row r="42" spans="1:16">
      <c r="A42" s="490" t="s">
        <v>614</v>
      </c>
      <c r="B42" s="52">
        <f>'Reorganised Statements'!D10</f>
        <v>184</v>
      </c>
      <c r="C42" s="52">
        <f>'Reorganised Statements'!E10</f>
        <v>159</v>
      </c>
      <c r="D42" s="52">
        <f>'Reorganised Statements'!F10</f>
        <v>147</v>
      </c>
      <c r="E42" s="52">
        <f>'Reorganised Statements'!G10</f>
        <v>187</v>
      </c>
      <c r="F42" s="371">
        <f>'Reorganised Statements'!H10</f>
        <v>184</v>
      </c>
      <c r="G42" s="52"/>
      <c r="H42" s="52"/>
      <c r="I42" s="52"/>
      <c r="J42" s="52"/>
      <c r="K42" s="371"/>
      <c r="L42" s="278"/>
      <c r="M42" s="1"/>
      <c r="N42" s="1"/>
      <c r="O42" s="1"/>
      <c r="P42" s="1"/>
    </row>
    <row r="43" spans="1:16">
      <c r="A43" s="490" t="s">
        <v>686</v>
      </c>
      <c r="B43" s="52">
        <f>'Reorganised Statements'!D11</f>
        <v>1485</v>
      </c>
      <c r="C43" s="52">
        <f>'Reorganised Statements'!E11</f>
        <v>1821</v>
      </c>
      <c r="D43" s="52">
        <f>'Reorganised Statements'!F11</f>
        <v>1671</v>
      </c>
      <c r="E43" s="52">
        <f>'Reorganised Statements'!G11</f>
        <v>1781</v>
      </c>
      <c r="F43" s="371">
        <f>'Reorganised Statements'!H11</f>
        <v>1852</v>
      </c>
      <c r="G43" s="52"/>
      <c r="H43" s="52"/>
      <c r="I43" s="52"/>
      <c r="J43" s="52"/>
      <c r="K43" s="371"/>
      <c r="L43" s="278"/>
      <c r="M43" s="1"/>
      <c r="N43" s="1"/>
      <c r="O43" s="1"/>
      <c r="P43" s="1"/>
    </row>
    <row r="44" spans="1:16">
      <c r="A44" s="753" t="s">
        <v>613</v>
      </c>
      <c r="B44" s="101">
        <f>'Reorganised Statements'!D12</f>
        <v>-1170</v>
      </c>
      <c r="C44" s="101">
        <f>'Reorganised Statements'!E12</f>
        <v>-1384</v>
      </c>
      <c r="D44" s="101">
        <f>'Reorganised Statements'!F12</f>
        <v>-1381</v>
      </c>
      <c r="E44" s="101">
        <f>'Reorganised Statements'!G12</f>
        <v>-1413</v>
      </c>
      <c r="F44" s="99">
        <f>'Reorganised Statements'!H12</f>
        <v>-1481</v>
      </c>
      <c r="G44" s="101"/>
      <c r="H44" s="101"/>
      <c r="I44" s="101"/>
      <c r="J44" s="101"/>
      <c r="K44" s="99"/>
      <c r="L44" s="279"/>
      <c r="M44" s="1"/>
      <c r="N44" s="1"/>
      <c r="O44" s="1"/>
      <c r="P44" s="1"/>
    </row>
    <row r="45" spans="1:16">
      <c r="A45" s="490" t="s">
        <v>687</v>
      </c>
      <c r="B45" s="52">
        <f>B42+B43+B44</f>
        <v>499</v>
      </c>
      <c r="C45" s="52">
        <f t="shared" ref="C45:F45" si="14">C42+C43+C44</f>
        <v>596</v>
      </c>
      <c r="D45" s="52">
        <f t="shared" si="14"/>
        <v>437</v>
      </c>
      <c r="E45" s="52">
        <f t="shared" si="14"/>
        <v>555</v>
      </c>
      <c r="F45" s="371">
        <f t="shared" si="14"/>
        <v>555</v>
      </c>
      <c r="G45" s="52"/>
      <c r="H45" s="52"/>
      <c r="I45" s="52"/>
      <c r="J45" s="52"/>
      <c r="K45" s="371"/>
      <c r="L45" s="278"/>
      <c r="M45" s="1"/>
      <c r="N45" s="1"/>
      <c r="O45" s="1"/>
      <c r="P45" s="1"/>
    </row>
    <row r="46" spans="1:16">
      <c r="A46" s="490"/>
      <c r="B46" s="52"/>
      <c r="C46" s="52"/>
      <c r="D46" s="52"/>
      <c r="E46" s="52"/>
      <c r="F46" s="371"/>
      <c r="G46" s="52"/>
      <c r="H46" s="52"/>
      <c r="I46" s="52"/>
      <c r="J46" s="52"/>
      <c r="K46" s="371"/>
      <c r="L46" s="278"/>
      <c r="M46" s="1"/>
      <c r="N46" s="1"/>
      <c r="O46" s="1"/>
      <c r="P46" s="1"/>
    </row>
    <row r="47" spans="1:16">
      <c r="A47" s="490" t="s">
        <v>11</v>
      </c>
      <c r="B47" s="52">
        <f>'Reorganised Statements'!D15</f>
        <v>636</v>
      </c>
      <c r="C47" s="52">
        <f>'Reorganised Statements'!E15</f>
        <v>695</v>
      </c>
      <c r="D47" s="52">
        <f>'Reorganised Statements'!F15</f>
        <v>563</v>
      </c>
      <c r="E47" s="52">
        <f>'Reorganised Statements'!G15</f>
        <v>510</v>
      </c>
      <c r="F47" s="371">
        <f>'Reorganised Statements'!H15</f>
        <v>665</v>
      </c>
      <c r="G47" s="52"/>
      <c r="H47" s="52"/>
      <c r="I47" s="52"/>
      <c r="J47" s="52"/>
      <c r="K47" s="371"/>
      <c r="L47" s="278"/>
      <c r="M47" s="1"/>
      <c r="N47" s="1"/>
      <c r="O47" s="1"/>
      <c r="P47" s="1"/>
    </row>
    <row r="48" spans="1:16">
      <c r="A48" s="490" t="s">
        <v>688</v>
      </c>
      <c r="B48" s="52">
        <f>'Reorganised Statements'!D21</f>
        <v>-683</v>
      </c>
      <c r="C48" s="52">
        <f>'Reorganised Statements'!E21</f>
        <v>-893</v>
      </c>
      <c r="D48" s="52">
        <f>'Reorganised Statements'!F21</f>
        <v>-673</v>
      </c>
      <c r="E48" s="52">
        <f>'Reorganised Statements'!G21</f>
        <v>-763</v>
      </c>
      <c r="F48" s="371">
        <f>'Reorganised Statements'!H21</f>
        <v>-999</v>
      </c>
      <c r="G48" s="52"/>
      <c r="H48" s="52"/>
      <c r="I48" s="52"/>
      <c r="J48" s="52"/>
      <c r="K48" s="371"/>
      <c r="L48" s="278"/>
      <c r="M48" s="1"/>
      <c r="N48" s="1"/>
      <c r="O48" s="1"/>
      <c r="P48" s="1"/>
    </row>
    <row r="49" spans="1:16">
      <c r="A49" s="755" t="s">
        <v>689</v>
      </c>
      <c r="B49" s="505">
        <f>B45+B47+B48</f>
        <v>452</v>
      </c>
      <c r="C49" s="505">
        <f t="shared" ref="C49:F49" si="15">C45+C47+C48</f>
        <v>398</v>
      </c>
      <c r="D49" s="505">
        <f t="shared" si="15"/>
        <v>327</v>
      </c>
      <c r="E49" s="505">
        <f t="shared" si="15"/>
        <v>302</v>
      </c>
      <c r="F49" s="504">
        <f t="shared" si="15"/>
        <v>221</v>
      </c>
      <c r="G49" s="557">
        <f>'Forecasts Simone'!G103</f>
        <v>286.26702444732001</v>
      </c>
      <c r="H49" s="557">
        <f>'Forecasts Simone'!H103</f>
        <v>290.60757055986392</v>
      </c>
      <c r="I49" s="557">
        <f>'Forecasts Simone'!I103</f>
        <v>295.01393054178902</v>
      </c>
      <c r="J49" s="557">
        <f>'Forecasts Simone'!J103</f>
        <v>299.48710230102921</v>
      </c>
      <c r="K49" s="558">
        <f>'Forecasts Simone'!K103</f>
        <v>303.91559213960329</v>
      </c>
      <c r="L49" s="766"/>
      <c r="M49" s="1"/>
      <c r="N49" s="1"/>
      <c r="O49" s="1"/>
      <c r="P49" s="1"/>
    </row>
    <row r="50" spans="1:16">
      <c r="A50" s="490"/>
      <c r="B50" s="52"/>
      <c r="C50" s="52"/>
      <c r="D50" s="52"/>
      <c r="E50" s="52"/>
      <c r="F50" s="371"/>
      <c r="G50" s="52"/>
      <c r="H50" s="52"/>
      <c r="I50" s="52"/>
      <c r="J50" s="52"/>
      <c r="K50" s="371"/>
      <c r="L50" s="278"/>
      <c r="M50" s="1"/>
      <c r="N50" s="1"/>
      <c r="O50" s="1"/>
      <c r="P50" s="1"/>
    </row>
    <row r="51" spans="1:16">
      <c r="A51" s="490" t="s">
        <v>690</v>
      </c>
      <c r="B51" s="52">
        <f>'Reorganised Statements'!D28</f>
        <v>308</v>
      </c>
      <c r="C51" s="52">
        <f>'Reorganised Statements'!E28</f>
        <v>341</v>
      </c>
      <c r="D51" s="52">
        <f>'Reorganised Statements'!F28</f>
        <v>301</v>
      </c>
      <c r="E51" s="52">
        <f>'Reorganised Statements'!G28</f>
        <v>264</v>
      </c>
      <c r="F51" s="371">
        <f>'Reorganised Statements'!H28</f>
        <v>277</v>
      </c>
      <c r="G51" s="52">
        <f>F51</f>
        <v>277</v>
      </c>
      <c r="H51" s="52">
        <f t="shared" ref="H51:K51" si="16">G51</f>
        <v>277</v>
      </c>
      <c r="I51" s="52">
        <f t="shared" si="16"/>
        <v>277</v>
      </c>
      <c r="J51" s="52">
        <f t="shared" si="16"/>
        <v>277</v>
      </c>
      <c r="K51" s="371">
        <f t="shared" si="16"/>
        <v>277</v>
      </c>
      <c r="L51" s="278"/>
      <c r="M51" s="1"/>
      <c r="N51" s="1"/>
      <c r="O51" s="1"/>
      <c r="P51" s="1"/>
    </row>
    <row r="52" spans="1:16">
      <c r="A52" s="490" t="s">
        <v>691</v>
      </c>
      <c r="B52" s="52">
        <f>'Reorganised Statements'!D29</f>
        <v>-332</v>
      </c>
      <c r="C52" s="52">
        <f>'Reorganised Statements'!E29</f>
        <v>-365</v>
      </c>
      <c r="D52" s="52">
        <f>'Reorganised Statements'!F29</f>
        <v>-319</v>
      </c>
      <c r="E52" s="52">
        <f>'Reorganised Statements'!G29</f>
        <v>-314</v>
      </c>
      <c r="F52" s="371">
        <f>'Reorganised Statements'!H29</f>
        <v>-307</v>
      </c>
      <c r="G52" s="52">
        <f t="shared" ref="G52:K53" si="17">F52</f>
        <v>-307</v>
      </c>
      <c r="H52" s="52">
        <f t="shared" si="17"/>
        <v>-307</v>
      </c>
      <c r="I52" s="52">
        <f t="shared" si="17"/>
        <v>-307</v>
      </c>
      <c r="J52" s="52">
        <f t="shared" si="17"/>
        <v>-307</v>
      </c>
      <c r="K52" s="371">
        <f t="shared" si="17"/>
        <v>-307</v>
      </c>
      <c r="L52" s="278"/>
      <c r="M52" s="1"/>
      <c r="N52" s="1"/>
      <c r="O52" s="1"/>
      <c r="P52" s="1"/>
    </row>
    <row r="53" spans="1:16">
      <c r="A53" s="753" t="s">
        <v>692</v>
      </c>
      <c r="B53" s="101">
        <f>'Reorganised Statements'!D30</f>
        <v>-576</v>
      </c>
      <c r="C53" s="101">
        <f>'Reorganised Statements'!E30</f>
        <v>-671</v>
      </c>
      <c r="D53" s="101">
        <f>'Reorganised Statements'!F30</f>
        <v>-625</v>
      </c>
      <c r="E53" s="101">
        <f>'Reorganised Statements'!G30</f>
        <v>-642</v>
      </c>
      <c r="F53" s="99">
        <f>'Reorganised Statements'!H30</f>
        <v>-676</v>
      </c>
      <c r="G53" s="101">
        <f t="shared" si="17"/>
        <v>-676</v>
      </c>
      <c r="H53" s="101">
        <f t="shared" si="17"/>
        <v>-676</v>
      </c>
      <c r="I53" s="101">
        <f t="shared" si="17"/>
        <v>-676</v>
      </c>
      <c r="J53" s="101">
        <f t="shared" si="17"/>
        <v>-676</v>
      </c>
      <c r="K53" s="99">
        <f t="shared" si="17"/>
        <v>-676</v>
      </c>
      <c r="L53" s="279"/>
      <c r="M53" s="1"/>
      <c r="N53" s="1"/>
      <c r="O53" s="1"/>
      <c r="P53" s="1"/>
    </row>
    <row r="54" spans="1:16">
      <c r="A54" s="749" t="s">
        <v>693</v>
      </c>
      <c r="B54" s="100"/>
      <c r="C54" s="100"/>
      <c r="D54" s="100"/>
      <c r="E54" s="100"/>
      <c r="F54" s="465"/>
      <c r="G54" s="754">
        <f>G40+G49+G51+G52+G53</f>
        <v>7187.4909916505376</v>
      </c>
      <c r="H54" s="754">
        <f t="shared" ref="H54:K54" si="18">H40+H49+H51+H52+H53</f>
        <v>7448.2036307892631</v>
      </c>
      <c r="I54" s="754">
        <f t="shared" si="18"/>
        <v>7704.6144456220136</v>
      </c>
      <c r="J54" s="754">
        <f t="shared" si="18"/>
        <v>7957.1768014182398</v>
      </c>
      <c r="K54" s="469">
        <f t="shared" si="18"/>
        <v>8205.8609481057774</v>
      </c>
      <c r="L54" s="767"/>
      <c r="M54" s="1"/>
      <c r="N54" s="1"/>
      <c r="O54" s="1"/>
      <c r="P54" s="1"/>
    </row>
    <row r="55" spans="1:16">
      <c r="A55" s="490"/>
      <c r="B55" s="52"/>
      <c r="C55" s="52"/>
      <c r="D55" s="52"/>
      <c r="E55" s="52"/>
      <c r="F55" s="371"/>
      <c r="G55" s="52"/>
      <c r="H55" s="52"/>
      <c r="I55" s="52"/>
      <c r="J55" s="52"/>
      <c r="K55" s="371"/>
      <c r="L55" s="278"/>
      <c r="M55" s="1"/>
      <c r="N55" s="1"/>
      <c r="O55" s="1"/>
      <c r="P55" s="1"/>
    </row>
    <row r="56" spans="1:16">
      <c r="A56" s="752" t="s">
        <v>338</v>
      </c>
      <c r="B56" s="379">
        <f>'Reorganised Statements'!D35</f>
        <v>-3259</v>
      </c>
      <c r="C56" s="379">
        <f>'Reorganised Statements'!E35</f>
        <v>-3279</v>
      </c>
      <c r="D56" s="379">
        <f>'Reorganised Statements'!F35</f>
        <v>-3013</v>
      </c>
      <c r="E56" s="379">
        <f>'Reorganised Statements'!G35</f>
        <v>-3523</v>
      </c>
      <c r="F56" s="464">
        <f>'Reorganised Statements'!H35</f>
        <v>-3651</v>
      </c>
      <c r="G56" s="527">
        <f>-'Forecasts Simone'!G174</f>
        <v>-3786.9434454205243</v>
      </c>
      <c r="H56" s="527">
        <f>-'Forecasts Simone'!H174</f>
        <v>-3941.1384882434118</v>
      </c>
      <c r="I56" s="527">
        <f>-'Forecasts Simone'!I174</f>
        <v>-4128.7701167236673</v>
      </c>
      <c r="J56" s="527">
        <f>-'Forecasts Simone'!J174</f>
        <v>-4358.511267488414</v>
      </c>
      <c r="K56" s="528">
        <f>-'Forecasts Simone'!K174</f>
        <v>-4627.383372678979</v>
      </c>
      <c r="L56" s="768"/>
      <c r="M56" s="1"/>
      <c r="N56" s="1"/>
      <c r="O56" s="1"/>
      <c r="P56" s="1"/>
    </row>
    <row r="57" spans="1:16">
      <c r="A57" s="490"/>
      <c r="B57" s="52"/>
      <c r="C57" s="52"/>
      <c r="D57" s="52"/>
      <c r="E57" s="52"/>
      <c r="F57" s="371"/>
      <c r="G57" s="52"/>
      <c r="H57" s="52"/>
      <c r="I57" s="52"/>
      <c r="J57" s="52"/>
      <c r="K57" s="371"/>
      <c r="L57" s="278"/>
      <c r="M57" s="1"/>
      <c r="N57" s="1"/>
      <c r="O57" s="1"/>
      <c r="P57" s="1"/>
    </row>
    <row r="58" spans="1:16">
      <c r="A58" s="490" t="s">
        <v>694</v>
      </c>
      <c r="B58" s="52">
        <f>'Reorganised Statements'!D39</f>
        <v>-3781</v>
      </c>
      <c r="C58" s="52">
        <f>'Reorganised Statements'!E39</f>
        <v>-3795</v>
      </c>
      <c r="D58" s="52">
        <f>'Reorganised Statements'!F39</f>
        <v>-3938</v>
      </c>
      <c r="E58" s="52">
        <f>'Reorganised Statements'!G39</f>
        <v>-3678</v>
      </c>
      <c r="F58" s="371">
        <f>'Reorganised Statements'!H39</f>
        <v>-3611</v>
      </c>
      <c r="G58" s="751">
        <f>'Forecasts Simone'!G126</f>
        <v>-3851.4393811435498</v>
      </c>
      <c r="H58" s="751">
        <f>'Forecasts Simone'!H126</f>
        <v>-3978.5442191171983</v>
      </c>
      <c r="I58" s="751">
        <f>'Forecasts Simone'!I126</f>
        <v>-4109.8437589250243</v>
      </c>
      <c r="J58" s="751">
        <f>'Forecasts Simone'!J126</f>
        <v>-4245.4764337199913</v>
      </c>
      <c r="K58" s="508">
        <f>'Forecasts Simone'!K126</f>
        <v>-4388.8739353367855</v>
      </c>
      <c r="L58" s="278"/>
      <c r="M58" s="1"/>
      <c r="N58" s="1"/>
      <c r="O58" s="1"/>
      <c r="P58" s="1"/>
    </row>
    <row r="59" spans="1:16">
      <c r="A59" s="753" t="s">
        <v>695</v>
      </c>
      <c r="B59" s="101">
        <f>'Reorganised Statements'!D41</f>
        <v>636</v>
      </c>
      <c r="C59" s="101">
        <f>'Reorganised Statements'!E41</f>
        <v>402</v>
      </c>
      <c r="D59" s="101">
        <f>'Reorganised Statements'!F41</f>
        <v>691</v>
      </c>
      <c r="E59" s="101">
        <f>'Reorganised Statements'!G41</f>
        <v>624</v>
      </c>
      <c r="F59" s="99">
        <f>'Reorganised Statements'!H41</f>
        <v>434</v>
      </c>
      <c r="G59" s="495">
        <f>G60-G58</f>
        <v>569.5923278005007</v>
      </c>
      <c r="H59" s="495">
        <f t="shared" ref="H59:K59" si="19">H60-H58</f>
        <v>588.38995989892419</v>
      </c>
      <c r="I59" s="495">
        <f t="shared" si="19"/>
        <v>607.80794967293696</v>
      </c>
      <c r="J59" s="495">
        <f t="shared" si="19"/>
        <v>627.86677010784024</v>
      </c>
      <c r="K59" s="496">
        <f t="shared" si="19"/>
        <v>649.07393674444256</v>
      </c>
      <c r="L59" s="279"/>
      <c r="M59" s="1"/>
      <c r="N59" s="1"/>
      <c r="O59" s="1"/>
      <c r="P59" s="1"/>
    </row>
    <row r="60" spans="1:16">
      <c r="A60" s="749" t="s">
        <v>696</v>
      </c>
      <c r="B60" s="100">
        <f>B58+B59</f>
        <v>-3145</v>
      </c>
      <c r="C60" s="100">
        <f>C58+C59</f>
        <v>-3393</v>
      </c>
      <c r="D60" s="100">
        <f>D58+D59</f>
        <v>-3247</v>
      </c>
      <c r="E60" s="100">
        <f>E58+E59</f>
        <v>-3054</v>
      </c>
      <c r="F60" s="465">
        <f>F58+F59</f>
        <v>-3177</v>
      </c>
      <c r="G60" s="750">
        <f>'Forecasts Simone'!G128</f>
        <v>-3281.8470533430491</v>
      </c>
      <c r="H60" s="750">
        <f>'Forecasts Simone'!H128</f>
        <v>-3390.1542592182741</v>
      </c>
      <c r="I60" s="750">
        <f>'Forecasts Simone'!I128</f>
        <v>-3502.0358092520873</v>
      </c>
      <c r="J60" s="750">
        <f>'Forecasts Simone'!J128</f>
        <v>-3617.6096636121511</v>
      </c>
      <c r="K60" s="503">
        <f>'Forecasts Simone'!K128</f>
        <v>-3739.7999985923429</v>
      </c>
      <c r="L60" s="767"/>
      <c r="M60" s="1"/>
      <c r="N60" s="1"/>
      <c r="O60" s="1"/>
      <c r="P60" s="1"/>
    </row>
    <row r="61" spans="1:16">
      <c r="A61" s="490"/>
      <c r="B61" s="52"/>
      <c r="C61" s="52"/>
      <c r="D61" s="52"/>
      <c r="E61" s="52"/>
      <c r="F61" s="371"/>
      <c r="G61" s="52"/>
      <c r="H61" s="52"/>
      <c r="I61" s="52"/>
      <c r="J61" s="52"/>
      <c r="K61" s="371"/>
      <c r="L61" s="278"/>
      <c r="M61" s="1"/>
      <c r="N61" s="1"/>
      <c r="O61" s="1"/>
      <c r="P61" s="1"/>
    </row>
    <row r="62" spans="1:16" ht="15" thickBot="1">
      <c r="A62" s="769" t="s">
        <v>697</v>
      </c>
      <c r="B62" s="770"/>
      <c r="C62" s="770"/>
      <c r="D62" s="770"/>
      <c r="E62" s="770"/>
      <c r="F62" s="771"/>
      <c r="G62" s="772">
        <f>G56+G60</f>
        <v>-7068.7904987635739</v>
      </c>
      <c r="H62" s="772">
        <f t="shared" ref="H62:K62" si="20">H56+H60</f>
        <v>-7331.2927474616863</v>
      </c>
      <c r="I62" s="772">
        <f t="shared" si="20"/>
        <v>-7630.8059259757547</v>
      </c>
      <c r="J62" s="772">
        <f t="shared" si="20"/>
        <v>-7976.120931100565</v>
      </c>
      <c r="K62" s="773">
        <f t="shared" si="20"/>
        <v>-8367.1833712713214</v>
      </c>
      <c r="L62" s="281"/>
      <c r="M62" s="559"/>
      <c r="N62" s="1"/>
      <c r="O62" s="1"/>
      <c r="P62" s="1"/>
    </row>
    <row r="63" spans="1:16">
      <c r="A63" s="52"/>
      <c r="B63" s="1"/>
      <c r="C63" s="1"/>
      <c r="D63" s="1"/>
      <c r="E63" s="1"/>
      <c r="F63" s="52"/>
      <c r="G63" s="1"/>
      <c r="H63" s="1"/>
      <c r="I63" s="1"/>
      <c r="J63" s="1"/>
      <c r="K63" s="52"/>
      <c r="L63" s="1"/>
      <c r="M63" s="1"/>
      <c r="N63" s="1"/>
      <c r="O63" s="1"/>
      <c r="P63" s="1"/>
    </row>
    <row r="64" spans="1:16">
      <c r="A64" s="52"/>
      <c r="B64" s="1"/>
      <c r="C64" s="1"/>
      <c r="D64" s="1"/>
      <c r="E64" s="1"/>
      <c r="F64" s="52"/>
      <c r="G64" s="1"/>
      <c r="H64" s="1"/>
      <c r="I64" s="1"/>
      <c r="J64" s="1"/>
      <c r="K64" s="52"/>
      <c r="L64" s="1"/>
      <c r="M64" s="1"/>
      <c r="N64" s="1"/>
      <c r="O64" s="1"/>
      <c r="P64" s="1"/>
    </row>
    <row r="65" spans="1:16" ht="15" thickBot="1">
      <c r="A65" s="1"/>
      <c r="B65" s="1"/>
      <c r="C65" s="1"/>
      <c r="D65" s="1"/>
      <c r="E65" s="1"/>
      <c r="F65" s="1"/>
      <c r="G65" s="1"/>
      <c r="H65" s="1"/>
      <c r="I65" s="1"/>
      <c r="J65" s="1"/>
      <c r="K65" s="52"/>
      <c r="L65" s="1"/>
      <c r="M65" s="1"/>
      <c r="N65" s="1"/>
      <c r="O65" s="1"/>
      <c r="P65" s="1"/>
    </row>
    <row r="66" spans="1:16">
      <c r="A66" s="774" t="s">
        <v>698</v>
      </c>
      <c r="B66" s="757"/>
      <c r="C66" s="757"/>
      <c r="D66" s="757"/>
      <c r="E66" s="757"/>
      <c r="F66" s="758"/>
      <c r="G66" s="757" t="s">
        <v>758</v>
      </c>
      <c r="H66" s="757"/>
      <c r="I66" s="757"/>
      <c r="J66" s="757"/>
      <c r="K66" s="758"/>
      <c r="L66" s="759" t="s">
        <v>669</v>
      </c>
      <c r="M66" s="1"/>
      <c r="N66" s="1"/>
      <c r="O66" s="1"/>
      <c r="P66" s="1"/>
    </row>
    <row r="67" spans="1:16" ht="15" thickBot="1">
      <c r="A67" s="764"/>
      <c r="B67" s="760">
        <v>2015</v>
      </c>
      <c r="C67" s="760">
        <v>2016</v>
      </c>
      <c r="D67" s="760">
        <v>2017</v>
      </c>
      <c r="E67" s="760">
        <v>2018</v>
      </c>
      <c r="F67" s="762">
        <v>2019</v>
      </c>
      <c r="G67" s="760">
        <v>2020</v>
      </c>
      <c r="H67" s="760">
        <v>2021</v>
      </c>
      <c r="I67" s="760">
        <v>2022</v>
      </c>
      <c r="J67" s="760">
        <v>2023</v>
      </c>
      <c r="K67" s="762">
        <v>2024</v>
      </c>
      <c r="L67" s="761"/>
      <c r="M67" s="1"/>
      <c r="N67" s="1"/>
      <c r="O67" s="1"/>
      <c r="P67" s="1"/>
    </row>
    <row r="68" spans="1:16">
      <c r="A68" s="490"/>
      <c r="B68" s="52"/>
      <c r="C68" s="52"/>
      <c r="D68" s="52"/>
      <c r="E68" s="52"/>
      <c r="F68" s="371"/>
      <c r="G68" s="52"/>
      <c r="H68" s="52"/>
      <c r="I68" s="52"/>
      <c r="J68" s="52"/>
      <c r="K68" s="371"/>
      <c r="L68" s="278"/>
      <c r="M68" s="1"/>
      <c r="N68" s="1"/>
      <c r="O68" s="1"/>
      <c r="P68" s="1"/>
    </row>
    <row r="69" spans="1:16">
      <c r="A69" s="490" t="s">
        <v>303</v>
      </c>
      <c r="B69" s="751"/>
      <c r="C69" s="751">
        <f>'Output forecasts Simone '!C18</f>
        <v>443</v>
      </c>
      <c r="D69" s="751">
        <f>'Output forecasts Simone '!D18</f>
        <v>710</v>
      </c>
      <c r="E69" s="751">
        <f>'Output forecasts Simone '!E18</f>
        <v>588</v>
      </c>
      <c r="F69" s="508">
        <f>'Output forecasts Simone '!F18</f>
        <v>687</v>
      </c>
      <c r="G69" s="751"/>
      <c r="H69" s="751"/>
      <c r="I69" s="751"/>
      <c r="J69" s="751"/>
      <c r="K69" s="508"/>
      <c r="L69" s="278"/>
      <c r="M69" s="1"/>
      <c r="N69" s="1"/>
      <c r="O69" s="1"/>
      <c r="P69" s="1"/>
    </row>
    <row r="70" spans="1:16">
      <c r="A70" s="490" t="s">
        <v>347</v>
      </c>
      <c r="B70" s="751"/>
      <c r="C70" s="751">
        <f>C24</f>
        <v>-122</v>
      </c>
      <c r="D70" s="751">
        <f t="shared" ref="D70:F70" si="21">D24</f>
        <v>-192</v>
      </c>
      <c r="E70" s="751">
        <f t="shared" si="21"/>
        <v>-157</v>
      </c>
      <c r="F70" s="508">
        <f t="shared" si="21"/>
        <v>-189</v>
      </c>
      <c r="G70" s="751"/>
      <c r="H70" s="751"/>
      <c r="I70" s="751"/>
      <c r="J70" s="751"/>
      <c r="K70" s="508"/>
      <c r="L70" s="278"/>
      <c r="M70" s="1"/>
      <c r="N70" s="1"/>
      <c r="O70" s="1"/>
      <c r="P70" s="1"/>
    </row>
    <row r="71" spans="1:16">
      <c r="A71" s="753" t="s">
        <v>376</v>
      </c>
      <c r="B71" s="495"/>
      <c r="C71" s="495">
        <f>-C21*(C24/C22)</f>
        <v>-39.814371257485028</v>
      </c>
      <c r="D71" s="495">
        <f t="shared" ref="D71:F71" si="22">-D21*(D24/D22)</f>
        <v>-44.666666666666664</v>
      </c>
      <c r="E71" s="495">
        <f t="shared" si="22"/>
        <v>-31.400000000000002</v>
      </c>
      <c r="F71" s="496">
        <f t="shared" si="22"/>
        <v>-34.481927710843372</v>
      </c>
      <c r="G71" s="479"/>
      <c r="H71" s="479"/>
      <c r="I71" s="479"/>
      <c r="J71" s="479"/>
      <c r="K71" s="480"/>
      <c r="L71" s="278"/>
      <c r="M71" s="1"/>
      <c r="N71" s="1"/>
      <c r="O71" s="1"/>
      <c r="P71" s="1"/>
    </row>
    <row r="72" spans="1:16">
      <c r="A72" s="490" t="s">
        <v>348</v>
      </c>
      <c r="B72" s="751"/>
      <c r="C72" s="751">
        <f>SUM(C69:C71)</f>
        <v>281.18562874251495</v>
      </c>
      <c r="D72" s="751">
        <f t="shared" ref="D72:F72" si="23">SUM(D69:D71)</f>
        <v>473.33333333333331</v>
      </c>
      <c r="E72" s="751">
        <f t="shared" si="23"/>
        <v>399.6</v>
      </c>
      <c r="F72" s="508">
        <f t="shared" si="23"/>
        <v>463.51807228915663</v>
      </c>
      <c r="G72" s="751"/>
      <c r="H72" s="751"/>
      <c r="I72" s="751"/>
      <c r="J72" s="751"/>
      <c r="K72" s="508"/>
      <c r="L72" s="278"/>
      <c r="M72" s="1"/>
      <c r="N72" s="1"/>
      <c r="O72" s="1"/>
      <c r="P72" s="1"/>
    </row>
    <row r="73" spans="1:16">
      <c r="A73" s="490"/>
      <c r="B73" s="751"/>
      <c r="C73" s="751"/>
      <c r="D73" s="751"/>
      <c r="E73" s="751"/>
      <c r="F73" s="508"/>
      <c r="G73" s="52"/>
      <c r="H73" s="52"/>
      <c r="I73" s="52"/>
      <c r="J73" s="52"/>
      <c r="K73" s="371"/>
      <c r="L73" s="278"/>
      <c r="M73" s="1"/>
      <c r="N73" s="1"/>
      <c r="O73" s="1"/>
      <c r="P73" s="1"/>
    </row>
    <row r="74" spans="1:16">
      <c r="A74" s="490" t="s">
        <v>370</v>
      </c>
      <c r="B74" s="751"/>
      <c r="C74" s="751">
        <f>B42-C42</f>
        <v>25</v>
      </c>
      <c r="D74" s="751">
        <f t="shared" ref="D74:F74" si="24">C42-D42</f>
        <v>12</v>
      </c>
      <c r="E74" s="751">
        <f t="shared" si="24"/>
        <v>-40</v>
      </c>
      <c r="F74" s="508">
        <f t="shared" si="24"/>
        <v>3</v>
      </c>
      <c r="G74" s="52"/>
      <c r="H74" s="52"/>
      <c r="I74" s="52"/>
      <c r="J74" s="52"/>
      <c r="K74" s="371"/>
      <c r="L74" s="278"/>
      <c r="M74" s="1"/>
      <c r="N74" s="1"/>
      <c r="O74" s="1"/>
      <c r="P74" s="1"/>
    </row>
    <row r="75" spans="1:16">
      <c r="A75" s="490" t="s">
        <v>349</v>
      </c>
      <c r="B75" s="751"/>
      <c r="C75" s="751">
        <f>B43-C43</f>
        <v>-336</v>
      </c>
      <c r="D75" s="751">
        <f t="shared" ref="D75:F75" si="25">C43-D43</f>
        <v>150</v>
      </c>
      <c r="E75" s="751">
        <f t="shared" si="25"/>
        <v>-110</v>
      </c>
      <c r="F75" s="508">
        <f t="shared" si="25"/>
        <v>-71</v>
      </c>
      <c r="G75" s="52"/>
      <c r="H75" s="52"/>
      <c r="I75" s="52"/>
      <c r="J75" s="52"/>
      <c r="K75" s="371"/>
      <c r="L75" s="278"/>
      <c r="M75" s="1"/>
      <c r="N75" s="1"/>
      <c r="O75" s="1"/>
      <c r="P75" s="1"/>
    </row>
    <row r="76" spans="1:16">
      <c r="A76" s="753" t="s">
        <v>369</v>
      </c>
      <c r="B76" s="495"/>
      <c r="C76" s="495">
        <f>B44-C44</f>
        <v>214</v>
      </c>
      <c r="D76" s="495">
        <f t="shared" ref="D76:F76" si="26">C44-D44</f>
        <v>-3</v>
      </c>
      <c r="E76" s="495">
        <f t="shared" si="26"/>
        <v>32</v>
      </c>
      <c r="F76" s="496">
        <f t="shared" si="26"/>
        <v>68</v>
      </c>
      <c r="G76" s="101"/>
      <c r="H76" s="101"/>
      <c r="I76" s="101"/>
      <c r="J76" s="101"/>
      <c r="K76" s="99"/>
      <c r="L76" s="278"/>
      <c r="M76" s="1"/>
      <c r="N76" s="1"/>
      <c r="O76" s="1"/>
      <c r="P76" s="1"/>
    </row>
    <row r="77" spans="1:16">
      <c r="A77" s="490" t="s">
        <v>371</v>
      </c>
      <c r="B77" s="751"/>
      <c r="C77" s="751">
        <f>C74+C75+C76</f>
        <v>-97</v>
      </c>
      <c r="D77" s="751">
        <f t="shared" ref="D77:F77" si="27">D74+D75+D76</f>
        <v>159</v>
      </c>
      <c r="E77" s="751">
        <f t="shared" si="27"/>
        <v>-118</v>
      </c>
      <c r="F77" s="508">
        <f t="shared" si="27"/>
        <v>0</v>
      </c>
      <c r="G77" s="52"/>
      <c r="H77" s="52"/>
      <c r="I77" s="52"/>
      <c r="J77" s="52"/>
      <c r="K77" s="371"/>
      <c r="L77" s="278"/>
      <c r="M77" s="1"/>
      <c r="N77" s="1"/>
      <c r="O77" s="1"/>
      <c r="P77" s="1"/>
    </row>
    <row r="78" spans="1:16">
      <c r="A78" s="490"/>
      <c r="B78" s="751"/>
      <c r="C78" s="751"/>
      <c r="D78" s="751"/>
      <c r="E78" s="751"/>
      <c r="F78" s="508"/>
      <c r="G78" s="52"/>
      <c r="H78" s="52"/>
      <c r="I78" s="52"/>
      <c r="J78" s="52"/>
      <c r="K78" s="371"/>
      <c r="L78" s="278"/>
      <c r="M78" s="1"/>
      <c r="N78" s="1"/>
      <c r="O78" s="1"/>
      <c r="P78" s="1"/>
    </row>
    <row r="79" spans="1:16">
      <c r="A79" s="490" t="s">
        <v>350</v>
      </c>
      <c r="B79" s="751"/>
      <c r="C79" s="751">
        <f>B47-C47</f>
        <v>-59</v>
      </c>
      <c r="D79" s="751">
        <f t="shared" ref="D79:F79" si="28">C47-D47</f>
        <v>132</v>
      </c>
      <c r="E79" s="751">
        <f t="shared" si="28"/>
        <v>53</v>
      </c>
      <c r="F79" s="508">
        <f t="shared" si="28"/>
        <v>-155</v>
      </c>
      <c r="G79" s="52"/>
      <c r="H79" s="52"/>
      <c r="I79" s="52"/>
      <c r="J79" s="52"/>
      <c r="K79" s="371"/>
      <c r="L79" s="278"/>
      <c r="M79" s="1"/>
      <c r="N79" s="1"/>
      <c r="O79" s="1"/>
      <c r="P79" s="1"/>
    </row>
    <row r="80" spans="1:16">
      <c r="A80" s="753" t="s">
        <v>351</v>
      </c>
      <c r="B80" s="495"/>
      <c r="C80" s="495">
        <f>B48-C48</f>
        <v>210</v>
      </c>
      <c r="D80" s="495">
        <f t="shared" ref="D80:F80" si="29">C48-D48</f>
        <v>-220</v>
      </c>
      <c r="E80" s="495">
        <f t="shared" si="29"/>
        <v>90</v>
      </c>
      <c r="F80" s="496">
        <f t="shared" si="29"/>
        <v>236</v>
      </c>
      <c r="G80" s="101"/>
      <c r="H80" s="101"/>
      <c r="I80" s="101"/>
      <c r="J80" s="101"/>
      <c r="K80" s="99"/>
      <c r="L80" s="278"/>
      <c r="M80" s="1"/>
      <c r="N80" s="1"/>
      <c r="O80" s="1"/>
      <c r="P80" s="1"/>
    </row>
    <row r="81" spans="1:16">
      <c r="A81" s="490" t="s">
        <v>372</v>
      </c>
      <c r="B81" s="751"/>
      <c r="C81" s="751">
        <f>C77+C79+C80</f>
        <v>54</v>
      </c>
      <c r="D81" s="751">
        <f t="shared" ref="D81:F81" si="30">D77+D79+D80</f>
        <v>71</v>
      </c>
      <c r="E81" s="751">
        <f t="shared" si="30"/>
        <v>25</v>
      </c>
      <c r="F81" s="508">
        <f t="shared" si="30"/>
        <v>81</v>
      </c>
      <c r="G81" s="701"/>
      <c r="H81" s="701"/>
      <c r="I81" s="701"/>
      <c r="J81" s="701"/>
      <c r="K81" s="481"/>
      <c r="L81" s="278"/>
      <c r="M81" s="1"/>
      <c r="N81" s="1"/>
      <c r="O81" s="1"/>
      <c r="P81" s="1"/>
    </row>
    <row r="82" spans="1:16">
      <c r="A82" s="490"/>
      <c r="B82" s="751"/>
      <c r="C82" s="751"/>
      <c r="D82" s="751"/>
      <c r="E82" s="751"/>
      <c r="F82" s="508"/>
      <c r="G82" s="52"/>
      <c r="H82" s="52"/>
      <c r="I82" s="52"/>
      <c r="J82" s="52"/>
      <c r="K82" s="371"/>
      <c r="L82" s="278"/>
      <c r="M82" s="1"/>
      <c r="N82" s="1"/>
      <c r="O82" s="1"/>
      <c r="P82" s="1"/>
    </row>
    <row r="83" spans="1:16">
      <c r="A83" s="490" t="s">
        <v>352</v>
      </c>
      <c r="B83" s="751"/>
      <c r="C83" s="751">
        <f>B37-C37+B38-C38+C16</f>
        <v>-1066</v>
      </c>
      <c r="D83" s="751">
        <f t="shared" ref="D83:F83" si="31">C37-D37+C38-D38+D16</f>
        <v>-80</v>
      </c>
      <c r="E83" s="751">
        <f t="shared" si="31"/>
        <v>-1076</v>
      </c>
      <c r="F83" s="508">
        <f t="shared" si="31"/>
        <v>-837</v>
      </c>
      <c r="G83" s="701"/>
      <c r="H83" s="701"/>
      <c r="I83" s="701"/>
      <c r="J83" s="701"/>
      <c r="K83" s="481"/>
      <c r="L83" s="278"/>
      <c r="M83" s="1"/>
      <c r="N83" s="1"/>
      <c r="O83" s="1"/>
      <c r="P83" s="1"/>
    </row>
    <row r="84" spans="1:16">
      <c r="A84" s="490" t="s">
        <v>353</v>
      </c>
      <c r="B84" s="751"/>
      <c r="C84" s="751">
        <f>-C16</f>
        <v>648</v>
      </c>
      <c r="D84" s="751">
        <f t="shared" ref="D84:F84" si="32">-D16</f>
        <v>444</v>
      </c>
      <c r="E84" s="751">
        <f t="shared" si="32"/>
        <v>623</v>
      </c>
      <c r="F84" s="508">
        <f t="shared" si="32"/>
        <v>511</v>
      </c>
      <c r="G84" s="751"/>
      <c r="H84" s="751"/>
      <c r="I84" s="751"/>
      <c r="J84" s="751"/>
      <c r="K84" s="508"/>
      <c r="L84" s="278"/>
      <c r="M84" s="1"/>
      <c r="N84" s="1"/>
      <c r="O84" s="1"/>
      <c r="P84" s="1"/>
    </row>
    <row r="85" spans="1:16">
      <c r="A85" s="490" t="s">
        <v>354</v>
      </c>
      <c r="B85" s="751"/>
      <c r="C85" s="751">
        <f>B53-C53</f>
        <v>95</v>
      </c>
      <c r="D85" s="751">
        <f t="shared" ref="D85:F85" si="33">C53-D53</f>
        <v>-46</v>
      </c>
      <c r="E85" s="751">
        <f t="shared" si="33"/>
        <v>17</v>
      </c>
      <c r="F85" s="508">
        <f t="shared" si="33"/>
        <v>34</v>
      </c>
      <c r="G85" s="52"/>
      <c r="H85" s="52"/>
      <c r="I85" s="52"/>
      <c r="J85" s="52"/>
      <c r="K85" s="371"/>
      <c r="L85" s="278"/>
      <c r="M85" s="1"/>
      <c r="N85" s="1"/>
      <c r="O85" s="1"/>
      <c r="P85" s="1"/>
    </row>
    <row r="86" spans="1:16">
      <c r="A86" s="490" t="s">
        <v>355</v>
      </c>
      <c r="B86" s="751"/>
      <c r="C86" s="751">
        <f>B52-C52</f>
        <v>33</v>
      </c>
      <c r="D86" s="751">
        <f t="shared" ref="D86:F86" si="34">C52-D52</f>
        <v>-46</v>
      </c>
      <c r="E86" s="751">
        <f t="shared" si="34"/>
        <v>-5</v>
      </c>
      <c r="F86" s="508">
        <f t="shared" si="34"/>
        <v>-7</v>
      </c>
      <c r="G86" s="52"/>
      <c r="H86" s="52"/>
      <c r="I86" s="52"/>
      <c r="J86" s="52"/>
      <c r="K86" s="371"/>
      <c r="L86" s="278"/>
      <c r="M86" s="1"/>
      <c r="N86" s="1"/>
      <c r="O86" s="1"/>
      <c r="P86" s="1"/>
    </row>
    <row r="87" spans="1:16">
      <c r="A87" s="490" t="s">
        <v>368</v>
      </c>
      <c r="B87" s="751"/>
      <c r="C87" s="751">
        <f>B51-C51</f>
        <v>-33</v>
      </c>
      <c r="D87" s="751">
        <f t="shared" ref="D87:F87" si="35">C51-D51</f>
        <v>40</v>
      </c>
      <c r="E87" s="751">
        <f t="shared" si="35"/>
        <v>37</v>
      </c>
      <c r="F87" s="508">
        <f t="shared" si="35"/>
        <v>-13</v>
      </c>
      <c r="G87" s="52"/>
      <c r="H87" s="52"/>
      <c r="I87" s="52"/>
      <c r="J87" s="52"/>
      <c r="K87" s="371"/>
      <c r="L87" s="278"/>
      <c r="M87" s="1"/>
      <c r="N87" s="1"/>
      <c r="O87" s="1"/>
      <c r="P87" s="1"/>
    </row>
    <row r="88" spans="1:16">
      <c r="A88" s="753" t="s">
        <v>356</v>
      </c>
      <c r="B88" s="495"/>
      <c r="C88" s="495">
        <f>'Reorganised Statements'!D140</f>
        <v>20</v>
      </c>
      <c r="D88" s="495">
        <f>'Reorganised Statements'!E140</f>
        <v>-91</v>
      </c>
      <c r="E88" s="495">
        <f>'Reorganised Statements'!F140</f>
        <v>11</v>
      </c>
      <c r="F88" s="496">
        <f>'Reorganised Statements'!G140</f>
        <v>-3</v>
      </c>
      <c r="G88" s="495"/>
      <c r="H88" s="495"/>
      <c r="I88" s="495"/>
      <c r="J88" s="495"/>
      <c r="K88" s="496"/>
      <c r="L88" s="278"/>
      <c r="M88" s="1"/>
      <c r="N88" s="1"/>
      <c r="O88" s="1"/>
      <c r="P88" s="1"/>
    </row>
    <row r="89" spans="1:16">
      <c r="A89" s="490" t="s">
        <v>357</v>
      </c>
      <c r="B89" s="751"/>
      <c r="C89" s="751">
        <f>C72+C81+C83+C84+C85+C86+C87+C88</f>
        <v>32.18562874251495</v>
      </c>
      <c r="D89" s="751">
        <f t="shared" ref="D89:F89" si="36">D72+D81+D83+D84+D85+D86+D87+D88</f>
        <v>765.33333333333326</v>
      </c>
      <c r="E89" s="751">
        <f t="shared" si="36"/>
        <v>31.600000000000023</v>
      </c>
      <c r="F89" s="508">
        <f t="shared" si="36"/>
        <v>229.51807228915663</v>
      </c>
      <c r="G89" s="701"/>
      <c r="H89" s="701"/>
      <c r="I89" s="701"/>
      <c r="J89" s="701"/>
      <c r="K89" s="481"/>
      <c r="L89" s="278"/>
      <c r="M89" s="1"/>
      <c r="N89" s="1"/>
      <c r="O89" s="1"/>
      <c r="P89" s="1"/>
    </row>
    <row r="90" spans="1:16">
      <c r="A90" s="490" t="s">
        <v>358</v>
      </c>
      <c r="B90" s="751"/>
      <c r="C90" s="751"/>
      <c r="D90" s="751"/>
      <c r="E90" s="751"/>
      <c r="F90" s="508"/>
      <c r="G90" s="52"/>
      <c r="H90" s="52"/>
      <c r="I90" s="52"/>
      <c r="J90" s="52"/>
      <c r="K90" s="371"/>
      <c r="L90" s="278"/>
      <c r="M90" s="1"/>
      <c r="N90" s="1"/>
      <c r="O90" s="1"/>
      <c r="P90" s="1"/>
    </row>
    <row r="91" spans="1:16">
      <c r="A91" s="490"/>
      <c r="B91" s="751"/>
      <c r="C91" s="751"/>
      <c r="D91" s="751"/>
      <c r="E91" s="751"/>
      <c r="F91" s="508"/>
      <c r="G91" s="52"/>
      <c r="H91" s="52"/>
      <c r="I91" s="52"/>
      <c r="J91" s="52"/>
      <c r="K91" s="371"/>
      <c r="L91" s="278"/>
      <c r="M91" s="1"/>
      <c r="N91" s="1"/>
      <c r="O91" s="1"/>
      <c r="P91" s="1"/>
    </row>
    <row r="92" spans="1:16">
      <c r="A92" s="490" t="s">
        <v>359</v>
      </c>
      <c r="B92" s="751"/>
      <c r="C92" s="751">
        <f>B39-C39+C21</f>
        <v>-108</v>
      </c>
      <c r="D92" s="751">
        <f t="shared" ref="D92:F92" si="37">C39-D39+D21</f>
        <v>-105</v>
      </c>
      <c r="E92" s="751">
        <f t="shared" si="37"/>
        <v>-36</v>
      </c>
      <c r="F92" s="508">
        <f t="shared" si="37"/>
        <v>-126</v>
      </c>
      <c r="G92" s="751"/>
      <c r="H92" s="751"/>
      <c r="I92" s="751"/>
      <c r="J92" s="751"/>
      <c r="K92" s="508"/>
      <c r="L92" s="278"/>
      <c r="M92" s="1"/>
      <c r="N92" s="1"/>
      <c r="O92" s="1"/>
      <c r="P92" s="1"/>
    </row>
    <row r="93" spans="1:16">
      <c r="A93" s="490" t="s">
        <v>360</v>
      </c>
      <c r="B93" s="751"/>
      <c r="C93" s="751">
        <f>B58-C58</f>
        <v>14</v>
      </c>
      <c r="D93" s="751">
        <f t="shared" ref="D93:F93" si="38">C58-D58</f>
        <v>143</v>
      </c>
      <c r="E93" s="751">
        <f t="shared" si="38"/>
        <v>-260</v>
      </c>
      <c r="F93" s="508">
        <f t="shared" si="38"/>
        <v>-67</v>
      </c>
      <c r="G93" s="751"/>
      <c r="H93" s="751"/>
      <c r="I93" s="751"/>
      <c r="J93" s="751"/>
      <c r="K93" s="508"/>
      <c r="L93" s="278"/>
      <c r="M93" s="1"/>
      <c r="N93" s="1"/>
      <c r="O93" s="1"/>
      <c r="P93" s="1"/>
    </row>
    <row r="94" spans="1:16">
      <c r="A94" s="753" t="s">
        <v>377</v>
      </c>
      <c r="B94" s="495"/>
      <c r="C94" s="495">
        <f>-C71</f>
        <v>39.814371257485028</v>
      </c>
      <c r="D94" s="495">
        <f t="shared" ref="D94:F94" si="39">-D71</f>
        <v>44.666666666666664</v>
      </c>
      <c r="E94" s="495">
        <f t="shared" si="39"/>
        <v>31.400000000000002</v>
      </c>
      <c r="F94" s="496">
        <f t="shared" si="39"/>
        <v>34.481927710843372</v>
      </c>
      <c r="G94" s="560"/>
      <c r="H94" s="560"/>
      <c r="I94" s="560"/>
      <c r="J94" s="560"/>
      <c r="K94" s="775"/>
      <c r="L94" s="278"/>
      <c r="M94" s="1"/>
      <c r="N94" s="1"/>
      <c r="O94" s="1"/>
      <c r="P94" s="1"/>
    </row>
    <row r="95" spans="1:16">
      <c r="A95" s="490" t="s">
        <v>361</v>
      </c>
      <c r="B95" s="751"/>
      <c r="C95" s="751">
        <f>C89+C92+C93+C94</f>
        <v>-22.000000000000021</v>
      </c>
      <c r="D95" s="751">
        <f t="shared" ref="D95:F95" si="40">D89+D92+D93+D94</f>
        <v>847.99999999999989</v>
      </c>
      <c r="E95" s="751">
        <f t="shared" si="40"/>
        <v>-232.99999999999997</v>
      </c>
      <c r="F95" s="508">
        <f t="shared" si="40"/>
        <v>71</v>
      </c>
      <c r="G95" s="701"/>
      <c r="H95" s="701"/>
      <c r="I95" s="701"/>
      <c r="J95" s="701"/>
      <c r="K95" s="481"/>
      <c r="L95" s="278"/>
      <c r="M95" s="1"/>
      <c r="N95" s="1"/>
      <c r="O95" s="1"/>
      <c r="P95" s="1"/>
    </row>
    <row r="96" spans="1:16">
      <c r="A96" s="490" t="s">
        <v>362</v>
      </c>
      <c r="B96" s="751"/>
      <c r="C96" s="751"/>
      <c r="D96" s="751"/>
      <c r="E96" s="751"/>
      <c r="F96" s="508"/>
      <c r="G96" s="52"/>
      <c r="H96" s="52"/>
      <c r="I96" s="52"/>
      <c r="J96" s="52"/>
      <c r="K96" s="371"/>
      <c r="L96" s="278"/>
      <c r="M96" s="1"/>
      <c r="N96" s="1"/>
      <c r="O96" s="1"/>
      <c r="P96" s="1"/>
    </row>
    <row r="97" spans="1:16">
      <c r="A97" s="490"/>
      <c r="B97" s="751"/>
      <c r="C97" s="751"/>
      <c r="D97" s="751"/>
      <c r="E97" s="751"/>
      <c r="F97" s="508"/>
      <c r="G97" s="52"/>
      <c r="H97" s="52"/>
      <c r="I97" s="52"/>
      <c r="J97" s="52"/>
      <c r="K97" s="371"/>
      <c r="L97" s="278"/>
      <c r="M97" s="1"/>
      <c r="N97" s="1"/>
      <c r="O97" s="1"/>
      <c r="P97" s="1"/>
    </row>
    <row r="98" spans="1:16">
      <c r="A98" s="753" t="s">
        <v>363</v>
      </c>
      <c r="B98" s="495"/>
      <c r="C98" s="495">
        <f>B56-C56-C27</f>
        <v>-212</v>
      </c>
      <c r="D98" s="495">
        <f t="shared" ref="D98:F98" si="41">C56-D56-D27</f>
        <v>-559</v>
      </c>
      <c r="E98" s="495">
        <f t="shared" si="41"/>
        <v>166</v>
      </c>
      <c r="F98" s="496">
        <f t="shared" si="41"/>
        <v>-261</v>
      </c>
      <c r="G98" s="479"/>
      <c r="H98" s="479"/>
      <c r="I98" s="479"/>
      <c r="J98" s="479"/>
      <c r="K98" s="480"/>
      <c r="L98" s="278"/>
      <c r="M98" s="559"/>
      <c r="N98" s="1"/>
      <c r="O98" s="1"/>
      <c r="P98" s="1"/>
    </row>
    <row r="99" spans="1:16">
      <c r="A99" s="490" t="s">
        <v>364</v>
      </c>
      <c r="B99" s="751"/>
      <c r="C99" s="751">
        <f>C95+C98</f>
        <v>-234.00000000000003</v>
      </c>
      <c r="D99" s="751">
        <f t="shared" ref="D99:F99" si="42">D95+D98</f>
        <v>288.99999999999989</v>
      </c>
      <c r="E99" s="751">
        <f t="shared" si="42"/>
        <v>-66.999999999999972</v>
      </c>
      <c r="F99" s="508">
        <f t="shared" si="42"/>
        <v>-190</v>
      </c>
      <c r="G99" s="701"/>
      <c r="H99" s="701"/>
      <c r="I99" s="701"/>
      <c r="J99" s="701"/>
      <c r="K99" s="481"/>
      <c r="L99" s="278"/>
      <c r="M99" s="561"/>
      <c r="N99" s="1"/>
      <c r="O99" s="1"/>
      <c r="P99" s="1"/>
    </row>
    <row r="100" spans="1:16">
      <c r="A100" s="257"/>
      <c r="B100" s="52"/>
      <c r="C100" s="52"/>
      <c r="D100" s="52"/>
      <c r="E100" s="52"/>
      <c r="F100" s="52"/>
      <c r="G100" s="52"/>
      <c r="H100" s="52"/>
      <c r="I100" s="52"/>
      <c r="J100" s="52"/>
      <c r="K100" s="52"/>
      <c r="L100" s="278"/>
      <c r="M100" s="1"/>
      <c r="N100" s="1"/>
      <c r="O100" s="1"/>
      <c r="P100" s="1"/>
    </row>
    <row r="101" spans="1:16" ht="15" thickBot="1">
      <c r="A101" s="269"/>
      <c r="B101" s="384"/>
      <c r="C101" s="384"/>
      <c r="D101" s="384"/>
      <c r="E101" s="384"/>
      <c r="F101" s="384"/>
      <c r="G101" s="384"/>
      <c r="H101" s="384"/>
      <c r="I101" s="384"/>
      <c r="J101" s="384"/>
      <c r="K101" s="384"/>
      <c r="L101" s="281"/>
      <c r="M101" s="1"/>
      <c r="N101" s="1"/>
      <c r="O101" s="1"/>
      <c r="P101" s="1"/>
    </row>
    <row r="102" spans="1:16">
      <c r="A102" s="1"/>
      <c r="B102" s="1"/>
      <c r="C102" s="1"/>
      <c r="D102" s="1"/>
      <c r="E102" s="1"/>
      <c r="F102" s="1"/>
      <c r="G102" s="1"/>
      <c r="H102" s="1"/>
      <c r="I102" s="1"/>
      <c r="J102" s="1"/>
      <c r="K102" s="1"/>
      <c r="L102" s="1"/>
      <c r="M102" s="1"/>
      <c r="N102" s="1"/>
      <c r="O102" s="1"/>
      <c r="P102" s="1"/>
    </row>
    <row r="103" spans="1:16">
      <c r="A103" s="1"/>
      <c r="B103" s="1"/>
      <c r="C103" s="1"/>
      <c r="D103" s="1"/>
      <c r="E103" s="1"/>
      <c r="F103" s="1"/>
      <c r="G103" s="1"/>
      <c r="H103" s="1"/>
      <c r="I103" s="1"/>
      <c r="J103" s="1"/>
      <c r="K103" s="1"/>
      <c r="L103" s="1"/>
      <c r="M103" s="1"/>
      <c r="N103" s="1"/>
      <c r="O103" s="1"/>
      <c r="P103" s="1"/>
    </row>
    <row r="104" spans="1:16">
      <c r="A104" s="1"/>
      <c r="B104" s="1"/>
      <c r="C104" s="1"/>
      <c r="D104" s="1"/>
      <c r="E104" s="1"/>
      <c r="F104" s="1"/>
      <c r="G104" s="1"/>
      <c r="H104" s="1"/>
      <c r="I104" s="1"/>
      <c r="J104" s="1"/>
      <c r="K104" s="1"/>
      <c r="L104" s="1"/>
      <c r="M104" s="1"/>
      <c r="N104" s="1"/>
      <c r="O104" s="1"/>
      <c r="P104" s="1"/>
    </row>
    <row r="105" spans="1:16">
      <c r="A105" s="1"/>
      <c r="B105" s="1"/>
      <c r="C105" s="1"/>
      <c r="D105" s="1"/>
      <c r="E105" s="1"/>
      <c r="F105" s="1"/>
      <c r="G105" s="1"/>
      <c r="H105" s="1"/>
      <c r="I105" s="1"/>
      <c r="J105" s="1"/>
      <c r="K105" s="1"/>
      <c r="L105" s="1"/>
      <c r="M105" s="1"/>
      <c r="N105" s="1"/>
      <c r="O105" s="1"/>
      <c r="P105" s="1"/>
    </row>
    <row r="106" spans="1:16">
      <c r="A106" s="1"/>
      <c r="B106" s="1"/>
      <c r="C106" s="1"/>
      <c r="D106" s="1"/>
      <c r="E106" s="1"/>
      <c r="F106" s="1"/>
      <c r="G106" s="1"/>
      <c r="H106" s="1"/>
      <c r="I106" s="1"/>
      <c r="J106" s="1"/>
      <c r="K106" s="1"/>
      <c r="L106" s="1"/>
      <c r="M106" s="1"/>
      <c r="N106" s="1"/>
      <c r="O106" s="1"/>
      <c r="P106" s="1"/>
    </row>
    <row r="107" spans="1:16">
      <c r="A107" s="1"/>
      <c r="B107" s="1"/>
      <c r="C107" s="1"/>
      <c r="D107" s="1"/>
      <c r="E107" s="1"/>
      <c r="F107" s="1"/>
      <c r="G107" s="1"/>
      <c r="H107" s="1"/>
      <c r="I107" s="1"/>
      <c r="J107" s="1"/>
      <c r="K107" s="1"/>
      <c r="L107" s="1"/>
      <c r="M107" s="1"/>
      <c r="N107" s="1"/>
      <c r="O107" s="1"/>
      <c r="P107" s="1"/>
    </row>
    <row r="108" spans="1:16">
      <c r="A108" s="1"/>
      <c r="B108" s="1"/>
      <c r="C108" s="1"/>
      <c r="D108" s="1"/>
      <c r="E108" s="1"/>
      <c r="F108" s="1"/>
      <c r="G108" s="1"/>
      <c r="H108" s="1"/>
      <c r="I108" s="1"/>
      <c r="J108" s="1"/>
      <c r="K108" s="1"/>
      <c r="L108" s="1"/>
      <c r="M108" s="1"/>
      <c r="N108" s="1"/>
      <c r="O108" s="1"/>
      <c r="P108" s="1"/>
    </row>
    <row r="109" spans="1:16">
      <c r="A109" s="1"/>
      <c r="B109" s="1"/>
      <c r="C109" s="1"/>
      <c r="D109" s="1"/>
      <c r="E109" s="1"/>
      <c r="F109" s="1"/>
      <c r="G109" s="1"/>
      <c r="H109" s="1"/>
      <c r="I109" s="1"/>
      <c r="J109" s="1"/>
      <c r="K109" s="1"/>
      <c r="L109" s="1"/>
      <c r="M109" s="1"/>
      <c r="N109" s="1"/>
      <c r="O109" s="1"/>
      <c r="P109" s="1"/>
    </row>
    <row r="110" spans="1:16">
      <c r="A110" s="1"/>
      <c r="B110" s="1"/>
      <c r="C110" s="1"/>
      <c r="D110" s="1"/>
      <c r="E110" s="1"/>
      <c r="F110" s="1"/>
      <c r="G110" s="1"/>
      <c r="H110" s="1"/>
      <c r="I110" s="1"/>
      <c r="J110" s="1"/>
      <c r="K110" s="1"/>
      <c r="L110" s="1"/>
      <c r="M110" s="1"/>
      <c r="N110" s="1"/>
      <c r="O110" s="1"/>
      <c r="P110" s="1"/>
    </row>
    <row r="111" spans="1:16">
      <c r="A111" s="1"/>
      <c r="B111" s="1"/>
      <c r="C111" s="1"/>
      <c r="D111" s="1"/>
      <c r="E111" s="1"/>
      <c r="F111" s="1"/>
      <c r="G111" s="1"/>
      <c r="H111" s="1"/>
      <c r="I111" s="1"/>
      <c r="J111" s="1"/>
      <c r="K111" s="1"/>
      <c r="L111" s="1"/>
      <c r="M111" s="1"/>
      <c r="N111" s="1"/>
      <c r="O111" s="1"/>
      <c r="P111" s="1"/>
    </row>
    <row r="112" spans="1:16">
      <c r="A112" s="1"/>
      <c r="B112" s="1"/>
      <c r="C112" s="1"/>
      <c r="D112" s="1"/>
      <c r="E112" s="1"/>
      <c r="F112" s="1"/>
      <c r="G112" s="1"/>
      <c r="H112" s="1"/>
      <c r="I112" s="1"/>
      <c r="J112" s="1"/>
      <c r="K112" s="1"/>
      <c r="L112" s="1"/>
      <c r="M112" s="1"/>
      <c r="N112" s="1"/>
      <c r="O112" s="1"/>
      <c r="P112" s="1"/>
    </row>
    <row r="113" spans="1:16">
      <c r="A113" s="1"/>
      <c r="B113" s="1"/>
      <c r="C113" s="1"/>
      <c r="D113" s="1"/>
      <c r="E113" s="1"/>
      <c r="F113" s="1"/>
      <c r="G113" s="1"/>
      <c r="H113" s="1"/>
      <c r="I113" s="1"/>
      <c r="J113" s="1"/>
      <c r="K113" s="1"/>
      <c r="L113" s="1"/>
      <c r="M113" s="1"/>
      <c r="N113" s="1"/>
      <c r="O113" s="1"/>
      <c r="P113" s="1"/>
    </row>
    <row r="114" spans="1:16">
      <c r="A114" s="1"/>
      <c r="B114" s="1"/>
      <c r="C114" s="1"/>
      <c r="D114" s="1"/>
      <c r="E114" s="1"/>
      <c r="F114" s="1"/>
      <c r="G114" s="1"/>
      <c r="H114" s="1"/>
      <c r="I114" s="1"/>
      <c r="J114" s="1"/>
      <c r="K114" s="1"/>
      <c r="L114" s="1"/>
      <c r="M114" s="1"/>
      <c r="N114" s="1"/>
      <c r="O114" s="1"/>
      <c r="P114" s="1"/>
    </row>
    <row r="115" spans="1:16">
      <c r="A115" s="1"/>
      <c r="B115" s="1"/>
      <c r="C115" s="1"/>
      <c r="D115" s="1"/>
      <c r="E115" s="1"/>
      <c r="F115" s="1"/>
      <c r="G115" s="1"/>
      <c r="H115" s="1"/>
      <c r="I115" s="1"/>
      <c r="J115" s="1"/>
      <c r="K115" s="1"/>
      <c r="L115" s="1"/>
      <c r="M115" s="1"/>
      <c r="N115" s="1"/>
      <c r="O115" s="1"/>
      <c r="P115" s="1"/>
    </row>
    <row r="116" spans="1:16">
      <c r="A116" s="1"/>
      <c r="B116" s="1"/>
      <c r="C116" s="1"/>
      <c r="D116" s="1"/>
      <c r="E116" s="1"/>
      <c r="F116" s="1"/>
      <c r="G116" s="1"/>
      <c r="H116" s="1"/>
      <c r="I116" s="1"/>
      <c r="J116" s="1"/>
      <c r="K116" s="1"/>
      <c r="L116" s="1"/>
      <c r="M116" s="1"/>
      <c r="N116" s="1"/>
      <c r="O116" s="1"/>
      <c r="P116" s="1"/>
    </row>
    <row r="117" spans="1:16">
      <c r="A117" s="1"/>
      <c r="B117" s="1"/>
      <c r="C117" s="1"/>
      <c r="D117" s="1"/>
      <c r="E117" s="1"/>
      <c r="F117" s="1"/>
      <c r="G117" s="1"/>
      <c r="H117" s="1"/>
      <c r="I117" s="1"/>
      <c r="J117" s="1"/>
      <c r="K117" s="1"/>
      <c r="L117" s="1"/>
      <c r="M117" s="1"/>
      <c r="N117" s="1"/>
      <c r="O117" s="1"/>
      <c r="P117" s="1"/>
    </row>
    <row r="118" spans="1:16">
      <c r="A118" s="1"/>
      <c r="B118" s="1"/>
      <c r="C118" s="1"/>
      <c r="D118" s="1"/>
      <c r="E118" s="1"/>
      <c r="F118" s="1"/>
      <c r="G118" s="1"/>
      <c r="H118" s="1"/>
      <c r="I118" s="1"/>
      <c r="J118" s="1"/>
      <c r="K118" s="1"/>
      <c r="L118" s="1"/>
      <c r="M118" s="1"/>
      <c r="N118" s="1"/>
      <c r="O118" s="1"/>
      <c r="P118" s="1"/>
    </row>
    <row r="119" spans="1:16">
      <c r="A119" s="1"/>
      <c r="B119" s="1"/>
      <c r="C119" s="1"/>
      <c r="D119" s="1"/>
      <c r="E119" s="1"/>
      <c r="F119" s="1"/>
      <c r="G119" s="1"/>
      <c r="H119" s="1"/>
      <c r="I119" s="1"/>
      <c r="J119" s="1"/>
      <c r="K119" s="1"/>
      <c r="L119" s="1"/>
      <c r="M119" s="1"/>
      <c r="N119" s="1"/>
      <c r="O119" s="1"/>
      <c r="P119" s="1"/>
    </row>
    <row r="120" spans="1:16">
      <c r="A120" s="1"/>
      <c r="B120" s="1"/>
      <c r="C120" s="1"/>
      <c r="D120" s="1"/>
      <c r="E120" s="1"/>
      <c r="F120" s="1"/>
      <c r="G120" s="1"/>
      <c r="H120" s="1"/>
      <c r="I120" s="1"/>
      <c r="J120" s="1"/>
      <c r="K120" s="1"/>
      <c r="L120" s="1"/>
      <c r="M120" s="1"/>
      <c r="N120" s="1"/>
      <c r="O120" s="1"/>
      <c r="P120" s="1"/>
    </row>
    <row r="121" spans="1:16">
      <c r="A121" s="1"/>
      <c r="B121" s="1"/>
      <c r="C121" s="1"/>
      <c r="D121" s="1"/>
      <c r="E121" s="1"/>
      <c r="F121" s="1"/>
      <c r="G121" s="1"/>
      <c r="H121" s="1"/>
      <c r="I121" s="1"/>
      <c r="J121" s="1"/>
      <c r="K121" s="1"/>
      <c r="L121" s="1"/>
      <c r="M121" s="1"/>
      <c r="N121" s="1"/>
      <c r="O121" s="1"/>
      <c r="P121" s="1"/>
    </row>
    <row r="122" spans="1:16">
      <c r="A122" s="1"/>
      <c r="B122" s="1"/>
      <c r="C122" s="1"/>
      <c r="D122" s="1"/>
      <c r="E122" s="1"/>
      <c r="F122" s="1"/>
      <c r="G122" s="1"/>
      <c r="H122" s="1"/>
      <c r="I122" s="1"/>
      <c r="J122" s="1"/>
      <c r="K122" s="1"/>
      <c r="L122" s="1"/>
      <c r="M122" s="1"/>
      <c r="N122" s="1"/>
      <c r="O122" s="1"/>
      <c r="P122" s="1"/>
    </row>
    <row r="123" spans="1:16">
      <c r="A123" s="1"/>
      <c r="B123" s="1"/>
      <c r="C123" s="1"/>
      <c r="D123" s="1"/>
      <c r="E123" s="1"/>
      <c r="F123" s="1"/>
      <c r="G123" s="1"/>
      <c r="H123" s="1"/>
      <c r="I123" s="1"/>
      <c r="J123" s="1"/>
      <c r="K123" s="1"/>
      <c r="L123" s="1"/>
      <c r="M123" s="1"/>
      <c r="N123" s="1"/>
      <c r="O123" s="1"/>
      <c r="P123" s="1"/>
    </row>
    <row r="124" spans="1:16">
      <c r="A124" s="1"/>
      <c r="B124" s="1"/>
      <c r="C124" s="1"/>
      <c r="D124" s="1"/>
      <c r="E124" s="1"/>
      <c r="F124" s="1"/>
      <c r="G124" s="1"/>
      <c r="H124" s="1"/>
      <c r="I124" s="1"/>
      <c r="J124" s="1"/>
      <c r="K124" s="1"/>
      <c r="L124" s="1"/>
      <c r="M124" s="1"/>
      <c r="N124" s="1"/>
      <c r="O124" s="1"/>
      <c r="P124" s="1"/>
    </row>
    <row r="125" spans="1:16">
      <c r="A125" s="1"/>
      <c r="B125" s="1"/>
      <c r="C125" s="1"/>
      <c r="D125" s="1"/>
      <c r="E125" s="1"/>
      <c r="F125" s="1"/>
      <c r="G125" s="1"/>
      <c r="H125" s="1"/>
      <c r="I125" s="1"/>
      <c r="J125" s="1"/>
      <c r="K125" s="1"/>
      <c r="L125" s="1"/>
      <c r="M125" s="1"/>
      <c r="N125" s="1"/>
      <c r="O125" s="1"/>
      <c r="P125" s="1"/>
    </row>
    <row r="126" spans="1:16">
      <c r="A126" s="1"/>
      <c r="B126" s="1"/>
      <c r="C126" s="1"/>
      <c r="D126" s="1"/>
      <c r="E126" s="1"/>
      <c r="F126" s="1"/>
      <c r="G126" s="1"/>
      <c r="H126" s="1"/>
      <c r="I126" s="1"/>
      <c r="J126" s="1"/>
      <c r="K126" s="1"/>
      <c r="L126" s="1"/>
      <c r="M126" s="1"/>
      <c r="N126" s="1"/>
      <c r="O126" s="1"/>
      <c r="P126" s="1"/>
    </row>
    <row r="127" spans="1:16">
      <c r="A127" s="1"/>
      <c r="B127" s="1"/>
      <c r="C127" s="1"/>
      <c r="D127" s="1"/>
      <c r="E127" s="1"/>
      <c r="F127" s="1"/>
      <c r="G127" s="1"/>
      <c r="H127" s="1"/>
      <c r="I127" s="1"/>
      <c r="J127" s="1"/>
      <c r="K127" s="1"/>
      <c r="L127" s="1"/>
      <c r="M127" s="1"/>
      <c r="N127" s="1"/>
      <c r="O127" s="1"/>
      <c r="P127" s="1"/>
    </row>
    <row r="128" spans="1:16">
      <c r="A128" s="1"/>
      <c r="B128" s="1"/>
      <c r="C128" s="1"/>
      <c r="D128" s="1"/>
      <c r="E128" s="1"/>
      <c r="F128" s="1"/>
      <c r="G128" s="1"/>
      <c r="H128" s="1"/>
      <c r="I128" s="1"/>
      <c r="J128" s="1"/>
      <c r="K128" s="1"/>
      <c r="L128" s="1"/>
      <c r="M128" s="1"/>
      <c r="N128" s="1"/>
      <c r="O128" s="1"/>
      <c r="P128" s="1"/>
    </row>
    <row r="129" spans="1:16">
      <c r="A129" s="1"/>
      <c r="B129" s="1"/>
      <c r="C129" s="1"/>
      <c r="D129" s="1"/>
      <c r="E129" s="1"/>
      <c r="F129" s="1"/>
      <c r="G129" s="1"/>
      <c r="H129" s="1"/>
      <c r="I129" s="1"/>
      <c r="J129" s="1"/>
      <c r="K129" s="1"/>
      <c r="L129" s="1"/>
      <c r="M129" s="1"/>
      <c r="N129" s="1"/>
      <c r="O129" s="1"/>
      <c r="P129" s="1"/>
    </row>
    <row r="130" spans="1:16">
      <c r="A130" s="1"/>
      <c r="B130" s="1"/>
      <c r="C130" s="1"/>
      <c r="D130" s="1"/>
      <c r="E130" s="1"/>
      <c r="F130" s="1"/>
      <c r="G130" s="1"/>
      <c r="H130" s="1"/>
      <c r="I130" s="1"/>
      <c r="J130" s="1"/>
      <c r="K130" s="1"/>
      <c r="L130" s="1"/>
      <c r="M130" s="1"/>
      <c r="N130" s="1"/>
      <c r="O130" s="1"/>
      <c r="P130" s="1"/>
    </row>
    <row r="131" spans="1:16">
      <c r="A131" s="1"/>
      <c r="B131" s="1"/>
      <c r="C131" s="1"/>
      <c r="D131" s="1"/>
      <c r="E131" s="1"/>
      <c r="F131" s="1"/>
      <c r="G131" s="1"/>
      <c r="H131" s="1"/>
      <c r="I131" s="1"/>
      <c r="J131" s="1"/>
      <c r="K131" s="1"/>
      <c r="L131" s="1"/>
      <c r="M131" s="1"/>
      <c r="N131" s="1"/>
      <c r="O131" s="1"/>
      <c r="P131" s="1"/>
    </row>
    <row r="132" spans="1:16">
      <c r="A132" s="1"/>
      <c r="B132" s="1"/>
      <c r="C132" s="1"/>
      <c r="D132" s="1"/>
      <c r="E132" s="1"/>
      <c r="F132" s="1"/>
      <c r="G132" s="1"/>
      <c r="H132" s="1"/>
      <c r="I132" s="1"/>
      <c r="J132" s="1"/>
      <c r="K132" s="1"/>
      <c r="L132" s="1"/>
      <c r="M132" s="1"/>
      <c r="N132" s="1"/>
      <c r="O132" s="1"/>
      <c r="P132" s="1"/>
    </row>
    <row r="133" spans="1:16">
      <c r="A133" s="1"/>
      <c r="B133" s="1"/>
      <c r="C133" s="1"/>
      <c r="D133" s="1"/>
      <c r="E133" s="1"/>
      <c r="F133" s="1"/>
      <c r="G133" s="1"/>
      <c r="H133" s="1"/>
      <c r="I133" s="1"/>
      <c r="J133" s="1"/>
      <c r="K133" s="1"/>
      <c r="L133" s="1"/>
      <c r="M133" s="1"/>
      <c r="N133" s="1"/>
      <c r="O133" s="1"/>
      <c r="P133" s="1"/>
    </row>
    <row r="134" spans="1:16">
      <c r="A134" s="1"/>
      <c r="B134" s="1"/>
      <c r="C134" s="1"/>
      <c r="D134" s="1"/>
      <c r="E134" s="1"/>
      <c r="F134" s="1"/>
      <c r="G134" s="1"/>
      <c r="H134" s="1"/>
      <c r="I134" s="1"/>
      <c r="J134" s="1"/>
      <c r="K134" s="1"/>
      <c r="L134" s="1"/>
      <c r="M134" s="1"/>
      <c r="N134" s="1"/>
      <c r="O134" s="1"/>
      <c r="P134" s="1"/>
    </row>
    <row r="135" spans="1:16">
      <c r="A135" s="1"/>
      <c r="B135" s="1"/>
      <c r="C135" s="1"/>
      <c r="D135" s="1"/>
      <c r="E135" s="1"/>
      <c r="F135" s="1"/>
      <c r="G135" s="1"/>
      <c r="H135" s="1"/>
      <c r="I135" s="1"/>
      <c r="J135" s="1"/>
      <c r="K135" s="1"/>
      <c r="L135" s="1"/>
      <c r="M135" s="1"/>
      <c r="N135" s="1"/>
      <c r="O135" s="1"/>
      <c r="P135" s="1"/>
    </row>
    <row r="136" spans="1:16">
      <c r="A136" s="1"/>
      <c r="B136" s="1"/>
      <c r="C136" s="1"/>
      <c r="D136" s="1"/>
      <c r="E136" s="1"/>
      <c r="F136" s="1"/>
      <c r="G136" s="1"/>
      <c r="H136" s="1"/>
      <c r="I136" s="1"/>
      <c r="J136" s="1"/>
      <c r="K136" s="1"/>
      <c r="L136" s="1"/>
      <c r="M136" s="1"/>
      <c r="N136" s="1"/>
      <c r="O136" s="1"/>
      <c r="P136" s="1"/>
    </row>
    <row r="137" spans="1:16">
      <c r="A137" s="1"/>
      <c r="B137" s="1"/>
      <c r="C137" s="1"/>
      <c r="D137" s="1"/>
      <c r="E137" s="1"/>
      <c r="F137" s="1"/>
      <c r="G137" s="1"/>
      <c r="H137" s="1"/>
      <c r="I137" s="1"/>
      <c r="J137" s="1"/>
      <c r="K137" s="1"/>
      <c r="L137" s="1"/>
      <c r="M137" s="1"/>
      <c r="N137" s="1"/>
      <c r="O137" s="1"/>
      <c r="P137" s="1"/>
    </row>
    <row r="138" spans="1:16">
      <c r="A138" s="1"/>
      <c r="B138" s="1"/>
      <c r="C138" s="1"/>
      <c r="D138" s="1"/>
      <c r="E138" s="1"/>
      <c r="F138" s="1"/>
      <c r="G138" s="1"/>
      <c r="H138" s="1"/>
      <c r="I138" s="1"/>
      <c r="J138" s="1"/>
      <c r="K138" s="1"/>
      <c r="L138" s="1"/>
      <c r="M138" s="1"/>
      <c r="N138" s="1"/>
      <c r="O138" s="1"/>
      <c r="P138" s="1"/>
    </row>
    <row r="139" spans="1:16">
      <c r="A139" s="1"/>
      <c r="B139" s="1"/>
      <c r="C139" s="1"/>
      <c r="D139" s="1"/>
      <c r="E139" s="1"/>
      <c r="F139" s="1"/>
      <c r="G139" s="1"/>
      <c r="H139" s="1"/>
      <c r="I139" s="1"/>
      <c r="J139" s="1"/>
      <c r="K139" s="1"/>
      <c r="L139" s="1"/>
      <c r="M139" s="1"/>
      <c r="N139" s="1"/>
      <c r="O139" s="1"/>
      <c r="P13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T434"/>
  <sheetViews>
    <sheetView topLeftCell="A15" zoomScale="74" zoomScaleNormal="60" workbookViewId="0">
      <selection activeCell="D128" sqref="D128"/>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18" ht="27" customHeight="1">
      <c r="A1" s="123"/>
      <c r="B1" s="665" t="s">
        <v>315</v>
      </c>
      <c r="C1" s="666"/>
      <c r="D1" s="125"/>
      <c r="E1" s="125"/>
      <c r="F1" s="125"/>
      <c r="G1" s="125"/>
      <c r="H1" s="288"/>
      <c r="I1" s="1"/>
      <c r="J1" s="1"/>
      <c r="K1" s="1"/>
      <c r="L1" s="1"/>
      <c r="M1" s="1"/>
      <c r="N1" s="1"/>
      <c r="O1" s="1"/>
      <c r="P1" s="1"/>
      <c r="Q1" s="1"/>
      <c r="R1" s="1"/>
    </row>
    <row r="2" spans="1:18">
      <c r="A2" s="123"/>
      <c r="B2" s="289"/>
      <c r="C2" s="663" t="s">
        <v>158</v>
      </c>
      <c r="D2" s="663"/>
      <c r="E2" s="663"/>
      <c r="F2" s="663"/>
      <c r="G2" s="663"/>
      <c r="H2" s="664"/>
      <c r="I2" s="1"/>
      <c r="J2" s="1"/>
      <c r="K2" s="1"/>
      <c r="L2" s="1"/>
      <c r="M2" s="1"/>
      <c r="N2" s="1"/>
      <c r="O2" s="1"/>
      <c r="P2" s="1"/>
      <c r="Q2" s="1"/>
      <c r="R2" s="1"/>
    </row>
    <row r="3" spans="1:18" ht="18" customHeight="1">
      <c r="A3" s="62"/>
      <c r="B3" s="255"/>
      <c r="C3" s="122" t="s">
        <v>1</v>
      </c>
      <c r="D3" s="124">
        <v>42369</v>
      </c>
      <c r="E3" s="124">
        <v>42735</v>
      </c>
      <c r="F3" s="124">
        <v>43100</v>
      </c>
      <c r="G3" s="124">
        <v>43465</v>
      </c>
      <c r="H3" s="290">
        <v>43830</v>
      </c>
      <c r="I3" s="1"/>
      <c r="J3" s="1"/>
      <c r="K3" s="1"/>
      <c r="L3" s="1"/>
      <c r="M3" s="1"/>
      <c r="N3" s="1"/>
      <c r="O3" s="1"/>
      <c r="P3" s="1"/>
      <c r="Q3" s="1"/>
      <c r="R3" s="1"/>
    </row>
    <row r="4" spans="1:18">
      <c r="A4" s="1"/>
      <c r="B4" s="291"/>
      <c r="C4" s="2"/>
      <c r="D4" s="28"/>
      <c r="E4" s="26"/>
      <c r="F4" s="26"/>
      <c r="G4" s="26"/>
      <c r="H4" s="258"/>
      <c r="I4" s="1"/>
      <c r="J4" s="1"/>
      <c r="K4" s="1"/>
      <c r="L4" s="1"/>
      <c r="M4" s="1"/>
      <c r="N4" s="1"/>
      <c r="O4" s="1"/>
      <c r="P4" s="1"/>
      <c r="Q4" s="1"/>
      <c r="R4" s="1"/>
    </row>
    <row r="5" spans="1:18">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row>
    <row r="6" spans="1:18">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row>
    <row r="7" spans="1:18">
      <c r="A7" s="1"/>
      <c r="B7" s="292" t="s">
        <v>322</v>
      </c>
      <c r="C7" s="137"/>
      <c r="D7" s="147">
        <v>137</v>
      </c>
      <c r="E7" s="139">
        <v>136</v>
      </c>
      <c r="F7" s="139">
        <v>107</v>
      </c>
      <c r="G7" s="139">
        <v>45</v>
      </c>
      <c r="H7" s="293">
        <v>65</v>
      </c>
      <c r="I7" s="1"/>
      <c r="J7" s="1"/>
      <c r="K7" s="1"/>
      <c r="L7" s="1"/>
      <c r="M7" s="1"/>
      <c r="N7" s="1"/>
      <c r="O7" s="1"/>
      <c r="P7" s="1"/>
      <c r="Q7" s="1"/>
      <c r="R7" s="1"/>
    </row>
    <row r="8" spans="1:18">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row>
    <row r="9" spans="1:18">
      <c r="A9" s="1"/>
      <c r="B9" s="292"/>
      <c r="C9" s="137"/>
      <c r="D9" s="147"/>
      <c r="E9" s="139"/>
      <c r="F9" s="139"/>
      <c r="G9" s="139"/>
      <c r="H9" s="293"/>
      <c r="I9" s="1"/>
      <c r="J9" s="1"/>
      <c r="K9" s="1"/>
      <c r="L9" s="1"/>
      <c r="M9" s="1"/>
      <c r="N9" s="1"/>
      <c r="O9" s="1"/>
      <c r="P9" s="1"/>
      <c r="Q9" s="1"/>
      <c r="R9" s="1"/>
    </row>
    <row r="10" spans="1:18">
      <c r="A10" s="1"/>
      <c r="B10" s="292" t="s">
        <v>317</v>
      </c>
      <c r="C10" s="137"/>
      <c r="D10" s="147">
        <v>184</v>
      </c>
      <c r="E10" s="139">
        <v>159</v>
      </c>
      <c r="F10" s="139">
        <v>147</v>
      </c>
      <c r="G10" s="139">
        <v>187</v>
      </c>
      <c r="H10" s="293">
        <v>184</v>
      </c>
      <c r="I10" s="1"/>
      <c r="J10" s="1"/>
      <c r="K10" s="1"/>
      <c r="L10" s="1"/>
      <c r="M10" s="1"/>
      <c r="N10" s="1"/>
      <c r="O10" s="1"/>
      <c r="P10" s="1"/>
      <c r="Q10" s="1"/>
      <c r="R10" s="1"/>
    </row>
    <row r="11" spans="1:18">
      <c r="A11" s="1"/>
      <c r="B11" s="292" t="s">
        <v>318</v>
      </c>
      <c r="C11" s="137"/>
      <c r="D11" s="147">
        <v>1485</v>
      </c>
      <c r="E11" s="139">
        <v>1821</v>
      </c>
      <c r="F11" s="139">
        <v>1671</v>
      </c>
      <c r="G11" s="139">
        <v>1781</v>
      </c>
      <c r="H11" s="293">
        <v>1852</v>
      </c>
      <c r="I11" s="1"/>
      <c r="J11" s="1"/>
      <c r="K11" s="1"/>
      <c r="L11" s="1"/>
      <c r="M11" s="1"/>
      <c r="N11" s="1"/>
      <c r="O11" s="1"/>
      <c r="P11" s="1"/>
      <c r="Q11" s="1"/>
      <c r="R11" s="1"/>
    </row>
    <row r="12" spans="1:18">
      <c r="A12" s="1"/>
      <c r="B12" s="292" t="s">
        <v>323</v>
      </c>
      <c r="C12" s="137"/>
      <c r="D12" s="147">
        <v>-1170</v>
      </c>
      <c r="E12" s="139">
        <v>-1384</v>
      </c>
      <c r="F12" s="139">
        <v>-1381</v>
      </c>
      <c r="G12" s="139">
        <v>-1413</v>
      </c>
      <c r="H12" s="293">
        <v>-1481</v>
      </c>
      <c r="I12" s="1"/>
      <c r="J12" s="1"/>
      <c r="K12" s="1"/>
      <c r="L12" s="1"/>
      <c r="M12" s="1"/>
      <c r="N12" s="1"/>
      <c r="O12" s="1"/>
      <c r="P12" s="1"/>
      <c r="Q12" s="1"/>
      <c r="R12" s="1"/>
    </row>
    <row r="13" spans="1:18">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row>
    <row r="14" spans="1:18">
      <c r="A14" s="1"/>
      <c r="B14" s="300"/>
      <c r="C14" s="136"/>
      <c r="D14" s="146"/>
      <c r="E14" s="141"/>
      <c r="F14" s="141"/>
      <c r="G14" s="141"/>
      <c r="H14" s="301"/>
      <c r="I14" s="1"/>
      <c r="J14" s="1"/>
      <c r="K14" s="1"/>
      <c r="L14" s="1"/>
      <c r="M14" s="1"/>
      <c r="N14" s="1"/>
      <c r="O14" s="1"/>
      <c r="P14" s="1"/>
      <c r="Q14" s="1"/>
      <c r="R14" s="1"/>
    </row>
    <row r="15" spans="1:18"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row>
    <row r="16" spans="1:18"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row>
    <row r="17" spans="1:18"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row>
    <row r="18" spans="1:18"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row>
    <row r="19" spans="1:18"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row>
    <row r="20" spans="1:18"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row>
    <row r="21" spans="1:18"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row>
    <row r="22" spans="1:18" hidden="1" outlineLevel="1">
      <c r="A22" s="1"/>
      <c r="B22" s="292" t="s">
        <v>120</v>
      </c>
      <c r="C22" s="137"/>
      <c r="D22" s="147">
        <v>-99</v>
      </c>
      <c r="E22" s="139">
        <v>-109</v>
      </c>
      <c r="F22" s="139">
        <v>-148</v>
      </c>
      <c r="G22" s="139">
        <v>-148</v>
      </c>
      <c r="H22" s="293">
        <v>-149</v>
      </c>
      <c r="I22" s="1"/>
      <c r="J22" s="1"/>
      <c r="K22" s="1"/>
      <c r="L22" s="1"/>
      <c r="M22" s="1"/>
      <c r="N22" s="1"/>
      <c r="O22" s="1"/>
      <c r="P22" s="1"/>
      <c r="Q22" s="1"/>
      <c r="R22" s="1"/>
    </row>
    <row r="23" spans="1:18" hidden="1" outlineLevel="1">
      <c r="A23" s="1"/>
      <c r="B23" s="292" t="s">
        <v>153</v>
      </c>
      <c r="C23" s="137"/>
      <c r="D23" s="147">
        <v>-43</v>
      </c>
      <c r="E23" s="139">
        <v>-33</v>
      </c>
      <c r="F23" s="139">
        <v>-4</v>
      </c>
      <c r="G23" s="139">
        <v>-34</v>
      </c>
      <c r="H23" s="293">
        <v>-6</v>
      </c>
      <c r="I23" s="1"/>
      <c r="J23" s="1"/>
      <c r="K23" s="1"/>
      <c r="L23" s="1"/>
      <c r="M23" s="1"/>
      <c r="N23" s="1"/>
      <c r="O23" s="1"/>
      <c r="P23" s="1"/>
      <c r="Q23" s="1"/>
      <c r="R23" s="1"/>
    </row>
    <row r="24" spans="1:18" hidden="1" outlineLevel="1">
      <c r="A24" s="1"/>
      <c r="B24" s="292" t="s">
        <v>324</v>
      </c>
      <c r="C24" s="137"/>
      <c r="D24" s="147">
        <v>-521</v>
      </c>
      <c r="E24" s="139">
        <v>-744</v>
      </c>
      <c r="F24" s="139">
        <v>-521</v>
      </c>
      <c r="G24" s="139">
        <v>-581</v>
      </c>
      <c r="H24" s="293">
        <v>-844</v>
      </c>
      <c r="I24" s="1"/>
      <c r="J24" s="1"/>
      <c r="K24" s="1"/>
      <c r="L24" s="1"/>
      <c r="M24" s="1"/>
      <c r="N24" s="1"/>
      <c r="O24" s="1"/>
      <c r="P24" s="1"/>
      <c r="Q24" s="1"/>
      <c r="R24" s="1"/>
    </row>
    <row r="25" spans="1:18" hidden="1" outlineLevel="1">
      <c r="A25" s="1"/>
      <c r="B25" s="292" t="s">
        <v>375</v>
      </c>
      <c r="C25" s="137"/>
      <c r="D25" s="147">
        <v>-20</v>
      </c>
      <c r="E25" s="139">
        <v>-7</v>
      </c>
      <c r="F25" s="139">
        <v>0</v>
      </c>
      <c r="G25" s="139">
        <v>0</v>
      </c>
      <c r="H25" s="293">
        <v>0</v>
      </c>
      <c r="I25" s="1"/>
      <c r="J25" s="1"/>
      <c r="K25" s="1"/>
      <c r="L25" s="1"/>
      <c r="M25" s="1"/>
      <c r="N25" s="1"/>
      <c r="O25" s="1"/>
      <c r="P25" s="1"/>
      <c r="Q25" s="1"/>
      <c r="R25" s="1"/>
    </row>
    <row r="26" spans="1:18"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row>
    <row r="27" spans="1:18">
      <c r="A27" s="1"/>
      <c r="B27" s="292"/>
      <c r="C27" s="137"/>
      <c r="D27" s="147"/>
      <c r="E27" s="139"/>
      <c r="F27" s="139"/>
      <c r="G27" s="139"/>
      <c r="H27" s="293"/>
      <c r="I27" s="1"/>
      <c r="J27" s="1"/>
      <c r="K27" s="1"/>
      <c r="L27" s="1"/>
      <c r="M27" s="1"/>
      <c r="N27" s="1"/>
      <c r="O27" s="1"/>
      <c r="P27" s="1"/>
      <c r="Q27" s="1"/>
      <c r="R27" s="1"/>
    </row>
    <row r="28" spans="1:18">
      <c r="A28" s="1"/>
      <c r="B28" s="292" t="s">
        <v>374</v>
      </c>
      <c r="C28" s="137"/>
      <c r="D28" s="147">
        <v>308</v>
      </c>
      <c r="E28" s="139">
        <v>341</v>
      </c>
      <c r="F28" s="139">
        <v>301</v>
      </c>
      <c r="G28" s="139">
        <v>264</v>
      </c>
      <c r="H28" s="293">
        <v>277</v>
      </c>
      <c r="I28" s="1"/>
      <c r="J28" s="1"/>
      <c r="K28" s="1"/>
      <c r="L28" s="1"/>
      <c r="M28" s="1"/>
      <c r="N28" s="1"/>
      <c r="O28" s="1"/>
      <c r="P28" s="1"/>
      <c r="Q28" s="1"/>
      <c r="R28" s="1"/>
    </row>
    <row r="29" spans="1:18">
      <c r="A29" s="126"/>
      <c r="B29" s="292" t="s">
        <v>113</v>
      </c>
      <c r="C29" s="137"/>
      <c r="D29" s="147">
        <v>-332</v>
      </c>
      <c r="E29" s="139">
        <v>-365</v>
      </c>
      <c r="F29" s="139">
        <v>-319</v>
      </c>
      <c r="G29" s="139">
        <v>-314</v>
      </c>
      <c r="H29" s="293">
        <v>-307</v>
      </c>
      <c r="I29" s="1"/>
      <c r="J29" s="1"/>
      <c r="K29" s="1"/>
      <c r="L29" s="1"/>
      <c r="M29" s="1"/>
      <c r="N29" s="1"/>
      <c r="O29" s="1"/>
      <c r="P29" s="1"/>
      <c r="Q29" s="1"/>
      <c r="R29" s="1"/>
    </row>
    <row r="30" spans="1:18">
      <c r="A30" s="1"/>
      <c r="B30" s="292" t="s">
        <v>325</v>
      </c>
      <c r="C30" s="137"/>
      <c r="D30" s="147">
        <v>-576</v>
      </c>
      <c r="E30" s="139">
        <v>-671</v>
      </c>
      <c r="F30" s="139">
        <v>-625</v>
      </c>
      <c r="G30" s="139">
        <v>-642</v>
      </c>
      <c r="H30" s="293">
        <v>-676</v>
      </c>
      <c r="I30" s="1"/>
      <c r="J30" s="1"/>
      <c r="K30" s="1"/>
      <c r="L30" s="1"/>
      <c r="M30" s="1"/>
      <c r="N30" s="1"/>
      <c r="O30" s="1"/>
      <c r="P30" s="1"/>
      <c r="Q30" s="1"/>
      <c r="R30" s="1"/>
    </row>
    <row r="31" spans="1:18"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row>
    <row r="32" spans="1:18">
      <c r="A32" s="1"/>
      <c r="B32" s="292"/>
      <c r="C32" s="137"/>
      <c r="D32" s="147"/>
      <c r="E32" s="139"/>
      <c r="F32" s="139"/>
      <c r="G32" s="139"/>
      <c r="H32" s="293"/>
      <c r="I32" s="1"/>
      <c r="J32" s="1"/>
      <c r="K32" s="1"/>
      <c r="L32" s="1"/>
      <c r="M32" s="1"/>
      <c r="N32" s="1"/>
      <c r="O32" s="1"/>
      <c r="P32" s="1"/>
      <c r="Q32" s="1"/>
      <c r="R32" s="1"/>
    </row>
    <row r="33" spans="1:20">
      <c r="A33" s="1"/>
      <c r="B33" s="292"/>
      <c r="C33" s="137"/>
      <c r="D33" s="147"/>
      <c r="E33" s="139"/>
      <c r="F33" s="139"/>
      <c r="G33" s="139"/>
      <c r="H33" s="293"/>
      <c r="I33" s="1"/>
      <c r="J33" s="1"/>
      <c r="K33" s="1"/>
      <c r="L33" s="1"/>
      <c r="M33" s="1"/>
      <c r="N33" s="1"/>
      <c r="O33" s="1"/>
      <c r="P33" s="1"/>
      <c r="Q33" s="1"/>
      <c r="R33" s="1"/>
    </row>
    <row r="34" spans="1:20">
      <c r="A34" s="1"/>
      <c r="B34" s="292"/>
      <c r="C34" s="137"/>
      <c r="D34" s="147"/>
      <c r="E34" s="139"/>
      <c r="F34" s="139"/>
      <c r="G34" s="139"/>
      <c r="H34" s="293"/>
      <c r="I34" s="1"/>
      <c r="J34" s="1"/>
      <c r="K34" s="1"/>
      <c r="L34" s="1"/>
      <c r="M34" s="1"/>
      <c r="N34" s="1"/>
      <c r="O34" s="1"/>
      <c r="P34" s="1"/>
      <c r="Q34" s="1"/>
      <c r="R34" s="1"/>
    </row>
    <row r="35" spans="1:20" ht="15" customHeight="1">
      <c r="A35" s="1"/>
      <c r="B35" s="309" t="s">
        <v>338</v>
      </c>
      <c r="C35" s="310"/>
      <c r="D35" s="153">
        <v>-3259</v>
      </c>
      <c r="E35" s="154">
        <v>-3279</v>
      </c>
      <c r="F35" s="154">
        <v>-3013</v>
      </c>
      <c r="G35" s="154">
        <v>-3523</v>
      </c>
      <c r="H35" s="331">
        <v>-3651</v>
      </c>
      <c r="I35" s="1"/>
      <c r="J35" s="1"/>
      <c r="K35" s="1"/>
      <c r="L35" s="1"/>
      <c r="M35" s="1"/>
      <c r="N35" s="1"/>
      <c r="O35" s="1"/>
      <c r="P35" s="1"/>
      <c r="Q35" s="1"/>
      <c r="R35" s="1"/>
    </row>
    <row r="36" spans="1:20">
      <c r="A36" s="1"/>
      <c r="B36" s="292"/>
      <c r="C36" s="137"/>
      <c r="D36" s="147"/>
      <c r="E36" s="139"/>
      <c r="F36" s="139"/>
      <c r="G36" s="139"/>
      <c r="H36" s="293"/>
      <c r="I36" s="1"/>
      <c r="J36" s="1"/>
      <c r="K36" s="1"/>
      <c r="L36" s="1"/>
      <c r="M36" s="1"/>
      <c r="N36" s="1"/>
      <c r="O36" s="1"/>
      <c r="P36" s="1"/>
      <c r="Q36" s="1"/>
      <c r="R36" s="1"/>
      <c r="S36" s="1"/>
      <c r="T36" s="1"/>
    </row>
    <row r="37" spans="1:2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row>
    <row r="38" spans="1:20">
      <c r="A38" s="5"/>
      <c r="B38" s="292" t="s">
        <v>150</v>
      </c>
      <c r="C38" s="137"/>
      <c r="D38" s="147">
        <v>-692</v>
      </c>
      <c r="E38" s="139">
        <v>-359</v>
      </c>
      <c r="F38" s="139">
        <v>-437</v>
      </c>
      <c r="G38" s="139">
        <v>-694</v>
      </c>
      <c r="H38" s="293">
        <v>-304</v>
      </c>
      <c r="I38" s="1"/>
      <c r="J38" s="1"/>
      <c r="K38" s="1"/>
      <c r="L38" s="1"/>
      <c r="M38" s="1"/>
      <c r="N38" s="1"/>
      <c r="O38" s="1"/>
      <c r="P38" s="1"/>
      <c r="Q38" s="1"/>
      <c r="R38" s="1"/>
      <c r="S38" s="1"/>
      <c r="T38" s="1"/>
    </row>
    <row r="39" spans="1:20">
      <c r="A39" s="128"/>
      <c r="B39" s="311" t="s">
        <v>337</v>
      </c>
      <c r="C39" s="312"/>
      <c r="D39" s="157">
        <f>D37+D38</f>
        <v>-3781</v>
      </c>
      <c r="E39" s="158">
        <f>E37+E38</f>
        <v>-3795</v>
      </c>
      <c r="F39" s="158">
        <f>F37+F38</f>
        <v>-3938</v>
      </c>
      <c r="G39" s="158">
        <f>G37+G38</f>
        <v>-3678</v>
      </c>
      <c r="H39" s="349">
        <f>H37+H38</f>
        <v>-3611</v>
      </c>
      <c r="I39" s="1"/>
      <c r="J39" s="1"/>
      <c r="K39" s="1"/>
      <c r="L39" s="1"/>
      <c r="M39" s="1"/>
      <c r="N39" s="1"/>
      <c r="O39" s="1"/>
      <c r="P39" s="1"/>
      <c r="Q39" s="1"/>
      <c r="R39" s="1"/>
      <c r="S39" s="1"/>
      <c r="T39" s="1"/>
    </row>
    <row r="40" spans="1:20">
      <c r="A40" s="1"/>
      <c r="B40" s="302"/>
      <c r="C40" s="138"/>
      <c r="D40" s="148"/>
      <c r="E40" s="140"/>
      <c r="F40" s="140"/>
      <c r="G40" s="140"/>
      <c r="H40" s="314"/>
      <c r="I40" s="1"/>
      <c r="J40" s="1"/>
      <c r="K40" s="1"/>
      <c r="L40" s="1"/>
      <c r="M40" s="1"/>
      <c r="N40" s="1"/>
      <c r="O40" s="1"/>
      <c r="P40" s="1"/>
      <c r="Q40" s="1"/>
      <c r="R40" s="1"/>
      <c r="S40" s="1"/>
      <c r="T40" s="1"/>
    </row>
    <row r="41" spans="1:20">
      <c r="A41" s="1"/>
      <c r="B41" s="292" t="s">
        <v>77</v>
      </c>
      <c r="C41" s="137"/>
      <c r="D41" s="147">
        <v>636</v>
      </c>
      <c r="E41" s="139">
        <v>402</v>
      </c>
      <c r="F41" s="139">
        <v>691</v>
      </c>
      <c r="G41" s="139">
        <v>624</v>
      </c>
      <c r="H41" s="293">
        <v>434</v>
      </c>
      <c r="I41" s="1"/>
      <c r="J41" s="1"/>
      <c r="K41" s="1"/>
      <c r="L41" s="1"/>
      <c r="M41" s="1"/>
      <c r="N41" s="1"/>
      <c r="O41" s="1"/>
      <c r="P41" s="1"/>
      <c r="Q41" s="1"/>
      <c r="R41" s="1"/>
      <c r="S41" s="1"/>
      <c r="T41" s="1"/>
    </row>
    <row r="42" spans="1:2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row>
    <row r="43" spans="1:20">
      <c r="A43" s="1"/>
      <c r="B43" s="292"/>
      <c r="C43" s="137"/>
      <c r="D43" s="147"/>
      <c r="E43" s="139"/>
      <c r="F43" s="139"/>
      <c r="G43" s="139"/>
      <c r="H43" s="293"/>
      <c r="I43" s="1"/>
      <c r="J43" s="1"/>
      <c r="K43" s="1"/>
      <c r="L43" s="1"/>
      <c r="M43" s="1"/>
      <c r="N43" s="1"/>
      <c r="O43" s="1"/>
      <c r="P43" s="1"/>
      <c r="Q43" s="1"/>
      <c r="R43" s="1"/>
      <c r="S43" s="1"/>
      <c r="T43" s="1"/>
    </row>
    <row r="44" spans="1:20">
      <c r="A44" s="1"/>
      <c r="B44" s="306" t="s">
        <v>331</v>
      </c>
      <c r="C44" s="307"/>
      <c r="D44" s="151">
        <f>D35+D42</f>
        <v>-6404</v>
      </c>
      <c r="E44" s="144">
        <f>E35+E42</f>
        <v>-6672</v>
      </c>
      <c r="F44" s="144">
        <f>F35+F42</f>
        <v>-6260</v>
      </c>
      <c r="G44" s="144">
        <f>G35+G42</f>
        <v>-6577</v>
      </c>
      <c r="H44" s="374">
        <f>H35+H42</f>
        <v>-6828</v>
      </c>
      <c r="I44" s="1"/>
      <c r="J44" s="1"/>
      <c r="K44" s="1"/>
      <c r="L44" s="1"/>
      <c r="M44" s="1"/>
      <c r="N44" s="1"/>
      <c r="O44" s="1"/>
      <c r="P44" s="1"/>
      <c r="Q44" s="1"/>
      <c r="R44" s="1"/>
    </row>
    <row r="45" spans="1:20" ht="15" thickBot="1">
      <c r="A45" s="1"/>
      <c r="B45" s="350" t="s">
        <v>344</v>
      </c>
      <c r="C45" s="351"/>
      <c r="D45" s="352">
        <f>D31+D44</f>
        <v>0</v>
      </c>
      <c r="E45" s="352">
        <f>E31+E44</f>
        <v>0</v>
      </c>
      <c r="F45" s="352">
        <f>F31+F44</f>
        <v>0</v>
      </c>
      <c r="G45" s="352">
        <f>G31+G44</f>
        <v>0</v>
      </c>
      <c r="H45" s="353">
        <f>H31+H44</f>
        <v>0</v>
      </c>
      <c r="I45" s="1"/>
      <c r="J45" s="1"/>
      <c r="K45" s="1"/>
      <c r="L45" s="1"/>
      <c r="M45" s="1"/>
      <c r="N45" s="1"/>
      <c r="O45" s="1"/>
      <c r="P45" s="1"/>
      <c r="Q45" s="1"/>
      <c r="R45" s="1"/>
    </row>
    <row r="46" spans="1:20">
      <c r="A46" s="1"/>
      <c r="B46" s="165"/>
      <c r="C46" s="166"/>
      <c r="D46" s="166"/>
      <c r="E46" s="166"/>
      <c r="F46" s="166"/>
      <c r="G46" s="166"/>
      <c r="H46" s="166"/>
      <c r="J46" s="1"/>
      <c r="K46" s="1"/>
      <c r="L46" s="1"/>
      <c r="M46" s="1"/>
      <c r="N46" s="1"/>
      <c r="O46" s="1"/>
      <c r="P46" s="1"/>
      <c r="Q46" s="1"/>
      <c r="R46" s="1"/>
    </row>
    <row r="47" spans="1:20" ht="15" thickBot="1">
      <c r="B47" s="167"/>
      <c r="C47" s="168"/>
      <c r="D47" s="167"/>
      <c r="E47" s="167"/>
      <c r="F47" s="167"/>
      <c r="G47" s="167"/>
      <c r="H47" s="167"/>
      <c r="I47" s="1"/>
      <c r="J47" s="2"/>
      <c r="K47" s="1"/>
      <c r="L47" s="1"/>
      <c r="M47" s="1"/>
      <c r="N47" s="1"/>
      <c r="O47" s="1"/>
      <c r="P47" s="1"/>
      <c r="Q47" s="1"/>
      <c r="R47" s="1"/>
    </row>
    <row r="48" spans="1:20" ht="27" customHeight="1">
      <c r="A48" s="375"/>
      <c r="B48" s="319" t="s">
        <v>302</v>
      </c>
      <c r="C48" s="320"/>
      <c r="D48" s="320"/>
      <c r="E48" s="320"/>
      <c r="F48" s="320"/>
      <c r="G48" s="320"/>
      <c r="H48" s="321"/>
      <c r="I48" s="1"/>
      <c r="J48" s="145"/>
      <c r="K48" s="1"/>
      <c r="L48" s="1"/>
      <c r="M48" s="1"/>
      <c r="N48" s="1"/>
      <c r="O48" s="1"/>
      <c r="P48" s="1"/>
      <c r="Q48" s="1"/>
      <c r="R48" s="1"/>
    </row>
    <row r="49" spans="1:18" ht="15" customHeight="1">
      <c r="A49" s="289"/>
      <c r="B49" s="322"/>
      <c r="C49" s="107"/>
      <c r="D49" s="667" t="s">
        <v>163</v>
      </c>
      <c r="E49" s="667"/>
      <c r="F49" s="667"/>
      <c r="G49" s="667"/>
      <c r="H49" s="668"/>
      <c r="I49" s="2"/>
      <c r="J49" s="1"/>
      <c r="K49" s="1"/>
      <c r="L49" s="1"/>
      <c r="M49" s="1"/>
      <c r="N49" s="1"/>
      <c r="O49" s="1"/>
      <c r="P49" s="1"/>
      <c r="Q49" s="1"/>
      <c r="R49" s="1"/>
    </row>
    <row r="50" spans="1:18" ht="15" customHeight="1">
      <c r="A50" s="255"/>
      <c r="B50" s="323"/>
      <c r="C50" s="121" t="s">
        <v>1</v>
      </c>
      <c r="D50" s="108">
        <v>42369</v>
      </c>
      <c r="E50" s="108">
        <v>42735</v>
      </c>
      <c r="F50" s="108">
        <v>43100</v>
      </c>
      <c r="G50" s="108">
        <v>43465</v>
      </c>
      <c r="H50" s="256">
        <v>43830</v>
      </c>
      <c r="I50" s="145"/>
      <c r="J50" s="1"/>
      <c r="K50" s="1"/>
      <c r="L50" s="1"/>
      <c r="M50" s="1"/>
      <c r="N50" s="1"/>
      <c r="O50" s="1"/>
      <c r="P50" s="1"/>
      <c r="Q50" s="1"/>
      <c r="R50" s="1"/>
    </row>
    <row r="51" spans="1:18">
      <c r="A51" s="257"/>
      <c r="B51" s="325"/>
      <c r="C51" s="166"/>
      <c r="D51" s="172"/>
      <c r="E51" s="173"/>
      <c r="F51" s="173"/>
      <c r="G51" s="173"/>
      <c r="H51" s="326"/>
      <c r="I51" s="1"/>
      <c r="J51" s="1"/>
      <c r="K51" s="1"/>
      <c r="L51" s="1"/>
      <c r="M51" s="1"/>
      <c r="N51" s="1"/>
      <c r="O51" s="1"/>
      <c r="P51" s="1"/>
      <c r="Q51" s="1"/>
      <c r="R51" s="1"/>
    </row>
    <row r="52" spans="1:18">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row>
    <row r="53" spans="1:18" outlineLevel="1">
      <c r="A53" s="257"/>
      <c r="B53" s="175" t="s">
        <v>167</v>
      </c>
      <c r="C53" s="166"/>
      <c r="D53" s="147">
        <v>3947</v>
      </c>
      <c r="E53" s="139">
        <v>3734</v>
      </c>
      <c r="F53" s="139">
        <v>4633</v>
      </c>
      <c r="G53" s="139">
        <v>5268</v>
      </c>
      <c r="H53" s="293">
        <v>6046</v>
      </c>
      <c r="I53" s="1"/>
      <c r="J53" s="1"/>
      <c r="K53" s="1"/>
      <c r="L53" s="1"/>
      <c r="M53" s="1"/>
      <c r="N53" s="1"/>
      <c r="O53" s="1"/>
      <c r="P53" s="1"/>
      <c r="Q53" s="1"/>
      <c r="R53" s="1"/>
    </row>
    <row r="54" spans="1:18" outlineLevel="1">
      <c r="A54" s="257"/>
      <c r="B54" s="175" t="s">
        <v>169</v>
      </c>
      <c r="C54" s="166"/>
      <c r="D54" s="147">
        <v>785</v>
      </c>
      <c r="E54" s="139">
        <v>847</v>
      </c>
      <c r="F54" s="139">
        <v>957</v>
      </c>
      <c r="G54" s="139">
        <v>1003</v>
      </c>
      <c r="H54" s="293">
        <v>1076</v>
      </c>
      <c r="I54" s="1"/>
      <c r="J54" s="1"/>
      <c r="K54" s="1"/>
      <c r="L54" s="1"/>
      <c r="M54" s="1"/>
      <c r="N54" s="1"/>
      <c r="O54" s="1"/>
      <c r="P54" s="1"/>
      <c r="Q54" s="1"/>
      <c r="R54" s="1"/>
    </row>
    <row r="55" spans="1:18" outlineLevel="1">
      <c r="A55" s="257"/>
      <c r="B55" s="355"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row>
    <row r="56" spans="1:18" outlineLevel="1">
      <c r="A56" s="257"/>
      <c r="B56" s="175" t="s">
        <v>173</v>
      </c>
      <c r="C56" s="166"/>
      <c r="D56" s="147">
        <v>189</v>
      </c>
      <c r="E56" s="139">
        <v>279</v>
      </c>
      <c r="F56" s="139">
        <v>206</v>
      </c>
      <c r="G56" s="137">
        <v>223</v>
      </c>
      <c r="H56" s="293">
        <v>202</v>
      </c>
      <c r="I56" s="1"/>
      <c r="J56" s="1"/>
      <c r="K56" s="1"/>
      <c r="L56" s="1"/>
      <c r="M56" s="1"/>
      <c r="N56" s="1"/>
      <c r="O56" s="1"/>
      <c r="P56" s="1"/>
      <c r="Q56" s="1"/>
      <c r="R56" s="1"/>
    </row>
    <row r="57" spans="1:18">
      <c r="A57" s="257"/>
      <c r="B57" s="175"/>
      <c r="C57" s="166"/>
      <c r="D57" s="147"/>
      <c r="E57" s="147"/>
      <c r="F57" s="139"/>
      <c r="G57" s="139"/>
      <c r="H57" s="293"/>
      <c r="I57" s="1"/>
      <c r="J57" s="1"/>
      <c r="K57" s="1"/>
      <c r="L57" s="1"/>
      <c r="M57" s="1"/>
      <c r="N57" s="1"/>
      <c r="O57" s="1"/>
      <c r="P57" s="1"/>
      <c r="Q57" s="1"/>
      <c r="R57" s="1"/>
    </row>
    <row r="58" spans="1:18">
      <c r="A58" s="257"/>
      <c r="B58" s="175" t="s">
        <v>177</v>
      </c>
      <c r="C58" s="166"/>
      <c r="D58" s="147">
        <v>-2286</v>
      </c>
      <c r="E58" s="147">
        <v>-2101</v>
      </c>
      <c r="F58" s="139">
        <v>-2831</v>
      </c>
      <c r="G58" s="139">
        <v>-3346</v>
      </c>
      <c r="H58" s="293">
        <v>-4004</v>
      </c>
      <c r="I58" s="1"/>
      <c r="J58" s="1"/>
      <c r="K58" s="1"/>
      <c r="L58" s="1"/>
      <c r="M58" s="1"/>
      <c r="N58" s="1"/>
      <c r="O58" s="1"/>
      <c r="P58" s="1"/>
      <c r="Q58" s="1"/>
      <c r="R58" s="1"/>
    </row>
    <row r="59" spans="1:18">
      <c r="A59" s="257"/>
      <c r="B59" s="175" t="s">
        <v>179</v>
      </c>
      <c r="C59" s="166"/>
      <c r="D59" s="147">
        <v>-706</v>
      </c>
      <c r="E59" s="147">
        <v>-758</v>
      </c>
      <c r="F59" s="139">
        <v>-850</v>
      </c>
      <c r="G59" s="139">
        <v>-986</v>
      </c>
      <c r="H59" s="293">
        <v>-1152</v>
      </c>
      <c r="I59" s="1"/>
      <c r="J59" s="1"/>
      <c r="K59" s="1"/>
      <c r="L59" s="1"/>
      <c r="M59" s="1"/>
      <c r="N59" s="1"/>
      <c r="O59" s="1"/>
      <c r="P59" s="1"/>
      <c r="Q59" s="1"/>
      <c r="R59" s="1"/>
    </row>
    <row r="60" spans="1:18">
      <c r="A60" s="257"/>
      <c r="B60" s="175" t="s">
        <v>183</v>
      </c>
      <c r="C60" s="166"/>
      <c r="D60" s="147">
        <v>-252</v>
      </c>
      <c r="E60" s="147">
        <v>-243</v>
      </c>
      <c r="F60" s="139">
        <v>-281</v>
      </c>
      <c r="G60" s="139">
        <v>-266</v>
      </c>
      <c r="H60" s="293">
        <v>-234</v>
      </c>
      <c r="I60" s="1"/>
      <c r="J60" s="1"/>
      <c r="K60" s="1"/>
      <c r="L60" s="1"/>
      <c r="M60" s="1"/>
      <c r="N60" s="1"/>
      <c r="O60" s="1"/>
      <c r="P60" s="1"/>
      <c r="Q60" s="1"/>
      <c r="R60" s="1"/>
    </row>
    <row r="61" spans="1:18">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row>
    <row r="62" spans="1:18" hidden="1" outlineLevel="1">
      <c r="A62" s="257"/>
      <c r="B62" s="175" t="s">
        <v>187</v>
      </c>
      <c r="C62" s="166"/>
      <c r="D62" s="147">
        <v>441</v>
      </c>
      <c r="E62" s="147">
        <v>433</v>
      </c>
      <c r="F62" s="139">
        <v>471</v>
      </c>
      <c r="G62" s="139">
        <v>494</v>
      </c>
      <c r="H62" s="293">
        <v>527</v>
      </c>
      <c r="I62" s="1"/>
      <c r="J62" s="1"/>
      <c r="K62" s="1"/>
      <c r="L62" s="1"/>
      <c r="M62" s="1"/>
      <c r="N62" s="1"/>
      <c r="O62" s="1"/>
      <c r="P62" s="1"/>
      <c r="Q62" s="1"/>
      <c r="R62" s="1"/>
    </row>
    <row r="63" spans="1:18" hidden="1" outlineLevel="1">
      <c r="A63" s="257"/>
      <c r="B63" s="175" t="s">
        <v>189</v>
      </c>
      <c r="C63" s="166"/>
      <c r="D63" s="147">
        <v>163</v>
      </c>
      <c r="E63" s="147">
        <v>146</v>
      </c>
      <c r="F63" s="139">
        <v>160</v>
      </c>
      <c r="G63" s="139">
        <v>173</v>
      </c>
      <c r="H63" s="293">
        <v>179</v>
      </c>
      <c r="I63" s="1"/>
      <c r="J63" s="1"/>
      <c r="K63" s="1"/>
      <c r="L63" s="1"/>
      <c r="M63" s="1"/>
      <c r="N63" s="1"/>
      <c r="O63" s="1"/>
      <c r="P63" s="1"/>
      <c r="Q63" s="1"/>
      <c r="R63" s="1"/>
    </row>
    <row r="64" spans="1:18" hidden="1" outlineLevel="1">
      <c r="A64" s="257"/>
      <c r="B64" s="175" t="s">
        <v>191</v>
      </c>
      <c r="C64" s="166"/>
      <c r="D64" s="147">
        <v>25</v>
      </c>
      <c r="E64" s="147">
        <v>26</v>
      </c>
      <c r="F64" s="139">
        <v>29</v>
      </c>
      <c r="G64" s="139">
        <v>31</v>
      </c>
      <c r="H64" s="293">
        <v>31</v>
      </c>
      <c r="I64" s="1"/>
      <c r="J64" s="1"/>
      <c r="K64" s="1"/>
      <c r="L64" s="1"/>
      <c r="M64" s="1"/>
      <c r="N64" s="1"/>
      <c r="O64" s="1"/>
      <c r="P64" s="1"/>
      <c r="Q64" s="1"/>
      <c r="R64" s="1"/>
    </row>
    <row r="65" spans="1:18" hidden="1" outlineLevel="1">
      <c r="A65" s="257"/>
      <c r="B65" s="175" t="s">
        <v>192</v>
      </c>
      <c r="C65" s="166"/>
      <c r="D65" s="147">
        <v>27</v>
      </c>
      <c r="E65" s="147">
        <v>36</v>
      </c>
      <c r="F65" s="139">
        <v>27</v>
      </c>
      <c r="G65" s="139">
        <v>33</v>
      </c>
      <c r="H65" s="293">
        <v>42</v>
      </c>
      <c r="I65" s="1"/>
      <c r="J65" s="1"/>
      <c r="K65" s="1"/>
      <c r="L65" s="1"/>
      <c r="M65" s="1"/>
      <c r="N65" s="1"/>
      <c r="O65" s="1"/>
      <c r="P65" s="1"/>
      <c r="Q65" s="1"/>
      <c r="R65" s="1"/>
    </row>
    <row r="66" spans="1:18" hidden="1" outlineLevel="1">
      <c r="A66" s="257"/>
      <c r="B66" s="355"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row>
    <row r="67" spans="1:18" hidden="1" outlineLevel="1">
      <c r="A67" s="257"/>
      <c r="B67" s="175" t="s">
        <v>196</v>
      </c>
      <c r="C67" s="166"/>
      <c r="D67" s="147">
        <v>-27</v>
      </c>
      <c r="E67" s="147">
        <v>-45</v>
      </c>
      <c r="F67" s="139">
        <v>-52</v>
      </c>
      <c r="G67" s="139">
        <v>-66</v>
      </c>
      <c r="H67" s="293">
        <v>-79</v>
      </c>
      <c r="I67" s="1"/>
      <c r="J67" s="1"/>
      <c r="K67" s="1"/>
      <c r="L67" s="1"/>
      <c r="M67" s="1"/>
      <c r="N67" s="1"/>
      <c r="O67" s="1"/>
      <c r="P67" s="1"/>
      <c r="Q67" s="1"/>
      <c r="R67" s="1"/>
    </row>
    <row r="68" spans="1:18" collapsed="1">
      <c r="A68" s="257"/>
      <c r="B68" s="356"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row>
    <row r="69" spans="1:18">
      <c r="A69" s="257"/>
      <c r="B69" s="291"/>
      <c r="C69" s="166"/>
      <c r="D69" s="147"/>
      <c r="E69" s="147"/>
      <c r="F69" s="139"/>
      <c r="G69" s="139"/>
      <c r="H69" s="293"/>
      <c r="I69" s="1"/>
      <c r="J69" s="1"/>
      <c r="K69" s="1"/>
      <c r="L69" s="1"/>
      <c r="M69" s="1"/>
      <c r="N69" s="1"/>
      <c r="O69" s="1"/>
      <c r="P69" s="1"/>
      <c r="Q69" s="1"/>
      <c r="R69" s="1"/>
    </row>
    <row r="70" spans="1:18">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row>
    <row r="71" spans="1:18">
      <c r="A71" s="257"/>
      <c r="B71" s="175"/>
      <c r="C71" s="166"/>
      <c r="D71" s="238"/>
      <c r="E71" s="238"/>
      <c r="F71" s="143"/>
      <c r="G71" s="143"/>
      <c r="H71" s="358"/>
      <c r="I71" s="1"/>
      <c r="J71" s="1"/>
      <c r="K71" s="1"/>
      <c r="L71" s="1"/>
      <c r="M71" s="1"/>
      <c r="N71" s="1"/>
      <c r="O71" s="1"/>
      <c r="P71" s="1"/>
      <c r="Q71" s="1"/>
      <c r="R71" s="1"/>
    </row>
    <row r="72" spans="1:18">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row>
    <row r="73" spans="1:18" outlineLevel="1">
      <c r="A73" s="257"/>
      <c r="B73" s="175" t="s">
        <v>202</v>
      </c>
      <c r="C73" s="166"/>
      <c r="D73" s="147">
        <v>54</v>
      </c>
      <c r="E73" s="147">
        <v>55</v>
      </c>
      <c r="F73" s="139">
        <v>72</v>
      </c>
      <c r="G73" s="139">
        <v>91</v>
      </c>
      <c r="H73" s="293">
        <v>123</v>
      </c>
      <c r="I73" s="1"/>
      <c r="J73" s="1"/>
      <c r="K73" s="1"/>
      <c r="L73" s="1"/>
      <c r="M73" s="1"/>
      <c r="N73" s="1"/>
      <c r="O73" s="1"/>
      <c r="P73" s="1"/>
      <c r="Q73" s="1"/>
      <c r="R73" s="1"/>
    </row>
    <row r="74" spans="1:18" outlineLevel="1">
      <c r="A74" s="257"/>
      <c r="B74" s="175" t="s">
        <v>204</v>
      </c>
      <c r="C74" s="166"/>
      <c r="D74" s="147">
        <v>341</v>
      </c>
      <c r="E74" s="147">
        <v>348</v>
      </c>
      <c r="F74" s="139">
        <v>338</v>
      </c>
      <c r="G74" s="139">
        <v>372</v>
      </c>
      <c r="H74" s="293">
        <v>379</v>
      </c>
      <c r="I74" s="1"/>
      <c r="J74" s="1"/>
      <c r="K74" s="1"/>
      <c r="L74" s="1"/>
      <c r="M74" s="1"/>
      <c r="N74" s="1"/>
      <c r="O74" s="1"/>
      <c r="P74" s="1"/>
      <c r="Q74" s="1"/>
      <c r="R74" s="1"/>
    </row>
    <row r="75" spans="1:18" outlineLevel="1">
      <c r="A75" s="291"/>
      <c r="B75" s="175" t="s">
        <v>206</v>
      </c>
      <c r="C75" s="166"/>
      <c r="D75" s="147">
        <v>359</v>
      </c>
      <c r="E75" s="147">
        <v>245</v>
      </c>
      <c r="F75" s="139">
        <v>34</v>
      </c>
      <c r="G75" s="139">
        <v>160</v>
      </c>
      <c r="H75" s="293">
        <v>9</v>
      </c>
      <c r="I75" s="1"/>
      <c r="J75" s="1"/>
      <c r="K75" s="1"/>
      <c r="L75" s="1"/>
      <c r="M75" s="1"/>
      <c r="N75" s="1"/>
      <c r="O75" s="1"/>
      <c r="P75" s="1"/>
      <c r="Q75" s="1"/>
      <c r="R75" s="1"/>
    </row>
    <row r="76" spans="1:18">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row>
    <row r="77" spans="1:18" hidden="1" outlineLevel="1">
      <c r="A77" s="257"/>
      <c r="B77" s="175" t="s">
        <v>210</v>
      </c>
      <c r="C77" s="166"/>
      <c r="D77" s="147">
        <v>57</v>
      </c>
      <c r="E77" s="147">
        <v>50</v>
      </c>
      <c r="F77" s="139">
        <v>10</v>
      </c>
      <c r="G77" s="139">
        <v>-5</v>
      </c>
      <c r="H77" s="293">
        <v>21</v>
      </c>
      <c r="I77" s="1"/>
      <c r="J77" s="1"/>
      <c r="K77" s="1"/>
      <c r="L77" s="1"/>
      <c r="M77" s="1"/>
      <c r="N77" s="1"/>
      <c r="O77" s="1"/>
      <c r="P77" s="1"/>
      <c r="Q77" s="1"/>
      <c r="R77" s="1"/>
    </row>
    <row r="78" spans="1:18" ht="28.8" hidden="1" outlineLevel="1">
      <c r="A78" s="257"/>
      <c r="B78" s="359" t="s">
        <v>212</v>
      </c>
      <c r="C78" s="166"/>
      <c r="D78" s="147">
        <v>22</v>
      </c>
      <c r="E78" s="147">
        <v>21</v>
      </c>
      <c r="F78" s="139">
        <v>35</v>
      </c>
      <c r="G78" s="139">
        <v>25</v>
      </c>
      <c r="H78" s="293">
        <v>15</v>
      </c>
      <c r="I78" s="1"/>
      <c r="J78" s="1"/>
      <c r="K78" s="1"/>
      <c r="L78" s="1"/>
      <c r="M78" s="1"/>
      <c r="N78" s="1"/>
      <c r="O78" s="1"/>
      <c r="P78" s="1"/>
      <c r="Q78" s="1"/>
      <c r="R78" s="1"/>
    </row>
    <row r="79" spans="1:18" collapsed="1">
      <c r="A79" s="257"/>
      <c r="B79" s="291"/>
      <c r="C79" s="166"/>
      <c r="D79" s="146"/>
      <c r="E79" s="147"/>
      <c r="F79" s="141"/>
      <c r="G79" s="141"/>
      <c r="H79" s="301"/>
      <c r="I79" s="1"/>
      <c r="J79" s="1"/>
      <c r="K79" s="1"/>
      <c r="L79" s="1"/>
      <c r="M79" s="1"/>
      <c r="N79" s="1"/>
      <c r="O79" s="1"/>
      <c r="P79" s="1"/>
      <c r="Q79" s="1"/>
      <c r="R79" s="1"/>
    </row>
    <row r="80" spans="1:18">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row>
    <row r="81" spans="1:18" ht="15" customHeight="1">
      <c r="A81" s="257"/>
      <c r="B81" s="291"/>
      <c r="C81" s="166"/>
      <c r="D81" s="146"/>
      <c r="E81" s="147"/>
      <c r="F81" s="141"/>
      <c r="G81" s="141"/>
      <c r="H81" s="301"/>
      <c r="I81" s="1"/>
      <c r="J81" s="1"/>
      <c r="K81" s="1"/>
      <c r="L81" s="1"/>
      <c r="M81" s="1"/>
      <c r="N81" s="1"/>
      <c r="O81" s="1"/>
      <c r="P81" s="1"/>
      <c r="Q81" s="1"/>
      <c r="R81" s="1"/>
    </row>
    <row r="82" spans="1:18">
      <c r="A82" s="257"/>
      <c r="B82" s="175" t="s">
        <v>217</v>
      </c>
      <c r="C82" s="166"/>
      <c r="D82" s="147">
        <v>1</v>
      </c>
      <c r="E82" s="147">
        <v>52</v>
      </c>
      <c r="F82" s="139">
        <v>0</v>
      </c>
      <c r="G82" s="139">
        <v>14</v>
      </c>
      <c r="H82" s="293">
        <v>4</v>
      </c>
      <c r="I82" s="1"/>
      <c r="J82" s="1"/>
      <c r="K82" s="1"/>
      <c r="L82" s="1"/>
      <c r="M82" s="1"/>
      <c r="N82" s="1"/>
      <c r="O82" s="1"/>
      <c r="P82" s="1"/>
      <c r="Q82" s="1"/>
      <c r="R82" s="1"/>
    </row>
    <row r="83" spans="1:18">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row>
    <row r="84" spans="1:18" outlineLevel="1">
      <c r="A84" s="257"/>
      <c r="B84" s="175" t="s">
        <v>221</v>
      </c>
      <c r="C84" s="166"/>
      <c r="D84" s="147"/>
      <c r="E84" s="147"/>
      <c r="F84" s="139"/>
      <c r="G84" s="139"/>
      <c r="H84" s="293"/>
      <c r="I84" s="1"/>
      <c r="J84" s="1"/>
      <c r="K84" s="1"/>
      <c r="L84" s="1"/>
      <c r="M84" s="1"/>
      <c r="N84" s="1"/>
      <c r="O84" s="1"/>
      <c r="P84" s="1"/>
      <c r="Q84" s="1"/>
      <c r="R84" s="1"/>
    </row>
    <row r="85" spans="1:18" outlineLevel="1">
      <c r="A85" s="257"/>
      <c r="B85" s="175" t="s">
        <v>223</v>
      </c>
      <c r="C85" s="166"/>
      <c r="D85" s="147"/>
      <c r="E85" s="147"/>
      <c r="F85" s="139"/>
      <c r="G85" s="139">
        <v>0</v>
      </c>
      <c r="H85" s="293">
        <v>4</v>
      </c>
      <c r="I85" s="1"/>
      <c r="J85" s="1"/>
      <c r="K85" s="1"/>
      <c r="L85" s="1"/>
      <c r="M85" s="1"/>
      <c r="N85" s="1"/>
      <c r="O85" s="1"/>
      <c r="P85" s="1"/>
      <c r="Q85" s="1"/>
      <c r="R85" s="1"/>
    </row>
    <row r="86" spans="1:18" outlineLevel="1">
      <c r="A86" s="376"/>
      <c r="B86" s="175" t="s">
        <v>224</v>
      </c>
      <c r="C86" s="166"/>
      <c r="D86" s="147"/>
      <c r="E86" s="147"/>
      <c r="F86" s="139"/>
      <c r="G86" s="139">
        <v>16</v>
      </c>
      <c r="H86" s="293">
        <v>12</v>
      </c>
      <c r="I86" s="1"/>
      <c r="J86" s="1"/>
      <c r="K86" s="1"/>
      <c r="L86" s="1"/>
      <c r="M86" s="1"/>
      <c r="N86" s="1"/>
      <c r="O86" s="1"/>
      <c r="P86" s="1"/>
      <c r="Q86" s="1"/>
      <c r="R86" s="1"/>
    </row>
    <row r="87" spans="1:18"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row>
    <row r="88" spans="1:18" outlineLevel="1">
      <c r="A88" s="175"/>
      <c r="B88" s="175" t="s">
        <v>226</v>
      </c>
      <c r="C88" s="166"/>
      <c r="D88" s="147"/>
      <c r="E88" s="147"/>
      <c r="F88" s="139"/>
      <c r="G88" s="139"/>
      <c r="H88" s="293"/>
      <c r="I88" s="1"/>
      <c r="J88" s="1"/>
      <c r="K88" s="1"/>
      <c r="L88" s="1"/>
      <c r="M88" s="1"/>
      <c r="N88" s="1"/>
      <c r="O88" s="1"/>
      <c r="P88" s="1"/>
      <c r="Q88" s="1"/>
      <c r="R88" s="1"/>
    </row>
    <row r="89" spans="1:18" outlineLevel="1">
      <c r="A89" s="257"/>
      <c r="B89" s="175" t="s">
        <v>228</v>
      </c>
      <c r="C89" s="166"/>
      <c r="D89" s="147">
        <v>125</v>
      </c>
      <c r="E89" s="147">
        <v>125</v>
      </c>
      <c r="F89" s="139">
        <v>104</v>
      </c>
      <c r="G89" s="139">
        <v>102</v>
      </c>
      <c r="H89" s="293">
        <v>94</v>
      </c>
      <c r="I89" s="1"/>
      <c r="J89" s="1"/>
      <c r="K89" s="1"/>
      <c r="L89" s="1"/>
      <c r="M89" s="1"/>
      <c r="N89" s="1"/>
      <c r="O89" s="1"/>
      <c r="P89" s="1"/>
      <c r="Q89" s="1"/>
      <c r="R89" s="1"/>
    </row>
    <row r="90" spans="1:18" outlineLevel="1">
      <c r="A90" s="257"/>
      <c r="B90" s="175" t="s">
        <v>230</v>
      </c>
      <c r="C90" s="166"/>
      <c r="D90" s="147">
        <v>15</v>
      </c>
      <c r="E90" s="147">
        <v>9</v>
      </c>
      <c r="F90" s="139">
        <v>9</v>
      </c>
      <c r="G90" s="139">
        <v>6</v>
      </c>
      <c r="H90" s="293">
        <v>4</v>
      </c>
      <c r="I90" s="1"/>
      <c r="J90" s="1"/>
      <c r="K90" s="1"/>
      <c r="L90" s="1"/>
      <c r="M90" s="1"/>
      <c r="N90" s="1"/>
      <c r="O90" s="1"/>
      <c r="P90" s="1"/>
      <c r="Q90" s="1"/>
      <c r="R90" s="1"/>
    </row>
    <row r="91" spans="1:18" outlineLevel="1">
      <c r="A91" s="257"/>
      <c r="B91" s="175" t="s">
        <v>232</v>
      </c>
      <c r="C91" s="166"/>
      <c r="D91" s="147">
        <v>5</v>
      </c>
      <c r="E91" s="147">
        <v>6</v>
      </c>
      <c r="F91" s="139">
        <v>8</v>
      </c>
      <c r="G91" s="139">
        <v>8</v>
      </c>
      <c r="H91" s="293">
        <v>7</v>
      </c>
      <c r="I91" s="1"/>
      <c r="J91" s="1"/>
      <c r="K91" s="1"/>
      <c r="L91" s="1"/>
      <c r="M91" s="1"/>
      <c r="N91" s="1"/>
      <c r="O91" s="1"/>
      <c r="P91" s="1"/>
      <c r="Q91" s="1"/>
      <c r="R91" s="1"/>
    </row>
    <row r="92" spans="1:18" outlineLevel="1">
      <c r="A92" s="257"/>
      <c r="B92" s="175" t="s">
        <v>234</v>
      </c>
      <c r="C92" s="166"/>
      <c r="D92" s="147">
        <v>0</v>
      </c>
      <c r="E92" s="147">
        <v>1</v>
      </c>
      <c r="F92" s="139">
        <v>2</v>
      </c>
      <c r="G92" s="139">
        <v>2</v>
      </c>
      <c r="H92" s="293">
        <v>1</v>
      </c>
      <c r="I92" s="1"/>
      <c r="J92" s="1"/>
      <c r="K92" s="1"/>
      <c r="L92" s="1"/>
      <c r="M92" s="1"/>
      <c r="N92" s="1"/>
      <c r="O92" s="1"/>
      <c r="P92" s="1"/>
      <c r="Q92" s="1"/>
      <c r="R92" s="1"/>
    </row>
    <row r="93" spans="1:18" outlineLevel="1">
      <c r="A93" s="257"/>
      <c r="B93" s="175" t="s">
        <v>236</v>
      </c>
      <c r="C93" s="166"/>
      <c r="D93" s="147">
        <v>17</v>
      </c>
      <c r="E93" s="147">
        <v>51</v>
      </c>
      <c r="F93" s="139">
        <v>35</v>
      </c>
      <c r="G93" s="139">
        <v>14</v>
      </c>
      <c r="H93" s="293">
        <v>24</v>
      </c>
      <c r="I93" s="1"/>
      <c r="J93" s="1"/>
      <c r="K93" s="1"/>
      <c r="L93" s="1"/>
      <c r="M93" s="1"/>
      <c r="N93" s="1"/>
      <c r="O93" s="1"/>
      <c r="P93" s="1"/>
      <c r="Q93" s="1"/>
      <c r="R93" s="1"/>
    </row>
    <row r="94" spans="1:18"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row>
    <row r="95" spans="1:18" outlineLevel="1">
      <c r="A95" s="257"/>
      <c r="B95" s="175" t="s">
        <v>240</v>
      </c>
      <c r="C95" s="166"/>
      <c r="D95" s="147">
        <v>0</v>
      </c>
      <c r="E95" s="147">
        <v>0</v>
      </c>
      <c r="F95" s="139">
        <v>0</v>
      </c>
      <c r="G95" s="139">
        <v>0</v>
      </c>
      <c r="H95" s="293">
        <v>0</v>
      </c>
      <c r="I95" s="1"/>
      <c r="J95" s="1"/>
      <c r="K95" s="1"/>
      <c r="L95" s="1"/>
      <c r="M95" s="1"/>
      <c r="N95" s="1"/>
      <c r="O95" s="1"/>
      <c r="P95" s="1"/>
      <c r="Q95" s="1"/>
      <c r="R95" s="1"/>
    </row>
    <row r="96" spans="1:18"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row>
    <row r="97" spans="1:18" outlineLevel="1">
      <c r="A97" s="257"/>
      <c r="B97" s="175" t="s">
        <v>244</v>
      </c>
      <c r="C97" s="166"/>
      <c r="D97" s="147">
        <v>-4</v>
      </c>
      <c r="E97" s="147">
        <v>-3</v>
      </c>
      <c r="F97" s="139">
        <v>5</v>
      </c>
      <c r="G97" s="139">
        <v>4</v>
      </c>
      <c r="H97" s="293">
        <v>4</v>
      </c>
      <c r="I97" s="1"/>
      <c r="J97" s="1"/>
      <c r="K97" s="1"/>
      <c r="L97" s="1"/>
      <c r="M97" s="1"/>
      <c r="N97" s="1"/>
      <c r="O97" s="1"/>
      <c r="P97" s="1"/>
      <c r="Q97" s="1"/>
      <c r="R97" s="1"/>
    </row>
    <row r="98" spans="1:18" outlineLevel="1">
      <c r="A98" s="257"/>
      <c r="B98" s="175" t="s">
        <v>246</v>
      </c>
      <c r="C98" s="166"/>
      <c r="D98" s="147"/>
      <c r="E98" s="147">
        <v>0</v>
      </c>
      <c r="F98" s="139">
        <v>0</v>
      </c>
      <c r="G98" s="139">
        <v>0</v>
      </c>
      <c r="H98" s="293">
        <v>0</v>
      </c>
      <c r="I98" s="1"/>
      <c r="J98" s="1"/>
      <c r="K98" s="1"/>
      <c r="L98" s="1"/>
      <c r="M98" s="1"/>
      <c r="N98" s="1"/>
      <c r="O98" s="1"/>
      <c r="P98" s="1"/>
      <c r="Q98" s="1"/>
      <c r="R98" s="1"/>
    </row>
    <row r="99" spans="1:18">
      <c r="A99" s="257"/>
      <c r="B99" s="355"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row>
    <row r="100" spans="1:18">
      <c r="A100" s="257"/>
      <c r="B100" s="328"/>
      <c r="C100" s="166"/>
      <c r="D100" s="239"/>
      <c r="E100" s="239"/>
      <c r="F100" s="171"/>
      <c r="G100" s="171"/>
      <c r="H100" s="377"/>
      <c r="I100" s="1"/>
      <c r="J100" s="1"/>
      <c r="K100" s="1"/>
      <c r="L100" s="1"/>
      <c r="M100" s="1"/>
      <c r="N100" s="1"/>
      <c r="O100" s="1"/>
      <c r="P100" s="1"/>
      <c r="Q100" s="1"/>
      <c r="R100" s="1"/>
    </row>
    <row r="101" spans="1:18">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row>
    <row r="102" spans="1:18">
      <c r="A102" s="257"/>
      <c r="B102" s="328"/>
      <c r="C102" s="166"/>
      <c r="D102" s="239"/>
      <c r="E102" s="239"/>
      <c r="F102" s="171"/>
      <c r="G102" s="171"/>
      <c r="H102" s="377"/>
      <c r="I102" s="1"/>
      <c r="J102" s="1"/>
      <c r="K102" s="1"/>
      <c r="L102" s="1"/>
      <c r="M102" s="1"/>
      <c r="N102" s="1"/>
      <c r="O102" s="1"/>
      <c r="P102" s="1"/>
      <c r="Q102" s="1"/>
      <c r="R102" s="1"/>
    </row>
    <row r="103" spans="1:18"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row>
    <row r="104" spans="1:18"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row>
    <row r="105" spans="1:18" hidden="1" outlineLevel="1">
      <c r="A105" s="257"/>
      <c r="B105" s="175" t="s">
        <v>258</v>
      </c>
      <c r="C105" s="166"/>
      <c r="D105" s="147">
        <v>-17</v>
      </c>
      <c r="E105" s="147">
        <v>4</v>
      </c>
      <c r="F105" s="139">
        <v>-1</v>
      </c>
      <c r="G105" s="139">
        <v>2</v>
      </c>
      <c r="H105" s="293">
        <v>5</v>
      </c>
      <c r="I105" s="1"/>
      <c r="J105" s="1"/>
      <c r="K105" s="1"/>
      <c r="L105" s="1"/>
      <c r="M105" s="1"/>
      <c r="N105" s="1"/>
      <c r="O105" s="1"/>
      <c r="P105" s="1"/>
      <c r="Q105" s="1"/>
      <c r="R105" s="1"/>
    </row>
    <row r="106" spans="1:18" hidden="1" outlineLevel="1">
      <c r="A106" s="257"/>
      <c r="B106" s="355"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row>
    <row r="107" spans="1:18"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row>
    <row r="108" spans="1:18"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row>
    <row r="109" spans="1:18"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row>
    <row r="110" spans="1:18">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row>
    <row r="111" spans="1:18"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row>
    <row r="112" spans="1:18"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row>
    <row r="113" spans="1:18" collapsed="1">
      <c r="A113" s="257"/>
      <c r="B113" s="175"/>
      <c r="C113" s="166"/>
      <c r="D113" s="147"/>
      <c r="E113" s="147"/>
      <c r="F113" s="139"/>
      <c r="G113" s="139"/>
      <c r="H113" s="293"/>
      <c r="I113" s="1"/>
      <c r="J113" s="137"/>
      <c r="K113" s="1"/>
      <c r="L113" s="1"/>
      <c r="M113" s="1"/>
      <c r="N113" s="1"/>
      <c r="O113" s="1"/>
      <c r="P113" s="1"/>
      <c r="Q113" s="1"/>
      <c r="R113" s="1"/>
    </row>
    <row r="114" spans="1:18" ht="15" thickBot="1">
      <c r="A114" s="269"/>
      <c r="B114" s="332" t="s">
        <v>336</v>
      </c>
      <c r="C114" s="333"/>
      <c r="D114" s="317">
        <f>SUM(D101,D109:D110)</f>
        <v>75</v>
      </c>
      <c r="E114" s="317">
        <f>SUM(E101,E109:E110)</f>
        <v>232</v>
      </c>
      <c r="F114" s="362">
        <f>SUM(F101,F109:F110)</f>
        <v>293</v>
      </c>
      <c r="G114" s="362">
        <f>SUM(G101,G109:G110)</f>
        <v>344</v>
      </c>
      <c r="H114" s="318">
        <f>SUM(H101,H109:H110)</f>
        <v>389</v>
      </c>
      <c r="I114" s="120"/>
      <c r="J114" s="137"/>
      <c r="K114" s="1"/>
      <c r="L114" s="1"/>
      <c r="M114" s="1"/>
      <c r="N114" s="1"/>
      <c r="O114" s="1"/>
      <c r="P114" s="1"/>
      <c r="Q114" s="1"/>
      <c r="R114" s="1"/>
    </row>
    <row r="115" spans="1:18">
      <c r="A115" s="1"/>
      <c r="B115" s="1"/>
      <c r="C115" s="5"/>
      <c r="D115" s="2"/>
      <c r="E115" s="2"/>
      <c r="F115" s="120"/>
      <c r="G115" s="120"/>
      <c r="H115" s="120"/>
      <c r="I115" s="136"/>
      <c r="J115" s="138"/>
      <c r="K115" s="1"/>
      <c r="L115" s="1"/>
      <c r="M115" s="1"/>
      <c r="N115" s="1"/>
      <c r="O115" s="1"/>
      <c r="P115" s="1"/>
      <c r="Q115" s="1"/>
      <c r="R115" s="1"/>
    </row>
    <row r="116" spans="1:18" ht="15" thickBot="1">
      <c r="A116" s="1"/>
      <c r="B116" s="1"/>
      <c r="C116" s="5"/>
      <c r="D116" s="2"/>
      <c r="E116" s="2"/>
      <c r="F116" s="136"/>
      <c r="G116" s="136"/>
      <c r="H116" s="136"/>
      <c r="I116" s="137"/>
      <c r="J116" s="137"/>
      <c r="K116" s="1"/>
      <c r="L116" s="1"/>
      <c r="M116" s="1"/>
      <c r="N116" s="1"/>
      <c r="O116" s="1"/>
      <c r="P116" s="1"/>
      <c r="Q116" s="1"/>
      <c r="R116" s="1"/>
    </row>
    <row r="117" spans="1:18" ht="24.6">
      <c r="A117" s="249"/>
      <c r="B117" s="250" t="s">
        <v>346</v>
      </c>
      <c r="C117" s="251"/>
      <c r="D117" s="252"/>
      <c r="E117" s="252"/>
      <c r="F117" s="252"/>
      <c r="G117" s="253"/>
      <c r="H117" s="137"/>
      <c r="I117" s="137"/>
      <c r="J117" s="137"/>
      <c r="K117" s="1"/>
      <c r="L117" s="1"/>
      <c r="M117" s="1"/>
      <c r="N117" s="1"/>
      <c r="O117" s="1"/>
      <c r="P117" s="1"/>
      <c r="Q117" s="1"/>
      <c r="R117" s="1"/>
    </row>
    <row r="118" spans="1:18">
      <c r="A118" s="254"/>
      <c r="B118" s="247"/>
      <c r="C118" s="60"/>
      <c r="D118" s="669" t="s">
        <v>163</v>
      </c>
      <c r="E118" s="669"/>
      <c r="F118" s="669"/>
      <c r="G118" s="670"/>
      <c r="H118" s="137"/>
      <c r="I118" s="138"/>
      <c r="J118" s="137"/>
      <c r="K118" s="52"/>
      <c r="L118" s="1"/>
      <c r="M118" s="1"/>
      <c r="N118" s="1"/>
      <c r="O118" s="1"/>
      <c r="P118" s="1"/>
      <c r="Q118" s="1"/>
      <c r="R118" s="1"/>
    </row>
    <row r="119" spans="1:18">
      <c r="A119" s="255"/>
      <c r="B119" s="248"/>
      <c r="C119" s="121" t="s">
        <v>1</v>
      </c>
      <c r="D119" s="108">
        <v>42735</v>
      </c>
      <c r="E119" s="108">
        <v>43100</v>
      </c>
      <c r="F119" s="108">
        <v>43465</v>
      </c>
      <c r="G119" s="256">
        <v>43830</v>
      </c>
      <c r="H119" s="138"/>
      <c r="I119" s="137"/>
      <c r="J119" s="137"/>
      <c r="K119" s="52"/>
      <c r="L119" s="1"/>
      <c r="M119" s="1"/>
      <c r="N119" s="1"/>
      <c r="O119" s="1"/>
      <c r="P119" s="1"/>
      <c r="Q119" s="1"/>
      <c r="R119" s="1"/>
    </row>
    <row r="120" spans="1:18">
      <c r="A120" s="257"/>
      <c r="B120" s="2"/>
      <c r="C120" s="2"/>
      <c r="D120" s="28"/>
      <c r="E120" s="26"/>
      <c r="F120" s="26"/>
      <c r="G120" s="258"/>
      <c r="H120" s="137"/>
      <c r="I120" s="137"/>
      <c r="J120" s="137"/>
      <c r="K120" s="52"/>
      <c r="L120" s="1"/>
      <c r="M120" s="1"/>
      <c r="N120" s="1"/>
      <c r="O120" s="1"/>
      <c r="P120" s="1"/>
      <c r="Q120" s="1"/>
      <c r="R120" s="1"/>
    </row>
    <row r="121" spans="1:18">
      <c r="A121" s="257"/>
      <c r="B121" s="5" t="s">
        <v>303</v>
      </c>
      <c r="C121" s="2"/>
      <c r="D121" s="178">
        <v>443</v>
      </c>
      <c r="E121" s="179">
        <v>710</v>
      </c>
      <c r="F121" s="179">
        <v>588</v>
      </c>
      <c r="G121" s="259">
        <v>687</v>
      </c>
      <c r="H121" s="137"/>
      <c r="I121" s="137"/>
      <c r="J121" s="137"/>
      <c r="K121" s="52"/>
      <c r="L121" s="1"/>
      <c r="M121" s="1"/>
      <c r="N121" s="1"/>
      <c r="O121" s="1"/>
      <c r="P121" s="1"/>
      <c r="Q121" s="1"/>
      <c r="R121" s="1"/>
    </row>
    <row r="122" spans="1:18">
      <c r="A122" s="257"/>
      <c r="B122" s="2" t="s">
        <v>347</v>
      </c>
      <c r="C122" s="2"/>
      <c r="D122" s="180">
        <v>-122</v>
      </c>
      <c r="E122" s="181">
        <v>-192</v>
      </c>
      <c r="F122" s="181">
        <v>-157</v>
      </c>
      <c r="G122" s="260">
        <v>-189</v>
      </c>
      <c r="H122" s="137"/>
      <c r="I122" s="137"/>
      <c r="J122" s="137"/>
      <c r="K122" s="52"/>
      <c r="L122" s="1"/>
      <c r="M122" s="1"/>
      <c r="N122" s="1"/>
      <c r="O122" s="1"/>
      <c r="P122" s="1"/>
      <c r="Q122" s="1"/>
      <c r="R122" s="1"/>
    </row>
    <row r="123" spans="1:18">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7">
        <f>-'Reorganised Statements'!H99*('Reorganised Statements'!H109/'Reorganised Statements'!H101)</f>
        <v>-34.481927710843372</v>
      </c>
      <c r="H123" s="137"/>
      <c r="I123" s="137"/>
      <c r="J123" s="137"/>
      <c r="K123" s="52"/>
      <c r="L123" s="1"/>
      <c r="M123" s="1"/>
      <c r="N123" s="1"/>
      <c r="O123" s="1"/>
      <c r="P123" s="1"/>
      <c r="Q123" s="1"/>
      <c r="R123" s="1"/>
    </row>
    <row r="124" spans="1:18">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row>
    <row r="125" spans="1:18">
      <c r="A125" s="257"/>
      <c r="B125" s="2"/>
      <c r="C125" s="2"/>
      <c r="D125" s="180"/>
      <c r="E125" s="181"/>
      <c r="F125" s="181"/>
      <c r="G125" s="260"/>
      <c r="H125" s="137"/>
      <c r="I125" s="137"/>
      <c r="J125" s="137"/>
      <c r="K125" s="52"/>
      <c r="L125" s="1"/>
      <c r="M125" s="1"/>
      <c r="N125" s="1"/>
      <c r="O125" s="1"/>
      <c r="P125" s="1"/>
      <c r="Q125" s="1"/>
      <c r="R125" s="1"/>
    </row>
    <row r="126" spans="1:18">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row>
    <row r="127" spans="1:18">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row>
    <row r="128" spans="1:18">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row>
    <row r="129" spans="1:18">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row>
    <row r="130" spans="1:18">
      <c r="A130" s="257"/>
      <c r="B130" s="2"/>
      <c r="C130" s="2"/>
      <c r="D130" s="180"/>
      <c r="E130" s="181"/>
      <c r="F130" s="181"/>
      <c r="G130" s="260"/>
      <c r="H130" s="137"/>
      <c r="I130" s="137"/>
      <c r="J130" s="136"/>
      <c r="K130" s="52"/>
      <c r="L130" s="1"/>
      <c r="M130" s="1"/>
      <c r="N130" s="1"/>
      <c r="O130" s="1"/>
      <c r="P130" s="1"/>
      <c r="Q130" s="1"/>
      <c r="R130" s="1"/>
    </row>
    <row r="131" spans="1:18">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row>
    <row r="132" spans="1:18">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row>
    <row r="133" spans="1:18">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row>
    <row r="134" spans="1:18">
      <c r="A134" s="257"/>
      <c r="B134" s="2"/>
      <c r="C134" s="2"/>
      <c r="D134" s="180"/>
      <c r="E134" s="181"/>
      <c r="F134" s="181"/>
      <c r="G134" s="260"/>
      <c r="H134" s="136"/>
      <c r="I134" s="137"/>
      <c r="J134" s="137"/>
      <c r="K134" s="52"/>
    </row>
    <row r="135" spans="1:18">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row>
    <row r="136" spans="1:18">
      <c r="A136" s="257"/>
      <c r="B136" s="2" t="s">
        <v>353</v>
      </c>
      <c r="C136" s="2"/>
      <c r="D136" s="180">
        <v>648</v>
      </c>
      <c r="E136" s="181">
        <v>444</v>
      </c>
      <c r="F136" s="181">
        <v>623</v>
      </c>
      <c r="G136" s="260">
        <v>511</v>
      </c>
      <c r="H136" s="136"/>
      <c r="I136" s="150"/>
      <c r="J136" s="137"/>
      <c r="K136" s="52"/>
    </row>
    <row r="137" spans="1:18">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row>
    <row r="138" spans="1:18">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row>
    <row r="139" spans="1:18">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row>
    <row r="140" spans="1:18">
      <c r="A140" s="257"/>
      <c r="B140" s="2" t="s">
        <v>356</v>
      </c>
      <c r="C140" s="2"/>
      <c r="D140" s="180">
        <v>20</v>
      </c>
      <c r="E140" s="181">
        <v>-91</v>
      </c>
      <c r="F140" s="181">
        <v>11</v>
      </c>
      <c r="G140" s="260">
        <v>-3</v>
      </c>
      <c r="H140" s="137"/>
      <c r="I140" s="137"/>
      <c r="J140" s="137"/>
      <c r="K140" s="52"/>
    </row>
    <row r="141" spans="1:18">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row>
    <row r="142" spans="1:18">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row>
    <row r="143" spans="1:18">
      <c r="A143" s="257"/>
      <c r="B143" s="2"/>
      <c r="C143" s="2"/>
      <c r="D143" s="180"/>
      <c r="E143" s="181"/>
      <c r="F143" s="181"/>
      <c r="G143" s="260"/>
      <c r="H143" s="137"/>
      <c r="I143" s="137"/>
      <c r="J143" s="136"/>
      <c r="K143" s="52"/>
    </row>
    <row r="144" spans="1:18">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row>
    <row r="145" spans="1:11">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row>
    <row r="146" spans="1:11">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row>
    <row r="147" spans="1:11">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row>
    <row r="148" spans="1:11">
      <c r="A148" s="257"/>
      <c r="B148" s="2" t="s">
        <v>362</v>
      </c>
      <c r="C148" s="2"/>
      <c r="D148" s="180"/>
      <c r="E148" s="181"/>
      <c r="F148" s="181"/>
      <c r="G148" s="260"/>
      <c r="H148" s="137"/>
      <c r="I148" s="137"/>
      <c r="J148" s="137"/>
      <c r="K148" s="52"/>
    </row>
    <row r="149" spans="1:11">
      <c r="A149" s="257"/>
      <c r="B149" s="2"/>
      <c r="C149" s="2"/>
      <c r="D149" s="186"/>
      <c r="E149" s="187"/>
      <c r="F149" s="187"/>
      <c r="G149" s="267"/>
      <c r="H149" s="137"/>
      <c r="I149" s="137"/>
      <c r="J149" s="137"/>
      <c r="K149" s="52"/>
    </row>
    <row r="150" spans="1:11">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row>
    <row r="151" spans="1:11">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row>
    <row r="152" spans="1:11">
      <c r="A152" s="257"/>
      <c r="B152" s="2"/>
      <c r="C152" s="2"/>
      <c r="D152" s="186"/>
      <c r="E152" s="187"/>
      <c r="F152" s="187"/>
      <c r="G152" s="267"/>
      <c r="H152" s="137"/>
      <c r="I152" s="137"/>
      <c r="J152" s="137"/>
      <c r="K152" s="52"/>
    </row>
    <row r="153" spans="1:11">
      <c r="A153" s="257"/>
      <c r="B153" s="2" t="s">
        <v>365</v>
      </c>
      <c r="C153" s="2"/>
      <c r="D153" s="186">
        <v>636</v>
      </c>
      <c r="E153" s="187">
        <v>402</v>
      </c>
      <c r="F153" s="187">
        <v>691</v>
      </c>
      <c r="G153" s="267">
        <v>624</v>
      </c>
      <c r="H153" s="137"/>
      <c r="I153" s="137"/>
      <c r="J153" s="137"/>
      <c r="K153" s="52"/>
    </row>
    <row r="154" spans="1:11">
      <c r="A154" s="257"/>
      <c r="B154" s="2" t="s">
        <v>366</v>
      </c>
      <c r="C154" s="2"/>
      <c r="D154" s="186">
        <v>402</v>
      </c>
      <c r="E154" s="187">
        <v>691</v>
      </c>
      <c r="F154" s="187">
        <v>624</v>
      </c>
      <c r="G154" s="267">
        <v>434</v>
      </c>
      <c r="H154" s="137"/>
      <c r="I154" s="137"/>
      <c r="J154" s="137"/>
      <c r="K154" s="52"/>
    </row>
    <row r="155" spans="1:11" ht="15" thickBot="1">
      <c r="A155" s="269"/>
      <c r="B155" s="270" t="s">
        <v>367</v>
      </c>
      <c r="C155" s="270"/>
      <c r="D155" s="271">
        <f>D154-D153</f>
        <v>-234</v>
      </c>
      <c r="E155" s="271">
        <f t="shared" ref="E155:G155" si="16">E154-E153</f>
        <v>289</v>
      </c>
      <c r="F155" s="271">
        <f t="shared" si="16"/>
        <v>-67</v>
      </c>
      <c r="G155" s="272">
        <f t="shared" si="16"/>
        <v>-190</v>
      </c>
      <c r="H155" s="137"/>
      <c r="I155" s="137"/>
      <c r="J155" s="137"/>
      <c r="K155" s="52"/>
    </row>
    <row r="156" spans="1:11" ht="15" thickBot="1">
      <c r="A156" s="1"/>
      <c r="B156" s="1"/>
      <c r="C156" s="1"/>
      <c r="D156" s="1"/>
      <c r="E156" s="1"/>
      <c r="F156" s="1"/>
      <c r="G156" s="1"/>
      <c r="H156" s="137"/>
      <c r="I156" s="137"/>
      <c r="J156" s="137"/>
      <c r="K156" s="52"/>
    </row>
    <row r="157" spans="1:11"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row>
    <row r="158" spans="1:11">
      <c r="A158" s="1"/>
      <c r="B158" s="1"/>
      <c r="C158" s="2"/>
      <c r="D158" s="2"/>
      <c r="E158" s="2"/>
      <c r="F158" s="137"/>
      <c r="G158" s="137"/>
      <c r="H158" s="137"/>
      <c r="I158" s="137"/>
      <c r="J158" s="137"/>
      <c r="K158" s="52"/>
    </row>
    <row r="159" spans="1:11">
      <c r="A159" s="1"/>
      <c r="B159" s="1"/>
      <c r="C159" s="2"/>
      <c r="D159" s="2"/>
      <c r="E159" s="2"/>
      <c r="F159" s="137"/>
      <c r="G159" s="137"/>
      <c r="H159" s="137"/>
      <c r="I159" s="137"/>
      <c r="J159" s="137"/>
      <c r="K159" s="52"/>
    </row>
    <row r="160" spans="1:11">
      <c r="A160" s="1"/>
      <c r="B160" s="1"/>
      <c r="C160" s="11"/>
      <c r="D160" s="2"/>
      <c r="E160" s="2"/>
      <c r="F160" s="137"/>
      <c r="G160" s="137"/>
      <c r="H160" s="137"/>
      <c r="I160" s="137"/>
      <c r="J160" s="52"/>
      <c r="K160" s="52"/>
    </row>
    <row r="161" spans="1:11">
      <c r="A161" s="1"/>
      <c r="B161" s="1"/>
      <c r="C161" s="2"/>
      <c r="D161" s="2"/>
      <c r="E161" s="2"/>
      <c r="F161" s="137"/>
      <c r="G161" s="137"/>
      <c r="H161" s="137"/>
      <c r="I161" s="137"/>
      <c r="J161" s="52"/>
      <c r="K161" s="52"/>
    </row>
    <row r="162" spans="1:11">
      <c r="A162" s="1"/>
      <c r="B162" s="1"/>
      <c r="C162" s="11"/>
      <c r="D162" s="2"/>
      <c r="E162" s="2"/>
      <c r="F162" s="137"/>
      <c r="G162" s="137"/>
      <c r="H162" s="137"/>
      <c r="I162" s="137"/>
      <c r="J162" s="52"/>
      <c r="K162" s="52"/>
    </row>
    <row r="163" spans="1:11">
      <c r="A163" s="1"/>
      <c r="B163" s="1"/>
      <c r="C163" s="11"/>
      <c r="D163" s="106"/>
      <c r="E163" s="106"/>
      <c r="F163" s="137"/>
      <c r="G163" s="137"/>
      <c r="H163" s="137"/>
      <c r="I163" s="52"/>
      <c r="J163" s="52"/>
      <c r="K163" s="52"/>
    </row>
    <row r="164" spans="1:11">
      <c r="A164" s="1"/>
      <c r="B164" s="1"/>
      <c r="C164" s="52"/>
      <c r="D164" s="52"/>
      <c r="E164" s="52"/>
      <c r="F164" s="52"/>
      <c r="G164" s="52"/>
      <c r="H164" s="52"/>
      <c r="I164" s="52"/>
      <c r="J164" s="52"/>
      <c r="K164" s="52"/>
    </row>
    <row r="165" spans="1:11">
      <c r="A165" s="1"/>
      <c r="B165" s="1"/>
      <c r="C165" s="52"/>
      <c r="D165" s="52"/>
      <c r="E165" s="52"/>
      <c r="F165" s="52"/>
      <c r="G165" s="52"/>
      <c r="H165" s="52"/>
      <c r="I165" s="52"/>
      <c r="J165" s="52"/>
      <c r="K165" s="52"/>
    </row>
    <row r="166" spans="1:11">
      <c r="A166" s="1"/>
      <c r="B166" s="1"/>
      <c r="C166" s="52"/>
      <c r="D166" s="52"/>
      <c r="E166" s="52"/>
      <c r="F166" s="52"/>
      <c r="G166" s="52"/>
      <c r="H166" s="52"/>
      <c r="I166" s="52"/>
      <c r="J166" s="52"/>
      <c r="K166" s="52"/>
    </row>
    <row r="167" spans="1:11">
      <c r="A167" s="1"/>
      <c r="B167" s="1"/>
      <c r="C167" s="52"/>
      <c r="D167" s="52"/>
      <c r="E167" s="52"/>
      <c r="F167" s="52"/>
      <c r="G167" s="52"/>
      <c r="H167" s="52"/>
      <c r="I167" s="52"/>
      <c r="J167" s="52"/>
      <c r="K167" s="52"/>
    </row>
    <row r="168" spans="1:11">
      <c r="A168" s="1"/>
      <c r="B168" s="1"/>
      <c r="C168" s="52"/>
      <c r="D168" s="52"/>
      <c r="E168" s="52"/>
      <c r="F168" s="52"/>
      <c r="G168" s="52"/>
      <c r="H168" s="52"/>
      <c r="I168" s="52"/>
      <c r="J168" s="52"/>
      <c r="K168" s="52"/>
    </row>
    <row r="169" spans="1:11">
      <c r="A169" s="1"/>
      <c r="B169" s="1"/>
      <c r="C169" s="52"/>
      <c r="D169" s="52"/>
      <c r="E169" s="52"/>
      <c r="F169" s="52"/>
      <c r="G169" s="52"/>
      <c r="H169" s="52"/>
      <c r="I169" s="52"/>
      <c r="J169" s="52"/>
      <c r="K169" s="52"/>
    </row>
    <row r="170" spans="1:11">
      <c r="A170" s="1"/>
      <c r="B170" s="1"/>
      <c r="C170" s="52"/>
      <c r="D170" s="52"/>
      <c r="E170" s="52"/>
      <c r="F170" s="52"/>
      <c r="G170" s="52"/>
      <c r="H170" s="52"/>
      <c r="I170" s="52"/>
      <c r="J170" s="52"/>
      <c r="K170" s="52"/>
    </row>
    <row r="171" spans="1:11">
      <c r="A171" s="1"/>
      <c r="B171" s="1"/>
      <c r="C171" s="52"/>
      <c r="D171" s="52"/>
      <c r="E171" s="52"/>
      <c r="F171" s="52"/>
      <c r="G171" s="52"/>
      <c r="H171" s="52"/>
      <c r="I171" s="52"/>
      <c r="J171" s="52"/>
      <c r="K171" s="52"/>
    </row>
    <row r="172" spans="1:11">
      <c r="A172" s="1"/>
      <c r="B172" s="1"/>
      <c r="C172" s="52"/>
      <c r="D172" s="52"/>
      <c r="E172" s="52"/>
      <c r="F172" s="52"/>
      <c r="G172" s="52"/>
      <c r="H172" s="52"/>
      <c r="I172" s="52"/>
      <c r="J172" s="52"/>
      <c r="K172" s="52"/>
    </row>
    <row r="173" spans="1:11">
      <c r="A173" s="1"/>
      <c r="B173" s="1"/>
      <c r="C173" s="52"/>
      <c r="D173" s="52"/>
      <c r="E173" s="52"/>
      <c r="F173" s="52"/>
      <c r="G173" s="52"/>
      <c r="H173" s="52"/>
      <c r="I173" s="52"/>
      <c r="J173" s="52"/>
      <c r="K173" s="52"/>
    </row>
    <row r="174" spans="1:11">
      <c r="A174" s="1"/>
      <c r="B174" s="1"/>
      <c r="C174" s="52"/>
      <c r="D174" s="52"/>
      <c r="E174" s="52"/>
      <c r="F174" s="52"/>
      <c r="G174" s="52"/>
      <c r="H174" s="52"/>
      <c r="I174" s="52"/>
      <c r="J174" s="52"/>
      <c r="K174" s="52"/>
    </row>
    <row r="175" spans="1:11">
      <c r="A175" s="1"/>
      <c r="B175" s="1"/>
      <c r="C175" s="52"/>
      <c r="D175" s="52"/>
      <c r="E175" s="52"/>
      <c r="F175" s="52"/>
      <c r="G175" s="52"/>
      <c r="H175" s="52"/>
      <c r="I175" s="52"/>
      <c r="J175" s="52"/>
      <c r="K175" s="52"/>
    </row>
    <row r="176" spans="1:11">
      <c r="A176" s="1"/>
      <c r="B176" s="1"/>
      <c r="C176" s="52"/>
      <c r="D176" s="52"/>
      <c r="E176" s="52"/>
      <c r="F176" s="52"/>
      <c r="G176" s="52"/>
      <c r="H176" s="52"/>
      <c r="I176" s="52"/>
      <c r="J176" s="52"/>
      <c r="K176" s="52"/>
    </row>
    <row r="177" spans="1:14">
      <c r="A177" s="1"/>
      <c r="B177" s="1"/>
      <c r="C177" s="52"/>
      <c r="D177" s="52"/>
      <c r="E177" s="52"/>
      <c r="F177" s="52"/>
      <c r="G177" s="52"/>
      <c r="H177" s="52"/>
      <c r="I177" s="52"/>
      <c r="J177" s="52"/>
      <c r="K177" s="52"/>
    </row>
    <row r="178" spans="1:14">
      <c r="A178" s="1"/>
      <c r="B178" s="1"/>
      <c r="C178" s="52"/>
      <c r="D178" s="52"/>
      <c r="E178" s="52"/>
      <c r="F178" s="52"/>
      <c r="G178" s="52"/>
      <c r="H178" s="52"/>
      <c r="I178" s="52"/>
      <c r="J178" s="52"/>
      <c r="K178" s="52"/>
    </row>
    <row r="179" spans="1:14">
      <c r="A179" s="1"/>
      <c r="B179" s="1"/>
      <c r="C179" s="52"/>
      <c r="D179" s="52"/>
      <c r="E179" s="52"/>
      <c r="F179" s="52"/>
      <c r="G179" s="52"/>
      <c r="H179" s="52"/>
      <c r="I179" s="52"/>
      <c r="J179" s="52"/>
    </row>
    <row r="180" spans="1:14">
      <c r="A180" s="1"/>
      <c r="B180" s="1"/>
      <c r="C180" s="52"/>
      <c r="D180" s="52"/>
      <c r="E180" s="52"/>
      <c r="F180" s="52"/>
      <c r="G180" s="52"/>
      <c r="H180" s="52"/>
      <c r="I180" s="52"/>
    </row>
    <row r="181" spans="1:14">
      <c r="A181" s="1"/>
      <c r="B181" s="1"/>
      <c r="C181" s="52"/>
      <c r="D181" s="52"/>
      <c r="E181" s="52"/>
      <c r="F181" s="52"/>
      <c r="G181" s="52"/>
      <c r="H181" s="52"/>
      <c r="I181" s="52"/>
    </row>
    <row r="182" spans="1:14">
      <c r="A182" s="1"/>
      <c r="B182" s="1"/>
      <c r="C182" s="52"/>
      <c r="D182" s="52"/>
      <c r="E182" s="52"/>
      <c r="F182" s="52"/>
      <c r="G182" s="52"/>
      <c r="H182" s="52"/>
      <c r="I182" s="52"/>
    </row>
    <row r="183" spans="1:14">
      <c r="A183" s="1"/>
      <c r="B183" s="1"/>
      <c r="C183" s="52"/>
      <c r="D183" s="52"/>
      <c r="E183" s="52"/>
      <c r="F183" s="52"/>
      <c r="G183" s="52"/>
      <c r="H183" s="52"/>
    </row>
    <row r="184" spans="1:14">
      <c r="A184" s="1"/>
      <c r="B184" s="1"/>
    </row>
    <row r="185" spans="1:14">
      <c r="A185" s="1"/>
    </row>
    <row r="186" spans="1:14">
      <c r="A186" s="1"/>
    </row>
    <row r="187" spans="1:14">
      <c r="A187" s="1"/>
      <c r="K187" s="1"/>
    </row>
    <row r="188" spans="1:14">
      <c r="A188" s="1"/>
      <c r="J188" s="1"/>
      <c r="K188" s="1"/>
    </row>
    <row r="189" spans="1:14">
      <c r="A189" s="1"/>
      <c r="J189" s="1"/>
      <c r="K189" s="1"/>
    </row>
    <row r="190" spans="1:14">
      <c r="A190" s="1"/>
      <c r="J190" s="1"/>
      <c r="K190" s="1"/>
    </row>
    <row r="191" spans="1:14">
      <c r="A191" s="1"/>
      <c r="I191" s="126"/>
      <c r="J191" s="1"/>
      <c r="K191" s="1"/>
      <c r="L191" s="1"/>
      <c r="M191" s="1"/>
      <c r="N191" s="1"/>
    </row>
    <row r="192" spans="1:14">
      <c r="A192" s="1"/>
      <c r="C192" s="2"/>
      <c r="D192" s="126"/>
      <c r="E192" s="126"/>
      <c r="F192" s="126"/>
      <c r="G192" s="126"/>
      <c r="H192" s="126"/>
      <c r="I192" s="126"/>
      <c r="J192" s="1"/>
      <c r="K192" s="1"/>
      <c r="L192" s="1"/>
      <c r="M192" s="1"/>
      <c r="N192" s="1"/>
    </row>
    <row r="193" spans="1:14">
      <c r="A193" s="1"/>
      <c r="C193" s="2"/>
      <c r="D193" s="126"/>
      <c r="E193" s="126"/>
      <c r="F193" s="126"/>
      <c r="G193" s="126"/>
      <c r="H193" s="126"/>
      <c r="I193" s="126"/>
      <c r="J193" s="1"/>
      <c r="K193" s="1"/>
      <c r="L193" s="1"/>
      <c r="M193" s="1"/>
      <c r="N193" s="1"/>
    </row>
    <row r="194" spans="1:14">
      <c r="A194" s="1"/>
      <c r="C194" s="2"/>
      <c r="D194" s="126"/>
      <c r="E194" s="126"/>
      <c r="F194" s="126"/>
      <c r="G194" s="126"/>
      <c r="H194" s="126"/>
      <c r="I194" s="126"/>
      <c r="J194" s="1"/>
      <c r="K194" s="1"/>
      <c r="L194" s="1"/>
      <c r="M194" s="1"/>
      <c r="N194" s="1"/>
    </row>
    <row r="195" spans="1:14">
      <c r="A195" s="1"/>
      <c r="C195" s="2"/>
      <c r="D195" s="126"/>
      <c r="E195" s="126"/>
      <c r="F195" s="126"/>
      <c r="G195" s="126"/>
      <c r="H195" s="126"/>
      <c r="I195" s="126"/>
      <c r="J195" s="1"/>
      <c r="K195" s="1"/>
      <c r="L195" s="1"/>
      <c r="M195" s="1"/>
      <c r="N195" s="1"/>
    </row>
    <row r="196" spans="1:14">
      <c r="A196" s="1"/>
      <c r="C196" s="126"/>
      <c r="D196" s="126"/>
      <c r="E196" s="126"/>
      <c r="F196" s="126"/>
      <c r="G196" s="126"/>
      <c r="H196" s="126"/>
      <c r="I196" s="126"/>
      <c r="J196" s="1"/>
      <c r="K196" s="1"/>
      <c r="L196" s="1"/>
      <c r="M196" s="1"/>
      <c r="N196" s="1"/>
    </row>
    <row r="197" spans="1:14">
      <c r="A197" s="1"/>
      <c r="C197" s="106"/>
      <c r="D197" s="129"/>
      <c r="E197" s="126"/>
      <c r="F197" s="126"/>
      <c r="G197" s="126"/>
      <c r="H197" s="126"/>
      <c r="I197" s="126"/>
      <c r="J197" s="1"/>
      <c r="K197" s="1"/>
      <c r="L197" s="1"/>
      <c r="M197" s="1"/>
      <c r="N197" s="1"/>
    </row>
    <row r="198" spans="1:14">
      <c r="A198" s="1"/>
      <c r="C198" s="2"/>
      <c r="D198" s="126"/>
      <c r="E198" s="126"/>
      <c r="F198" s="126"/>
      <c r="G198" s="126"/>
      <c r="H198" s="126"/>
      <c r="I198" s="126"/>
      <c r="J198" s="1"/>
      <c r="K198" s="167"/>
      <c r="L198" s="1"/>
      <c r="M198" s="1"/>
      <c r="N198" s="1"/>
    </row>
    <row r="199" spans="1:14">
      <c r="A199" s="1"/>
      <c r="C199" s="133"/>
      <c r="D199" s="133"/>
      <c r="E199" s="126"/>
      <c r="F199" s="126"/>
      <c r="G199" s="126"/>
      <c r="H199" s="126"/>
      <c r="I199" s="126"/>
      <c r="J199" s="1"/>
      <c r="K199" s="1"/>
      <c r="L199" s="1"/>
      <c r="M199" s="1"/>
      <c r="N199" s="1"/>
    </row>
    <row r="200" spans="1:14">
      <c r="A200" s="1"/>
      <c r="C200" s="2"/>
      <c r="D200" s="126"/>
      <c r="E200" s="126"/>
      <c r="F200" s="126"/>
      <c r="G200" s="126"/>
      <c r="H200" s="126"/>
      <c r="I200" s="126"/>
      <c r="J200" s="1"/>
      <c r="K200" s="1"/>
      <c r="L200" s="1"/>
      <c r="M200" s="1"/>
      <c r="N200" s="1"/>
    </row>
    <row r="201" spans="1:14">
      <c r="A201" s="1"/>
      <c r="C201" s="133"/>
      <c r="D201" s="133"/>
      <c r="E201" s="126"/>
      <c r="F201" s="126"/>
      <c r="G201" s="126"/>
      <c r="H201" s="126"/>
      <c r="I201" s="126"/>
      <c r="J201" s="1"/>
      <c r="K201" s="1"/>
      <c r="L201" s="1"/>
      <c r="M201" s="1"/>
      <c r="N201" s="1"/>
    </row>
    <row r="202" spans="1:14">
      <c r="A202" s="1"/>
      <c r="C202" s="106"/>
      <c r="D202" s="126"/>
      <c r="E202" s="126"/>
      <c r="F202" s="126"/>
      <c r="G202" s="126"/>
      <c r="H202" s="126"/>
      <c r="I202" s="126"/>
      <c r="J202" s="1"/>
      <c r="K202" s="1"/>
      <c r="L202" s="1"/>
      <c r="M202" s="1"/>
      <c r="N202" s="1"/>
    </row>
    <row r="203" spans="1:14">
      <c r="A203" s="1"/>
      <c r="C203" s="2"/>
      <c r="D203" s="126"/>
      <c r="E203" s="126"/>
      <c r="F203" s="126"/>
      <c r="G203" s="126"/>
      <c r="H203" s="126"/>
      <c r="I203" s="126"/>
      <c r="J203" s="1"/>
      <c r="K203" s="1"/>
      <c r="L203" s="1"/>
      <c r="M203" s="1"/>
      <c r="N203" s="1"/>
    </row>
    <row r="204" spans="1:14">
      <c r="A204" s="1"/>
      <c r="C204" s="126"/>
      <c r="D204" s="126"/>
      <c r="E204" s="126"/>
      <c r="F204" s="126"/>
      <c r="G204" s="126"/>
      <c r="H204" s="126"/>
      <c r="I204" s="131"/>
      <c r="J204" s="167"/>
      <c r="K204" s="1"/>
      <c r="L204" s="1"/>
      <c r="M204" s="1"/>
      <c r="N204" s="1"/>
    </row>
    <row r="205" spans="1:14">
      <c r="A205" s="1"/>
      <c r="C205" s="131"/>
      <c r="D205" s="131"/>
      <c r="E205" s="131"/>
      <c r="F205" s="131"/>
      <c r="G205" s="131"/>
      <c r="H205" s="131"/>
      <c r="I205" s="126"/>
      <c r="J205" s="1"/>
      <c r="K205" s="1"/>
      <c r="L205" s="1"/>
      <c r="M205" s="1"/>
      <c r="N205" s="1"/>
    </row>
    <row r="206" spans="1:14" ht="24.6">
      <c r="A206" s="1"/>
      <c r="C206" s="130"/>
      <c r="D206" s="126"/>
      <c r="E206" s="126"/>
      <c r="F206" s="126"/>
      <c r="G206" s="126"/>
      <c r="H206" s="126"/>
      <c r="I206" s="126"/>
      <c r="J206" s="1"/>
      <c r="K206" s="1"/>
      <c r="L206" s="1"/>
      <c r="M206" s="1"/>
      <c r="N206" s="1"/>
    </row>
    <row r="207" spans="1:14">
      <c r="A207" s="1"/>
      <c r="C207" s="1"/>
      <c r="D207" s="126"/>
      <c r="E207" s="126"/>
      <c r="F207" s="126"/>
      <c r="G207" s="126"/>
      <c r="H207" s="126"/>
      <c r="I207" s="126"/>
      <c r="J207" s="1"/>
      <c r="K207" s="1"/>
      <c r="L207" s="1"/>
      <c r="M207" s="1"/>
      <c r="N207" s="1"/>
    </row>
    <row r="208" spans="1:14">
      <c r="A208" s="1"/>
      <c r="C208" s="2"/>
      <c r="D208" s="126"/>
      <c r="E208" s="126"/>
      <c r="F208" s="126"/>
      <c r="G208" s="126"/>
      <c r="H208" s="126"/>
      <c r="I208" s="126"/>
      <c r="J208" s="1"/>
      <c r="K208" s="1"/>
      <c r="L208" s="1"/>
      <c r="M208" s="1"/>
      <c r="N208" s="1"/>
    </row>
    <row r="209" spans="1:14">
      <c r="A209" s="1"/>
      <c r="C209" s="2"/>
      <c r="D209" s="126"/>
      <c r="E209" s="126"/>
      <c r="F209" s="126"/>
      <c r="G209" s="126"/>
      <c r="H209" s="126"/>
      <c r="I209" s="126"/>
      <c r="J209" s="1"/>
      <c r="K209" s="1"/>
      <c r="L209" s="1"/>
      <c r="M209" s="1"/>
      <c r="N209" s="1"/>
    </row>
    <row r="210" spans="1:14">
      <c r="A210" s="1"/>
      <c r="C210" s="106"/>
      <c r="D210" s="126"/>
      <c r="E210" s="126"/>
      <c r="F210" s="135"/>
      <c r="G210" s="126"/>
      <c r="H210" s="126"/>
      <c r="I210" s="126"/>
      <c r="J210" s="1"/>
      <c r="K210" s="1"/>
      <c r="L210" s="1"/>
      <c r="M210" s="1"/>
      <c r="N210" s="1"/>
    </row>
    <row r="211" spans="1:14">
      <c r="A211" s="1"/>
      <c r="C211" s="126"/>
      <c r="D211" s="126"/>
      <c r="E211" s="126"/>
      <c r="F211" s="126"/>
      <c r="G211" s="135"/>
      <c r="H211" s="135"/>
      <c r="I211" s="126"/>
      <c r="J211" s="1"/>
      <c r="K211" s="1"/>
      <c r="L211" s="1"/>
      <c r="M211" s="1"/>
      <c r="N211" s="1"/>
    </row>
    <row r="212" spans="1:14">
      <c r="A212" s="1"/>
      <c r="C212" s="126"/>
      <c r="D212" s="126"/>
      <c r="E212" s="126"/>
      <c r="F212" s="126"/>
      <c r="G212" s="126"/>
      <c r="H212" s="126"/>
      <c r="I212" s="126"/>
      <c r="J212" s="1"/>
      <c r="K212" s="1"/>
      <c r="L212" s="1"/>
      <c r="M212" s="1"/>
      <c r="N212" s="1"/>
    </row>
    <row r="213" spans="1:14">
      <c r="A213" s="1"/>
      <c r="C213" s="106"/>
      <c r="D213" s="126"/>
      <c r="E213" s="126"/>
      <c r="F213" s="126"/>
      <c r="G213" s="126"/>
      <c r="H213" s="126"/>
      <c r="I213" s="126"/>
      <c r="J213" s="1"/>
      <c r="K213" s="1"/>
      <c r="L213" s="1"/>
      <c r="M213" s="1"/>
      <c r="N213" s="1"/>
    </row>
    <row r="214" spans="1:14">
      <c r="A214" s="1"/>
      <c r="C214" s="2"/>
      <c r="D214" s="126"/>
      <c r="E214" s="126"/>
      <c r="F214" s="126"/>
      <c r="G214" s="126"/>
      <c r="H214" s="126"/>
      <c r="I214" s="126"/>
      <c r="J214" s="1"/>
      <c r="K214" s="1"/>
      <c r="L214" s="1"/>
      <c r="M214" s="1"/>
      <c r="N214" s="1"/>
    </row>
    <row r="215" spans="1:14">
      <c r="A215" s="1"/>
      <c r="C215" s="126"/>
      <c r="D215" s="126"/>
      <c r="E215" s="126"/>
      <c r="F215" s="126"/>
      <c r="G215" s="126"/>
      <c r="H215" s="126"/>
      <c r="I215" s="126"/>
      <c r="J215" s="1"/>
      <c r="K215" s="1"/>
      <c r="L215" s="1"/>
      <c r="M215" s="1"/>
      <c r="N215" s="1"/>
    </row>
    <row r="216" spans="1:14">
      <c r="A216" s="1"/>
      <c r="C216" s="126"/>
      <c r="D216" s="126"/>
      <c r="E216" s="126"/>
      <c r="F216" s="126"/>
      <c r="G216" s="126"/>
      <c r="H216" s="126"/>
      <c r="I216" s="126"/>
      <c r="J216" s="1"/>
      <c r="K216" s="1"/>
      <c r="L216" s="1"/>
      <c r="M216" s="1"/>
      <c r="N216" s="1"/>
    </row>
    <row r="217" spans="1:14">
      <c r="A217" s="1"/>
      <c r="C217" s="126"/>
      <c r="D217" s="126"/>
      <c r="E217" s="126"/>
      <c r="F217" s="126"/>
      <c r="G217" s="126"/>
      <c r="H217" s="126"/>
      <c r="I217" s="26"/>
      <c r="J217" s="1"/>
      <c r="K217" s="1"/>
      <c r="L217" s="1"/>
      <c r="M217" s="1"/>
      <c r="N217" s="1"/>
    </row>
    <row r="218" spans="1:14">
      <c r="A218" s="1"/>
      <c r="C218" s="126"/>
      <c r="D218" s="126"/>
      <c r="E218" s="28"/>
      <c r="F218" s="26"/>
      <c r="G218" s="26"/>
      <c r="H218" s="26"/>
      <c r="I218" s="126"/>
      <c r="J218" s="1"/>
      <c r="K218" s="1"/>
      <c r="L218" s="1"/>
      <c r="M218" s="1"/>
      <c r="N218" s="1"/>
    </row>
    <row r="219" spans="1:14">
      <c r="A219" s="1"/>
      <c r="C219" s="2"/>
      <c r="D219" s="126"/>
      <c r="E219" s="126"/>
      <c r="F219" s="126"/>
      <c r="G219" s="126"/>
      <c r="H219" s="126"/>
      <c r="I219" s="134"/>
      <c r="J219" s="1"/>
      <c r="K219" s="1"/>
      <c r="L219" s="1"/>
      <c r="M219" s="1"/>
      <c r="N219" s="1"/>
    </row>
    <row r="220" spans="1:14">
      <c r="A220" s="1"/>
      <c r="C220" s="2"/>
      <c r="D220" s="126"/>
      <c r="E220" s="134"/>
      <c r="F220" s="134"/>
      <c r="G220" s="134"/>
      <c r="H220" s="134"/>
      <c r="I220" s="126"/>
      <c r="J220" s="1"/>
      <c r="K220" s="1"/>
      <c r="L220" s="1"/>
      <c r="M220" s="1"/>
      <c r="N220" s="1"/>
    </row>
    <row r="221" spans="1:14">
      <c r="A221" s="1"/>
      <c r="C221" s="126"/>
      <c r="D221" s="126"/>
      <c r="E221" s="126"/>
      <c r="F221" s="126"/>
      <c r="G221" s="126"/>
      <c r="H221" s="126"/>
      <c r="I221" s="126"/>
      <c r="J221" s="1"/>
      <c r="K221" s="1"/>
      <c r="L221" s="1"/>
      <c r="M221" s="1"/>
      <c r="N221" s="1"/>
    </row>
    <row r="222" spans="1:14">
      <c r="A222" s="1"/>
      <c r="C222" s="2"/>
      <c r="D222" s="126"/>
      <c r="E222" s="126"/>
      <c r="F222" s="126"/>
      <c r="G222" s="126"/>
      <c r="H222" s="126"/>
      <c r="I222" s="126"/>
      <c r="J222" s="1"/>
      <c r="K222" s="1"/>
      <c r="L222" s="1"/>
      <c r="M222" s="1"/>
      <c r="N222" s="1"/>
    </row>
    <row r="223" spans="1:14">
      <c r="A223" s="1"/>
      <c r="C223" s="126"/>
      <c r="D223" s="126"/>
      <c r="E223" s="126"/>
      <c r="F223" s="126"/>
      <c r="G223" s="126"/>
      <c r="H223" s="126"/>
      <c r="I223" s="126"/>
      <c r="J223" s="1"/>
      <c r="K223" s="1"/>
      <c r="L223" s="1"/>
      <c r="M223" s="1"/>
      <c r="N223" s="1"/>
    </row>
    <row r="224" spans="1:14">
      <c r="A224" s="1"/>
      <c r="C224" s="126"/>
      <c r="D224" s="126"/>
      <c r="E224" s="126"/>
      <c r="F224" s="126"/>
      <c r="G224" s="126"/>
      <c r="H224" s="126"/>
      <c r="I224" s="126"/>
      <c r="J224" s="1"/>
      <c r="K224" s="1"/>
      <c r="L224" s="1"/>
      <c r="M224" s="1"/>
      <c r="N224" s="1"/>
    </row>
    <row r="225" spans="1:14">
      <c r="A225" s="1"/>
      <c r="C225" s="1"/>
      <c r="D225" s="126"/>
      <c r="E225" s="126"/>
      <c r="F225" s="126"/>
      <c r="G225" s="126"/>
      <c r="H225" s="126"/>
      <c r="I225" s="126"/>
      <c r="J225" s="1"/>
      <c r="K225" s="1"/>
      <c r="L225" s="1"/>
      <c r="M225" s="1"/>
      <c r="N225" s="1"/>
    </row>
    <row r="226" spans="1:14">
      <c r="A226" s="1"/>
      <c r="C226" s="126"/>
      <c r="D226" s="126"/>
      <c r="E226" s="126"/>
      <c r="F226" s="126"/>
      <c r="G226" s="126"/>
      <c r="H226" s="126"/>
      <c r="I226" s="126"/>
      <c r="J226" s="1"/>
      <c r="K226" s="1"/>
      <c r="L226" s="1"/>
      <c r="M226" s="1"/>
      <c r="N226" s="1"/>
    </row>
    <row r="227" spans="1:14">
      <c r="A227" s="1"/>
      <c r="C227" s="126"/>
      <c r="D227" s="126"/>
      <c r="E227" s="126"/>
      <c r="F227" s="126"/>
      <c r="G227" s="126"/>
      <c r="H227" s="126"/>
      <c r="I227" s="126"/>
      <c r="J227" s="1"/>
      <c r="K227" s="1"/>
      <c r="L227" s="1"/>
      <c r="M227" s="1"/>
      <c r="N227" s="1"/>
    </row>
    <row r="228" spans="1:14">
      <c r="A228" s="1"/>
      <c r="B228" s="1"/>
      <c r="C228" s="126"/>
      <c r="D228" s="126"/>
      <c r="E228" s="126"/>
      <c r="F228" s="126"/>
      <c r="G228" s="126"/>
      <c r="H228" s="126"/>
      <c r="I228" s="126"/>
      <c r="J228" s="1"/>
      <c r="K228" s="1"/>
      <c r="L228" s="1"/>
      <c r="M228" s="1"/>
      <c r="N228" s="1"/>
    </row>
    <row r="229" spans="1:14">
      <c r="A229" s="1"/>
      <c r="B229" s="1"/>
      <c r="C229" s="126"/>
      <c r="D229" s="126"/>
      <c r="E229" s="126"/>
      <c r="F229" s="126"/>
      <c r="G229" s="126"/>
      <c r="H229" s="126"/>
      <c r="I229" s="126"/>
      <c r="J229" s="1"/>
      <c r="K229" s="1"/>
      <c r="L229" s="1"/>
      <c r="M229" s="1"/>
      <c r="N229" s="1"/>
    </row>
    <row r="230" spans="1:14">
      <c r="A230" s="1"/>
      <c r="B230" s="1"/>
      <c r="C230" s="126"/>
      <c r="D230" s="126"/>
      <c r="E230" s="126"/>
      <c r="F230" s="126"/>
      <c r="G230" s="126"/>
      <c r="H230" s="126"/>
      <c r="I230" s="126"/>
      <c r="J230" s="1"/>
      <c r="K230" s="1"/>
      <c r="L230" s="1"/>
      <c r="M230" s="1"/>
      <c r="N230" s="1"/>
    </row>
    <row r="231" spans="1:14">
      <c r="A231" s="1"/>
      <c r="B231" s="1"/>
      <c r="C231" s="126"/>
      <c r="D231" s="126"/>
      <c r="E231" s="126"/>
      <c r="F231" s="126"/>
      <c r="G231" s="126"/>
      <c r="H231" s="126"/>
      <c r="I231" s="126"/>
      <c r="J231" s="1"/>
      <c r="K231" s="1"/>
      <c r="L231" s="1"/>
      <c r="M231" s="1"/>
      <c r="N231" s="1"/>
    </row>
    <row r="232" spans="1:14">
      <c r="A232" s="1"/>
      <c r="B232" s="1"/>
      <c r="C232" s="126"/>
      <c r="D232" s="126"/>
      <c r="E232" s="126"/>
      <c r="F232" s="126"/>
      <c r="G232" s="126"/>
      <c r="H232" s="126"/>
      <c r="I232" s="126"/>
      <c r="J232" s="1"/>
      <c r="K232" s="1"/>
      <c r="L232" s="1"/>
      <c r="M232" s="1"/>
      <c r="N232" s="1"/>
    </row>
    <row r="233" spans="1:14">
      <c r="A233" s="1"/>
      <c r="B233" s="1"/>
      <c r="C233" s="132"/>
      <c r="D233" s="126"/>
      <c r="E233" s="126"/>
      <c r="F233" s="126"/>
      <c r="G233" s="126"/>
      <c r="H233" s="126"/>
      <c r="I233" s="126"/>
      <c r="J233" s="1"/>
      <c r="K233" s="1"/>
      <c r="L233" s="1"/>
      <c r="M233" s="1"/>
      <c r="N233" s="1"/>
    </row>
    <row r="234" spans="1:14">
      <c r="A234" s="1"/>
      <c r="B234" s="1"/>
      <c r="C234" s="132"/>
      <c r="D234" s="126"/>
      <c r="E234" s="126"/>
      <c r="F234" s="126"/>
      <c r="G234" s="126"/>
      <c r="H234" s="126"/>
      <c r="I234" s="126"/>
      <c r="J234" s="1"/>
      <c r="K234" s="1"/>
      <c r="L234" s="1"/>
      <c r="M234" s="1"/>
      <c r="N234" s="1"/>
    </row>
    <row r="235" spans="1:14">
      <c r="A235" s="1"/>
      <c r="B235" s="1"/>
      <c r="C235" s="126"/>
      <c r="D235" s="126"/>
      <c r="E235" s="126"/>
      <c r="F235" s="126"/>
      <c r="G235" s="126"/>
      <c r="H235" s="126"/>
      <c r="I235" s="126"/>
      <c r="J235" s="126"/>
      <c r="K235" s="1"/>
      <c r="L235" s="1"/>
      <c r="M235" s="1"/>
      <c r="N235" s="1"/>
    </row>
    <row r="236" spans="1:14">
      <c r="A236" s="1"/>
      <c r="B236" s="1"/>
      <c r="C236" s="126"/>
      <c r="D236" s="126"/>
      <c r="E236" s="126"/>
      <c r="F236" s="126"/>
      <c r="G236" s="126"/>
      <c r="H236" s="126"/>
      <c r="I236" s="126"/>
      <c r="J236" s="1"/>
      <c r="K236" s="1"/>
      <c r="L236" s="1"/>
      <c r="M236" s="1"/>
      <c r="N236" s="1"/>
    </row>
    <row r="237" spans="1:14">
      <c r="A237" s="1"/>
      <c r="B237" s="1"/>
      <c r="C237" s="126"/>
      <c r="D237" s="126"/>
      <c r="E237" s="126"/>
      <c r="F237" s="126"/>
      <c r="G237" s="126"/>
      <c r="H237" s="126"/>
      <c r="I237" s="126"/>
      <c r="J237" s="1"/>
      <c r="K237" s="1"/>
      <c r="L237" s="1"/>
      <c r="M237" s="1"/>
      <c r="N237" s="1"/>
    </row>
    <row r="238" spans="1:14">
      <c r="A238" s="1"/>
      <c r="B238" s="1"/>
      <c r="C238" s="126"/>
      <c r="D238" s="126"/>
      <c r="E238" s="126"/>
      <c r="F238" s="126"/>
      <c r="G238" s="126"/>
      <c r="H238" s="126"/>
      <c r="I238" s="126"/>
      <c r="J238" s="1"/>
      <c r="K238" s="1"/>
      <c r="L238" s="1"/>
      <c r="M238" s="1"/>
      <c r="N238" s="1"/>
    </row>
    <row r="239" spans="1:14">
      <c r="A239" s="1"/>
      <c r="B239" s="1"/>
      <c r="C239" s="126"/>
      <c r="D239" s="126"/>
      <c r="E239" s="126"/>
      <c r="F239" s="126"/>
      <c r="G239" s="126"/>
      <c r="H239" s="126"/>
      <c r="I239" s="1"/>
      <c r="J239" s="1"/>
      <c r="K239" s="1"/>
      <c r="L239" s="1"/>
      <c r="M239" s="1"/>
      <c r="N239" s="1"/>
    </row>
    <row r="240" spans="1:14">
      <c r="A240" s="1"/>
      <c r="B240" s="1"/>
      <c r="C240" s="1"/>
      <c r="D240" s="1"/>
      <c r="E240" s="1"/>
      <c r="F240" s="1"/>
      <c r="G240" s="1"/>
      <c r="H240" s="1"/>
      <c r="I240" s="126"/>
      <c r="J240" s="1"/>
      <c r="K240" s="1"/>
      <c r="L240" s="1"/>
      <c r="M240" s="1"/>
      <c r="N240" s="1"/>
    </row>
    <row r="241" spans="1:14">
      <c r="A241" s="1"/>
      <c r="B241" s="1"/>
      <c r="C241" s="1"/>
      <c r="D241" s="126"/>
      <c r="E241" s="126"/>
      <c r="F241" s="126"/>
      <c r="G241" s="126"/>
      <c r="H241" s="126"/>
      <c r="I241" s="1"/>
      <c r="J241" s="1"/>
      <c r="K241" s="1"/>
      <c r="L241" s="1"/>
      <c r="M241" s="1"/>
      <c r="N241" s="1"/>
    </row>
    <row r="242" spans="1:14">
      <c r="A242" s="1"/>
      <c r="B242" s="1"/>
      <c r="C242" s="1"/>
      <c r="D242" s="1"/>
      <c r="E242" s="1"/>
      <c r="F242" s="1"/>
      <c r="G242" s="1"/>
      <c r="H242" s="1"/>
    </row>
    <row r="243" spans="1:14">
      <c r="A243" s="1"/>
      <c r="B243" s="1"/>
      <c r="C243" s="1"/>
      <c r="D243" s="1"/>
      <c r="E243" s="1"/>
      <c r="F243" s="1"/>
      <c r="G243" s="1"/>
      <c r="H243" s="1"/>
    </row>
    <row r="244" spans="1:14">
      <c r="A244" s="1"/>
      <c r="B244" s="1"/>
      <c r="C244" s="1"/>
      <c r="D244" s="1"/>
      <c r="E244" s="1"/>
      <c r="F244" s="1"/>
      <c r="G244" s="1"/>
      <c r="H244" s="1"/>
    </row>
    <row r="245" spans="1:14">
      <c r="A245" s="1"/>
      <c r="B245" s="1"/>
      <c r="C245" s="1"/>
      <c r="D245" s="1"/>
      <c r="E245" s="1"/>
      <c r="F245" s="1"/>
      <c r="G245" s="1"/>
      <c r="H245" s="1"/>
    </row>
    <row r="246" spans="1:14">
      <c r="A246" s="1"/>
      <c r="B246" s="1"/>
      <c r="C246" s="1"/>
      <c r="D246" s="1"/>
      <c r="E246" s="1"/>
      <c r="F246" s="1"/>
      <c r="G246" s="1"/>
      <c r="H246" s="1"/>
    </row>
    <row r="247" spans="1:14">
      <c r="A247" s="1"/>
      <c r="B247" s="1"/>
      <c r="C247" s="1"/>
      <c r="D247" s="1"/>
      <c r="E247" s="1"/>
      <c r="F247" s="1"/>
      <c r="G247" s="1"/>
      <c r="H247" s="1"/>
    </row>
    <row r="248" spans="1:14">
      <c r="A248" s="1"/>
      <c r="B248" s="1"/>
      <c r="C248" s="1"/>
      <c r="D248" s="1"/>
      <c r="E248" s="1"/>
      <c r="F248" s="1"/>
      <c r="G248" s="1"/>
      <c r="H248" s="1"/>
    </row>
    <row r="249" spans="1:14">
      <c r="A249" s="1"/>
      <c r="B249" s="1"/>
      <c r="C249" s="1"/>
      <c r="D249" s="1"/>
      <c r="E249" s="1"/>
      <c r="F249" s="1"/>
      <c r="G249" s="1"/>
      <c r="H249" s="1"/>
    </row>
    <row r="250" spans="1:14">
      <c r="A250" s="1"/>
      <c r="B250" s="1"/>
      <c r="C250" s="1"/>
      <c r="D250" s="1"/>
      <c r="E250" s="1"/>
      <c r="F250" s="1"/>
      <c r="G250" s="1"/>
      <c r="H250" s="1"/>
    </row>
    <row r="251" spans="1:14">
      <c r="A251" s="1"/>
      <c r="B251" s="1"/>
      <c r="C251" s="1"/>
      <c r="D251" s="1"/>
      <c r="E251" s="1"/>
      <c r="F251" s="1"/>
      <c r="G251" s="1"/>
      <c r="H251" s="1"/>
    </row>
    <row r="252" spans="1:14">
      <c r="A252" s="1"/>
      <c r="B252" s="1"/>
      <c r="C252" s="1"/>
      <c r="D252" s="1"/>
      <c r="E252" s="1"/>
      <c r="F252" s="1"/>
      <c r="G252" s="1"/>
      <c r="H252" s="1"/>
    </row>
    <row r="253" spans="1:14">
      <c r="A253" s="1"/>
      <c r="B253" s="1"/>
      <c r="C253" s="1"/>
      <c r="D253" s="1"/>
      <c r="E253" s="1"/>
      <c r="F253" s="1"/>
      <c r="G253" s="1"/>
      <c r="H253" s="1"/>
    </row>
    <row r="254" spans="1:14">
      <c r="A254" s="1"/>
      <c r="B254" s="1"/>
      <c r="C254" s="1"/>
      <c r="D254" s="1"/>
      <c r="E254" s="1"/>
      <c r="F254" s="1"/>
      <c r="G254" s="1"/>
      <c r="H254" s="1"/>
    </row>
    <row r="255" spans="1:14">
      <c r="A255" s="1"/>
      <c r="B255" s="1"/>
      <c r="C255" s="1"/>
      <c r="D255" s="1"/>
      <c r="E255" s="1"/>
      <c r="F255" s="1"/>
      <c r="G255" s="1"/>
      <c r="H255" s="1"/>
    </row>
    <row r="256" spans="1:14">
      <c r="A256" s="1"/>
      <c r="B256" s="1"/>
      <c r="C256" s="1"/>
      <c r="D256" s="1"/>
      <c r="E256" s="1"/>
      <c r="F256" s="1"/>
      <c r="G256" s="1"/>
      <c r="H256" s="1"/>
    </row>
    <row r="257" spans="1:8">
      <c r="A257" s="1"/>
      <c r="B257" s="1"/>
      <c r="C257" s="1"/>
      <c r="D257" s="1"/>
      <c r="E257" s="1"/>
      <c r="F257" s="1"/>
      <c r="G257" s="1"/>
      <c r="H257" s="1"/>
    </row>
    <row r="258" spans="1:8">
      <c r="A258" s="1"/>
      <c r="B258" s="1"/>
      <c r="C258" s="1"/>
      <c r="D258" s="1"/>
      <c r="E258" s="1"/>
      <c r="F258" s="1"/>
      <c r="G258" s="1"/>
      <c r="H258" s="1"/>
    </row>
    <row r="259" spans="1:8">
      <c r="A259" s="1"/>
      <c r="B259" s="1"/>
      <c r="C259" s="1"/>
      <c r="D259" s="1"/>
      <c r="E259" s="1"/>
      <c r="F259" s="1"/>
      <c r="G259" s="1"/>
      <c r="H259" s="1"/>
    </row>
    <row r="260" spans="1:8">
      <c r="A260" s="1"/>
      <c r="B260" s="1"/>
      <c r="C260" s="1"/>
      <c r="D260" s="1"/>
      <c r="E260" s="1"/>
      <c r="F260" s="1"/>
      <c r="G260" s="1"/>
      <c r="H260" s="1"/>
    </row>
    <row r="261" spans="1:8">
      <c r="A261" s="1"/>
      <c r="B261" s="1"/>
      <c r="C261" s="1"/>
      <c r="D261" s="1"/>
      <c r="E261" s="1"/>
      <c r="F261" s="1"/>
      <c r="G261" s="1"/>
      <c r="H261" s="1"/>
    </row>
    <row r="262" spans="1:8">
      <c r="A262" s="1"/>
      <c r="B262" s="1"/>
      <c r="C262" s="1"/>
      <c r="D262" s="1"/>
      <c r="E262" s="1"/>
      <c r="F262" s="1"/>
      <c r="G262" s="1"/>
      <c r="H262" s="1"/>
    </row>
    <row r="263" spans="1:8">
      <c r="A263" s="1"/>
      <c r="B263" s="1"/>
      <c r="C263" s="1"/>
      <c r="D263" s="1"/>
      <c r="E263" s="1"/>
      <c r="F263" s="1"/>
      <c r="G263" s="1"/>
      <c r="H263" s="1"/>
    </row>
    <row r="264" spans="1:8">
      <c r="A264" s="1"/>
      <c r="B264" s="1"/>
      <c r="C264" s="1"/>
      <c r="D264" s="1"/>
      <c r="E264" s="1"/>
      <c r="F264" s="1"/>
      <c r="G264" s="1"/>
      <c r="H264" s="1"/>
    </row>
    <row r="265" spans="1:8">
      <c r="A265" s="1"/>
      <c r="B265" s="1"/>
      <c r="C265" s="1"/>
      <c r="D265" s="1"/>
      <c r="E265" s="1"/>
      <c r="F265" s="1"/>
      <c r="G265" s="1"/>
      <c r="H265" s="1"/>
    </row>
    <row r="266" spans="1:8">
      <c r="A266" s="1"/>
      <c r="B266" s="1"/>
      <c r="C266" s="1"/>
      <c r="D266" s="1"/>
      <c r="E266" s="1"/>
      <c r="F266" s="1"/>
      <c r="G266" s="1"/>
      <c r="H266" s="1"/>
    </row>
    <row r="267" spans="1:8">
      <c r="A267" s="1"/>
      <c r="B267" s="1"/>
      <c r="C267" s="1"/>
      <c r="D267" s="1"/>
      <c r="E267" s="1"/>
      <c r="F267" s="1"/>
      <c r="G267" s="1"/>
      <c r="H267" s="1"/>
    </row>
    <row r="268" spans="1:8">
      <c r="A268" s="1"/>
      <c r="B268" s="1"/>
      <c r="C268" s="1"/>
      <c r="D268" s="1"/>
      <c r="E268" s="1"/>
      <c r="F268" s="1"/>
      <c r="G268" s="1"/>
      <c r="H268" s="1"/>
    </row>
    <row r="269" spans="1:8">
      <c r="A269" s="1"/>
      <c r="B269" s="1"/>
      <c r="C269" s="1"/>
      <c r="D269" s="1"/>
      <c r="E269" s="1"/>
      <c r="F269" s="1"/>
      <c r="G269" s="1"/>
      <c r="H269" s="1"/>
    </row>
    <row r="270" spans="1:8">
      <c r="A270" s="1"/>
      <c r="B270" s="1"/>
      <c r="C270" s="1"/>
      <c r="D270" s="1"/>
      <c r="E270" s="1"/>
      <c r="F270" s="1"/>
      <c r="G270" s="1"/>
      <c r="H270" s="1"/>
    </row>
    <row r="271" spans="1:8">
      <c r="A271" s="1"/>
      <c r="B271" s="1"/>
      <c r="C271" s="1"/>
      <c r="D271" s="1"/>
      <c r="E271" s="1"/>
      <c r="F271" s="1"/>
      <c r="G271" s="1"/>
      <c r="H271" s="1"/>
    </row>
    <row r="272" spans="1:8">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669" t="s">
        <v>163</v>
      </c>
      <c r="E2" s="669"/>
      <c r="F2" s="669"/>
      <c r="G2" s="670"/>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A59" zoomScale="71" zoomScaleNormal="50" workbookViewId="0">
      <selection activeCell="A73" sqref="A73:XFD75"/>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401" t="s">
        <v>553</v>
      </c>
      <c r="B1" s="402"/>
      <c r="C1" s="125"/>
      <c r="D1" s="125"/>
      <c r="E1" s="125"/>
      <c r="F1" s="125"/>
      <c r="G1" s="288"/>
      <c r="H1" s="1"/>
      <c r="I1" s="1"/>
      <c r="J1" s="1"/>
      <c r="K1" s="1"/>
      <c r="L1" s="1"/>
      <c r="M1" s="1"/>
      <c r="N1" s="1"/>
      <c r="O1" s="1"/>
      <c r="P1" s="1"/>
      <c r="Q1" s="1"/>
      <c r="R1" s="1"/>
      <c r="S1" s="1"/>
      <c r="T1" s="1"/>
    </row>
    <row r="2" spans="1:20">
      <c r="A2" s="289"/>
      <c r="B2" s="663" t="s">
        <v>158</v>
      </c>
      <c r="C2" s="663"/>
      <c r="D2" s="663"/>
      <c r="E2" s="663"/>
      <c r="F2" s="663"/>
      <c r="G2" s="664"/>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552</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667" t="s">
        <v>163</v>
      </c>
      <c r="D49" s="667"/>
      <c r="E49" s="667"/>
      <c r="F49" s="667"/>
      <c r="G49" s="668"/>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707"/>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708">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708">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708"/>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713">
        <f>-(29-25) + 'Reorganised Statements'!D83</f>
        <v>-142</v>
      </c>
      <c r="D61" s="715">
        <f>-(29-25) + 'Reorganised Statements'!E83</f>
        <v>-165</v>
      </c>
      <c r="E61" s="715">
        <f>-(29-25) + 'Reorganised Statements'!F83</f>
        <v>-138</v>
      </c>
      <c r="F61" s="715">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706">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709">
        <f>-(58-59)+'Reorganised Statements'!H109</f>
        <v>-188</v>
      </c>
      <c r="H64" s="52"/>
      <c r="I64" s="52"/>
      <c r="J64" s="52"/>
      <c r="K64" s="52"/>
      <c r="L64" s="52"/>
      <c r="M64" s="52"/>
      <c r="N64" s="52"/>
      <c r="O64" s="52"/>
      <c r="P64" s="52"/>
      <c r="Q64" s="52"/>
      <c r="R64" s="52"/>
      <c r="S64" s="52"/>
      <c r="T64" s="52"/>
      <c r="U64" s="276"/>
      <c r="V64" s="276"/>
    </row>
    <row r="65" spans="1:22">
      <c r="A65" s="330" t="s">
        <v>440</v>
      </c>
      <c r="B65" s="286"/>
      <c r="C65" s="716">
        <f>C63+C64</f>
        <v>-104</v>
      </c>
      <c r="D65" s="714">
        <f>D63+D64</f>
        <v>207</v>
      </c>
      <c r="E65" s="714">
        <f>E63+E64</f>
        <v>379</v>
      </c>
      <c r="F65" s="714">
        <f>F63+F64</f>
        <v>281</v>
      </c>
      <c r="G65" s="710">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711">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2">
        <f>D68+D69</f>
        <v>225</v>
      </c>
      <c r="E71" s="362">
        <f>E68+E69</f>
        <v>286</v>
      </c>
      <c r="F71" s="362">
        <f>F68+F69</f>
        <v>284</v>
      </c>
      <c r="G71" s="712">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669" t="s">
        <v>163</v>
      </c>
      <c r="D77" s="669"/>
      <c r="E77" s="669"/>
      <c r="F77" s="670"/>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C10-D10</f>
        <v>-20</v>
      </c>
      <c r="D85" s="181">
        <f>D10-E10</f>
        <v>38</v>
      </c>
      <c r="E85" s="181">
        <f>E10-F10</f>
        <v>-39</v>
      </c>
      <c r="F85" s="260">
        <f>F10-G10</f>
        <v>15</v>
      </c>
      <c r="G85" s="52"/>
      <c r="H85" s="52"/>
      <c r="I85" s="52"/>
      <c r="J85" s="52"/>
      <c r="K85" s="52"/>
      <c r="L85" s="52"/>
      <c r="M85" s="52"/>
      <c r="N85" s="52"/>
      <c r="O85" s="52"/>
      <c r="P85" s="52"/>
      <c r="Q85" s="52"/>
      <c r="R85" s="52"/>
      <c r="S85" s="52"/>
      <c r="T85" s="52"/>
      <c r="U85" s="104"/>
    </row>
    <row r="86" spans="1:22">
      <c r="A86" s="175" t="s">
        <v>349</v>
      </c>
      <c r="B86" s="2"/>
      <c r="C86" s="180">
        <f>C11-D11</f>
        <v>-331</v>
      </c>
      <c r="D86" s="181">
        <f>D11-E11</f>
        <v>52</v>
      </c>
      <c r="E86" s="181">
        <f>E11-F11</f>
        <v>-251</v>
      </c>
      <c r="F86" s="260">
        <f>F11-G11</f>
        <v>21</v>
      </c>
      <c r="G86" s="52"/>
      <c r="H86" s="52"/>
      <c r="I86" s="52"/>
      <c r="J86" s="52"/>
      <c r="K86" s="52"/>
      <c r="L86" s="52"/>
      <c r="M86" s="52"/>
      <c r="N86" s="52"/>
      <c r="O86" s="52"/>
      <c r="P86" s="52"/>
      <c r="Q86" s="52"/>
      <c r="R86" s="52"/>
      <c r="S86" s="52"/>
      <c r="T86" s="52"/>
      <c r="U86" s="276"/>
      <c r="V86" s="244"/>
    </row>
    <row r="87" spans="1:22">
      <c r="A87" s="175" t="s">
        <v>369</v>
      </c>
      <c r="B87" s="2"/>
      <c r="C87" s="180">
        <f>C12-D12</f>
        <v>139</v>
      </c>
      <c r="D87" s="181">
        <f>D12-E12</f>
        <v>-1</v>
      </c>
      <c r="E87" s="181">
        <f>E12-F12</f>
        <v>171</v>
      </c>
      <c r="F87" s="260">
        <f>F12-G12</f>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2">D85+D86+D87</f>
        <v>89</v>
      </c>
      <c r="E88" s="183">
        <f t="shared" si="2"/>
        <v>-119</v>
      </c>
      <c r="F88" s="262">
        <f t="shared" si="2"/>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36"/>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3">D88+D90+D91</f>
        <v>54</v>
      </c>
      <c r="E92" s="183">
        <f t="shared" si="3"/>
        <v>104</v>
      </c>
      <c r="F92" s="262">
        <f t="shared" si="3"/>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4">D83+D92+SUM(D94:D99)</f>
        <v>696.80208333333326</v>
      </c>
      <c r="E100" s="185">
        <f>E83+E92+SUM(E94:E99)</f>
        <v>-73.876811594202877</v>
      </c>
      <c r="F100" s="266">
        <f t="shared" si="4"/>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717"/>
      <c r="E101" s="717"/>
      <c r="F101" s="719"/>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5">-D82</f>
        <v>47.197916666666664</v>
      </c>
      <c r="E105" s="246">
        <f t="shared" si="5"/>
        <v>29.876811594202898</v>
      </c>
      <c r="F105" s="261">
        <f t="shared" si="5"/>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6">D100+D103+D104+D105</f>
        <v>593.99999999999989</v>
      </c>
      <c r="E106" s="185">
        <f t="shared" si="6"/>
        <v>-261</v>
      </c>
      <c r="F106" s="266">
        <f t="shared" si="6"/>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7">C106+C109</f>
        <v>130</v>
      </c>
      <c r="D110" s="187">
        <f t="shared" ref="D110" si="8">D106+D109</f>
        <v>36.999999999999886</v>
      </c>
      <c r="E110" s="187">
        <f t="shared" ref="E110" si="9">E106+E109</f>
        <v>-122</v>
      </c>
      <c r="F110" s="267">
        <f t="shared" ref="F110" si="10">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718">
        <f t="shared" ref="D114:F114" si="11">D113-D112</f>
        <v>37</v>
      </c>
      <c r="E114" s="718">
        <f t="shared" si="11"/>
        <v>-122</v>
      </c>
      <c r="F114" s="720">
        <f t="shared" si="11"/>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2">C110-C114</f>
        <v>0</v>
      </c>
      <c r="D116" s="339">
        <f>D110-D114</f>
        <v>-1.1368683772161603E-13</v>
      </c>
      <c r="E116" s="338">
        <f t="shared" si="12"/>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37"/>
      <c r="D118" s="1"/>
      <c r="E118" s="1"/>
      <c r="F118" s="1"/>
      <c r="G118" s="1"/>
      <c r="H118" s="1"/>
      <c r="I118" s="1"/>
      <c r="J118" s="1"/>
      <c r="K118" s="1"/>
      <c r="L118" s="1"/>
      <c r="M118" s="1"/>
      <c r="N118" s="1"/>
      <c r="O118" s="1"/>
      <c r="P118" s="1"/>
      <c r="Q118" s="1"/>
      <c r="R118" s="1"/>
      <c r="S118" s="1"/>
      <c r="T118" s="1"/>
    </row>
    <row r="119" spans="1:22">
      <c r="A119" s="1"/>
      <c r="B119" s="1"/>
      <c r="C119" s="437"/>
      <c r="D119" s="1"/>
      <c r="E119" s="1"/>
      <c r="F119" s="1"/>
      <c r="G119" s="1"/>
      <c r="H119" s="1"/>
      <c r="I119" s="1"/>
      <c r="J119" s="1"/>
      <c r="K119" s="1"/>
      <c r="L119" s="1"/>
      <c r="M119" s="1"/>
      <c r="N119" s="1"/>
      <c r="O119" s="1"/>
      <c r="P119" s="1"/>
      <c r="Q119" s="1"/>
      <c r="R119" s="1"/>
      <c r="S119" s="1"/>
      <c r="T119" s="1"/>
    </row>
    <row r="120" spans="1:22">
      <c r="A120" s="1"/>
      <c r="B120" s="1"/>
      <c r="C120" s="437"/>
      <c r="D120" s="1"/>
      <c r="E120" s="1"/>
      <c r="F120" s="1"/>
      <c r="G120" s="1"/>
      <c r="H120" s="1"/>
      <c r="I120" s="1"/>
      <c r="J120" s="1"/>
      <c r="K120" s="1"/>
      <c r="L120" s="1"/>
      <c r="M120" s="1"/>
      <c r="N120" s="1"/>
      <c r="O120" s="1"/>
      <c r="P120" s="1"/>
      <c r="Q120" s="1"/>
      <c r="R120" s="1"/>
      <c r="S120" s="1"/>
      <c r="T120" s="1"/>
    </row>
    <row r="121" spans="1:22">
      <c r="A121" s="1"/>
      <c r="B121" s="1"/>
      <c r="C121" s="437"/>
      <c r="D121" s="1"/>
      <c r="E121" s="1"/>
      <c r="F121" s="1"/>
      <c r="G121" s="1"/>
      <c r="H121" s="1"/>
      <c r="I121" s="1"/>
      <c r="J121" s="1"/>
      <c r="K121" s="1"/>
      <c r="L121" s="1"/>
      <c r="M121" s="1"/>
      <c r="N121" s="1"/>
      <c r="O121" s="1"/>
      <c r="P121" s="1"/>
      <c r="Q121" s="1"/>
      <c r="R121" s="1"/>
      <c r="S121" s="1"/>
      <c r="T121" s="1"/>
    </row>
    <row r="122" spans="1:22">
      <c r="A122" s="1"/>
      <c r="B122" s="1"/>
      <c r="C122" s="437"/>
      <c r="D122" s="1"/>
      <c r="E122" s="1"/>
      <c r="F122" s="1"/>
      <c r="G122" s="1"/>
      <c r="H122" s="1"/>
      <c r="I122" s="1"/>
      <c r="J122" s="1"/>
      <c r="K122" s="1"/>
      <c r="L122" s="1"/>
      <c r="M122" s="1"/>
      <c r="N122" s="1"/>
      <c r="O122" s="1"/>
      <c r="P122" s="1"/>
      <c r="Q122" s="1"/>
      <c r="R122" s="1"/>
      <c r="S122" s="1"/>
      <c r="T122" s="1"/>
    </row>
    <row r="123" spans="1:22">
      <c r="A123" s="1"/>
      <c r="B123" s="1"/>
      <c r="C123" s="437"/>
      <c r="D123" s="1"/>
      <c r="E123" s="1"/>
      <c r="F123" s="1"/>
      <c r="G123" s="1"/>
      <c r="H123" s="1"/>
      <c r="I123" s="1"/>
      <c r="J123" s="1"/>
      <c r="K123" s="1"/>
      <c r="L123" s="1"/>
      <c r="M123" s="1"/>
      <c r="N123" s="1"/>
      <c r="O123" s="1"/>
      <c r="P123" s="1"/>
      <c r="Q123" s="1"/>
      <c r="R123" s="1"/>
      <c r="S123" s="1"/>
      <c r="T123" s="1"/>
    </row>
    <row r="124" spans="1:22">
      <c r="A124" s="1"/>
      <c r="B124" s="1"/>
      <c r="C124" s="438"/>
      <c r="D124" s="1"/>
      <c r="E124" s="1"/>
      <c r="F124" s="1"/>
      <c r="G124" s="1"/>
      <c r="H124" s="1"/>
      <c r="I124" s="1"/>
      <c r="J124" s="1"/>
      <c r="K124" s="1"/>
      <c r="L124" s="1"/>
      <c r="M124" s="1"/>
      <c r="N124" s="1"/>
      <c r="O124" s="1"/>
      <c r="P124" s="1"/>
      <c r="Q124" s="1"/>
      <c r="R124" s="1"/>
      <c r="S124" s="1"/>
      <c r="T124" s="1"/>
    </row>
    <row r="125" spans="1:22">
      <c r="A125" s="1"/>
      <c r="B125" s="1"/>
      <c r="C125" s="438"/>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9"/>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40"/>
      <c r="E130" s="440"/>
      <c r="F130" s="436"/>
      <c r="G130" s="436"/>
      <c r="H130" s="284"/>
      <c r="I130" s="52"/>
      <c r="J130" s="284"/>
      <c r="K130" s="284"/>
      <c r="L130" s="52"/>
      <c r="M130" s="284"/>
      <c r="N130" s="284"/>
      <c r="O130" s="52"/>
      <c r="P130" s="284"/>
      <c r="Q130" s="284"/>
      <c r="R130" s="52"/>
      <c r="S130" s="284"/>
      <c r="T130" s="284"/>
      <c r="U130" s="276"/>
      <c r="V130" s="276"/>
    </row>
    <row r="131" spans="1:22">
      <c r="A131" s="1"/>
      <c r="B131" s="52"/>
      <c r="C131" s="52"/>
      <c r="D131" s="52"/>
      <c r="E131" s="372"/>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2"/>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2"/>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2"/>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2"/>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2"/>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2"/>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2"/>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2"/>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2"/>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2"/>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2"/>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AK106"/>
  <sheetViews>
    <sheetView tabSelected="1" zoomScale="80" zoomScaleNormal="80" workbookViewId="0">
      <selection activeCell="D11" sqref="D11"/>
    </sheetView>
  </sheetViews>
  <sheetFormatPr defaultRowHeight="14.4"/>
  <cols>
    <col min="1" max="1" width="3.33203125" customWidth="1"/>
    <col min="2" max="2" width="50.6640625" customWidth="1"/>
    <col min="3" max="3" width="55" bestFit="1"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28" ht="25.8">
      <c r="A1" s="249"/>
      <c r="B1" s="250" t="s">
        <v>511</v>
      </c>
      <c r="C1" s="250"/>
      <c r="D1" s="58"/>
      <c r="E1" s="58"/>
      <c r="F1" s="58"/>
      <c r="G1" s="58"/>
      <c r="H1" s="721"/>
      <c r="I1" s="160"/>
      <c r="J1" s="160"/>
      <c r="K1" s="126"/>
      <c r="L1" s="126"/>
      <c r="M1" s="126"/>
      <c r="N1" s="126"/>
      <c r="O1" s="126"/>
      <c r="P1" s="126"/>
      <c r="Q1" s="126"/>
      <c r="R1" s="1"/>
      <c r="S1" s="1"/>
      <c r="T1" s="1"/>
      <c r="U1" s="1"/>
      <c r="V1" s="1"/>
      <c r="W1" s="1"/>
      <c r="X1" s="1"/>
      <c r="Y1" s="1"/>
      <c r="Z1" s="1"/>
      <c r="AA1" s="1"/>
      <c r="AB1" s="1"/>
    </row>
    <row r="2" spans="1:28" ht="24.6">
      <c r="A2" s="254"/>
      <c r="B2" s="60"/>
      <c r="C2" s="722"/>
      <c r="D2" s="662" t="s">
        <v>158</v>
      </c>
      <c r="E2" s="662"/>
      <c r="F2" s="662"/>
      <c r="G2" s="662"/>
      <c r="H2" s="723"/>
      <c r="I2" s="387"/>
      <c r="J2" s="387"/>
      <c r="K2" s="126"/>
      <c r="L2" s="126"/>
      <c r="M2" s="126"/>
      <c r="N2" s="126"/>
      <c r="O2" s="126"/>
      <c r="P2" s="126"/>
      <c r="Q2" s="126"/>
      <c r="R2" s="1"/>
      <c r="S2" s="1"/>
      <c r="T2" s="1"/>
      <c r="U2" s="1"/>
      <c r="V2" s="1"/>
      <c r="W2" s="1"/>
      <c r="X2" s="1"/>
      <c r="Y2" s="1"/>
      <c r="Z2" s="1"/>
      <c r="AA2" s="1"/>
      <c r="AB2" s="1"/>
    </row>
    <row r="3" spans="1:28">
      <c r="A3" s="255"/>
      <c r="B3" s="61"/>
      <c r="C3" s="724" t="s">
        <v>752</v>
      </c>
      <c r="D3" s="124">
        <v>42369</v>
      </c>
      <c r="E3" s="124">
        <v>42735</v>
      </c>
      <c r="F3" s="124">
        <v>43100</v>
      </c>
      <c r="G3" s="124">
        <v>43465</v>
      </c>
      <c r="H3" s="290">
        <v>43830</v>
      </c>
      <c r="I3" s="387"/>
      <c r="J3" s="387"/>
      <c r="K3" s="126"/>
      <c r="L3" s="126"/>
      <c r="M3" s="126"/>
      <c r="N3" s="126"/>
      <c r="O3" s="126"/>
      <c r="P3" s="126"/>
      <c r="Q3" s="126"/>
      <c r="R3" s="1"/>
      <c r="S3" s="1"/>
      <c r="T3" s="1"/>
      <c r="U3" s="1"/>
      <c r="V3" s="1"/>
      <c r="W3" s="1"/>
      <c r="X3" s="1"/>
      <c r="Y3" s="1"/>
      <c r="Z3" s="1"/>
      <c r="AA3" s="1"/>
      <c r="AB3" s="1"/>
    </row>
    <row r="4" spans="1:28" ht="21">
      <c r="A4" s="257"/>
      <c r="B4" s="676" t="s">
        <v>512</v>
      </c>
      <c r="C4" s="680"/>
      <c r="D4" s="52"/>
      <c r="E4" s="52"/>
      <c r="F4" s="52"/>
      <c r="G4" s="52"/>
      <c r="H4" s="278"/>
      <c r="I4" s="1"/>
      <c r="J4" s="1"/>
      <c r="K4" s="126"/>
      <c r="L4" s="126"/>
      <c r="M4" s="126"/>
      <c r="N4" s="126"/>
      <c r="O4" s="126"/>
      <c r="P4" s="126"/>
      <c r="Q4" s="126"/>
      <c r="R4" s="1"/>
      <c r="S4" s="1"/>
      <c r="T4" s="1"/>
      <c r="U4" s="1"/>
      <c r="V4" s="1"/>
      <c r="W4" s="1"/>
      <c r="X4" s="1"/>
      <c r="Y4" s="1"/>
      <c r="Z4" s="1"/>
      <c r="AA4" s="1"/>
      <c r="AB4" s="1"/>
    </row>
    <row r="5" spans="1:28">
      <c r="A5" s="257"/>
      <c r="B5" s="677" t="s">
        <v>716</v>
      </c>
      <c r="C5" s="681" t="s">
        <v>307</v>
      </c>
      <c r="D5" s="733">
        <f>('Reorganised Statements'!D80*(1-0.279))/'Financial statements'!F94</f>
        <v>1.5816243240485663E-2</v>
      </c>
      <c r="E5" s="391">
        <f>('Reorganised Statements'!E80*(1-0.279))/'Financial statements'!G94</f>
        <v>3.0750264754019443E-2</v>
      </c>
      <c r="F5" s="391">
        <f>('Reorganised Statements'!F80*(1-0.279))/'Financial statements'!H94</f>
        <v>5.1453412403256606E-2</v>
      </c>
      <c r="G5" s="391">
        <f>('Reorganised Statements'!G80*(1-0.279))/'Financial statements'!I94</f>
        <v>4.1028549308042193E-2</v>
      </c>
      <c r="H5" s="369">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row>
    <row r="6" spans="1:28" ht="40.5" customHeight="1">
      <c r="A6" s="257"/>
      <c r="B6" s="677"/>
      <c r="C6" s="682"/>
      <c r="D6" s="2"/>
      <c r="E6" s="26"/>
      <c r="F6" s="26"/>
      <c r="G6" s="26"/>
      <c r="H6" s="611"/>
      <c r="I6" s="126"/>
      <c r="J6" s="126"/>
      <c r="K6" s="126"/>
      <c r="L6" s="126"/>
      <c r="M6" s="126"/>
      <c r="N6" s="126"/>
      <c r="O6" s="126"/>
      <c r="P6" s="126"/>
      <c r="Q6" s="126"/>
      <c r="R6" s="1"/>
      <c r="S6" s="1"/>
      <c r="T6" s="1"/>
      <c r="U6" s="1"/>
      <c r="V6" s="1"/>
      <c r="W6" s="1"/>
      <c r="X6" s="1"/>
      <c r="Y6" s="1"/>
      <c r="Z6" s="1"/>
      <c r="AA6" s="1"/>
      <c r="AB6" s="1"/>
    </row>
    <row r="7" spans="1:28">
      <c r="A7" s="257"/>
      <c r="B7" s="677" t="s">
        <v>513</v>
      </c>
      <c r="C7" s="682" t="s">
        <v>514</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725">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row>
    <row r="8" spans="1:28" ht="41.25" customHeight="1">
      <c r="A8" s="257"/>
      <c r="B8" s="677"/>
      <c r="C8" s="682"/>
      <c r="D8" s="2"/>
      <c r="E8" s="26"/>
      <c r="F8" s="26"/>
      <c r="G8" s="26"/>
      <c r="H8" s="611"/>
      <c r="I8" s="126"/>
      <c r="J8" s="126"/>
      <c r="K8" s="126"/>
      <c r="L8" s="126"/>
      <c r="M8" s="126"/>
      <c r="N8" s="126"/>
      <c r="O8" s="126"/>
      <c r="P8" s="126"/>
      <c r="Q8" s="126"/>
      <c r="R8" s="1"/>
      <c r="S8" s="1"/>
      <c r="T8" s="1"/>
      <c r="U8" s="1"/>
      <c r="V8" s="1"/>
      <c r="W8" s="1"/>
      <c r="X8" s="1"/>
      <c r="Y8" s="1"/>
      <c r="Z8" s="1"/>
      <c r="AA8" s="1"/>
      <c r="AB8" s="1"/>
    </row>
    <row r="9" spans="1:28">
      <c r="A9" s="257"/>
      <c r="B9" s="677" t="s">
        <v>515</v>
      </c>
      <c r="C9" s="683" t="s">
        <v>516</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120">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row>
    <row r="10" spans="1:28" ht="41.25" customHeight="1">
      <c r="A10" s="257"/>
      <c r="B10" s="677"/>
      <c r="C10" s="682"/>
      <c r="D10" s="2"/>
      <c r="E10" s="26"/>
      <c r="F10" s="26"/>
      <c r="G10" s="26"/>
      <c r="H10" s="611"/>
      <c r="I10" s="126"/>
      <c r="J10" s="126"/>
      <c r="K10" s="126"/>
      <c r="L10" s="126"/>
      <c r="M10" s="126"/>
      <c r="N10" s="126"/>
      <c r="O10" s="126"/>
      <c r="P10" s="126"/>
      <c r="Q10" s="126"/>
      <c r="R10" s="1"/>
      <c r="S10" s="1"/>
      <c r="T10" s="1"/>
      <c r="U10" s="1"/>
      <c r="V10" s="1"/>
      <c r="W10" s="1"/>
      <c r="X10" s="1"/>
      <c r="Y10" s="1"/>
      <c r="Z10" s="1"/>
      <c r="AA10" s="1"/>
      <c r="AB10" s="1"/>
    </row>
    <row r="11" spans="1:28">
      <c r="A11" s="257"/>
      <c r="B11" s="677" t="s">
        <v>755</v>
      </c>
      <c r="C11" s="682" t="s">
        <v>717</v>
      </c>
      <c r="D11" s="733">
        <f>('Reorganised Statements'!D80*(1-0.279))/(('Financial statements'!F112+'Financial statements'!G112 )/2+('Financial statements'!F121+'Financial statements'!G121)/2)</f>
        <v>2.3733445609737423E-2</v>
      </c>
      <c r="E11" s="391">
        <f>('Reorganised Statements'!E80*(1-0.279))/(('Financial statements'!G112+'Financial statements'!H112 )/2+('Financial statements'!G121+'Financial statements'!H121)/2)</f>
        <v>4.8288305994406221E-2</v>
      </c>
      <c r="F11" s="391">
        <f>('Reorganised Statements'!F80*(1-0.279))/(('Financial statements'!H112+'Financial statements'!I112 )/2+('Financial statements'!H121+'Financial statements'!I121)/2)</f>
        <v>7.8628369556869665E-2</v>
      </c>
      <c r="G11" s="391">
        <f>('Reorganised Statements'!G80*(1-0.279))/(('Financial statements'!I112+'Financial statements'!J112 )/2+('Financial statements'!I121+'Financial statements'!J121)/2)</f>
        <v>6.2970367619754913E-2</v>
      </c>
      <c r="H11" s="726">
        <f>('Reorganised Statements'!H80*(1-0.279))/(('Financial statements'!J112+'Financial statements'!K112 )/2+('Financial statements'!J121+'Financial statements'!K121)/2)</f>
        <v>0.14237625754527164</v>
      </c>
      <c r="I11" s="392"/>
      <c r="J11" s="126"/>
      <c r="K11" s="126"/>
      <c r="L11" s="126"/>
      <c r="M11" s="126"/>
      <c r="N11" s="126"/>
      <c r="O11" s="126"/>
      <c r="P11" s="126"/>
      <c r="Q11" s="126"/>
      <c r="R11" s="1"/>
      <c r="S11" s="1"/>
      <c r="T11" s="1"/>
      <c r="U11" s="1"/>
      <c r="V11" s="1"/>
      <c r="W11" s="1"/>
      <c r="X11" s="1"/>
      <c r="Y11" s="1"/>
      <c r="Z11" s="1"/>
      <c r="AA11" s="1"/>
      <c r="AB11" s="1"/>
    </row>
    <row r="12" spans="1:28" ht="40.5" customHeight="1">
      <c r="A12" s="257"/>
      <c r="B12" s="371"/>
      <c r="C12" s="680"/>
      <c r="D12" s="733"/>
      <c r="E12" s="391"/>
      <c r="F12" s="391"/>
      <c r="G12" s="391"/>
      <c r="H12" s="369"/>
      <c r="I12" s="393"/>
      <c r="J12" s="393"/>
      <c r="K12" s="393"/>
      <c r="L12" s="393"/>
      <c r="M12" s="393"/>
      <c r="N12" s="393"/>
      <c r="O12" s="126"/>
      <c r="P12" s="126"/>
      <c r="Q12" s="126"/>
      <c r="R12" s="1"/>
      <c r="S12" s="1"/>
      <c r="T12" s="1"/>
      <c r="U12" s="1"/>
      <c r="V12" s="1"/>
      <c r="W12" s="1"/>
      <c r="X12" s="1"/>
      <c r="Y12" s="1"/>
      <c r="Z12" s="1"/>
      <c r="AA12" s="1"/>
      <c r="AB12" s="1"/>
    </row>
    <row r="13" spans="1:28">
      <c r="A13" s="257"/>
      <c r="B13" s="677" t="s">
        <v>517</v>
      </c>
      <c r="C13" s="683" t="s">
        <v>718</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725">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row>
    <row r="14" spans="1:28" ht="41.25" customHeight="1">
      <c r="A14" s="257"/>
      <c r="B14" s="371"/>
      <c r="C14" s="680"/>
      <c r="D14" s="52"/>
      <c r="E14" s="391"/>
      <c r="F14" s="391"/>
      <c r="G14" s="391"/>
      <c r="H14" s="369"/>
      <c r="I14" s="126"/>
      <c r="J14" s="126"/>
      <c r="K14" s="126"/>
      <c r="L14" s="126"/>
      <c r="M14" s="126"/>
      <c r="N14" s="126"/>
      <c r="O14" s="126"/>
      <c r="P14" s="126"/>
      <c r="Q14" s="126"/>
      <c r="R14" s="1"/>
      <c r="S14" s="1"/>
      <c r="T14" s="1"/>
      <c r="U14" s="1"/>
      <c r="V14" s="1"/>
      <c r="W14" s="1"/>
      <c r="X14" s="1"/>
      <c r="Y14" s="1"/>
      <c r="Z14" s="1"/>
      <c r="AA14" s="1"/>
      <c r="AB14" s="1"/>
    </row>
    <row r="15" spans="1:28">
      <c r="A15" s="257"/>
      <c r="B15" s="678" t="s">
        <v>753</v>
      </c>
      <c r="C15" s="682" t="s">
        <v>719</v>
      </c>
      <c r="D15" s="734">
        <f>D9+(D51)*(D9-((('Financial statements'!F237+'Financial statements'!F238)/'Financial statements'!F121))*(1-0.279))</f>
        <v>9.6539885414308434E-3</v>
      </c>
      <c r="E15" s="396">
        <f>E9+(E51)*(E9-((('Financial statements'!G237+'Financial statements'!G238)/'Financial statements'!G121))*(1-0.279))</f>
        <v>6.4865684759365771E-2</v>
      </c>
      <c r="F15" s="396">
        <f>F9+(F51)*(F9-((('Financial statements'!H237+'Financial statements'!H238)/'Financial statements'!H121))*(1-0.279))</f>
        <v>0.13948470613820163</v>
      </c>
      <c r="G15" s="396">
        <f>G9+(G51)*(G9-((('Financial statements'!I237+'Financial statements'!I238)/'Financial statements'!I121))*(1-0.279))</f>
        <v>9.3093939557667385E-2</v>
      </c>
      <c r="H15" s="727">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row>
    <row r="16" spans="1:28" ht="40.5" customHeight="1">
      <c r="A16" s="257"/>
      <c r="B16" s="371"/>
      <c r="C16" s="683"/>
      <c r="D16" s="2"/>
      <c r="E16" s="26"/>
      <c r="F16" s="26"/>
      <c r="G16" s="26"/>
      <c r="H16" s="611"/>
      <c r="I16" s="126"/>
      <c r="J16" s="126"/>
      <c r="K16" s="126"/>
      <c r="L16" s="126"/>
      <c r="M16" s="126"/>
      <c r="N16" s="126"/>
      <c r="O16" s="126"/>
      <c r="P16" s="126"/>
      <c r="Q16" s="126"/>
      <c r="R16" s="1"/>
      <c r="S16" s="1"/>
      <c r="T16" s="1"/>
      <c r="U16" s="1"/>
      <c r="V16" s="1"/>
      <c r="W16" s="1"/>
      <c r="X16" s="1"/>
      <c r="Y16" s="1"/>
      <c r="Z16" s="1"/>
      <c r="AA16" s="1"/>
      <c r="AB16" s="1"/>
    </row>
    <row r="17" spans="1:28">
      <c r="A17" s="257"/>
      <c r="B17" s="678" t="s">
        <v>518</v>
      </c>
      <c r="C17" s="682" t="s">
        <v>720</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725">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row>
    <row r="18" spans="1:28" ht="40.5" customHeight="1">
      <c r="A18" s="257"/>
      <c r="B18" s="540"/>
      <c r="C18" s="680"/>
      <c r="D18" s="563"/>
      <c r="E18" s="394"/>
      <c r="F18" s="394"/>
      <c r="G18" s="394"/>
      <c r="H18" s="740"/>
      <c r="I18" s="395"/>
      <c r="J18" s="395"/>
      <c r="K18" s="126"/>
      <c r="L18" s="126"/>
      <c r="M18" s="126"/>
      <c r="N18" s="126"/>
      <c r="O18" s="126"/>
      <c r="P18" s="126"/>
      <c r="Q18" s="126"/>
      <c r="R18" s="1"/>
      <c r="S18" s="1"/>
      <c r="T18" s="1"/>
      <c r="U18" s="1"/>
      <c r="V18" s="1"/>
      <c r="W18" s="1"/>
      <c r="X18" s="1"/>
      <c r="Y18" s="1"/>
      <c r="Z18" s="1"/>
      <c r="AA18" s="1"/>
      <c r="AB18" s="1"/>
    </row>
    <row r="19" spans="1:28">
      <c r="A19" s="257"/>
      <c r="B19" s="677" t="s">
        <v>754</v>
      </c>
      <c r="C19" s="682" t="s">
        <v>721</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728">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row>
    <row r="20" spans="1:28">
      <c r="A20" s="277"/>
      <c r="B20" s="684"/>
      <c r="C20" s="603"/>
      <c r="D20" s="735"/>
      <c r="E20" s="685"/>
      <c r="F20" s="685"/>
      <c r="G20" s="685"/>
      <c r="H20" s="741"/>
      <c r="I20" s="126"/>
      <c r="J20" s="126"/>
      <c r="K20" s="126"/>
      <c r="L20" s="126"/>
      <c r="M20" s="126"/>
      <c r="N20" s="126"/>
      <c r="O20" s="126"/>
      <c r="P20" s="126"/>
      <c r="Q20" s="126"/>
      <c r="R20" s="1"/>
      <c r="S20" s="1"/>
      <c r="T20" s="1"/>
      <c r="U20" s="1"/>
      <c r="V20" s="1"/>
      <c r="W20" s="1"/>
      <c r="X20" s="1"/>
      <c r="Y20" s="1"/>
      <c r="Z20" s="1"/>
      <c r="AA20" s="1"/>
      <c r="AB20" s="1"/>
    </row>
    <row r="21" spans="1:28" ht="21">
      <c r="A21" s="257"/>
      <c r="B21" s="676" t="s">
        <v>519</v>
      </c>
      <c r="C21" s="680"/>
      <c r="D21" s="563"/>
      <c r="E21" s="396"/>
      <c r="F21" s="396"/>
      <c r="G21" s="396"/>
      <c r="H21" s="727"/>
      <c r="I21" s="126"/>
      <c r="J21" s="126"/>
      <c r="K21" s="126"/>
      <c r="L21" s="126"/>
      <c r="M21" s="126"/>
      <c r="N21" s="126"/>
      <c r="O21" s="126"/>
      <c r="P21" s="126"/>
      <c r="Q21" s="126"/>
      <c r="R21" s="1"/>
      <c r="S21" s="1"/>
      <c r="T21" s="1"/>
      <c r="U21" s="1"/>
      <c r="V21" s="1"/>
      <c r="W21" s="1"/>
      <c r="X21" s="1"/>
      <c r="Y21" s="1"/>
      <c r="Z21" s="1"/>
      <c r="AA21" s="1"/>
      <c r="AB21" s="1"/>
    </row>
    <row r="22" spans="1:28">
      <c r="A22" s="257"/>
      <c r="B22" s="677" t="s">
        <v>520</v>
      </c>
      <c r="C22" s="682" t="s">
        <v>722</v>
      </c>
      <c r="D22" s="736">
        <f>'Financial statements'!F91/'Financial statements'!F177</f>
        <v>1.1253091508656223</v>
      </c>
      <c r="E22" s="397">
        <f>'Financial statements'!G91/'Financial statements'!G177</f>
        <v>1.2138888888888888</v>
      </c>
      <c r="F22" s="397">
        <f>'Financial statements'!H91/'Financial statements'!H177</f>
        <v>1.2121212121212122</v>
      </c>
      <c r="G22" s="397">
        <f>'Financial statements'!I91/'Financial statements'!I177</f>
        <v>1.0911094783247612</v>
      </c>
      <c r="H22" s="729">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row>
    <row r="23" spans="1:28">
      <c r="A23" s="257"/>
      <c r="B23" s="677"/>
      <c r="C23" s="682"/>
      <c r="D23" s="736">
        <f>('Financial statements'!F91-'Financial statements'!F87-'Financial statements'!F89)/'Financial statements'!F177</f>
        <v>1.0255564715581205</v>
      </c>
      <c r="E23" s="397">
        <f>('Financial statements'!G91-'Financial statements'!G87-'Financial statements'!G89)/'Financial statements'!G177</f>
        <v>1.0996031746031747</v>
      </c>
      <c r="F23" s="397">
        <f>('Financial statements'!H91-'Financial statements'!H87-'Financial statements'!H89)/'Financial statements'!H177</f>
        <v>1.1630388390951771</v>
      </c>
      <c r="G23" s="397">
        <f>('Financial statements'!I91-'Financial statements'!I87-'Financial statements'!I89)/'Financial statements'!I177</f>
        <v>1.0672299779573842</v>
      </c>
      <c r="H23" s="729">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row>
    <row r="24" spans="1:28">
      <c r="A24" s="257"/>
      <c r="B24" s="540"/>
      <c r="C24" s="680"/>
      <c r="D24" s="562"/>
      <c r="E24" s="398"/>
      <c r="F24" s="398"/>
      <c r="G24" s="398"/>
      <c r="H24" s="742"/>
      <c r="I24" s="126"/>
      <c r="J24" s="126"/>
      <c r="K24" s="126"/>
      <c r="L24" s="126"/>
      <c r="M24" s="126"/>
      <c r="N24" s="126"/>
      <c r="O24" s="126"/>
      <c r="P24" s="126"/>
      <c r="Q24" s="126"/>
      <c r="R24" s="1"/>
      <c r="S24" s="1"/>
      <c r="T24" s="1"/>
      <c r="U24" s="1"/>
      <c r="V24" s="1"/>
      <c r="W24" s="1"/>
      <c r="X24" s="1"/>
      <c r="Y24" s="1"/>
      <c r="Z24" s="1"/>
      <c r="AA24" s="1"/>
      <c r="AB24" s="1"/>
    </row>
    <row r="25" spans="1:28">
      <c r="A25" s="257"/>
      <c r="B25" s="677" t="s">
        <v>521</v>
      </c>
      <c r="C25" s="682" t="s">
        <v>723</v>
      </c>
      <c r="D25" s="736">
        <f>('Financial statements'!F90+'Financial statements'!F87)/'Financial statements'!F177</f>
        <v>0.33264633140972794</v>
      </c>
      <c r="E25" s="397">
        <f>('Financial statements'!G90+'Financial statements'!G87)/'Financial statements'!G177</f>
        <v>0.24603174603174602</v>
      </c>
      <c r="F25" s="397">
        <f>('Financial statements'!H90+'Financial statements'!H87)/'Financial statements'!H177</f>
        <v>0.29833546734955185</v>
      </c>
      <c r="G25" s="397">
        <f>('Financial statements'!I90+'Financial statements'!I87)/'Financial statements'!I177</f>
        <v>0.23512123438648053</v>
      </c>
      <c r="H25" s="729">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row>
    <row r="26" spans="1:28">
      <c r="A26" s="257"/>
      <c r="B26" s="677" t="s">
        <v>756</v>
      </c>
      <c r="C26" s="682" t="s">
        <v>727</v>
      </c>
      <c r="D26" s="736">
        <f>('Financial statements'!F91-'Financial statements'!F57)/'Financial statements'!F177</f>
        <v>1.0494641384995878</v>
      </c>
      <c r="E26" s="397">
        <f>('Financial statements'!G91-'Financial statements'!G57)/'Financial statements'!G177</f>
        <v>1.1507936507936507</v>
      </c>
      <c r="F26" s="397">
        <f>('Financial statements'!H91-'Financial statements'!H57)/'Financial statements'!H177</f>
        <v>1.1493811352966283</v>
      </c>
      <c r="G26" s="397">
        <f>('Financial statements'!I91-'Financial statements'!I57)/'Financial statements'!I177</f>
        <v>1.0224099926524615</v>
      </c>
      <c r="H26" s="729">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row>
    <row r="27" spans="1:28">
      <c r="A27" s="257"/>
      <c r="B27" s="678"/>
      <c r="C27" s="682"/>
      <c r="D27" s="736"/>
      <c r="E27" s="397"/>
      <c r="F27" s="397"/>
      <c r="G27" s="397"/>
      <c r="H27" s="729"/>
      <c r="I27" s="126"/>
      <c r="J27" s="126"/>
      <c r="K27" s="126"/>
      <c r="L27" s="126"/>
      <c r="M27" s="126"/>
      <c r="N27" s="126"/>
      <c r="O27" s="126"/>
      <c r="P27" s="126"/>
      <c r="Q27" s="126"/>
      <c r="R27" s="1"/>
      <c r="S27" s="1"/>
      <c r="T27" s="1"/>
      <c r="U27" s="1"/>
      <c r="V27" s="1"/>
      <c r="W27" s="1"/>
      <c r="X27" s="1"/>
      <c r="Y27" s="1"/>
      <c r="Z27" s="1"/>
      <c r="AA27" s="1"/>
      <c r="AB27" s="1"/>
    </row>
    <row r="28" spans="1:28">
      <c r="A28" s="257"/>
      <c r="B28" s="678"/>
      <c r="C28" s="682"/>
      <c r="D28" s="736"/>
      <c r="E28" s="397"/>
      <c r="F28" s="397"/>
      <c r="G28" s="397"/>
      <c r="H28" s="729"/>
      <c r="I28" s="126"/>
      <c r="J28" s="126"/>
      <c r="K28" s="126"/>
      <c r="L28" s="126"/>
      <c r="M28" s="126"/>
      <c r="N28" s="126"/>
      <c r="O28" s="126"/>
      <c r="P28" s="126"/>
      <c r="Q28" s="126"/>
      <c r="R28" s="1"/>
      <c r="S28" s="1"/>
      <c r="T28" s="1"/>
      <c r="U28" s="1"/>
      <c r="V28" s="1"/>
      <c r="W28" s="1"/>
      <c r="X28" s="1"/>
      <c r="Y28" s="1"/>
      <c r="Z28" s="1"/>
      <c r="AA28" s="1"/>
      <c r="AB28" s="1"/>
    </row>
    <row r="29" spans="1:28">
      <c r="A29" s="277"/>
      <c r="B29" s="686"/>
      <c r="C29" s="603"/>
      <c r="D29" s="737"/>
      <c r="E29" s="687"/>
      <c r="F29" s="687"/>
      <c r="G29" s="687"/>
      <c r="H29" s="743"/>
      <c r="I29" s="126"/>
      <c r="J29" s="126"/>
      <c r="K29" s="126"/>
      <c r="L29" s="126"/>
      <c r="M29" s="126"/>
      <c r="N29" s="126"/>
      <c r="O29" s="126"/>
      <c r="P29" s="126"/>
      <c r="Q29" s="126"/>
      <c r="R29" s="1"/>
      <c r="S29" s="1"/>
      <c r="T29" s="1"/>
      <c r="U29" s="1"/>
      <c r="V29" s="1"/>
      <c r="W29" s="1"/>
      <c r="X29" s="1"/>
      <c r="Y29" s="1"/>
      <c r="Z29" s="1"/>
      <c r="AA29" s="1"/>
      <c r="AB29" s="1"/>
    </row>
    <row r="30" spans="1:28" ht="21">
      <c r="A30" s="257"/>
      <c r="B30" s="676" t="s">
        <v>732</v>
      </c>
      <c r="C30" s="682"/>
      <c r="D30" s="736"/>
      <c r="E30" s="397"/>
      <c r="F30" s="397"/>
      <c r="G30" s="397"/>
      <c r="H30" s="729"/>
      <c r="I30" s="126"/>
      <c r="J30" s="126"/>
      <c r="K30" s="126"/>
      <c r="L30" s="126"/>
      <c r="M30" s="126"/>
      <c r="N30" s="126"/>
      <c r="O30" s="126"/>
      <c r="P30" s="126"/>
      <c r="Q30" s="126"/>
      <c r="R30" s="1"/>
      <c r="S30" s="1"/>
      <c r="T30" s="1"/>
      <c r="U30" s="1"/>
      <c r="V30" s="1"/>
      <c r="W30" s="1"/>
      <c r="X30" s="1"/>
      <c r="Y30" s="1"/>
      <c r="Z30" s="1"/>
      <c r="AA30" s="1"/>
      <c r="AB30" s="1"/>
    </row>
    <row r="31" spans="1:28">
      <c r="A31" s="257"/>
      <c r="B31" s="678" t="s">
        <v>733</v>
      </c>
      <c r="C31" s="682"/>
      <c r="D31" s="736"/>
      <c r="E31" s="397"/>
      <c r="F31" s="397"/>
      <c r="G31" s="397"/>
      <c r="H31" s="729"/>
      <c r="I31" s="126"/>
      <c r="J31" s="126"/>
      <c r="K31" s="126"/>
      <c r="L31" s="126"/>
      <c r="M31" s="126"/>
      <c r="N31" s="126"/>
      <c r="O31" s="126"/>
      <c r="P31" s="126"/>
      <c r="Q31" s="126"/>
      <c r="R31" s="1"/>
      <c r="S31" s="1"/>
      <c r="T31" s="1"/>
      <c r="U31" s="1"/>
      <c r="V31" s="1"/>
      <c r="W31" s="1"/>
      <c r="X31" s="1"/>
      <c r="Y31" s="1"/>
      <c r="Z31" s="1"/>
      <c r="AA31" s="1"/>
      <c r="AB31" s="1"/>
    </row>
    <row r="32" spans="1:28">
      <c r="A32" s="257"/>
      <c r="B32" s="678"/>
      <c r="C32" s="682"/>
      <c r="D32" s="736"/>
      <c r="E32" s="397"/>
      <c r="F32" s="397"/>
      <c r="G32" s="397"/>
      <c r="H32" s="729"/>
      <c r="I32" s="126"/>
      <c r="J32" s="126"/>
      <c r="K32" s="126"/>
      <c r="L32" s="126"/>
      <c r="M32" s="126"/>
      <c r="N32" s="126"/>
      <c r="O32" s="126"/>
      <c r="P32" s="126"/>
      <c r="Q32" s="126"/>
      <c r="R32" s="1"/>
      <c r="S32" s="1"/>
      <c r="T32" s="1"/>
      <c r="U32" s="1"/>
      <c r="V32" s="1"/>
      <c r="W32" s="1"/>
      <c r="X32" s="1"/>
      <c r="Y32" s="1"/>
      <c r="Z32" s="1"/>
      <c r="AA32" s="1"/>
      <c r="AB32" s="1"/>
    </row>
    <row r="33" spans="1:37">
      <c r="A33" s="257"/>
      <c r="B33" s="678" t="s">
        <v>740</v>
      </c>
      <c r="C33" s="682" t="s">
        <v>744</v>
      </c>
      <c r="D33" s="738">
        <f>'Reorganised Statements'!D11*365 / 'Forecasts Simone'!B37</f>
        <v>114.54459002535926</v>
      </c>
      <c r="E33" s="744">
        <f>'Reorganised Statements'!E11*365 / 'Forecasts Simone'!C37</f>
        <v>145.09168303863785</v>
      </c>
      <c r="F33" s="744">
        <f>'Reorganised Statements'!F11*365 / 'Forecasts Simone'!D37</f>
        <v>109.10822898032201</v>
      </c>
      <c r="G33" s="744">
        <f>'Reorganised Statements'!G11*365 / 'Forecasts Simone'!E37</f>
        <v>103.66209535959177</v>
      </c>
      <c r="H33" s="730">
        <f>'Reorganised Statements'!H11*365 / 'Forecasts Simone'!F37</f>
        <v>94.914349901712995</v>
      </c>
      <c r="I33" s="126"/>
      <c r="J33" s="126"/>
      <c r="K33" s="126"/>
      <c r="L33" s="126"/>
      <c r="M33" s="126"/>
      <c r="N33" s="126"/>
      <c r="O33" s="126"/>
      <c r="P33" s="126"/>
      <c r="Q33" s="126"/>
      <c r="R33" s="1"/>
      <c r="S33" s="1"/>
      <c r="T33" s="1"/>
      <c r="U33" s="1"/>
      <c r="V33" s="1"/>
      <c r="W33" s="1"/>
      <c r="X33" s="1"/>
      <c r="Y33" s="1"/>
      <c r="Z33" s="1"/>
      <c r="AA33" s="1"/>
      <c r="AB33" s="1"/>
    </row>
    <row r="34" spans="1:37">
      <c r="A34" s="257"/>
      <c r="B34" s="678"/>
      <c r="C34" s="682"/>
      <c r="D34" s="736"/>
      <c r="E34" s="397"/>
      <c r="F34" s="397"/>
      <c r="G34" s="397"/>
      <c r="H34" s="729"/>
      <c r="I34" s="126"/>
      <c r="J34" s="126"/>
      <c r="K34" s="126"/>
      <c r="L34" s="126"/>
      <c r="M34" s="126"/>
      <c r="N34" s="126"/>
      <c r="O34" s="126"/>
      <c r="P34" s="126"/>
      <c r="Q34" s="126"/>
      <c r="R34" s="1"/>
      <c r="S34" s="1"/>
      <c r="T34" s="1"/>
      <c r="U34" s="1"/>
      <c r="V34" s="1"/>
      <c r="W34" s="1"/>
      <c r="X34" s="1"/>
      <c r="Y34" s="1"/>
      <c r="Z34" s="1"/>
      <c r="AA34" s="1"/>
      <c r="AB34" s="1"/>
    </row>
    <row r="35" spans="1:37">
      <c r="A35" s="257"/>
      <c r="B35" s="678" t="s">
        <v>741</v>
      </c>
      <c r="C35" s="682" t="s">
        <v>743</v>
      </c>
      <c r="D35" s="738">
        <f>-'Forecasts Simone'!B90*365/'Forecasts Simone'!B42</f>
        <v>29.378827646544181</v>
      </c>
      <c r="E35" s="744">
        <f>-'Forecasts Simone'!C90*365/'Forecasts Simone'!C42</f>
        <v>27.62256068538791</v>
      </c>
      <c r="F35" s="744">
        <f>-'Forecasts Simone'!D90*365/'Forecasts Simone'!D42</f>
        <v>18.952666902154714</v>
      </c>
      <c r="G35" s="744">
        <f>-'Forecasts Simone'!E90*365/'Forecasts Simone'!E42</f>
        <v>20.398983861326958</v>
      </c>
      <c r="H35" s="730">
        <f>-'Forecasts Simone'!F90*365/'Forecasts Simone'!F42</f>
        <v>16.773226773226774</v>
      </c>
      <c r="I35" s="126"/>
      <c r="J35" s="126"/>
      <c r="K35" s="126"/>
      <c r="L35" s="126"/>
      <c r="M35" s="126"/>
      <c r="N35" s="126"/>
      <c r="O35" s="126"/>
      <c r="P35" s="126"/>
      <c r="Q35" s="126"/>
      <c r="R35" s="1"/>
      <c r="S35" s="1"/>
      <c r="T35" s="1"/>
      <c r="U35" s="1"/>
      <c r="V35" s="1"/>
      <c r="W35" s="1"/>
      <c r="X35" s="1"/>
      <c r="Y35" s="1"/>
      <c r="Z35" s="1"/>
      <c r="AA35" s="1"/>
      <c r="AB35" s="1"/>
    </row>
    <row r="36" spans="1:37">
      <c r="A36" s="257"/>
      <c r="B36" s="678"/>
      <c r="C36" s="682"/>
      <c r="D36" s="736"/>
      <c r="E36" s="397"/>
      <c r="F36" s="397"/>
      <c r="G36" s="397"/>
      <c r="H36" s="729"/>
      <c r="I36" s="126"/>
      <c r="J36" s="126"/>
      <c r="K36" s="126"/>
      <c r="L36" s="126"/>
      <c r="M36" s="126"/>
      <c r="N36" s="126"/>
      <c r="O36" s="126"/>
      <c r="P36" s="126"/>
      <c r="Q36" s="126"/>
      <c r="R36" s="1"/>
      <c r="S36" s="1"/>
      <c r="T36" s="1"/>
      <c r="U36" s="1"/>
      <c r="V36" s="1"/>
      <c r="W36" s="1"/>
      <c r="X36" s="1"/>
      <c r="Y36" s="1"/>
      <c r="Z36" s="1"/>
      <c r="AA36" s="1"/>
      <c r="AB36" s="1"/>
    </row>
    <row r="37" spans="1:37">
      <c r="A37" s="257"/>
      <c r="B37" s="678" t="s">
        <v>742</v>
      </c>
      <c r="C37" s="682" t="s">
        <v>745</v>
      </c>
      <c r="D37" s="738">
        <f>'Forecasts Simone'!B92*365/('Forecasts Simone'!B42+'Forecasts Simone'!B43)</f>
        <v>142.73061497326202</v>
      </c>
      <c r="E37" s="744">
        <f>'Forecasts Simone'!C92*365/('Forecasts Simone'!C42+'Forecasts Simone'!C43)</f>
        <v>176.6911507520112</v>
      </c>
      <c r="F37" s="744">
        <f>'Forecasts Simone'!D92*365/('Forecasts Simone'!D42+'Forecasts Simone'!D43)</f>
        <v>136.93697364846508</v>
      </c>
      <c r="G37" s="744">
        <f>'Forecasts Simone'!E92*365/('Forecasts Simone'!E42+'Forecasts Simone'!E43)</f>
        <v>119.05470914127424</v>
      </c>
      <c r="H37" s="730">
        <f>'Forecasts Simone'!F92*365/('Forecasts Simone'!F42+'Forecasts Simone'!F43)</f>
        <v>104.84193173002328</v>
      </c>
      <c r="I37" s="126"/>
      <c r="J37" s="126"/>
      <c r="K37" s="126"/>
      <c r="L37" s="126"/>
      <c r="M37" s="126"/>
      <c r="N37" s="126"/>
      <c r="O37" s="126"/>
      <c r="P37" s="126"/>
      <c r="Q37" s="126"/>
      <c r="R37" s="1"/>
      <c r="S37" s="1"/>
      <c r="T37" s="1"/>
      <c r="U37" s="1"/>
      <c r="V37" s="1"/>
      <c r="W37" s="1"/>
      <c r="X37" s="1"/>
      <c r="Y37" s="1"/>
      <c r="Z37" s="1"/>
      <c r="AA37" s="1"/>
      <c r="AB37" s="1"/>
    </row>
    <row r="38" spans="1:37">
      <c r="A38" s="257"/>
      <c r="B38" s="678"/>
      <c r="C38" s="682"/>
      <c r="D38" s="738"/>
      <c r="E38" s="744"/>
      <c r="F38" s="744"/>
      <c r="G38" s="744"/>
      <c r="H38" s="730"/>
      <c r="I38" s="126"/>
      <c r="J38" s="126"/>
      <c r="K38" s="126"/>
      <c r="L38" s="126"/>
      <c r="M38" s="126"/>
      <c r="N38" s="126"/>
      <c r="O38" s="126"/>
      <c r="P38" s="126"/>
      <c r="Q38" s="126"/>
      <c r="R38" s="1"/>
      <c r="S38" s="1"/>
      <c r="T38" s="1"/>
      <c r="U38" s="1"/>
      <c r="V38" s="1"/>
      <c r="W38" s="1"/>
      <c r="X38" s="1"/>
      <c r="Y38" s="1"/>
      <c r="Z38" s="1"/>
      <c r="AA38" s="1"/>
      <c r="AB38" s="1"/>
    </row>
    <row r="39" spans="1:37">
      <c r="A39" s="257"/>
      <c r="B39" s="678" t="s">
        <v>749</v>
      </c>
      <c r="C39" s="682" t="s">
        <v>748</v>
      </c>
      <c r="D39" s="738">
        <f>'Forecasts Simone'!B92*365/'Forecasts Simone'!B42</f>
        <v>186.81102362204723</v>
      </c>
      <c r="E39" s="744">
        <f>'Forecasts Simone'!C92*365/'Forecasts Simone'!C42</f>
        <v>240.43788672060924</v>
      </c>
      <c r="F39" s="744">
        <f>'Forecasts Simone'!D92*365/'Forecasts Simone'!D42</f>
        <v>178.05192511480041</v>
      </c>
      <c r="G39" s="744">
        <f>'Forecasts Simone'!E92*365/'Forecasts Simone'!E42</f>
        <v>154.13777644949192</v>
      </c>
      <c r="H39" s="730">
        <f>'Forecasts Simone'!F92*365/'Forecasts Simone'!F42</f>
        <v>135.00624375624375</v>
      </c>
      <c r="I39" s="126"/>
      <c r="J39" s="126"/>
      <c r="K39" s="126"/>
      <c r="L39" s="126"/>
      <c r="M39" s="126"/>
      <c r="N39" s="126"/>
      <c r="O39" s="126"/>
      <c r="P39" s="126"/>
      <c r="Q39" s="126"/>
      <c r="R39" s="1"/>
      <c r="S39" s="1"/>
      <c r="T39" s="1"/>
      <c r="U39" s="1"/>
      <c r="V39" s="1"/>
      <c r="W39" s="1"/>
      <c r="X39" s="1"/>
      <c r="Y39" s="1"/>
      <c r="Z39" s="1"/>
      <c r="AA39" s="1"/>
      <c r="AB39" s="1"/>
    </row>
    <row r="40" spans="1:37">
      <c r="A40" s="257"/>
      <c r="B40" s="678"/>
      <c r="C40" s="682"/>
      <c r="D40" s="736"/>
      <c r="E40" s="397"/>
      <c r="F40" s="397"/>
      <c r="G40" s="397"/>
      <c r="H40" s="729"/>
      <c r="I40" s="126"/>
      <c r="J40" s="126"/>
      <c r="K40" s="126"/>
      <c r="L40" s="126"/>
      <c r="M40" s="126"/>
      <c r="N40" s="126"/>
      <c r="O40" s="126"/>
      <c r="P40" s="126"/>
      <c r="Q40" s="126"/>
      <c r="R40" s="1"/>
      <c r="S40" s="1"/>
      <c r="T40" s="1"/>
      <c r="U40" s="1"/>
      <c r="V40" s="1"/>
      <c r="W40" s="1"/>
      <c r="X40" s="1"/>
      <c r="Y40" s="1"/>
      <c r="Z40" s="1"/>
      <c r="AA40" s="1"/>
      <c r="AB40" s="1"/>
    </row>
    <row r="41" spans="1:37">
      <c r="A41" s="257"/>
      <c r="B41" s="678" t="s">
        <v>746</v>
      </c>
      <c r="C41" s="682" t="s">
        <v>747</v>
      </c>
      <c r="D41" s="738">
        <f>D33+D35-D37</f>
        <v>1.1928026986414295</v>
      </c>
      <c r="E41" s="744">
        <f t="shared" ref="E41:H41" si="0">E33+E35-E37</f>
        <v>-3.9769070279854191</v>
      </c>
      <c r="F41" s="744">
        <f t="shared" si="0"/>
        <v>-8.8760777659883558</v>
      </c>
      <c r="G41" s="744">
        <f t="shared" si="0"/>
        <v>5.0063700796444834</v>
      </c>
      <c r="H41" s="730">
        <f t="shared" si="0"/>
        <v>6.8456449449165007</v>
      </c>
      <c r="I41" s="126"/>
      <c r="J41" s="126"/>
      <c r="K41" s="126"/>
      <c r="L41" s="126"/>
      <c r="M41" s="126"/>
      <c r="N41" s="126"/>
      <c r="O41" s="126"/>
      <c r="P41" s="126"/>
      <c r="Q41" s="126"/>
      <c r="R41" s="1"/>
      <c r="S41" s="1"/>
      <c r="T41" s="1"/>
      <c r="U41" s="1"/>
      <c r="V41" s="1"/>
      <c r="W41" s="1"/>
      <c r="X41" s="1"/>
      <c r="Y41" s="1"/>
      <c r="Z41" s="1"/>
      <c r="AA41" s="1"/>
      <c r="AB41" s="1"/>
    </row>
    <row r="42" spans="1:37">
      <c r="A42" s="257"/>
      <c r="B42" s="678" t="s">
        <v>750</v>
      </c>
      <c r="C42" s="682" t="s">
        <v>751</v>
      </c>
      <c r="D42" s="738">
        <f>D33+D35-D39</f>
        <v>-42.887605950143779</v>
      </c>
      <c r="E42" s="744">
        <f t="shared" ref="E42:H42" si="1">E33+E35-E39</f>
        <v>-67.723642996583465</v>
      </c>
      <c r="F42" s="744">
        <f t="shared" si="1"/>
        <v>-49.991029232323683</v>
      </c>
      <c r="G42" s="744">
        <f t="shared" si="1"/>
        <v>-30.076697228573195</v>
      </c>
      <c r="H42" s="730">
        <f t="shared" si="1"/>
        <v>-23.318667081303971</v>
      </c>
      <c r="I42" s="126"/>
      <c r="J42" s="126"/>
      <c r="K42" s="126"/>
      <c r="L42" s="126"/>
      <c r="M42" s="126"/>
      <c r="N42" s="126"/>
      <c r="O42" s="126"/>
      <c r="P42" s="126"/>
      <c r="Q42" s="126"/>
      <c r="R42" s="1"/>
      <c r="S42" s="1"/>
      <c r="T42" s="1"/>
      <c r="U42" s="1"/>
      <c r="V42" s="1"/>
      <c r="W42" s="1"/>
      <c r="X42" s="1"/>
      <c r="Y42" s="1"/>
      <c r="Z42" s="1"/>
      <c r="AA42" s="1"/>
      <c r="AB42" s="1"/>
    </row>
    <row r="43" spans="1:37">
      <c r="A43" s="257"/>
      <c r="B43" s="678"/>
      <c r="C43" s="682"/>
      <c r="D43" s="736"/>
      <c r="E43" s="397"/>
      <c r="F43" s="397"/>
      <c r="G43" s="397"/>
      <c r="H43" s="729"/>
      <c r="I43" s="126"/>
      <c r="J43" s="126"/>
      <c r="K43" s="126"/>
      <c r="L43" s="126"/>
      <c r="M43" s="126"/>
      <c r="N43" s="126"/>
      <c r="O43" s="126"/>
      <c r="P43" s="126"/>
      <c r="Q43" s="126"/>
      <c r="R43" s="1"/>
      <c r="S43" s="1"/>
      <c r="T43" s="1"/>
      <c r="U43" s="1"/>
      <c r="V43" s="1"/>
      <c r="W43" s="1"/>
      <c r="X43" s="1"/>
      <c r="Y43" s="1"/>
      <c r="Z43" s="1"/>
      <c r="AA43" s="1"/>
      <c r="AB43" s="1"/>
    </row>
    <row r="44" spans="1:37">
      <c r="A44" s="277"/>
      <c r="B44" s="686"/>
      <c r="C44" s="603"/>
      <c r="D44" s="737"/>
      <c r="E44" s="687"/>
      <c r="F44" s="687"/>
      <c r="G44" s="687"/>
      <c r="H44" s="743"/>
      <c r="I44" s="126"/>
      <c r="J44" s="126"/>
      <c r="K44" s="126"/>
      <c r="L44" s="126"/>
      <c r="M44" s="126"/>
      <c r="N44" s="126"/>
      <c r="O44" s="126"/>
      <c r="P44" s="126"/>
      <c r="Q44" s="126"/>
      <c r="R44" s="1"/>
      <c r="S44" s="1"/>
      <c r="T44" s="1"/>
      <c r="U44" s="1"/>
      <c r="V44" s="1"/>
      <c r="W44" s="1"/>
      <c r="X44" s="1"/>
      <c r="Y44" s="1"/>
      <c r="Z44" s="1"/>
      <c r="AA44" s="1"/>
      <c r="AB44" s="1"/>
    </row>
    <row r="45" spans="1:37" ht="21">
      <c r="A45" s="257"/>
      <c r="B45" s="679" t="s">
        <v>522</v>
      </c>
      <c r="C45" s="682"/>
      <c r="D45" s="2"/>
      <c r="E45" s="26"/>
      <c r="F45" s="26"/>
      <c r="G45" s="26"/>
      <c r="H45" s="611"/>
      <c r="I45" s="126"/>
      <c r="J45" s="126"/>
      <c r="K45" s="126"/>
      <c r="L45" s="126"/>
      <c r="M45" s="126"/>
      <c r="N45" s="126"/>
      <c r="O45" s="126"/>
      <c r="P45" s="126"/>
      <c r="Q45" s="126"/>
      <c r="R45" s="1"/>
      <c r="S45" s="1"/>
      <c r="T45" s="1"/>
      <c r="U45" s="1"/>
      <c r="V45" s="1"/>
      <c r="W45" s="1"/>
      <c r="X45" s="1"/>
      <c r="Y45" s="1"/>
      <c r="Z45" s="1"/>
      <c r="AA45" s="1"/>
      <c r="AB45" s="1"/>
    </row>
    <row r="46" spans="1:37">
      <c r="A46" s="257"/>
      <c r="B46" s="677" t="s">
        <v>523</v>
      </c>
      <c r="C46" s="682" t="s">
        <v>724</v>
      </c>
      <c r="D46" s="736">
        <f>'Reorganised Statements'!D80/('Financial statements'!F237+'Financial statements'!F238)</f>
        <v>1.5357142857142858</v>
      </c>
      <c r="E46" s="397">
        <f>'Reorganised Statements'!E80/('Financial statements'!G237+'Financial statements'!G238)</f>
        <v>3.3059701492537314</v>
      </c>
      <c r="F46" s="397">
        <f>'Reorganised Statements'!F80/('Financial statements'!H237+'Financial statements'!H238)</f>
        <v>6.283185840707965</v>
      </c>
      <c r="G46" s="397">
        <f>'Reorganised Statements'!G80/('Financial statements'!I237+'Financial statements'!I238)</f>
        <v>5.4444444444444446</v>
      </c>
      <c r="H46" s="729">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row>
    <row r="47" spans="1:37" ht="41.25" customHeight="1">
      <c r="A47" s="257"/>
      <c r="B47" s="540"/>
      <c r="C47" s="682"/>
      <c r="D47" s="733"/>
      <c r="E47" s="391"/>
      <c r="F47" s="391"/>
      <c r="G47" s="391"/>
      <c r="H47" s="369"/>
      <c r="I47" s="395"/>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row>
    <row r="48" spans="1:37">
      <c r="A48" s="257"/>
      <c r="B48" s="678" t="s">
        <v>524</v>
      </c>
      <c r="C48" s="682" t="s">
        <v>725</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725">
        <f>'Reorganised Statements'!H39/('Reorganised Statements'!H35+'Reorganised Statements'!H39)</f>
        <v>0.49724593775819331</v>
      </c>
      <c r="I48" s="400"/>
      <c r="J48" s="400"/>
      <c r="K48" s="400"/>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row>
    <row r="49" spans="1:37">
      <c r="A49" s="257"/>
      <c r="B49" s="677"/>
      <c r="C49" s="682" t="s">
        <v>729</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725">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row>
    <row r="50" spans="1:37" ht="41.25" customHeight="1">
      <c r="A50" s="257"/>
      <c r="B50" s="677"/>
      <c r="C50" s="682"/>
      <c r="D50" s="120"/>
      <c r="E50" s="29"/>
      <c r="F50" s="29"/>
      <c r="G50" s="29"/>
      <c r="H50" s="725"/>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row>
    <row r="51" spans="1:37">
      <c r="A51" s="257"/>
      <c r="B51" s="678" t="s">
        <v>525</v>
      </c>
      <c r="C51" s="682" t="s">
        <v>726</v>
      </c>
      <c r="D51" s="736">
        <f>'Reorganised Statements'!D39/'Reorganised Statements'!D35</f>
        <v>1.1601718318502607</v>
      </c>
      <c r="E51" s="397">
        <f>'Reorganised Statements'!E39/'Reorganised Statements'!E35</f>
        <v>1.1573650503202195</v>
      </c>
      <c r="F51" s="397">
        <f>'Reorganised Statements'!F39/'Reorganised Statements'!F35</f>
        <v>1.3070029870560902</v>
      </c>
      <c r="G51" s="397">
        <f>'Reorganised Statements'!G39/'Reorganised Statements'!G35</f>
        <v>1.0439965938120919</v>
      </c>
      <c r="H51" s="729">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row>
    <row r="52" spans="1:37" ht="16.2" customHeight="1">
      <c r="A52" s="257"/>
      <c r="B52" s="677"/>
      <c r="C52" s="682"/>
      <c r="D52" s="52"/>
      <c r="E52" s="26"/>
      <c r="F52" s="26"/>
      <c r="G52" s="26"/>
      <c r="H52" s="611"/>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row>
    <row r="53" spans="1:37" ht="16.2" customHeight="1">
      <c r="A53" s="257"/>
      <c r="B53" s="677" t="s">
        <v>730</v>
      </c>
      <c r="C53" s="682" t="s">
        <v>731</v>
      </c>
      <c r="D53" s="739">
        <f>'Reorganised Statements'!D35/('Reorganised Statements'!D35+'Reorganised Statements'!D39)</f>
        <v>0.46292613636363639</v>
      </c>
      <c r="E53" s="745">
        <f>'Reorganised Statements'!E35/('Reorganised Statements'!E35+'Reorganised Statements'!E39)</f>
        <v>0.46352841391009331</v>
      </c>
      <c r="F53" s="745">
        <f>'Reorganised Statements'!F35/('Reorganised Statements'!F35+'Reorganised Statements'!F39)</f>
        <v>0.43346281110631563</v>
      </c>
      <c r="G53" s="745">
        <f>'Reorganised Statements'!G35/('Reorganised Statements'!G35+'Reorganised Statements'!G39)</f>
        <v>0.48923760588807108</v>
      </c>
      <c r="H53" s="731">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row>
    <row r="54" spans="1:37" ht="15" customHeight="1">
      <c r="A54" s="257"/>
      <c r="B54" s="677"/>
      <c r="C54" s="682"/>
      <c r="D54" s="52"/>
      <c r="E54" s="26"/>
      <c r="F54" s="26"/>
      <c r="G54" s="26"/>
      <c r="H54" s="611"/>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row>
    <row r="55" spans="1:37">
      <c r="A55" s="257"/>
      <c r="B55" s="677" t="s">
        <v>527</v>
      </c>
      <c r="C55" s="682" t="s">
        <v>728</v>
      </c>
      <c r="D55" s="6"/>
      <c r="E55" s="391">
        <f>-('Cash flows'!D19+'Cash flows'!D20+'Cash flows'!D13)/('Cash flows'!D5*(1-0.279))</f>
        <v>1.612383102225089</v>
      </c>
      <c r="F55" s="391">
        <f>('Cash flows'!E19+'Cash flows'!E20+'Cash flows'!E13)/('Cash flows'!E5*(1-0.279))</f>
        <v>1.0216639643687369</v>
      </c>
      <c r="G55" s="391">
        <f>-('Cash flows'!F19+'Cash flows'!F20+'Cash flows'!F13)/('Cash flows'!F5*(1-0.279))</f>
        <v>1.3468632945549928</v>
      </c>
      <c r="H55" s="369">
        <f>-('Cash flows'!G19+'Cash flows'!G20+'Cash flows'!G13)/('Cash flows'!G5*(1-0.279))</f>
        <v>0.65815107999362032</v>
      </c>
      <c r="I55" s="1"/>
      <c r="J55" s="1"/>
      <c r="K55" s="126"/>
      <c r="M55" s="410"/>
      <c r="N55" s="126"/>
      <c r="O55" s="126"/>
      <c r="P55" s="126"/>
      <c r="Q55" s="126"/>
      <c r="R55" s="1"/>
      <c r="S55" s="1"/>
      <c r="T55" s="1"/>
      <c r="U55" s="1"/>
      <c r="V55" s="1"/>
      <c r="W55" s="1"/>
      <c r="X55" s="1"/>
      <c r="Y55" s="1"/>
      <c r="Z55" s="1"/>
      <c r="AA55" s="1"/>
      <c r="AB55" s="1"/>
      <c r="AC55" s="1"/>
      <c r="AD55" s="1"/>
      <c r="AE55" s="1"/>
      <c r="AF55" s="1"/>
      <c r="AG55" s="1"/>
      <c r="AH55" s="1"/>
      <c r="AI55" s="1"/>
      <c r="AJ55" s="1"/>
      <c r="AK55" s="1"/>
    </row>
    <row r="56" spans="1:37">
      <c r="A56" s="257"/>
      <c r="B56" s="371"/>
      <c r="C56" s="680"/>
      <c r="D56" s="52"/>
      <c r="E56" s="661" t="s">
        <v>715</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row>
    <row r="57" spans="1:37" ht="12.75" customHeight="1">
      <c r="A57" s="257"/>
      <c r="B57" s="677"/>
      <c r="C57" s="682"/>
      <c r="D57" s="52"/>
      <c r="E57" s="46"/>
      <c r="F57" s="746" t="s">
        <v>528</v>
      </c>
      <c r="G57" s="747">
        <f>AVERAGE(E55:H55)</f>
        <v>1.1597653602856097</v>
      </c>
      <c r="H57" s="611"/>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row>
    <row r="58" spans="1:37" ht="15" thickBot="1">
      <c r="A58" s="269"/>
      <c r="B58" s="385"/>
      <c r="C58" s="732"/>
      <c r="D58" s="384"/>
      <c r="E58" s="748"/>
      <c r="F58" s="748"/>
      <c r="G58" s="748"/>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row>
    <row r="59" spans="1:37">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row>
    <row r="60" spans="1:37">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row>
    <row r="61" spans="1:37">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row>
    <row r="62" spans="1:37">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row>
    <row r="63" spans="1:37" ht="21">
      <c r="A63" s="1"/>
      <c r="B63" s="389"/>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row>
    <row r="64" spans="1:37">
      <c r="A64" s="1"/>
      <c r="B64" s="126"/>
      <c r="C64" s="400"/>
      <c r="D64" s="400"/>
      <c r="E64" s="400"/>
      <c r="F64" s="400"/>
      <c r="G64" s="400"/>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row>
    <row r="65" spans="1:37">
      <c r="A65" s="1"/>
      <c r="B65" s="126"/>
      <c r="C65" s="400"/>
      <c r="D65" s="400"/>
      <c r="E65" s="400"/>
      <c r="F65" s="400"/>
      <c r="G65" s="400"/>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row>
    <row r="66" spans="1:37">
      <c r="A66" s="1"/>
      <c r="B66" s="126"/>
      <c r="C66" s="400"/>
      <c r="D66" s="400"/>
      <c r="E66" s="400"/>
      <c r="F66" s="400"/>
      <c r="G66" s="400"/>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row>
    <row r="67" spans="1:37">
      <c r="A67" s="1"/>
      <c r="B67" s="126"/>
      <c r="C67" s="400"/>
      <c r="D67" s="400"/>
      <c r="E67" s="400"/>
      <c r="F67" s="400"/>
      <c r="G67" s="400"/>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row>
    <row r="68" spans="1:37">
      <c r="A68" s="1"/>
      <c r="B68" s="126"/>
      <c r="C68" s="400"/>
      <c r="D68" s="400"/>
      <c r="E68" s="400"/>
      <c r="F68" s="400"/>
      <c r="G68" s="400"/>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row>
    <row r="69" spans="1:37">
      <c r="A69" s="1"/>
      <c r="B69" s="126"/>
      <c r="C69" s="400"/>
      <c r="D69" s="400"/>
      <c r="E69" s="400"/>
      <c r="F69" s="400"/>
      <c r="G69" s="400"/>
      <c r="H69" s="126"/>
      <c r="I69" s="126"/>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row>
    <row r="70" spans="1:37">
      <c r="A70" s="1"/>
      <c r="B70" s="126"/>
      <c r="C70" s="400"/>
      <c r="D70" s="400"/>
      <c r="E70" s="400"/>
      <c r="F70" s="400"/>
      <c r="G70" s="400"/>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row>
    <row r="71" spans="1:37">
      <c r="A71" s="1"/>
      <c r="B71" s="126"/>
      <c r="C71" s="400"/>
      <c r="D71" s="400"/>
      <c r="E71" s="400"/>
      <c r="F71" s="400"/>
      <c r="G71" s="400"/>
      <c r="H71" s="126"/>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row>
    <row r="72" spans="1:37">
      <c r="A72" s="1"/>
      <c r="B72" s="126"/>
      <c r="C72" s="400"/>
      <c r="D72" s="400"/>
      <c r="E72" s="400"/>
      <c r="F72" s="400"/>
      <c r="G72" s="400"/>
      <c r="H72" s="126"/>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row>
    <row r="73" spans="1:37">
      <c r="A73" s="1"/>
      <c r="B73" s="126"/>
      <c r="C73" s="400"/>
      <c r="D73" s="400"/>
      <c r="E73" s="400"/>
      <c r="F73" s="400"/>
      <c r="G73" s="400"/>
      <c r="H73" s="126"/>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row>
    <row r="74" spans="1:37">
      <c r="A74" s="1"/>
      <c r="B74" s="390"/>
      <c r="C74" s="400"/>
      <c r="D74" s="400"/>
      <c r="E74" s="400"/>
      <c r="F74" s="400"/>
      <c r="G74" s="400"/>
      <c r="H74" s="126"/>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row>
    <row r="75" spans="1:37">
      <c r="A75" s="1"/>
      <c r="B75" s="126"/>
      <c r="C75" s="400"/>
      <c r="D75" s="400"/>
      <c r="E75" s="400"/>
      <c r="F75" s="400"/>
      <c r="G75" s="400"/>
      <c r="H75" s="126"/>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row>
    <row r="76" spans="1:37">
      <c r="A76" s="1"/>
      <c r="B76" s="390"/>
      <c r="C76" s="400"/>
      <c r="D76" s="400"/>
      <c r="E76" s="400"/>
      <c r="F76" s="400"/>
      <c r="G76" s="400"/>
      <c r="H76" s="126"/>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row>
    <row r="77" spans="1:37">
      <c r="A77" s="1"/>
      <c r="B77" s="126"/>
      <c r="C77" s="400"/>
      <c r="D77" s="400"/>
      <c r="E77" s="400"/>
      <c r="F77" s="400"/>
      <c r="G77" s="400"/>
      <c r="H77" s="126"/>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row>
    <row r="78" spans="1:37">
      <c r="A78" s="1"/>
      <c r="B78" s="126"/>
      <c r="C78" s="400"/>
      <c r="D78" s="400"/>
      <c r="E78" s="400"/>
      <c r="F78" s="400"/>
      <c r="G78" s="400"/>
      <c r="H78" s="126"/>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row>
    <row r="79" spans="1:37">
      <c r="A79" s="1"/>
      <c r="B79" s="126"/>
      <c r="C79" s="126"/>
      <c r="D79" s="126"/>
      <c r="E79" s="126"/>
      <c r="F79" s="126"/>
      <c r="G79" s="126"/>
      <c r="H79" s="126"/>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row>
    <row r="80" spans="1:37" ht="21">
      <c r="A80" s="1"/>
      <c r="B80" s="389"/>
      <c r="C80" s="400"/>
      <c r="D80" s="400"/>
      <c r="E80" s="400"/>
      <c r="F80" s="400"/>
      <c r="G80" s="400"/>
      <c r="H80" s="126"/>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row>
    <row r="81" spans="1:37">
      <c r="A81" s="1"/>
      <c r="B81" s="126"/>
      <c r="C81" s="400"/>
      <c r="D81" s="400"/>
      <c r="E81" s="400"/>
      <c r="F81" s="400"/>
      <c r="G81" s="400"/>
      <c r="H81" s="126"/>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row>
    <row r="82" spans="1:37">
      <c r="A82" s="1"/>
      <c r="B82" s="126"/>
      <c r="C82" s="400"/>
      <c r="D82" s="400"/>
      <c r="E82" s="400"/>
      <c r="F82" s="400"/>
      <c r="G82" s="400"/>
      <c r="H82" s="126"/>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row>
    <row r="83" spans="1:37">
      <c r="A83" s="1"/>
      <c r="B83" s="126"/>
      <c r="C83" s="126"/>
      <c r="D83" s="126"/>
      <c r="E83" s="126"/>
      <c r="F83" s="126"/>
      <c r="G83" s="126"/>
      <c r="H83" s="126"/>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row>
    <row r="84" spans="1:37">
      <c r="A84" s="1"/>
      <c r="B84" s="126"/>
      <c r="C84" s="400"/>
      <c r="D84" s="400"/>
      <c r="E84" s="400"/>
      <c r="F84" s="400"/>
      <c r="G84" s="400"/>
      <c r="H84" s="126"/>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row>
    <row r="85" spans="1:37">
      <c r="A85" s="1"/>
      <c r="B85" s="126"/>
      <c r="C85" s="400"/>
      <c r="D85" s="400"/>
      <c r="E85" s="400"/>
      <c r="F85" s="400"/>
      <c r="G85" s="400"/>
      <c r="H85" s="126"/>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row>
    <row r="86" spans="1:37">
      <c r="B86" s="390"/>
      <c r="C86" s="126"/>
      <c r="D86" s="126"/>
      <c r="E86" s="126"/>
      <c r="F86" s="126"/>
      <c r="G86" s="126"/>
      <c r="H86" s="126"/>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row>
    <row r="87" spans="1:37">
      <c r="B87" s="390"/>
      <c r="C87" s="400"/>
      <c r="D87" s="400"/>
      <c r="E87" s="400"/>
      <c r="F87" s="400"/>
      <c r="G87" s="400"/>
      <c r="H87" s="126"/>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row>
    <row r="88" spans="1:37">
      <c r="B88" s="399"/>
      <c r="C88" s="400"/>
      <c r="D88" s="400"/>
      <c r="E88" s="400"/>
      <c r="F88" s="400"/>
      <c r="G88" s="400"/>
      <c r="H88" s="126"/>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row>
    <row r="89" spans="1:37">
      <c r="B89" s="126"/>
      <c r="C89" s="400"/>
      <c r="D89" s="400"/>
      <c r="E89" s="400"/>
      <c r="F89" s="400"/>
      <c r="G89" s="400"/>
      <c r="H89" s="126"/>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row>
    <row r="90" spans="1:37">
      <c r="B90" s="126"/>
      <c r="C90" s="126"/>
      <c r="D90" s="126"/>
      <c r="E90" s="126"/>
      <c r="F90" s="126"/>
      <c r="G90" s="126"/>
      <c r="H90" s="126"/>
      <c r="I90" s="1"/>
      <c r="J90" s="1"/>
      <c r="K90" s="1"/>
      <c r="L90" s="1"/>
      <c r="M90" s="1"/>
      <c r="N90" s="1"/>
    </row>
    <row r="91" spans="1:37">
      <c r="B91" s="126"/>
      <c r="C91" s="400"/>
      <c r="D91" s="400"/>
      <c r="E91" s="400"/>
      <c r="F91" s="400"/>
      <c r="G91" s="400"/>
      <c r="H91" s="126"/>
      <c r="I91" s="1"/>
      <c r="J91" s="1"/>
      <c r="K91" s="1"/>
      <c r="L91" s="1"/>
      <c r="M91" s="1"/>
      <c r="N91" s="1"/>
    </row>
    <row r="92" spans="1:37">
      <c r="B92" s="390"/>
      <c r="C92" s="400"/>
      <c r="D92" s="400"/>
      <c r="E92" s="400"/>
      <c r="F92" s="400"/>
      <c r="G92" s="400"/>
      <c r="H92" s="126"/>
      <c r="I92" s="1"/>
      <c r="J92" s="1"/>
      <c r="K92" s="1"/>
      <c r="L92" s="1"/>
      <c r="M92" s="1"/>
      <c r="N92" s="1"/>
    </row>
    <row r="93" spans="1:37">
      <c r="B93" s="126"/>
      <c r="C93" s="400"/>
      <c r="D93" s="400"/>
      <c r="E93" s="400"/>
      <c r="F93" s="400"/>
      <c r="G93" s="400"/>
      <c r="H93" s="126"/>
      <c r="I93" s="1"/>
      <c r="J93" s="1"/>
      <c r="K93" s="1"/>
      <c r="L93" s="1"/>
      <c r="M93" s="1"/>
      <c r="N93" s="1"/>
    </row>
    <row r="94" spans="1:37">
      <c r="B94" s="126"/>
      <c r="C94" s="126"/>
      <c r="D94" s="126"/>
      <c r="E94" s="126"/>
      <c r="F94" s="126"/>
      <c r="G94" s="126"/>
      <c r="H94" s="126"/>
      <c r="I94" s="1"/>
      <c r="J94" s="1"/>
      <c r="K94" s="1"/>
      <c r="L94" s="1"/>
      <c r="M94" s="1"/>
      <c r="N94" s="1"/>
    </row>
    <row r="95" spans="1:37">
      <c r="B95" s="390"/>
      <c r="C95" s="400"/>
      <c r="D95" s="400"/>
      <c r="E95" s="400"/>
      <c r="F95" s="400"/>
      <c r="G95" s="400"/>
      <c r="H95" s="1"/>
      <c r="I95" s="1"/>
      <c r="J95" s="1"/>
      <c r="K95" s="1"/>
      <c r="L95" s="1"/>
      <c r="M95" s="1"/>
      <c r="N95" s="1"/>
    </row>
    <row r="96" spans="1:37">
      <c r="B96" s="126"/>
      <c r="C96" s="126"/>
      <c r="D96" s="126"/>
      <c r="E96" s="126"/>
      <c r="F96" s="126"/>
      <c r="G96" s="126"/>
      <c r="H96" s="1"/>
      <c r="I96" s="1"/>
      <c r="J96" s="1"/>
      <c r="K96" s="1"/>
      <c r="L96" s="1"/>
      <c r="M96" s="1"/>
      <c r="N96" s="1"/>
    </row>
    <row r="97" spans="2:14">
      <c r="B97" s="126"/>
      <c r="C97" s="400"/>
      <c r="D97" s="400"/>
      <c r="E97" s="400"/>
      <c r="F97" s="400"/>
      <c r="G97" s="400"/>
      <c r="H97" s="1"/>
      <c r="I97" s="1"/>
      <c r="J97" s="1"/>
      <c r="K97" s="1"/>
      <c r="L97" s="1"/>
      <c r="M97" s="1"/>
      <c r="N97" s="1"/>
    </row>
    <row r="98" spans="2:14">
      <c r="H98" s="1"/>
      <c r="I98" s="1"/>
      <c r="J98" s="1"/>
      <c r="K98" s="1"/>
      <c r="L98" s="1"/>
      <c r="M98" s="1"/>
      <c r="N98" s="1"/>
    </row>
    <row r="105" spans="2:14">
      <c r="D105" s="444" t="s">
        <v>715</v>
      </c>
      <c r="E105" s="444" t="s">
        <v>528</v>
      </c>
    </row>
    <row r="106" spans="2:14">
      <c r="F106" s="444">
        <v>1.1597653602856097</v>
      </c>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665" t="s">
        <v>315</v>
      </c>
      <c r="B1" s="666"/>
      <c r="C1" s="125"/>
      <c r="D1" s="125"/>
      <c r="E1" s="125"/>
      <c r="F1" s="125"/>
      <c r="G1" s="288"/>
      <c r="H1" s="1"/>
      <c r="I1" s="1"/>
      <c r="J1" s="1"/>
      <c r="K1" s="1"/>
      <c r="L1" s="1"/>
    </row>
    <row r="2" spans="1:12">
      <c r="A2" s="289"/>
      <c r="B2" s="663" t="s">
        <v>158</v>
      </c>
      <c r="C2" s="663"/>
      <c r="D2" s="663"/>
      <c r="E2" s="663"/>
      <c r="F2" s="663"/>
      <c r="G2" s="664"/>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473</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6">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473</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7" t="s">
        <v>473</v>
      </c>
      <c r="B21" s="348"/>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474</v>
      </c>
      <c r="B41" s="137"/>
      <c r="C41" s="147">
        <v>-27</v>
      </c>
      <c r="D41" s="139">
        <v>-19</v>
      </c>
      <c r="E41" s="139">
        <v>-23</v>
      </c>
      <c r="F41" s="139">
        <v>-14</v>
      </c>
      <c r="G41" s="293">
        <v>-9</v>
      </c>
      <c r="H41" s="1"/>
      <c r="I41" s="1"/>
      <c r="J41" s="1"/>
      <c r="K41" s="1"/>
      <c r="L41" s="1"/>
    </row>
    <row r="42" spans="1:12">
      <c r="A42" s="292" t="s">
        <v>475</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9">
        <v>-3598</v>
      </c>
      <c r="H44" s="1"/>
      <c r="I44" s="1"/>
      <c r="J44" s="1"/>
      <c r="K44" s="1"/>
      <c r="L44" s="1"/>
    </row>
    <row r="45" spans="1:12">
      <c r="A45" s="302"/>
      <c r="B45" s="138"/>
      <c r="C45" s="148"/>
      <c r="D45" s="140"/>
      <c r="E45" s="140"/>
      <c r="F45" s="140"/>
      <c r="G45" s="314"/>
      <c r="H45" s="1"/>
      <c r="I45" s="1"/>
      <c r="J45" s="1"/>
      <c r="K45" s="1"/>
      <c r="L45" s="1"/>
    </row>
    <row r="46" spans="1:12">
      <c r="A46" s="302" t="s">
        <v>476</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50" t="s">
        <v>344</v>
      </c>
      <c r="B51" s="351"/>
      <c r="C51" s="352">
        <f>C34+C50</f>
        <v>0</v>
      </c>
      <c r="D51" s="352">
        <f t="shared" ref="D51:G51" si="8">D34+D50</f>
        <v>0</v>
      </c>
      <c r="E51" s="352">
        <f t="shared" si="8"/>
        <v>0</v>
      </c>
      <c r="F51" s="352">
        <f t="shared" si="8"/>
        <v>0</v>
      </c>
      <c r="G51" s="353">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667" t="s">
        <v>163</v>
      </c>
      <c r="D55" s="667"/>
      <c r="E55" s="667"/>
      <c r="F55" s="667"/>
      <c r="G55" s="668"/>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4"/>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5"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5"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6"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7"/>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8"/>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9"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7"/>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5"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4"/>
      <c r="D106" s="344"/>
      <c r="E106" s="345"/>
      <c r="F106" s="345"/>
      <c r="G106" s="360"/>
      <c r="H106" s="1"/>
      <c r="I106" s="1"/>
      <c r="J106" s="1"/>
      <c r="K106" s="1"/>
      <c r="L106" s="1"/>
    </row>
    <row r="107" spans="1:12">
      <c r="A107" s="327" t="s">
        <v>304</v>
      </c>
      <c r="B107" s="357"/>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4"/>
      <c r="D108" s="344"/>
      <c r="E108" s="345"/>
      <c r="F108" s="345"/>
      <c r="G108" s="360"/>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5"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1"/>
      <c r="C120" s="317">
        <f>SUM(C107,C115:C116)</f>
        <v>75</v>
      </c>
      <c r="D120" s="317">
        <f>SUM(D107,D115:D116)</f>
        <v>232</v>
      </c>
      <c r="E120" s="362">
        <f>SUM(E107,E115:E116)</f>
        <v>293</v>
      </c>
      <c r="F120" s="362">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669" t="s">
        <v>163</v>
      </c>
      <c r="D124" s="669"/>
      <c r="E124" s="669"/>
      <c r="F124" s="670"/>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3">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6">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6">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6">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7">
        <f t="shared" si="25"/>
        <v>34.481927710843372</v>
      </c>
      <c r="G152" s="1"/>
      <c r="H152" s="1"/>
      <c r="I152" s="1"/>
      <c r="J152" s="1"/>
      <c r="K152" s="1"/>
      <c r="L152" s="1"/>
    </row>
    <row r="153" spans="1:12">
      <c r="A153" s="335" t="s">
        <v>361</v>
      </c>
      <c r="B153" s="17"/>
      <c r="C153" s="364">
        <f>C147+C150+C151+C152</f>
        <v>24.999999999999979</v>
      </c>
      <c r="D153" s="364">
        <f t="shared" ref="D153:F153" si="26">D147+D150+D151+D152</f>
        <v>637.99999999999989</v>
      </c>
      <c r="E153" s="364">
        <f t="shared" si="26"/>
        <v>-224.99999999999997</v>
      </c>
      <c r="F153" s="368">
        <f t="shared" si="26"/>
        <v>65</v>
      </c>
      <c r="G153" s="1"/>
      <c r="H153" s="1"/>
      <c r="I153" s="1"/>
      <c r="J153" s="1"/>
      <c r="K153" s="1"/>
      <c r="L153" s="1"/>
    </row>
    <row r="154" spans="1:12">
      <c r="A154" s="175" t="s">
        <v>362</v>
      </c>
      <c r="B154" s="2"/>
      <c r="C154" s="365">
        <f>C153/C127</f>
        <v>5.6433408577878055E-2</v>
      </c>
      <c r="D154" s="365">
        <f t="shared" ref="D154:F154" si="27">D153/D127</f>
        <v>0.89859154929577445</v>
      </c>
      <c r="E154" s="365">
        <f t="shared" si="27"/>
        <v>-0.38265306122448972</v>
      </c>
      <c r="F154" s="369">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477</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I67"/>
  <sheetViews>
    <sheetView topLeftCell="B1" zoomScale="70" zoomScaleNormal="70" workbookViewId="0">
      <selection activeCell="G73" sqref="G73"/>
    </sheetView>
  </sheetViews>
  <sheetFormatPr defaultRowHeight="14.4"/>
  <cols>
    <col min="1" max="1" width="34" customWidth="1"/>
    <col min="2" max="2" width="19.109375" customWidth="1"/>
    <col min="3" max="3" width="31.33203125" customWidth="1"/>
    <col min="4" max="4" width="15.44140625" customWidth="1"/>
    <col min="5" max="5" width="33" customWidth="1"/>
    <col min="6" max="6" width="21.6640625" customWidth="1"/>
    <col min="7" max="7" width="47.33203125" bestFit="1" customWidth="1"/>
    <col min="8" max="8" width="21.44140625" customWidth="1"/>
    <col min="9" max="9" width="23.88671875" bestFit="1" customWidth="1"/>
  </cols>
  <sheetData>
    <row r="1" spans="1:9" ht="15" thickBot="1">
      <c r="A1" s="564" t="s">
        <v>419</v>
      </c>
      <c r="B1" s="565"/>
      <c r="C1" s="14"/>
      <c r="D1" s="14"/>
      <c r="E1" s="14"/>
      <c r="F1" s="14"/>
      <c r="G1" s="14"/>
      <c r="H1" s="14"/>
      <c r="I1" s="14"/>
    </row>
    <row r="2" spans="1:9" ht="15" thickBot="1">
      <c r="A2" s="566" t="s">
        <v>419</v>
      </c>
      <c r="B2" s="566"/>
      <c r="C2" s="126"/>
      <c r="D2" s="567" t="s">
        <v>401</v>
      </c>
      <c r="E2" s="568" t="s">
        <v>426</v>
      </c>
      <c r="F2" s="126"/>
      <c r="G2" s="569" t="s">
        <v>468</v>
      </c>
      <c r="H2" s="569" t="s">
        <v>401</v>
      </c>
      <c r="I2" s="569" t="s">
        <v>426</v>
      </c>
    </row>
    <row r="3" spans="1:9">
      <c r="A3" s="126"/>
      <c r="B3" s="570" t="s">
        <v>402</v>
      </c>
      <c r="C3" s="571" t="s">
        <v>403</v>
      </c>
      <c r="D3" s="572">
        <f>'[2]Balance sheet'!J110</f>
        <v>3651</v>
      </c>
      <c r="E3" s="573">
        <f>-'[2]Trailing 12-months'!G35</f>
        <v>3746</v>
      </c>
      <c r="F3" s="399"/>
      <c r="G3" s="574" t="s">
        <v>422</v>
      </c>
      <c r="H3" s="688">
        <f>D3/(D3+D5)</f>
        <v>0.50275406224180663</v>
      </c>
      <c r="I3" s="691">
        <f>E3/(E3+E5)</f>
        <v>0.50917493543563952</v>
      </c>
    </row>
    <row r="4" spans="1:9" ht="15" thickBot="1">
      <c r="A4" s="126"/>
      <c r="B4" s="575" t="s">
        <v>404</v>
      </c>
      <c r="C4" s="576" t="s">
        <v>405</v>
      </c>
      <c r="D4" s="577">
        <v>4926</v>
      </c>
      <c r="E4" s="578">
        <f>PRODUCT(1.12,3109.183856)</f>
        <v>3482.2859187200006</v>
      </c>
      <c r="F4" s="399"/>
      <c r="G4" s="579" t="s">
        <v>423</v>
      </c>
      <c r="H4" s="689">
        <f>D5/(D5+D3)</f>
        <v>0.49724593775819331</v>
      </c>
      <c r="I4" s="692">
        <f>1-I3</f>
        <v>0.49082506456436048</v>
      </c>
    </row>
    <row r="5" spans="1:9">
      <c r="A5" s="126"/>
      <c r="B5" s="581" t="s">
        <v>406</v>
      </c>
      <c r="C5" s="582" t="s">
        <v>427</v>
      </c>
      <c r="D5" s="583">
        <f>-'[2]Reorganised Statements'!H39</f>
        <v>3611</v>
      </c>
      <c r="E5" s="584">
        <f>-'[2]Reorganised Statements'!H39</f>
        <v>3611</v>
      </c>
      <c r="F5" s="399"/>
      <c r="G5" s="579"/>
      <c r="H5" s="585"/>
      <c r="I5" s="580"/>
    </row>
    <row r="6" spans="1:9" ht="15" thickBot="1">
      <c r="A6" s="126"/>
      <c r="B6" s="586" t="s">
        <v>407</v>
      </c>
      <c r="C6" s="587" t="s">
        <v>467</v>
      </c>
      <c r="D6" s="588">
        <f>(SUM(D7:D9))</f>
        <v>3754</v>
      </c>
      <c r="E6" s="589">
        <f>(SUM(E7:E9))</f>
        <v>3754</v>
      </c>
      <c r="F6" s="399"/>
      <c r="G6" s="579" t="s">
        <v>424</v>
      </c>
      <c r="H6" s="689">
        <f>D4/(D4+D6)</f>
        <v>0.56751152073732714</v>
      </c>
      <c r="I6" s="692">
        <f>E4/(E4+E6)</f>
        <v>0.48122558420632017</v>
      </c>
    </row>
    <row r="7" spans="1:9" ht="15" thickBot="1">
      <c r="A7" s="126"/>
      <c r="B7" s="126"/>
      <c r="C7" s="590" t="s">
        <v>408</v>
      </c>
      <c r="D7" s="591">
        <v>3635</v>
      </c>
      <c r="E7" s="592">
        <v>3635</v>
      </c>
      <c r="F7" s="399"/>
      <c r="G7" s="593" t="s">
        <v>425</v>
      </c>
      <c r="H7" s="690">
        <f>1-H6</f>
        <v>0.43248847926267286</v>
      </c>
      <c r="I7" s="693">
        <f>1-I6</f>
        <v>0.51877441579367978</v>
      </c>
    </row>
    <row r="8" spans="1:9">
      <c r="A8" s="126"/>
      <c r="B8" s="126"/>
      <c r="C8" s="590" t="s">
        <v>109</v>
      </c>
      <c r="D8" s="591">
        <v>2</v>
      </c>
      <c r="E8" s="592">
        <v>2</v>
      </c>
      <c r="F8" s="126"/>
      <c r="G8" s="126"/>
      <c r="H8" s="126"/>
      <c r="I8" s="126"/>
    </row>
    <row r="9" spans="1:9">
      <c r="A9" s="126"/>
      <c r="B9" s="126"/>
      <c r="C9" s="594" t="s">
        <v>409</v>
      </c>
      <c r="D9" s="595">
        <v>117</v>
      </c>
      <c r="E9" s="596">
        <v>117</v>
      </c>
      <c r="F9" s="126"/>
      <c r="G9" s="126"/>
      <c r="H9" s="126"/>
      <c r="I9" s="126"/>
    </row>
    <row r="10" spans="1:9" ht="15" thickBot="1">
      <c r="A10" s="126"/>
      <c r="B10" s="126"/>
      <c r="C10" s="126"/>
      <c r="D10" s="126"/>
      <c r="E10" s="126"/>
      <c r="F10" s="126"/>
      <c r="G10" s="126"/>
      <c r="H10" s="126"/>
      <c r="I10" s="126"/>
    </row>
    <row r="11" spans="1:9" ht="15" thickBot="1">
      <c r="A11" s="597" t="s">
        <v>420</v>
      </c>
      <c r="B11" s="598"/>
      <c r="C11" s="599"/>
      <c r="D11" s="126"/>
      <c r="E11" s="126"/>
      <c r="F11" s="126"/>
      <c r="G11" s="126"/>
      <c r="H11" s="126"/>
      <c r="I11" s="126"/>
    </row>
    <row r="12" spans="1:9" ht="15" thickBot="1">
      <c r="A12" s="600"/>
      <c r="B12" s="601"/>
      <c r="C12" s="601"/>
      <c r="D12" s="126"/>
      <c r="E12" s="126"/>
      <c r="F12" s="126"/>
      <c r="G12" s="126"/>
      <c r="H12" s="126"/>
      <c r="I12" s="126"/>
    </row>
    <row r="13" spans="1:9" ht="15" thickBot="1">
      <c r="A13" s="126"/>
      <c r="B13" s="602" t="s">
        <v>470</v>
      </c>
      <c r="C13" s="602" t="s">
        <v>410</v>
      </c>
      <c r="D13" s="602" t="s">
        <v>469</v>
      </c>
      <c r="E13" s="602" t="s">
        <v>411</v>
      </c>
      <c r="F13" s="126"/>
      <c r="G13" s="585" t="s">
        <v>557</v>
      </c>
      <c r="H13" s="585"/>
      <c r="I13" s="126"/>
    </row>
    <row r="14" spans="1:9">
      <c r="A14" s="126"/>
      <c r="B14" s="603" t="s">
        <v>480</v>
      </c>
      <c r="C14" s="603">
        <v>4.3749999999999997E-2</v>
      </c>
      <c r="D14" s="603">
        <v>2</v>
      </c>
      <c r="E14" s="603">
        <v>351.45699999999999</v>
      </c>
      <c r="F14" s="126"/>
      <c r="G14" s="585" t="s">
        <v>558</v>
      </c>
      <c r="H14" s="604">
        <v>-4.7200000000000002E-3</v>
      </c>
      <c r="I14" s="126"/>
    </row>
    <row r="15" spans="1:9">
      <c r="A15" s="126"/>
      <c r="B15" s="603" t="s">
        <v>412</v>
      </c>
      <c r="C15" s="603">
        <v>3.6880000000000003E-2</v>
      </c>
      <c r="D15" s="603">
        <v>3</v>
      </c>
      <c r="E15" s="603">
        <v>500</v>
      </c>
      <c r="F15" s="126"/>
      <c r="G15" s="585" t="s">
        <v>559</v>
      </c>
      <c r="H15" s="604">
        <v>1.576E-2</v>
      </c>
      <c r="I15" s="126"/>
    </row>
    <row r="16" spans="1:9">
      <c r="A16" s="126"/>
      <c r="B16" s="603" t="s">
        <v>478</v>
      </c>
      <c r="C16" s="603">
        <v>4.0570000000000002E-2</v>
      </c>
      <c r="D16" s="603">
        <v>4</v>
      </c>
      <c r="E16" s="603">
        <v>300</v>
      </c>
      <c r="F16" s="126"/>
      <c r="G16" s="585" t="s">
        <v>560</v>
      </c>
      <c r="H16" s="604">
        <v>-3.4299999999999999E-3</v>
      </c>
      <c r="I16" s="126"/>
    </row>
    <row r="17" spans="1:9">
      <c r="A17" s="126"/>
      <c r="B17" s="603" t="s">
        <v>479</v>
      </c>
      <c r="C17" s="603">
        <v>1.2840000000000001E-2</v>
      </c>
      <c r="D17" s="603">
        <v>5</v>
      </c>
      <c r="E17" s="603">
        <v>300</v>
      </c>
      <c r="F17" s="126"/>
      <c r="G17" s="585" t="s">
        <v>561</v>
      </c>
      <c r="H17" s="604">
        <v>-3.6000000000000002E-4</v>
      </c>
      <c r="I17" s="126"/>
    </row>
    <row r="18" spans="1:9">
      <c r="A18" s="126"/>
      <c r="B18" s="585" t="s">
        <v>413</v>
      </c>
      <c r="C18" s="585">
        <v>1.8360000000000001E-2</v>
      </c>
      <c r="D18" s="585">
        <v>6</v>
      </c>
      <c r="E18" s="585">
        <v>300</v>
      </c>
      <c r="F18" s="126"/>
      <c r="G18" s="585" t="s">
        <v>562</v>
      </c>
      <c r="H18" s="604">
        <v>1.6400000000000001E-2</v>
      </c>
      <c r="I18" s="126"/>
    </row>
    <row r="19" spans="1:9">
      <c r="A19" s="126"/>
      <c r="B19" s="585" t="s">
        <v>414</v>
      </c>
      <c r="C19" s="585">
        <v>1.7680000000000001E-2</v>
      </c>
      <c r="D19" s="585">
        <v>8</v>
      </c>
      <c r="E19" s="585">
        <v>300</v>
      </c>
      <c r="F19" s="126"/>
      <c r="G19" s="126"/>
      <c r="H19" s="409"/>
      <c r="I19" s="126"/>
    </row>
    <row r="20" spans="1:9">
      <c r="A20" s="126"/>
      <c r="B20" s="585" t="s">
        <v>415</v>
      </c>
      <c r="C20" s="585">
        <v>1.3899999999999999E-2</v>
      </c>
      <c r="D20" s="585">
        <v>10</v>
      </c>
      <c r="E20" s="585">
        <v>400</v>
      </c>
      <c r="F20" s="126"/>
      <c r="G20" s="126"/>
      <c r="H20" s="126"/>
      <c r="I20" s="126"/>
    </row>
    <row r="21" spans="1:9" ht="15" thickBot="1">
      <c r="A21" s="126"/>
      <c r="B21" s="126"/>
      <c r="C21" s="126"/>
      <c r="D21" s="126"/>
      <c r="E21" s="126"/>
      <c r="F21" s="126"/>
      <c r="G21" s="126" t="s">
        <v>496</v>
      </c>
      <c r="H21" s="126" t="s">
        <v>496</v>
      </c>
      <c r="I21" s="126"/>
    </row>
    <row r="22" spans="1:9" ht="15" thickBot="1">
      <c r="A22" s="126"/>
      <c r="B22" s="605" t="s">
        <v>421</v>
      </c>
      <c r="C22" s="606">
        <f xml:space="preserve"> (PRODUCT(C14:E14)+ PRODUCT(C15:E15) + PRODUCT(C16:E16) + PRODUCT(C17:E17)+ PRODUCT(C18:E18)+PRODUCT(C19:E19)+PRODUCT(C20:E20))/(PRODUCT(D14:E14) + PRODUCT(D15:E15) + PRODUCT(D16:E16) + PRODUCT(D17:E17)+PRODUCT(D18:E18)+PRODUCT(D19:E19)+PRODUCT(D20:E20))</f>
        <v>2.1758250683779193E-2</v>
      </c>
      <c r="D22" s="607"/>
      <c r="E22" s="126"/>
      <c r="F22" s="126"/>
      <c r="G22" s="400">
        <f>(SUM(PRODUCT(C14,E14),PRODUCT(C15,E15),PRODUCT(C16,E16),PRODUCT(C17,E17),PRODUCT(C18,E18),PRODUCT(C19,E19),PRODUCT(C20,E20)))/(SUM(E14:E20))</f>
        <v>2.7008935400457769E-2</v>
      </c>
      <c r="H22" s="400">
        <f>(SUM(PRODUCT(C14,D14),PRODUCT(C15,D15),PRODUCT(C16,D16),PRODUCT(C17,D17),PRODUCT(C18,D18),PRODUCT(C19,D19),PRODUCT(C20,D20)))/(SUM(D14:D20))</f>
        <v>2.1453157894736844E-2</v>
      </c>
      <c r="I22" s="126"/>
    </row>
    <row r="23" spans="1:9">
      <c r="A23" s="126"/>
      <c r="B23" s="126"/>
      <c r="C23" s="126"/>
      <c r="D23" s="126"/>
      <c r="E23" s="126"/>
      <c r="F23" s="126"/>
      <c r="G23" s="126"/>
      <c r="H23" s="126"/>
      <c r="I23" s="126"/>
    </row>
    <row r="24" spans="1:9" ht="15" thickBot="1">
      <c r="A24" s="175"/>
      <c r="B24" s="126"/>
      <c r="C24" s="126"/>
      <c r="D24" s="126"/>
      <c r="E24" s="126"/>
      <c r="F24" s="126"/>
      <c r="G24" s="126"/>
      <c r="H24" s="126"/>
      <c r="I24" s="126"/>
    </row>
    <row r="25" spans="1:9" ht="15" thickBot="1">
      <c r="A25" s="608" t="s">
        <v>428</v>
      </c>
      <c r="B25" s="609"/>
      <c r="C25" s="569" t="s">
        <v>165</v>
      </c>
      <c r="D25" s="569" t="s">
        <v>429</v>
      </c>
      <c r="E25" s="569" t="s">
        <v>430</v>
      </c>
      <c r="F25" s="565" t="s">
        <v>431</v>
      </c>
      <c r="G25" s="126"/>
      <c r="H25" s="126"/>
      <c r="I25" s="126"/>
    </row>
    <row r="26" spans="1:9">
      <c r="A26" s="175" t="s">
        <v>432</v>
      </c>
      <c r="B26" s="126"/>
      <c r="C26" s="610">
        <v>3836.2650000000003</v>
      </c>
      <c r="D26" s="610">
        <v>0.52576026796023623</v>
      </c>
      <c r="E26" s="610">
        <v>0.41</v>
      </c>
      <c r="F26" s="611">
        <v>0.21556170986369683</v>
      </c>
      <c r="G26" s="126"/>
      <c r="H26" s="126"/>
      <c r="I26" s="126"/>
    </row>
    <row r="27" spans="1:9">
      <c r="A27" s="175" t="s">
        <v>433</v>
      </c>
      <c r="B27" s="126"/>
      <c r="C27" s="610">
        <v>49.814999999999998</v>
      </c>
      <c r="D27" s="610">
        <v>6.8271476940303041E-3</v>
      </c>
      <c r="E27" s="610">
        <v>0.28999999999999998</v>
      </c>
      <c r="F27" s="611">
        <v>1.9798728312687879E-3</v>
      </c>
      <c r="G27" s="126"/>
      <c r="H27" s="126"/>
      <c r="I27" s="126"/>
    </row>
    <row r="28" spans="1:9">
      <c r="A28" s="175" t="s">
        <v>434</v>
      </c>
      <c r="B28" s="126"/>
      <c r="C28" s="610">
        <v>1278.7550000000001</v>
      </c>
      <c r="D28" s="610">
        <v>0.17525342265341209</v>
      </c>
      <c r="E28" s="610">
        <v>0.6</v>
      </c>
      <c r="F28" s="611">
        <v>0.10515205359204725</v>
      </c>
      <c r="G28" s="126"/>
      <c r="H28" s="126"/>
      <c r="I28" s="126"/>
    </row>
    <row r="29" spans="1:9">
      <c r="A29" s="175" t="s">
        <v>435</v>
      </c>
      <c r="B29" s="126"/>
      <c r="C29" s="610">
        <v>903</v>
      </c>
      <c r="D29" s="610">
        <v>0.12375618523957373</v>
      </c>
      <c r="E29" s="610">
        <v>0.8</v>
      </c>
      <c r="F29" s="611">
        <v>9.900494819165899E-2</v>
      </c>
      <c r="G29" s="126"/>
      <c r="H29" s="126"/>
      <c r="I29" s="126"/>
    </row>
    <row r="30" spans="1:9">
      <c r="A30" s="175"/>
      <c r="B30" s="126"/>
      <c r="C30" s="610"/>
      <c r="D30" s="610"/>
      <c r="E30" s="610"/>
      <c r="F30" s="611">
        <v>0</v>
      </c>
      <c r="G30" s="126"/>
      <c r="H30" s="126"/>
      <c r="I30" s="126"/>
    </row>
    <row r="31" spans="1:9">
      <c r="A31" s="175" t="s">
        <v>436</v>
      </c>
      <c r="B31" s="126"/>
      <c r="C31" s="610">
        <v>1228.77</v>
      </c>
      <c r="D31" s="610">
        <v>0.16840297645274752</v>
      </c>
      <c r="E31" s="610">
        <v>0.74</v>
      </c>
      <c r="F31" s="611">
        <v>0.12461820257503316</v>
      </c>
      <c r="G31" s="126"/>
      <c r="H31" s="126"/>
      <c r="I31" s="126"/>
    </row>
    <row r="32" spans="1:9" ht="15" thickBot="1">
      <c r="A32" s="175" t="s">
        <v>437</v>
      </c>
      <c r="B32" s="126"/>
      <c r="C32" s="610"/>
      <c r="D32" s="610">
        <v>0</v>
      </c>
      <c r="E32" s="610">
        <v>0.91</v>
      </c>
      <c r="F32" s="611">
        <v>0</v>
      </c>
      <c r="G32" s="126"/>
      <c r="H32" s="126"/>
      <c r="I32" s="126"/>
    </row>
    <row r="33" spans="1:9" ht="15" thickBot="1">
      <c r="A33" s="612" t="s">
        <v>438</v>
      </c>
      <c r="B33" s="613"/>
      <c r="C33" s="602">
        <v>7296.6050000000014</v>
      </c>
      <c r="D33" s="602">
        <v>0.99999999999999989</v>
      </c>
      <c r="E33" s="602"/>
      <c r="F33" s="614">
        <v>0.54631678705370501</v>
      </c>
      <c r="G33" s="126"/>
      <c r="H33" s="126"/>
      <c r="I33" s="126"/>
    </row>
    <row r="34" spans="1:9" ht="15" thickBot="1">
      <c r="A34" s="126"/>
      <c r="B34" s="126"/>
      <c r="C34" s="126"/>
      <c r="D34" s="126"/>
      <c r="E34" s="126"/>
      <c r="F34" s="126"/>
      <c r="G34" s="126"/>
      <c r="H34" s="126"/>
      <c r="I34" s="126"/>
    </row>
    <row r="35" spans="1:9" ht="15" thickBot="1">
      <c r="A35" s="569" t="s">
        <v>458</v>
      </c>
      <c r="B35" s="615">
        <v>43830</v>
      </c>
      <c r="C35" s="565" t="s">
        <v>459</v>
      </c>
      <c r="D35" s="126"/>
      <c r="E35" s="126"/>
      <c r="F35" s="126"/>
      <c r="G35" s="126"/>
      <c r="H35" s="126"/>
      <c r="I35" s="126"/>
    </row>
    <row r="36" spans="1:9">
      <c r="A36" s="610" t="s">
        <v>460</v>
      </c>
      <c r="B36" s="610">
        <v>0.54631678705370501</v>
      </c>
      <c r="C36" s="611">
        <v>0.54631678705370501</v>
      </c>
      <c r="D36" s="126"/>
      <c r="E36" s="126"/>
      <c r="F36" s="126"/>
      <c r="G36" s="126"/>
      <c r="H36" s="126"/>
      <c r="I36" s="126"/>
    </row>
    <row r="37" spans="1:9">
      <c r="A37" s="610" t="s">
        <v>461</v>
      </c>
      <c r="B37" s="610">
        <f>D5/D3</f>
        <v>0.98904409750753219</v>
      </c>
      <c r="C37" s="611">
        <f>E5/E3</f>
        <v>0.96396155899626268</v>
      </c>
      <c r="D37" s="126"/>
      <c r="E37" s="126"/>
      <c r="F37" s="126"/>
      <c r="G37" s="126"/>
      <c r="H37" s="126"/>
      <c r="I37" s="126"/>
    </row>
    <row r="38" spans="1:9">
      <c r="A38" s="610" t="s">
        <v>462</v>
      </c>
      <c r="B38" s="610">
        <f>D6/D4</f>
        <v>0.76207876573284616</v>
      </c>
      <c r="C38" s="611">
        <f>E6/E4</f>
        <v>1.0780275048120904</v>
      </c>
      <c r="D38" s="126"/>
      <c r="E38" s="126"/>
      <c r="F38" s="126"/>
      <c r="G38" s="126"/>
      <c r="H38" s="126"/>
      <c r="I38" s="126"/>
    </row>
    <row r="39" spans="1:9">
      <c r="A39" s="610" t="s">
        <v>463</v>
      </c>
      <c r="B39" s="610">
        <v>0.27900000000000003</v>
      </c>
      <c r="C39" s="611">
        <v>0.27900000000000003</v>
      </c>
      <c r="D39" s="126"/>
      <c r="E39" s="126"/>
      <c r="F39" s="126"/>
      <c r="G39" s="126"/>
      <c r="H39" s="126"/>
      <c r="I39" s="126"/>
    </row>
    <row r="40" spans="1:9">
      <c r="A40" s="610" t="s">
        <v>464</v>
      </c>
      <c r="B40" s="610">
        <f>PRODUCT(B36,1+PRODUCT(1-B39,B37))</f>
        <v>0.93589572184272718</v>
      </c>
      <c r="C40" s="611">
        <f>PRODUCT(B36,1+PRODUCT(1-B39,C37))</f>
        <v>0.9260158502984247</v>
      </c>
      <c r="D40" s="126"/>
      <c r="E40" s="126"/>
      <c r="F40" s="126"/>
      <c r="G40" s="126"/>
      <c r="H40" s="126"/>
      <c r="I40" s="126"/>
    </row>
    <row r="41" spans="1:9" ht="15" thickBot="1">
      <c r="A41" s="616" t="s">
        <v>465</v>
      </c>
      <c r="B41" s="616">
        <f>PRODUCT(B36,1+PRODUCT(1-B39,B38))</f>
        <v>0.84649534787593761</v>
      </c>
      <c r="C41" s="617">
        <f>PRODUCT(B36,1+PRODUCT(1-B39,C38))</f>
        <v>0.97094578798130338</v>
      </c>
      <c r="D41" s="126"/>
      <c r="E41" s="126"/>
      <c r="F41" s="126"/>
      <c r="G41" s="126"/>
      <c r="H41" s="126"/>
      <c r="I41" s="126"/>
    </row>
    <row r="42" spans="1:9">
      <c r="A42" s="126"/>
      <c r="B42" s="126"/>
      <c r="C42" s="126"/>
      <c r="D42" s="126"/>
      <c r="E42" s="126"/>
      <c r="F42" s="126"/>
      <c r="G42" s="126"/>
      <c r="H42" s="126"/>
      <c r="I42" s="126"/>
    </row>
    <row r="43" spans="1:9" ht="15" thickBot="1">
      <c r="A43" s="126"/>
      <c r="B43" s="126"/>
      <c r="C43" s="126"/>
      <c r="D43" s="126"/>
      <c r="E43" s="126"/>
      <c r="F43" s="126"/>
      <c r="G43" s="126"/>
      <c r="H43" s="126"/>
      <c r="I43" s="126"/>
    </row>
    <row r="44" spans="1:9" ht="15" thickBot="1">
      <c r="A44" s="618" t="s">
        <v>563</v>
      </c>
      <c r="B44" s="619"/>
      <c r="C44" s="619"/>
      <c r="D44" s="619"/>
      <c r="E44" s="619"/>
      <c r="F44" s="620"/>
      <c r="G44" s="126"/>
      <c r="H44" s="621" t="s">
        <v>564</v>
      </c>
      <c r="I44" s="622"/>
    </row>
    <row r="45" spans="1:9">
      <c r="A45" s="623" t="s">
        <v>379</v>
      </c>
      <c r="B45" s="624"/>
      <c r="C45" s="623" t="s">
        <v>380</v>
      </c>
      <c r="D45" s="624"/>
      <c r="E45" s="623" t="s">
        <v>381</v>
      </c>
      <c r="F45" s="624"/>
      <c r="G45" s="126"/>
      <c r="H45" s="625"/>
      <c r="I45" s="611"/>
    </row>
    <row r="46" spans="1:9">
      <c r="A46" s="175" t="s">
        <v>382</v>
      </c>
      <c r="B46" s="369">
        <v>3.1552387285036501E-3</v>
      </c>
      <c r="C46" s="175" t="s">
        <v>383</v>
      </c>
      <c r="D46" s="626">
        <f>B46</f>
        <v>3.1552387285036501E-3</v>
      </c>
      <c r="E46" s="175"/>
      <c r="F46" s="611"/>
      <c r="G46" s="126"/>
      <c r="H46" s="610"/>
      <c r="I46" s="611"/>
    </row>
    <row r="47" spans="1:9">
      <c r="A47" s="627" t="s">
        <v>384</v>
      </c>
      <c r="B47" s="628">
        <v>1.4999999999999999E-2</v>
      </c>
      <c r="C47" s="627" t="s">
        <v>385</v>
      </c>
      <c r="D47" s="628">
        <v>1.4999999999999999E-2</v>
      </c>
      <c r="E47" s="629" t="s">
        <v>418</v>
      </c>
      <c r="F47" s="628">
        <f>C22</f>
        <v>2.1758250683779193E-2</v>
      </c>
      <c r="G47" s="126"/>
      <c r="H47" s="630" t="s">
        <v>418</v>
      </c>
      <c r="I47" s="628">
        <f>C22</f>
        <v>2.1758250683779193E-2</v>
      </c>
    </row>
    <row r="48" spans="1:9">
      <c r="A48" s="291" t="s">
        <v>386</v>
      </c>
      <c r="B48" s="626">
        <f>SUM(B46:B47)</f>
        <v>1.815523872850365E-2</v>
      </c>
      <c r="C48" s="631" t="s">
        <v>386</v>
      </c>
      <c r="D48" s="626">
        <f>SUM(D46:D47)</f>
        <v>1.815523872850365E-2</v>
      </c>
      <c r="E48" s="175"/>
      <c r="F48" s="611"/>
      <c r="G48" s="126"/>
      <c r="H48" s="610"/>
      <c r="I48" s="626"/>
    </row>
    <row r="49" spans="1:9">
      <c r="A49" s="627" t="s">
        <v>387</v>
      </c>
      <c r="B49" s="628">
        <v>0.27900000000000003</v>
      </c>
      <c r="C49" s="627" t="s">
        <v>387</v>
      </c>
      <c r="D49" s="628">
        <v>0.27900000000000003</v>
      </c>
      <c r="E49" s="627" t="s">
        <v>387</v>
      </c>
      <c r="F49" s="628">
        <v>0.27900000000000003</v>
      </c>
      <c r="G49" s="126"/>
      <c r="H49" s="630" t="s">
        <v>387</v>
      </c>
      <c r="I49" s="628">
        <f>27.9%</f>
        <v>0.27899999999999997</v>
      </c>
    </row>
    <row r="50" spans="1:9">
      <c r="A50" s="291" t="s">
        <v>388</v>
      </c>
      <c r="B50" s="369">
        <f>PRODUCT(B48,(1-B49))</f>
        <v>1.3089927123251131E-2</v>
      </c>
      <c r="C50" s="291" t="s">
        <v>388</v>
      </c>
      <c r="D50" s="369">
        <f>PRODUCT(D48,(1-D49))</f>
        <v>1.3089927123251131E-2</v>
      </c>
      <c r="E50" s="291" t="s">
        <v>389</v>
      </c>
      <c r="F50" s="369">
        <f>PRODUCT(F47,(1-F49))</f>
        <v>1.5687698743004796E-2</v>
      </c>
      <c r="G50" s="126"/>
      <c r="H50" s="610" t="s">
        <v>565</v>
      </c>
      <c r="I50" s="626">
        <f>(I47)*(1-I49)</f>
        <v>1.56876987430048E-2</v>
      </c>
    </row>
    <row r="51" spans="1:9">
      <c r="A51" s="175"/>
      <c r="B51" s="626"/>
      <c r="C51" s="175"/>
      <c r="D51" s="626"/>
      <c r="E51" s="175"/>
      <c r="F51" s="632"/>
      <c r="G51" s="126"/>
      <c r="H51" s="610"/>
      <c r="I51" s="611"/>
    </row>
    <row r="52" spans="1:9">
      <c r="A52" s="291" t="s">
        <v>390</v>
      </c>
      <c r="B52" s="369">
        <f>B46</f>
        <v>3.1552387285036501E-3</v>
      </c>
      <c r="C52" s="175" t="s">
        <v>390</v>
      </c>
      <c r="D52" s="626">
        <f>D46</f>
        <v>3.1552387285036501E-3</v>
      </c>
      <c r="E52" s="175" t="s">
        <v>390</v>
      </c>
      <c r="F52" s="369">
        <f>D52</f>
        <v>3.1552387285036501E-3</v>
      </c>
      <c r="G52" s="126"/>
      <c r="H52" s="610" t="s">
        <v>566</v>
      </c>
      <c r="I52" s="626">
        <f>AVERAGE(H14:H18)</f>
        <v>4.7299999999999998E-3</v>
      </c>
    </row>
    <row r="53" spans="1:9">
      <c r="A53" s="175" t="s">
        <v>391</v>
      </c>
      <c r="B53" s="626">
        <v>4.53717660848309E-2</v>
      </c>
      <c r="C53" s="175" t="s">
        <v>391</v>
      </c>
      <c r="D53" s="626">
        <f>B53</f>
        <v>4.53717660848309E-2</v>
      </c>
      <c r="E53" s="175" t="s">
        <v>391</v>
      </c>
      <c r="F53" s="626">
        <f>B53</f>
        <v>4.53717660848309E-2</v>
      </c>
      <c r="G53" s="126"/>
      <c r="H53" s="610" t="s">
        <v>567</v>
      </c>
      <c r="I53" s="632">
        <f>10%</f>
        <v>0.1</v>
      </c>
    </row>
    <row r="54" spans="1:9">
      <c r="A54" s="175" t="s">
        <v>392</v>
      </c>
      <c r="B54" s="369">
        <v>3.2549780667749703E-2</v>
      </c>
      <c r="C54" s="175" t="s">
        <v>392</v>
      </c>
      <c r="D54" s="626">
        <f>B54</f>
        <v>3.2549780667749703E-2</v>
      </c>
      <c r="E54" s="175" t="s">
        <v>392</v>
      </c>
      <c r="F54" s="369">
        <f>B54</f>
        <v>3.2549780667749703E-2</v>
      </c>
      <c r="G54" s="126"/>
      <c r="H54" s="630" t="s">
        <v>568</v>
      </c>
      <c r="I54" s="633">
        <f>B56</f>
        <v>0.86832176000000005</v>
      </c>
    </row>
    <row r="55" spans="1:9">
      <c r="A55" s="291" t="s">
        <v>393</v>
      </c>
      <c r="B55" s="626">
        <f>B53+B54</f>
        <v>7.7921546752580603E-2</v>
      </c>
      <c r="C55" s="175" t="s">
        <v>393</v>
      </c>
      <c r="D55" s="626">
        <f>D53+D54</f>
        <v>7.7921546752580603E-2</v>
      </c>
      <c r="E55" s="175" t="s">
        <v>393</v>
      </c>
      <c r="F55" s="626">
        <f>F53+F54</f>
        <v>7.7921546752580603E-2</v>
      </c>
      <c r="G55" s="126"/>
      <c r="H55" s="610" t="s">
        <v>396</v>
      </c>
      <c r="I55" s="626">
        <f>I54*I53+I52</f>
        <v>9.1562176000000009E-2</v>
      </c>
    </row>
    <row r="56" spans="1:9">
      <c r="A56" s="629" t="s">
        <v>394</v>
      </c>
      <c r="B56" s="634">
        <v>0.86832176000000005</v>
      </c>
      <c r="C56" s="627" t="s">
        <v>395</v>
      </c>
      <c r="D56" s="633">
        <v>0.83109791342430983</v>
      </c>
      <c r="E56" s="627" t="s">
        <v>394</v>
      </c>
      <c r="F56" s="634">
        <f>B56</f>
        <v>0.86832176000000005</v>
      </c>
      <c r="G56" s="126"/>
      <c r="H56" s="610"/>
      <c r="I56" s="611"/>
    </row>
    <row r="57" spans="1:9">
      <c r="A57" s="175" t="s">
        <v>396</v>
      </c>
      <c r="B57" s="626">
        <f>B52+PRODUCT(B56,B55)</f>
        <v>7.081621334662673E-2</v>
      </c>
      <c r="C57" s="175" t="s">
        <v>396</v>
      </c>
      <c r="D57" s="626">
        <f>D52+PRODUCT(D55:D56)</f>
        <v>6.7915673645368199E-2</v>
      </c>
      <c r="E57" s="175" t="s">
        <v>396</v>
      </c>
      <c r="F57" s="626">
        <f>F52+F56*(F55)</f>
        <v>7.081621334662673E-2</v>
      </c>
      <c r="G57" s="126"/>
      <c r="H57" s="635" t="s">
        <v>417</v>
      </c>
      <c r="I57" s="636">
        <f>I50*H4+I55*H3</f>
        <v>5.3833900404432707E-2</v>
      </c>
    </row>
    <row r="58" spans="1:9" ht="15" thickBot="1">
      <c r="A58" s="175"/>
      <c r="B58" s="611"/>
      <c r="C58" s="175"/>
      <c r="D58" s="626"/>
      <c r="E58" s="175"/>
      <c r="F58" s="611"/>
      <c r="G58" s="126"/>
      <c r="H58" s="637" t="s">
        <v>569</v>
      </c>
      <c r="I58" s="638">
        <f>I50*H7+H6*I55</f>
        <v>5.8747338716271892E-2</v>
      </c>
    </row>
    <row r="59" spans="1:9">
      <c r="A59" s="639" t="s">
        <v>397</v>
      </c>
      <c r="B59" s="640">
        <f>B50*H4 +H3*B57</f>
        <v>4.2112052020186447E-2</v>
      </c>
      <c r="C59" s="639" t="s">
        <v>416</v>
      </c>
      <c r="D59" s="641"/>
      <c r="E59" s="639" t="s">
        <v>417</v>
      </c>
      <c r="F59" s="640">
        <f>F50*H4+F57*H3</f>
        <v>4.3403783405332484E-2</v>
      </c>
      <c r="G59" s="126"/>
      <c r="H59" s="610"/>
      <c r="I59" s="611"/>
    </row>
    <row r="60" spans="1:9" ht="15" thickBot="1">
      <c r="A60" s="642" t="s">
        <v>398</v>
      </c>
      <c r="B60" s="643">
        <f>H7*B50+B57*H6</f>
        <v>4.5850259604397231E-2</v>
      </c>
      <c r="C60" s="642" t="s">
        <v>398</v>
      </c>
      <c r="D60" s="644">
        <f>D50*H7+H6*D57</f>
        <v>4.4204169907577015E-2</v>
      </c>
      <c r="E60" s="642" t="s">
        <v>398</v>
      </c>
      <c r="F60" s="643">
        <f>F50*H7+H6*F57</f>
        <v>4.6973765901696225E-2</v>
      </c>
      <c r="G60" s="126"/>
      <c r="H60" s="610" t="s">
        <v>495</v>
      </c>
      <c r="I60" s="626">
        <f>I52+I53</f>
        <v>0.10473</v>
      </c>
    </row>
    <row r="61" spans="1:9" ht="15" thickBot="1">
      <c r="A61" s="175"/>
      <c r="B61" s="645" t="s">
        <v>399</v>
      </c>
      <c r="C61" s="646"/>
      <c r="D61" s="647"/>
      <c r="E61" s="126"/>
      <c r="F61" s="611"/>
      <c r="G61" s="126"/>
      <c r="H61" s="616" t="s">
        <v>570</v>
      </c>
      <c r="I61" s="617"/>
    </row>
    <row r="62" spans="1:9">
      <c r="A62" s="175"/>
      <c r="B62" s="645" t="s">
        <v>466</v>
      </c>
      <c r="C62" s="646"/>
      <c r="D62" s="647"/>
      <c r="E62" s="625" t="s">
        <v>759</v>
      </c>
      <c r="F62" s="625"/>
      <c r="G62" s="126"/>
      <c r="H62" s="126"/>
      <c r="I62" s="126"/>
    </row>
    <row r="63" spans="1:9" ht="15" thickBot="1">
      <c r="A63" s="336"/>
      <c r="B63" s="576" t="s">
        <v>400</v>
      </c>
      <c r="C63" s="648"/>
      <c r="D63" s="649"/>
      <c r="E63" s="650">
        <f>F52+F55*0.65</f>
        <v>5.3804244117681047E-2</v>
      </c>
      <c r="F63" s="650"/>
      <c r="G63" s="126"/>
      <c r="H63" s="126"/>
      <c r="I63" s="126"/>
    </row>
    <row r="64" spans="1:9">
      <c r="A64" s="14"/>
      <c r="B64" s="14"/>
      <c r="C64" s="14"/>
      <c r="D64" s="14"/>
      <c r="E64" s="14"/>
      <c r="F64" s="14"/>
      <c r="G64" s="126"/>
      <c r="H64" s="126"/>
      <c r="I64" s="126"/>
    </row>
    <row r="65" spans="1:9">
      <c r="A65" s="14"/>
      <c r="B65" s="14"/>
      <c r="C65" s="14"/>
      <c r="D65" s="14"/>
      <c r="E65" s="14"/>
      <c r="F65" s="14"/>
      <c r="G65" s="126"/>
      <c r="H65" s="126"/>
      <c r="I65" s="126"/>
    </row>
    <row r="66" spans="1:9">
      <c r="A66" s="14"/>
      <c r="B66" s="14"/>
      <c r="C66" s="14"/>
      <c r="D66" s="14"/>
      <c r="E66" s="14"/>
      <c r="F66" s="14"/>
      <c r="G66" s="14"/>
      <c r="H66" s="14"/>
      <c r="I66" s="14"/>
    </row>
    <row r="67" spans="1:9">
      <c r="A67" s="14"/>
      <c r="B67" s="14"/>
      <c r="C67" s="14"/>
      <c r="D67" s="14"/>
      <c r="E67" s="14"/>
      <c r="F67" s="14"/>
      <c r="G67" s="14"/>
      <c r="H67" s="14"/>
      <c r="I67" s="1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Y401"/>
  <sheetViews>
    <sheetView topLeftCell="A25" zoomScale="80" zoomScaleNormal="80" workbookViewId="0">
      <selection activeCell="K49" sqref="K49"/>
    </sheetView>
  </sheetViews>
  <sheetFormatPr defaultRowHeight="14.4"/>
  <cols>
    <col min="1" max="1" width="2.33203125" customWidth="1"/>
    <col min="2" max="2" width="10.109375" bestFit="1" customWidth="1"/>
    <col min="3" max="3" width="10" customWidth="1"/>
    <col min="4" max="4" width="17.109375" customWidth="1"/>
    <col min="5" max="5" width="14.109375" bestFit="1" customWidth="1"/>
    <col min="6" max="6" width="14.44140625" bestFit="1" customWidth="1"/>
    <col min="7" max="7" width="18" bestFit="1" customWidth="1"/>
    <col min="8" max="11" width="14.44140625" bestFit="1" customWidth="1"/>
    <col min="12" max="13" width="15.109375" bestFit="1" customWidth="1"/>
    <col min="14" max="14" width="17.88671875" customWidth="1"/>
    <col min="15" max="15" width="14.33203125" bestFit="1" customWidth="1"/>
    <col min="17" max="17" width="11.109375" bestFit="1" customWidth="1"/>
  </cols>
  <sheetData>
    <row r="1" spans="1:25" ht="41.25" customHeight="1">
      <c r="A1" s="59"/>
      <c r="B1" s="408" t="s">
        <v>711</v>
      </c>
      <c r="C1" s="407"/>
      <c r="D1" s="407"/>
      <c r="E1" s="407"/>
      <c r="F1" s="407"/>
      <c r="G1" s="407"/>
      <c r="H1" s="407"/>
      <c r="I1" s="407"/>
      <c r="J1" s="386"/>
      <c r="K1" s="386"/>
      <c r="L1" s="386"/>
      <c r="M1" s="386"/>
      <c r="N1" s="386"/>
      <c r="O1" s="126"/>
      <c r="P1" s="126"/>
      <c r="Q1" s="126"/>
      <c r="R1" s="126"/>
      <c r="S1" s="126"/>
      <c r="T1" s="126"/>
      <c r="U1" s="126"/>
      <c r="V1" s="126"/>
      <c r="W1" s="126"/>
      <c r="X1" s="126"/>
      <c r="Y1" s="126"/>
    </row>
    <row r="2" spans="1:25">
      <c r="A2" s="59"/>
      <c r="B2" s="386"/>
      <c r="C2" s="386"/>
      <c r="D2" s="386"/>
      <c r="E2" s="386"/>
      <c r="F2" s="386"/>
      <c r="G2" s="386"/>
      <c r="H2" s="386"/>
      <c r="I2" s="386"/>
      <c r="J2" s="386"/>
      <c r="K2" s="386"/>
      <c r="L2" s="386"/>
      <c r="M2" s="386"/>
      <c r="N2" s="386"/>
      <c r="O2" s="126"/>
      <c r="P2" s="126"/>
      <c r="Q2" s="126"/>
      <c r="R2" s="126"/>
      <c r="S2" s="126"/>
      <c r="T2" s="126"/>
      <c r="U2" s="126"/>
      <c r="V2" s="126"/>
      <c r="W2" s="126"/>
      <c r="X2" s="126"/>
      <c r="Y2" s="126"/>
    </row>
    <row r="3" spans="1:25">
      <c r="A3" s="1"/>
      <c r="B3" s="126"/>
      <c r="C3" s="126"/>
      <c r="D3" s="126"/>
      <c r="E3" s="126"/>
      <c r="F3" s="126"/>
      <c r="G3" s="126"/>
      <c r="H3" s="126"/>
      <c r="I3" s="126"/>
      <c r="J3" s="126"/>
      <c r="K3" s="126"/>
      <c r="L3" s="126"/>
      <c r="M3" s="126"/>
      <c r="N3" s="126"/>
      <c r="O3" s="126"/>
      <c r="P3" s="126"/>
      <c r="Q3" s="126"/>
      <c r="R3" s="126"/>
      <c r="S3" s="126"/>
      <c r="T3" s="126"/>
      <c r="U3" s="126"/>
      <c r="V3" s="126"/>
      <c r="W3" s="126"/>
      <c r="X3" s="126"/>
      <c r="Y3" s="126"/>
    </row>
    <row r="4" spans="1:25" ht="24.6">
      <c r="A4" s="1"/>
      <c r="B4" s="2"/>
      <c r="C4" s="406"/>
      <c r="D4" s="2"/>
      <c r="E4" s="2"/>
      <c r="F4" s="2"/>
      <c r="G4" s="2"/>
      <c r="H4" s="2"/>
      <c r="I4" s="126"/>
      <c r="J4" s="126"/>
      <c r="K4" s="126"/>
      <c r="L4" s="126"/>
      <c r="M4" s="126"/>
      <c r="N4" s="126"/>
      <c r="O4" s="126"/>
      <c r="P4" s="1"/>
      <c r="Q4" s="1"/>
      <c r="R4" s="1"/>
      <c r="S4" s="1"/>
      <c r="T4" s="1"/>
      <c r="U4" s="1"/>
      <c r="V4" s="1"/>
      <c r="W4" s="1"/>
      <c r="X4" s="1"/>
      <c r="Y4" s="126"/>
    </row>
    <row r="5" spans="1:25">
      <c r="A5" s="1"/>
      <c r="B5" s="2"/>
      <c r="C5" s="2"/>
      <c r="D5" s="2"/>
      <c r="E5" s="672"/>
      <c r="F5" s="672"/>
      <c r="G5" s="672"/>
      <c r="H5" s="672"/>
      <c r="I5" s="126"/>
      <c r="J5" s="126"/>
      <c r="K5" s="126"/>
      <c r="L5" s="126"/>
      <c r="M5" s="126"/>
      <c r="N5" s="126"/>
      <c r="O5" s="126"/>
      <c r="P5" s="1"/>
      <c r="Q5" s="1"/>
      <c r="R5" s="1"/>
      <c r="S5" s="1"/>
      <c r="T5" s="1"/>
      <c r="U5" s="1"/>
      <c r="V5" s="1"/>
      <c r="W5" s="1"/>
      <c r="X5" s="1"/>
      <c r="Y5" s="126"/>
    </row>
    <row r="6" spans="1:25">
      <c r="A6" s="1"/>
      <c r="B6" s="2"/>
      <c r="C6" s="2"/>
      <c r="D6" s="403"/>
      <c r="E6" s="404"/>
      <c r="F6" s="404"/>
      <c r="G6" s="404"/>
      <c r="H6" s="404"/>
      <c r="I6" s="126"/>
      <c r="J6" s="126"/>
      <c r="K6" s="126"/>
      <c r="L6" s="126"/>
      <c r="M6" s="126"/>
      <c r="N6" s="126"/>
      <c r="O6" s="126"/>
      <c r="P6" s="1"/>
      <c r="Q6" s="1"/>
      <c r="R6" s="1"/>
      <c r="S6" s="1"/>
      <c r="T6" s="1"/>
      <c r="U6" s="1"/>
      <c r="V6" s="1"/>
      <c r="W6" s="1"/>
      <c r="X6" s="1"/>
      <c r="Y6" s="126"/>
    </row>
    <row r="7" spans="1:25" ht="19.2">
      <c r="A7" s="1"/>
      <c r="B7" s="405" t="s">
        <v>526</v>
      </c>
      <c r="C7" s="126"/>
      <c r="D7" s="126"/>
      <c r="E7" s="126"/>
      <c r="F7" s="126"/>
      <c r="G7" s="126"/>
      <c r="H7" s="126"/>
      <c r="I7" s="126"/>
      <c r="J7" s="126"/>
      <c r="K7" s="126"/>
      <c r="L7" s="126"/>
      <c r="M7" s="126"/>
      <c r="N7" s="126"/>
      <c r="O7" s="126"/>
      <c r="P7" s="1"/>
      <c r="Q7" s="1"/>
      <c r="R7" s="1"/>
      <c r="S7" s="1"/>
      <c r="T7" s="1"/>
      <c r="U7" s="1"/>
      <c r="V7" s="1"/>
      <c r="W7" s="1"/>
      <c r="X7" s="1"/>
      <c r="Y7" s="126"/>
    </row>
    <row r="8" spans="1:25">
      <c r="A8" s="1"/>
      <c r="B8" s="673" t="s">
        <v>714</v>
      </c>
      <c r="C8" s="673"/>
      <c r="D8" s="673"/>
      <c r="E8" s="673"/>
      <c r="F8" s="673"/>
      <c r="G8" s="673"/>
      <c r="H8" s="673"/>
      <c r="I8" s="673"/>
      <c r="J8" s="673"/>
      <c r="K8" s="673"/>
      <c r="L8" s="673"/>
      <c r="M8" s="673"/>
      <c r="N8" s="126"/>
      <c r="O8" s="126"/>
      <c r="P8" s="1"/>
      <c r="Q8" s="1"/>
      <c r="R8" s="1"/>
      <c r="S8" s="1"/>
      <c r="T8" s="1"/>
      <c r="U8" s="1"/>
      <c r="V8" s="1"/>
      <c r="W8" s="1"/>
      <c r="X8" s="1"/>
      <c r="Y8" s="126"/>
    </row>
    <row r="9" spans="1:25">
      <c r="A9" s="1"/>
      <c r="B9" s="673"/>
      <c r="C9" s="673"/>
      <c r="D9" s="673"/>
      <c r="E9" s="673"/>
      <c r="F9" s="673"/>
      <c r="G9" s="673"/>
      <c r="H9" s="673"/>
      <c r="I9" s="673"/>
      <c r="J9" s="673"/>
      <c r="K9" s="673"/>
      <c r="L9" s="673"/>
      <c r="M9" s="673"/>
      <c r="N9" s="126"/>
      <c r="O9" s="126"/>
      <c r="P9" s="1"/>
      <c r="Q9" s="1"/>
      <c r="R9" s="1"/>
      <c r="S9" s="1"/>
      <c r="T9" s="1"/>
      <c r="U9" s="1"/>
      <c r="V9" s="1"/>
      <c r="W9" s="1"/>
      <c r="X9" s="1"/>
      <c r="Y9" s="126"/>
    </row>
    <row r="10" spans="1:25">
      <c r="A10" s="1"/>
      <c r="B10" s="671" t="s">
        <v>541</v>
      </c>
      <c r="C10" s="671"/>
      <c r="D10" s="671"/>
      <c r="E10" s="671"/>
      <c r="F10" s="671"/>
      <c r="G10" s="671"/>
      <c r="H10" s="671"/>
      <c r="I10" s="671"/>
      <c r="J10" s="414">
        <f>'Ratios '!G57</f>
        <v>1.1597653602856097</v>
      </c>
      <c r="K10" s="1"/>
      <c r="L10" s="1"/>
      <c r="M10" s="1"/>
      <c r="N10" s="1"/>
      <c r="O10" s="126"/>
      <c r="P10" s="1"/>
      <c r="Q10" s="1"/>
      <c r="R10" s="1"/>
      <c r="S10" s="1"/>
      <c r="T10" s="1"/>
      <c r="U10" s="1"/>
      <c r="V10" s="1"/>
      <c r="W10" s="1"/>
      <c r="X10" s="1"/>
      <c r="Y10" s="126"/>
    </row>
    <row r="11" spans="1:25">
      <c r="A11" s="1"/>
      <c r="B11" s="126" t="s">
        <v>540</v>
      </c>
      <c r="C11" s="126"/>
      <c r="D11" s="126"/>
      <c r="E11" s="413">
        <f>'Ratios '!H9*J10</f>
        <v>7.9105356184823769E-2</v>
      </c>
      <c r="F11" s="126"/>
      <c r="G11" s="126"/>
      <c r="H11" s="126"/>
      <c r="I11" s="1"/>
      <c r="J11" s="1"/>
      <c r="K11" s="1"/>
      <c r="L11" s="126"/>
      <c r="M11" s="126"/>
      <c r="N11" s="126"/>
      <c r="O11" s="126"/>
      <c r="P11" s="1"/>
      <c r="Q11" s="1"/>
      <c r="R11" s="1"/>
      <c r="S11" s="1"/>
      <c r="T11" s="1"/>
      <c r="U11" s="1"/>
      <c r="V11" s="1"/>
      <c r="W11" s="1"/>
      <c r="X11" s="1"/>
      <c r="Y11" s="126"/>
    </row>
    <row r="12" spans="1:25">
      <c r="B12" s="126" t="s">
        <v>529</v>
      </c>
      <c r="C12" s="126"/>
      <c r="D12" s="1"/>
      <c r="E12" s="1"/>
      <c r="F12" s="1"/>
      <c r="G12" s="126"/>
      <c r="H12" s="126"/>
      <c r="I12" s="126"/>
      <c r="J12" s="126"/>
      <c r="K12" s="126"/>
      <c r="L12" s="126"/>
      <c r="M12" s="126"/>
      <c r="N12" s="126"/>
      <c r="O12" s="126"/>
      <c r="P12" s="126"/>
      <c r="Q12" s="126"/>
      <c r="R12" s="126"/>
      <c r="S12" s="126"/>
      <c r="T12" s="126"/>
      <c r="U12" s="126"/>
      <c r="V12" s="126"/>
      <c r="W12" s="126"/>
      <c r="X12" s="126"/>
      <c r="Y12" s="126"/>
    </row>
    <row r="13" spans="1:25">
      <c r="A13" s="1"/>
      <c r="B13" s="126" t="s">
        <v>531</v>
      </c>
      <c r="C13" s="395">
        <f>WACC!F60</f>
        <v>4.6973765901696225E-2</v>
      </c>
      <c r="D13" s="126" t="s">
        <v>544</v>
      </c>
      <c r="E13" s="411" t="s">
        <v>530</v>
      </c>
      <c r="F13" s="413">
        <f>WACC!F57</f>
        <v>7.081621334662673E-2</v>
      </c>
      <c r="G13" s="126"/>
      <c r="H13" s="126"/>
      <c r="I13" s="126"/>
      <c r="J13" s="126"/>
      <c r="K13" s="126"/>
      <c r="L13" s="126"/>
      <c r="M13" s="126"/>
      <c r="N13" s="126"/>
      <c r="O13" s="126"/>
      <c r="P13" s="126"/>
      <c r="Q13" s="126"/>
      <c r="R13" s="126"/>
      <c r="S13" s="126"/>
      <c r="T13" s="126"/>
      <c r="U13" s="126"/>
      <c r="V13" s="126"/>
      <c r="W13" s="126"/>
      <c r="X13" s="126"/>
      <c r="Y13" s="126"/>
    </row>
    <row r="14" spans="1:25">
      <c r="A14" s="1"/>
      <c r="B14" s="411" t="s">
        <v>530</v>
      </c>
      <c r="C14" s="420">
        <v>7.6797343881065003E-2</v>
      </c>
      <c r="D14" s="126" t="s">
        <v>534</v>
      </c>
      <c r="E14" s="1"/>
      <c r="F14" s="1"/>
      <c r="G14" s="126"/>
      <c r="H14" s="126"/>
      <c r="I14" s="126"/>
      <c r="J14" s="126"/>
      <c r="K14" s="126"/>
      <c r="L14" s="126"/>
      <c r="M14" s="126"/>
      <c r="N14" s="126"/>
      <c r="O14" s="126"/>
      <c r="P14" s="126"/>
      <c r="Q14" s="126"/>
      <c r="R14" s="126"/>
      <c r="S14" s="126"/>
      <c r="T14" s="126"/>
      <c r="U14" s="126"/>
      <c r="V14" s="126"/>
      <c r="W14" s="126"/>
      <c r="X14" s="126"/>
      <c r="Y14" s="126"/>
    </row>
    <row r="15" spans="1:25">
      <c r="A15" s="1"/>
      <c r="B15" s="412" t="s">
        <v>530</v>
      </c>
      <c r="C15" s="395">
        <f>WACC!I58</f>
        <v>5.8747338716271892E-2</v>
      </c>
      <c r="D15" s="126" t="s">
        <v>699</v>
      </c>
      <c r="E15" s="126"/>
      <c r="F15" s="126"/>
      <c r="G15" s="409">
        <f>WACC!I60</f>
        <v>0.10473</v>
      </c>
      <c r="H15" s="126"/>
      <c r="I15" s="126"/>
      <c r="J15" s="126"/>
      <c r="K15" s="126"/>
      <c r="L15" s="126"/>
      <c r="M15" s="126"/>
      <c r="N15" s="126"/>
      <c r="O15" s="126"/>
      <c r="P15" s="126"/>
      <c r="Q15" s="126"/>
      <c r="R15" s="126"/>
      <c r="S15" s="126"/>
      <c r="T15" s="126"/>
      <c r="U15" s="126"/>
      <c r="V15" s="126"/>
      <c r="W15" s="126"/>
      <c r="X15" s="126"/>
      <c r="Y15" s="126"/>
    </row>
    <row r="16" spans="1:25">
      <c r="A16" s="1"/>
      <c r="B16" s="415" t="s">
        <v>703</v>
      </c>
      <c r="C16" s="415"/>
      <c r="D16" s="415"/>
      <c r="E16" s="415"/>
      <c r="F16" s="415"/>
      <c r="G16" s="414">
        <f>AVERAGE(F33:I33)</f>
        <v>0.12827935173853447</v>
      </c>
      <c r="I16" s="126"/>
      <c r="J16" s="126"/>
      <c r="K16" s="126"/>
      <c r="L16" s="126"/>
      <c r="M16" s="126"/>
      <c r="N16" s="126"/>
      <c r="O16" s="126"/>
      <c r="P16" s="126"/>
      <c r="Q16" s="126"/>
      <c r="R16" s="126"/>
      <c r="S16" s="126"/>
      <c r="T16" s="126"/>
      <c r="U16" s="126"/>
      <c r="V16" s="126"/>
      <c r="W16" s="126"/>
      <c r="X16" s="126"/>
      <c r="Y16" s="126"/>
    </row>
    <row r="17" spans="1:25">
      <c r="A17" s="1"/>
      <c r="B17" s="415" t="s">
        <v>704</v>
      </c>
      <c r="C17" s="415"/>
      <c r="D17" s="415"/>
      <c r="E17" s="415"/>
      <c r="F17" s="415"/>
      <c r="G17" s="415"/>
      <c r="H17" s="415"/>
      <c r="I17" s="414">
        <f>AVERAGE(F32,H32:I32)</f>
        <v>0.59912998234232473</v>
      </c>
      <c r="K17" s="1"/>
      <c r="L17" s="1"/>
      <c r="M17" s="1"/>
      <c r="N17" s="126"/>
      <c r="O17" s="126"/>
      <c r="P17" s="126"/>
      <c r="Q17" s="126"/>
      <c r="R17" s="126"/>
      <c r="S17" s="126"/>
      <c r="T17" s="126"/>
      <c r="U17" s="126"/>
      <c r="V17" s="126"/>
      <c r="W17" s="126"/>
      <c r="X17" s="126"/>
      <c r="Y17" s="126"/>
    </row>
    <row r="18" spans="1:25">
      <c r="A18" s="1"/>
      <c r="B18" s="126" t="s">
        <v>545</v>
      </c>
      <c r="C18" s="1"/>
      <c r="D18" s="1"/>
      <c r="E18" s="1"/>
      <c r="F18" s="1"/>
      <c r="G18" s="1"/>
      <c r="H18" s="413">
        <f>I27/H27-1</f>
        <v>0.12781028641823222</v>
      </c>
      <c r="J18" s="1"/>
      <c r="K18" s="1"/>
      <c r="L18" s="1"/>
      <c r="M18" s="1"/>
      <c r="N18" s="126"/>
      <c r="O18" s="126"/>
      <c r="P18" s="126"/>
      <c r="Q18" s="126"/>
      <c r="R18" s="126"/>
      <c r="S18" s="126"/>
      <c r="T18" s="126"/>
      <c r="U18" s="126"/>
      <c r="V18" s="126"/>
      <c r="W18" s="126"/>
      <c r="X18" s="126"/>
      <c r="Y18" s="126"/>
    </row>
    <row r="19" spans="1:25">
      <c r="A19" s="1"/>
      <c r="B19" s="1" t="s">
        <v>705</v>
      </c>
      <c r="C19" s="126"/>
      <c r="D19" s="126"/>
      <c r="E19" s="414">
        <f>AVERAGE(G35:I35)</f>
        <v>0.29511823035850493</v>
      </c>
      <c r="G19" s="126"/>
      <c r="H19" s="126"/>
      <c r="I19" s="1"/>
      <c r="J19" s="1"/>
      <c r="K19" s="126"/>
      <c r="L19" s="126"/>
      <c r="M19" s="126"/>
      <c r="N19" s="126"/>
      <c r="O19" s="126"/>
      <c r="P19" s="126"/>
      <c r="Q19" s="126"/>
      <c r="R19" s="126"/>
      <c r="S19" s="126"/>
      <c r="T19" s="126"/>
      <c r="U19" s="126"/>
      <c r="V19" s="126"/>
      <c r="W19" s="126"/>
      <c r="X19" s="126"/>
      <c r="Y19" s="126"/>
    </row>
    <row r="20" spans="1:25">
      <c r="A20" s="1"/>
      <c r="B20" s="1" t="s">
        <v>706</v>
      </c>
      <c r="C20" s="1"/>
      <c r="D20" s="1"/>
      <c r="E20" s="1"/>
      <c r="F20" s="414">
        <f>AVERAGE(G37:I37)</f>
        <v>-0.63421168203776901</v>
      </c>
      <c r="G20" s="1"/>
      <c r="H20" s="1"/>
      <c r="I20" s="126"/>
      <c r="J20" s="126"/>
      <c r="K20" s="126"/>
      <c r="L20" s="126"/>
      <c r="M20" s="126"/>
      <c r="N20" s="126"/>
      <c r="O20" s="126"/>
      <c r="P20" s="126"/>
      <c r="Q20" s="126"/>
      <c r="R20" s="126"/>
      <c r="S20" s="126"/>
      <c r="T20" s="126"/>
      <c r="U20" s="126"/>
      <c r="V20" s="126"/>
      <c r="W20" s="126"/>
      <c r="X20" s="126"/>
      <c r="Y20" s="126"/>
    </row>
    <row r="21" spans="1:25">
      <c r="A21" s="1"/>
      <c r="B21" s="126" t="s">
        <v>707</v>
      </c>
      <c r="F21" s="414">
        <f>AVERAGE(G39:I39)</f>
        <v>0.26192328692328681</v>
      </c>
      <c r="H21" s="1"/>
      <c r="I21" s="1"/>
      <c r="J21" s="126"/>
      <c r="K21" s="126"/>
      <c r="L21" s="126"/>
      <c r="M21" s="126"/>
      <c r="N21" s="126"/>
      <c r="O21" s="126"/>
      <c r="P21" s="126"/>
      <c r="Q21" s="126"/>
      <c r="R21" s="126"/>
      <c r="S21" s="126"/>
      <c r="T21" s="126"/>
      <c r="U21" s="126"/>
      <c r="V21" s="126"/>
      <c r="W21" s="126"/>
      <c r="X21" s="126"/>
      <c r="Y21" s="126"/>
    </row>
    <row r="22" spans="1:25">
      <c r="A22" s="1"/>
      <c r="B22" s="126" t="s">
        <v>708</v>
      </c>
      <c r="C22" s="126"/>
      <c r="D22" s="126"/>
      <c r="E22" s="126"/>
      <c r="F22" s="414">
        <f>AVERAGE(G41:I41)</f>
        <v>-1.9006160506160503</v>
      </c>
      <c r="G22" s="1"/>
      <c r="H22" s="126"/>
      <c r="I22" s="126"/>
      <c r="J22" s="126"/>
      <c r="K22" s="126"/>
      <c r="L22" s="126"/>
      <c r="M22" s="126"/>
      <c r="N22" s="126"/>
      <c r="O22" s="126"/>
      <c r="P22" s="126"/>
      <c r="Q22" s="126"/>
      <c r="R22" s="126"/>
      <c r="S22" s="126"/>
      <c r="T22" s="126"/>
      <c r="U22" s="126"/>
      <c r="V22" s="126"/>
      <c r="W22" s="126"/>
      <c r="X22" s="126"/>
      <c r="Y22" s="126"/>
    </row>
    <row r="23" spans="1:25">
      <c r="A23" s="1"/>
      <c r="B23" s="126" t="s">
        <v>709</v>
      </c>
      <c r="C23" s="1"/>
      <c r="D23" s="1"/>
      <c r="E23" s="1"/>
      <c r="F23" s="414">
        <f>AVERAGE(G43:I43)</f>
        <v>9.0530217335866598E-3</v>
      </c>
      <c r="H23" s="1"/>
      <c r="I23" s="1"/>
      <c r="J23" s="1"/>
      <c r="K23" s="1"/>
      <c r="L23" s="1"/>
      <c r="M23" s="1"/>
      <c r="N23" s="1"/>
      <c r="O23" s="161"/>
      <c r="P23" s="126"/>
      <c r="Q23" s="126"/>
      <c r="R23" s="126"/>
      <c r="S23" s="126"/>
      <c r="T23" s="126"/>
      <c r="U23" s="126"/>
      <c r="V23" s="126"/>
      <c r="W23" s="126"/>
      <c r="X23" s="126"/>
      <c r="Y23" s="126"/>
    </row>
    <row r="24" spans="1:25">
      <c r="A24" s="1"/>
      <c r="C24" s="1"/>
      <c r="D24" s="1"/>
      <c r="E24" s="1"/>
      <c r="F24" s="1"/>
      <c r="G24" s="1"/>
      <c r="H24" s="1"/>
      <c r="I24" s="1"/>
      <c r="J24" s="1"/>
      <c r="K24" s="1"/>
      <c r="L24" s="1"/>
      <c r="M24" s="1"/>
      <c r="N24" s="1"/>
      <c r="O24" s="126"/>
      <c r="P24" s="126"/>
      <c r="Q24" s="1"/>
      <c r="R24" s="126"/>
      <c r="S24" s="126"/>
      <c r="T24" s="126"/>
      <c r="U24" s="126"/>
      <c r="V24" s="126"/>
      <c r="W24" s="126"/>
      <c r="X24" s="126"/>
      <c r="Y24" s="126"/>
    </row>
    <row r="25" spans="1:25">
      <c r="A25" s="1"/>
      <c r="B25" s="126"/>
      <c r="C25" s="126"/>
      <c r="D25" s="126"/>
      <c r="E25" s="14"/>
      <c r="F25" s="662" t="s">
        <v>158</v>
      </c>
      <c r="G25" s="662"/>
      <c r="H25" s="662"/>
      <c r="I25" s="662"/>
      <c r="J25" s="674" t="s">
        <v>538</v>
      </c>
      <c r="K25" s="675"/>
      <c r="L25" s="675"/>
      <c r="M25" s="675"/>
      <c r="N25" s="651" t="s">
        <v>700</v>
      </c>
      <c r="O25" s="126"/>
      <c r="P25" s="126"/>
      <c r="Q25" s="126"/>
      <c r="R25" s="126"/>
      <c r="S25" s="126"/>
      <c r="T25" s="126"/>
      <c r="U25" s="126"/>
      <c r="V25" s="126"/>
      <c r="W25" s="126"/>
      <c r="X25" s="126"/>
      <c r="Y25" s="126"/>
    </row>
    <row r="26" spans="1:25">
      <c r="A26" s="1"/>
      <c r="B26" s="388"/>
      <c r="C26" s="416"/>
      <c r="D26" s="121"/>
      <c r="E26" s="122" t="s">
        <v>1</v>
      </c>
      <c r="F26" s="124">
        <v>42735</v>
      </c>
      <c r="G26" s="124">
        <v>43100</v>
      </c>
      <c r="H26" s="124">
        <v>43465</v>
      </c>
      <c r="I26" s="124">
        <v>43830</v>
      </c>
      <c r="J26" s="653">
        <v>44196</v>
      </c>
      <c r="K26" s="108">
        <v>44561</v>
      </c>
      <c r="L26" s="108">
        <v>44926</v>
      </c>
      <c r="M26" s="108">
        <v>45291</v>
      </c>
      <c r="N26" s="108">
        <v>45657</v>
      </c>
      <c r="O26" s="126"/>
      <c r="P26" s="417"/>
      <c r="Q26" s="126"/>
      <c r="R26" s="126"/>
      <c r="S26" s="126"/>
      <c r="T26" s="126"/>
      <c r="U26" s="126"/>
      <c r="V26" s="126"/>
      <c r="W26" s="126"/>
      <c r="X26" s="126"/>
      <c r="Y26" s="126"/>
    </row>
    <row r="27" spans="1:25">
      <c r="A27" s="1"/>
      <c r="B27" s="126" t="s">
        <v>457</v>
      </c>
      <c r="C27" s="126"/>
      <c r="D27" s="126"/>
      <c r="E27" s="126"/>
      <c r="F27" s="431">
        <v>4860</v>
      </c>
      <c r="G27" s="431">
        <v>5796</v>
      </c>
      <c r="H27" s="431">
        <v>6494</v>
      </c>
      <c r="I27" s="431">
        <v>7324</v>
      </c>
      <c r="J27" s="654">
        <f>I27*(1+$H$18)</f>
        <v>8260.0825377271321</v>
      </c>
      <c r="K27" s="216">
        <f>J27*(1+$H$18)</f>
        <v>9315.8060527122761</v>
      </c>
      <c r="L27" s="216">
        <f>K27*(1+$H$18)</f>
        <v>10506.461892526133</v>
      </c>
      <c r="M27" s="216">
        <f>L27*(1+$H$18)</f>
        <v>11849.29579625214</v>
      </c>
      <c r="N27" s="216">
        <f>M27*(1+$H$18)</f>
        <v>13363.75768582548</v>
      </c>
      <c r="O27" s="126"/>
      <c r="P27" s="126"/>
      <c r="Q27" s="126"/>
      <c r="R27" s="126"/>
      <c r="S27" s="126"/>
      <c r="T27" s="126"/>
      <c r="U27" s="126"/>
      <c r="V27" s="126"/>
      <c r="W27" s="126"/>
      <c r="X27" s="126"/>
      <c r="Y27" s="126"/>
    </row>
    <row r="28" spans="1:25">
      <c r="A28" s="1"/>
      <c r="B28" s="126"/>
      <c r="C28" s="126"/>
      <c r="D28" s="126"/>
      <c r="E28" s="126"/>
      <c r="F28" s="431"/>
      <c r="G28" s="431"/>
      <c r="H28" s="431"/>
      <c r="I28" s="431"/>
      <c r="J28" s="654"/>
      <c r="K28" s="216"/>
      <c r="L28" s="216"/>
      <c r="M28" s="216"/>
      <c r="N28" s="216"/>
      <c r="O28" s="126"/>
      <c r="P28" s="126"/>
      <c r="Q28" s="126"/>
      <c r="R28" s="126"/>
      <c r="S28" s="126"/>
      <c r="T28" s="126"/>
      <c r="U28" s="126"/>
      <c r="V28" s="126"/>
      <c r="W28" s="126"/>
      <c r="X28" s="126"/>
      <c r="Y28" s="126"/>
    </row>
    <row r="29" spans="1:25">
      <c r="A29" s="1"/>
      <c r="B29" s="126" t="s">
        <v>533</v>
      </c>
      <c r="C29" s="126"/>
      <c r="D29" s="126"/>
      <c r="E29" s="126"/>
      <c r="F29" s="180">
        <v>281.18562874251495</v>
      </c>
      <c r="G29" s="181">
        <v>473.33333333333331</v>
      </c>
      <c r="H29" s="181">
        <v>399.6</v>
      </c>
      <c r="I29" s="418">
        <v>463.51807228915663</v>
      </c>
      <c r="J29" s="654">
        <f>'Reorganised Statements'!G121*(1-0.279)</f>
        <v>495.327</v>
      </c>
      <c r="K29" s="216">
        <f>J29*(1+$E$11)</f>
        <v>534.51001876296027</v>
      </c>
      <c r="L29" s="216">
        <f>K29*(1+$E$11)</f>
        <v>576.79262418156111</v>
      </c>
      <c r="M29" s="216">
        <f>L29*(1+$E$11)</f>
        <v>622.42001016222275</v>
      </c>
      <c r="N29" s="216">
        <f>M29*(1+$E$11)</f>
        <v>671.65676676266708</v>
      </c>
      <c r="O29" s="126"/>
      <c r="P29" s="126"/>
      <c r="Q29" s="126"/>
      <c r="R29" s="126"/>
      <c r="S29" s="126"/>
      <c r="T29" s="126"/>
      <c r="U29" s="126"/>
      <c r="V29" s="126"/>
      <c r="W29" s="126"/>
      <c r="X29" s="126"/>
      <c r="Y29" s="126"/>
    </row>
    <row r="30" spans="1:25">
      <c r="A30" s="1"/>
      <c r="B30" s="126" t="s">
        <v>536</v>
      </c>
      <c r="C30" s="126"/>
      <c r="D30" s="126"/>
      <c r="E30" s="2"/>
      <c r="F30" s="431">
        <f>'Cash flows'!D19</f>
        <v>-1066</v>
      </c>
      <c r="G30" s="431">
        <f>'Cash flows'!E19</f>
        <v>-80</v>
      </c>
      <c r="H30" s="431">
        <f>'Cash flows'!F19</f>
        <v>-1076</v>
      </c>
      <c r="I30" s="431">
        <f>'Cash flows'!G19</f>
        <v>-837</v>
      </c>
      <c r="J30" s="654">
        <f>-J27*J33</f>
        <v>-1059.5980332464253</v>
      </c>
      <c r="K30" s="216">
        <f t="shared" ref="K30:N30" si="0">-K27*K33</f>
        <v>-1195.0255613638465</v>
      </c>
      <c r="L30" s="216">
        <f t="shared" si="0"/>
        <v>-1347.7621206388683</v>
      </c>
      <c r="M30" s="216">
        <f t="shared" si="0"/>
        <v>-1520.019983301366</v>
      </c>
      <c r="N30" s="216">
        <f t="shared" si="0"/>
        <v>-1714.2941727285502</v>
      </c>
      <c r="O30" s="126"/>
      <c r="P30" s="126"/>
      <c r="Q30" s="126"/>
      <c r="R30" s="126"/>
      <c r="S30" s="126"/>
      <c r="T30" s="126"/>
      <c r="U30" s="126"/>
      <c r="V30" s="126"/>
      <c r="W30" s="126"/>
      <c r="X30" s="126"/>
      <c r="Y30" s="126"/>
    </row>
    <row r="31" spans="1:25">
      <c r="A31" s="1"/>
      <c r="B31" s="126" t="s">
        <v>535</v>
      </c>
      <c r="C31" s="126"/>
      <c r="D31" s="126"/>
      <c r="E31" s="126"/>
      <c r="F31" s="431">
        <f>'Cash flows'!D20</f>
        <v>648</v>
      </c>
      <c r="G31" s="431">
        <f>'Cash flows'!E20</f>
        <v>444</v>
      </c>
      <c r="H31" s="431">
        <f>'Cash flows'!F20</f>
        <v>623</v>
      </c>
      <c r="I31" s="431">
        <f>'Cash flows'!G20</f>
        <v>511</v>
      </c>
      <c r="J31" s="654">
        <f>-J30*J32</f>
        <v>634.83695094889276</v>
      </c>
      <c r="K31" s="216">
        <f t="shared" ref="K31:N31" si="1">-K30*K32</f>
        <v>715.97564347854802</v>
      </c>
      <c r="L31" s="216">
        <f t="shared" si="1"/>
        <v>807.48469554001929</v>
      </c>
      <c r="M31" s="216">
        <f t="shared" si="1"/>
        <v>910.68954575532814</v>
      </c>
      <c r="N31" s="216">
        <f t="shared" si="1"/>
        <v>1027.0850374364065</v>
      </c>
      <c r="O31" s="126"/>
      <c r="P31" s="126"/>
      <c r="Q31" s="126"/>
      <c r="R31" s="126"/>
      <c r="S31" s="126"/>
      <c r="T31" s="126"/>
      <c r="U31" s="126"/>
      <c r="V31" s="126"/>
      <c r="W31" s="126"/>
      <c r="X31" s="126"/>
      <c r="Y31" s="126"/>
    </row>
    <row r="32" spans="1:25">
      <c r="A32" s="1"/>
      <c r="B32" s="424" t="s">
        <v>537</v>
      </c>
      <c r="C32" s="422"/>
      <c r="D32" s="422"/>
      <c r="E32" s="422"/>
      <c r="F32" s="423">
        <f>-F31/F30</f>
        <v>0.60787992495309573</v>
      </c>
      <c r="G32" s="423">
        <f t="shared" ref="G32:I32" si="2">-G31/G30</f>
        <v>5.55</v>
      </c>
      <c r="H32" s="423">
        <f t="shared" si="2"/>
        <v>0.57899628252788105</v>
      </c>
      <c r="I32" s="423">
        <f t="shared" si="2"/>
        <v>0.61051373954599764</v>
      </c>
      <c r="J32" s="655">
        <v>0.59912998234232473</v>
      </c>
      <c r="K32" s="428">
        <v>0.59912998234232473</v>
      </c>
      <c r="L32" s="428">
        <v>0.59912998234232473</v>
      </c>
      <c r="M32" s="428">
        <v>0.59912998234232473</v>
      </c>
      <c r="N32" s="428">
        <v>0.59912998234232473</v>
      </c>
      <c r="O32" s="126"/>
      <c r="P32" s="126"/>
      <c r="Q32" s="126"/>
      <c r="R32" s="126"/>
      <c r="S32" s="126"/>
      <c r="T32" s="126"/>
      <c r="U32" s="126"/>
      <c r="V32" s="126"/>
      <c r="W32" s="126"/>
      <c r="X32" s="126"/>
      <c r="Y32" s="126"/>
    </row>
    <row r="33" spans="1:25">
      <c r="A33" s="1"/>
      <c r="B33" s="424" t="s">
        <v>539</v>
      </c>
      <c r="C33" s="422"/>
      <c r="D33" s="422"/>
      <c r="E33" s="422"/>
      <c r="F33" s="423">
        <f>-F30/F27</f>
        <v>0.21934156378600822</v>
      </c>
      <c r="G33" s="423">
        <f>-G30/G27</f>
        <v>1.3802622498274672E-2</v>
      </c>
      <c r="H33" s="423">
        <f>-H30/H27</f>
        <v>0.16569140745303357</v>
      </c>
      <c r="I33" s="423">
        <f>-I30/I27</f>
        <v>0.1142818132168214</v>
      </c>
      <c r="J33" s="656">
        <v>0.12827935173853447</v>
      </c>
      <c r="K33" s="429">
        <v>0.12827935173853447</v>
      </c>
      <c r="L33" s="429">
        <v>0.12827935173853447</v>
      </c>
      <c r="M33" s="429">
        <v>0.12827935173853447</v>
      </c>
      <c r="N33" s="429">
        <v>0.12827935173853447</v>
      </c>
      <c r="O33" s="1"/>
      <c r="P33" s="1"/>
      <c r="Q33" s="1"/>
      <c r="R33" s="1"/>
      <c r="S33" s="1"/>
      <c r="T33" s="1"/>
      <c r="U33" s="1"/>
      <c r="V33" s="1"/>
      <c r="W33" s="1"/>
    </row>
    <row r="34" spans="1:25">
      <c r="A34" s="1"/>
      <c r="B34" s="126" t="s">
        <v>354</v>
      </c>
      <c r="C34" s="126"/>
      <c r="D34" s="126"/>
      <c r="E34" s="126"/>
      <c r="F34" s="431">
        <v>95</v>
      </c>
      <c r="G34" s="431">
        <v>-46</v>
      </c>
      <c r="H34" s="431">
        <v>17</v>
      </c>
      <c r="I34" s="431">
        <v>34</v>
      </c>
      <c r="J34" s="657">
        <f>I34*(1+$E$19)</f>
        <v>44.034019832189166</v>
      </c>
      <c r="K34" s="425">
        <v>44.03</v>
      </c>
      <c r="L34" s="425">
        <v>44.03</v>
      </c>
      <c r="M34" s="425">
        <v>44.03</v>
      </c>
      <c r="N34" s="425">
        <v>44.03</v>
      </c>
      <c r="O34" s="126"/>
      <c r="P34" s="126"/>
      <c r="Q34" s="126"/>
      <c r="R34" s="126"/>
      <c r="S34" s="126"/>
      <c r="T34" s="126"/>
      <c r="U34" s="126"/>
      <c r="V34" s="126"/>
      <c r="W34" s="126"/>
      <c r="X34" s="126"/>
      <c r="Y34" s="126"/>
    </row>
    <row r="35" spans="1:25">
      <c r="A35" s="1"/>
      <c r="B35" s="422" t="s">
        <v>543</v>
      </c>
      <c r="C35" s="422"/>
      <c r="D35" s="422"/>
      <c r="E35" s="422"/>
      <c r="F35" s="426"/>
      <c r="G35" s="423">
        <f>G34/F34-1</f>
        <v>-1.4842105263157894</v>
      </c>
      <c r="H35" s="423">
        <f>-(H34/G34-1)</f>
        <v>1.3695652173913042</v>
      </c>
      <c r="I35" s="423">
        <f t="shared" ref="I35" si="3">I34/H34-1</f>
        <v>1</v>
      </c>
      <c r="J35" s="657"/>
      <c r="K35" s="425"/>
      <c r="L35" s="425"/>
      <c r="M35" s="425"/>
      <c r="N35" s="425"/>
      <c r="O35" s="1"/>
      <c r="P35" s="1"/>
      <c r="Q35" s="1"/>
      <c r="R35" s="1"/>
      <c r="S35" s="1"/>
      <c r="T35" s="1"/>
      <c r="U35" s="1"/>
      <c r="V35" s="1"/>
      <c r="W35" s="1"/>
    </row>
    <row r="36" spans="1:25">
      <c r="A36" s="1"/>
      <c r="B36" s="126" t="s">
        <v>702</v>
      </c>
      <c r="C36" s="126"/>
      <c r="D36" s="126"/>
      <c r="E36" s="126"/>
      <c r="F36" s="431">
        <v>33</v>
      </c>
      <c r="G36" s="431">
        <v>-46</v>
      </c>
      <c r="H36" s="431">
        <v>-5</v>
      </c>
      <c r="I36" s="431">
        <v>-7</v>
      </c>
      <c r="J36" s="657">
        <f>I36*(1-$F$20)</f>
        <v>-11.439481774264383</v>
      </c>
      <c r="K36" s="425">
        <v>-11.439481774264383</v>
      </c>
      <c r="L36" s="425">
        <v>-11.439481774264383</v>
      </c>
      <c r="M36" s="425">
        <v>-11.439481774264383</v>
      </c>
      <c r="N36" s="425">
        <v>-11.439481774264383</v>
      </c>
      <c r="O36" s="126"/>
      <c r="P36" s="126"/>
      <c r="Q36" s="126"/>
      <c r="R36" s="126"/>
      <c r="S36" s="126"/>
      <c r="T36" s="126"/>
      <c r="U36" s="126"/>
      <c r="V36" s="126"/>
      <c r="W36" s="126"/>
      <c r="X36" s="126"/>
      <c r="Y36" s="126"/>
    </row>
    <row r="37" spans="1:25">
      <c r="A37" s="1"/>
      <c r="B37" s="422" t="s">
        <v>543</v>
      </c>
      <c r="C37" s="422"/>
      <c r="D37" s="422"/>
      <c r="E37" s="422"/>
      <c r="F37" s="426"/>
      <c r="G37" s="423">
        <f>G36/F36-1</f>
        <v>-2.393939393939394</v>
      </c>
      <c r="H37" s="423">
        <f>-(H36/G36-1)</f>
        <v>0.89130434782608692</v>
      </c>
      <c r="I37" s="423">
        <f>-(I36/H36-1)</f>
        <v>-0.39999999999999991</v>
      </c>
      <c r="J37" s="657"/>
      <c r="K37" s="425"/>
      <c r="L37" s="425"/>
      <c r="M37" s="425"/>
      <c r="N37" s="425"/>
      <c r="O37" s="1"/>
      <c r="P37" s="1"/>
      <c r="Q37" s="1"/>
      <c r="R37" s="1"/>
      <c r="S37" s="1"/>
      <c r="T37" s="1"/>
      <c r="U37" s="1"/>
      <c r="V37" s="1"/>
      <c r="W37" s="1"/>
    </row>
    <row r="38" spans="1:25">
      <c r="A38" s="1"/>
      <c r="B38" s="126" t="s">
        <v>368</v>
      </c>
      <c r="C38" s="126"/>
      <c r="D38" s="126"/>
      <c r="E38" s="126"/>
      <c r="F38" s="431">
        <v>-33</v>
      </c>
      <c r="G38" s="431">
        <v>40</v>
      </c>
      <c r="H38" s="431">
        <v>37</v>
      </c>
      <c r="I38" s="431">
        <v>-13</v>
      </c>
      <c r="J38" s="657">
        <f>I38*(1+$F$21)</f>
        <v>-16.405002730002728</v>
      </c>
      <c r="K38" s="425">
        <v>-16.405002730002728</v>
      </c>
      <c r="L38" s="425">
        <v>-16.405002730002728</v>
      </c>
      <c r="M38" s="425">
        <v>-16.405002730002728</v>
      </c>
      <c r="N38" s="425">
        <v>-16.405002730002728</v>
      </c>
      <c r="O38" s="126"/>
      <c r="P38" s="126"/>
      <c r="Q38" s="126"/>
      <c r="R38" s="126"/>
      <c r="S38" s="126"/>
      <c r="T38" s="126"/>
      <c r="U38" s="126"/>
      <c r="V38" s="126"/>
      <c r="W38" s="126"/>
      <c r="X38" s="126"/>
      <c r="Y38" s="126"/>
    </row>
    <row r="39" spans="1:25">
      <c r="A39" s="1"/>
      <c r="B39" s="422" t="s">
        <v>543</v>
      </c>
      <c r="C39" s="422"/>
      <c r="D39" s="422"/>
      <c r="E39" s="422"/>
      <c r="F39" s="426"/>
      <c r="G39" s="423">
        <f>-(G38/F38 -1)</f>
        <v>2.2121212121212119</v>
      </c>
      <c r="H39" s="423">
        <f t="shared" ref="H39:I39" si="4">H38/G38 -1</f>
        <v>-7.4999999999999956E-2</v>
      </c>
      <c r="I39" s="423">
        <f t="shared" si="4"/>
        <v>-1.3513513513513513</v>
      </c>
      <c r="J39" s="657"/>
      <c r="K39" s="425"/>
      <c r="L39" s="425"/>
      <c r="M39" s="425"/>
      <c r="N39" s="425"/>
      <c r="O39" s="1"/>
      <c r="P39" s="1"/>
      <c r="Q39" s="1"/>
      <c r="R39" s="1"/>
      <c r="S39" s="1"/>
      <c r="T39" s="1"/>
      <c r="U39" s="1"/>
      <c r="V39" s="1"/>
      <c r="W39" s="1"/>
    </row>
    <row r="40" spans="1:25">
      <c r="A40" s="1"/>
      <c r="B40" s="126" t="s">
        <v>356</v>
      </c>
      <c r="C40" s="126"/>
      <c r="D40" s="126"/>
      <c r="E40" s="126"/>
      <c r="F40" s="431">
        <v>20</v>
      </c>
      <c r="G40" s="431">
        <v>-91</v>
      </c>
      <c r="H40" s="431">
        <v>11</v>
      </c>
      <c r="I40" s="431">
        <v>-3</v>
      </c>
      <c r="J40" s="657">
        <f>I40*(1+$F$22)</f>
        <v>2.701848151848151</v>
      </c>
      <c r="K40" s="425">
        <f>J40*(1+$F$22)</f>
        <v>-2.4333278118817563</v>
      </c>
      <c r="L40" s="425">
        <f>K40*(1+$F$22)</f>
        <v>2.191494083791143</v>
      </c>
      <c r="M40" s="425">
        <f>L40*(1+$F$22)</f>
        <v>-1.9736947466924188</v>
      </c>
      <c r="N40" s="425">
        <f>M40*(1+$F$22)</f>
        <v>1.7775411678877722</v>
      </c>
      <c r="O40" s="126"/>
      <c r="P40" s="126"/>
      <c r="Q40" s="126"/>
      <c r="R40" s="126"/>
      <c r="S40" s="126"/>
      <c r="T40" s="126"/>
      <c r="U40" s="126"/>
      <c r="V40" s="126"/>
      <c r="W40" s="126"/>
      <c r="X40" s="126"/>
      <c r="Y40" s="126"/>
    </row>
    <row r="41" spans="1:25">
      <c r="A41" s="1"/>
      <c r="B41" s="422" t="s">
        <v>543</v>
      </c>
      <c r="C41" s="422"/>
      <c r="D41" s="422"/>
      <c r="E41" s="422"/>
      <c r="F41" s="426"/>
      <c r="G41" s="423">
        <f>G40/F40 -1</f>
        <v>-5.55</v>
      </c>
      <c r="H41" s="423">
        <f>-(H40/G40 -1)</f>
        <v>1.1208791208791209</v>
      </c>
      <c r="I41" s="423">
        <f t="shared" ref="I41" si="5">I40/H40 -1</f>
        <v>-1.2727272727272727</v>
      </c>
      <c r="J41" s="657"/>
      <c r="K41" s="425"/>
      <c r="L41" s="425"/>
      <c r="M41" s="425"/>
      <c r="N41" s="425"/>
      <c r="O41" s="1"/>
      <c r="P41" s="1"/>
      <c r="Q41" s="1"/>
      <c r="R41" s="1"/>
      <c r="S41" s="1"/>
      <c r="T41" s="1"/>
      <c r="U41" s="1"/>
      <c r="V41" s="1"/>
      <c r="W41" s="1"/>
    </row>
    <row r="42" spans="1:25">
      <c r="A42" s="1"/>
      <c r="B42" s="126" t="s">
        <v>542</v>
      </c>
      <c r="C42" s="126"/>
      <c r="D42" s="126"/>
      <c r="E42" s="126"/>
      <c r="F42" s="431">
        <v>54</v>
      </c>
      <c r="G42" s="431">
        <v>71</v>
      </c>
      <c r="H42" s="431">
        <v>25</v>
      </c>
      <c r="I42" s="431">
        <v>81</v>
      </c>
      <c r="J42" s="657">
        <f>J27*J43</f>
        <v>74.778706735263384</v>
      </c>
      <c r="K42" s="425">
        <f t="shared" ref="K42:N42" si="6">K27*K43</f>
        <v>84.336194661082388</v>
      </c>
      <c r="L42" s="425">
        <f t="shared" si="6"/>
        <v>95.115227856139114</v>
      </c>
      <c r="M42" s="425">
        <f t="shared" si="6"/>
        <v>107.27193237116767</v>
      </c>
      <c r="N42" s="425">
        <f t="shared" si="6"/>
        <v>120.98238877216383</v>
      </c>
      <c r="O42" s="126"/>
      <c r="P42" s="126"/>
      <c r="Q42" s="126"/>
      <c r="R42" s="126"/>
      <c r="S42" s="126"/>
      <c r="T42" s="126"/>
      <c r="U42" s="126"/>
      <c r="V42" s="126"/>
      <c r="W42" s="126"/>
      <c r="X42" s="126"/>
      <c r="Y42" s="126"/>
    </row>
    <row r="43" spans="1:25">
      <c r="A43" s="1"/>
      <c r="B43" s="422" t="s">
        <v>701</v>
      </c>
      <c r="C43" s="422"/>
      <c r="D43" s="422"/>
      <c r="E43" s="422"/>
      <c r="F43" s="423">
        <f>F42/F27</f>
        <v>1.1111111111111112E-2</v>
      </c>
      <c r="G43" s="423">
        <f t="shared" ref="G43:I43" si="7">G42/G27</f>
        <v>1.2249827467218772E-2</v>
      </c>
      <c r="H43" s="423">
        <f t="shared" si="7"/>
        <v>3.8497074222359103E-3</v>
      </c>
      <c r="I43" s="423">
        <f t="shared" si="7"/>
        <v>1.1059530311305297E-2</v>
      </c>
      <c r="J43" s="658">
        <v>9.0530217335866598E-3</v>
      </c>
      <c r="K43" s="652">
        <v>9.0530217335866598E-3</v>
      </c>
      <c r="L43" s="652">
        <v>9.0530217335866598E-3</v>
      </c>
      <c r="M43" s="652">
        <v>9.0530217335866598E-3</v>
      </c>
      <c r="N43" s="652">
        <v>9.0530217335866598E-3</v>
      </c>
      <c r="O43" s="126"/>
      <c r="P43" s="126"/>
      <c r="Q43" s="126"/>
      <c r="R43" s="126"/>
      <c r="S43" s="126"/>
      <c r="T43" s="126"/>
      <c r="U43" s="126"/>
      <c r="V43" s="126"/>
      <c r="W43" s="126"/>
      <c r="X43" s="126"/>
      <c r="Y43" s="126"/>
    </row>
    <row r="44" spans="1:25">
      <c r="A44" s="1"/>
      <c r="B44" s="430" t="s">
        <v>357</v>
      </c>
      <c r="C44" s="430"/>
      <c r="D44" s="430"/>
      <c r="E44" s="430"/>
      <c r="F44" s="432">
        <f t="shared" ref="F44:N44" si="8">F29+F30+F31+F34+F36+F38+F40+F42</f>
        <v>32.18562874251495</v>
      </c>
      <c r="G44" s="432">
        <f t="shared" si="8"/>
        <v>765.33333333333326</v>
      </c>
      <c r="H44" s="432">
        <f t="shared" si="8"/>
        <v>31.600000000000023</v>
      </c>
      <c r="I44" s="432">
        <f t="shared" si="8"/>
        <v>229.51807228915663</v>
      </c>
      <c r="J44" s="659">
        <f t="shared" si="8"/>
        <v>164.23600791750104</v>
      </c>
      <c r="K44" s="433">
        <f t="shared" si="8"/>
        <v>153.54848322259534</v>
      </c>
      <c r="L44" s="433">
        <f t="shared" si="8"/>
        <v>150.00743651837527</v>
      </c>
      <c r="M44" s="433">
        <f t="shared" si="8"/>
        <v>134.57332573639306</v>
      </c>
      <c r="N44" s="433">
        <f t="shared" si="8"/>
        <v>123.39307690630794</v>
      </c>
      <c r="O44" s="126"/>
      <c r="P44" s="126"/>
      <c r="Q44" s="126"/>
      <c r="R44" s="126"/>
      <c r="S44" s="126"/>
      <c r="T44" s="126"/>
      <c r="U44" s="126"/>
      <c r="V44" s="126"/>
      <c r="W44" s="126"/>
      <c r="X44" s="126"/>
      <c r="Y44" s="126"/>
    </row>
    <row r="45" spans="1:25">
      <c r="A45" s="1"/>
      <c r="B45" s="422" t="s">
        <v>546</v>
      </c>
      <c r="C45" s="422"/>
      <c r="D45" s="422"/>
      <c r="E45" s="422"/>
      <c r="F45" s="426"/>
      <c r="G45" s="426"/>
      <c r="H45" s="426"/>
      <c r="I45" s="426"/>
      <c r="J45" s="660">
        <v>1.0469999999999999</v>
      </c>
      <c r="K45" s="427">
        <f>1.047^2</f>
        <v>1.0962089999999998</v>
      </c>
      <c r="L45" s="427">
        <f>1.047^3</f>
        <v>1.1477308229999996</v>
      </c>
      <c r="M45" s="427">
        <f>1.047^4</f>
        <v>1.2016741716809995</v>
      </c>
      <c r="N45" s="427">
        <f>1.0578^5</f>
        <v>1.3243958566975764</v>
      </c>
      <c r="O45" s="126"/>
      <c r="P45" s="126"/>
      <c r="Q45" s="126"/>
      <c r="R45" s="126"/>
      <c r="S45" s="126"/>
      <c r="T45" s="126"/>
      <c r="U45" s="126"/>
      <c r="V45" s="126"/>
      <c r="W45" s="126"/>
      <c r="X45" s="126"/>
      <c r="Y45" s="126"/>
    </row>
    <row r="46" spans="1:25">
      <c r="A46" s="1"/>
      <c r="B46" s="126" t="s">
        <v>532</v>
      </c>
      <c r="C46" s="126"/>
      <c r="D46" s="126"/>
      <c r="E46" s="126"/>
      <c r="F46" s="126"/>
      <c r="G46" s="126"/>
      <c r="H46" s="126"/>
      <c r="I46" s="126"/>
      <c r="J46" s="419">
        <f>J44/J45</f>
        <v>156.86342685530187</v>
      </c>
      <c r="K46" s="2">
        <f t="shared" ref="K46:N46" si="9">K44/K45</f>
        <v>140.07227018077336</v>
      </c>
      <c r="L46" s="2">
        <f t="shared" si="9"/>
        <v>130.69914435710447</v>
      </c>
      <c r="M46" s="2">
        <f>M44/M45</f>
        <v>111.98819855480538</v>
      </c>
      <c r="N46" s="2">
        <f t="shared" si="9"/>
        <v>93.169331723818999</v>
      </c>
      <c r="O46" s="126"/>
      <c r="P46" s="126"/>
      <c r="Q46" s="126"/>
      <c r="R46" s="126"/>
      <c r="S46" s="126"/>
      <c r="T46" s="126"/>
      <c r="U46" s="126"/>
      <c r="V46" s="126"/>
      <c r="W46" s="126"/>
      <c r="X46" s="126"/>
      <c r="Y46" s="126"/>
    </row>
    <row r="47" spans="1:25">
      <c r="A47" s="1"/>
      <c r="B47" s="1"/>
      <c r="C47" s="126"/>
      <c r="D47" s="126"/>
      <c r="E47" s="126"/>
      <c r="F47" s="126"/>
      <c r="G47" s="126"/>
      <c r="H47" s="126"/>
      <c r="I47" s="126"/>
      <c r="J47" s="2"/>
      <c r="K47" s="2"/>
      <c r="L47" s="2"/>
      <c r="M47" s="2"/>
      <c r="N47" s="2"/>
      <c r="O47" s="126"/>
      <c r="P47" s="126"/>
      <c r="Q47" s="126"/>
      <c r="R47" s="126"/>
      <c r="S47" s="126"/>
      <c r="T47" s="126"/>
      <c r="U47" s="126"/>
      <c r="V47" s="126"/>
      <c r="W47" s="126"/>
      <c r="X47" s="126"/>
      <c r="Y47" s="126"/>
    </row>
    <row r="48" spans="1:25">
      <c r="A48" s="1"/>
      <c r="B48" s="1"/>
      <c r="C48" s="1"/>
      <c r="D48" s="1"/>
      <c r="E48" s="1"/>
      <c r="F48" s="1"/>
      <c r="G48" s="1"/>
      <c r="H48" s="126"/>
      <c r="I48" s="126"/>
      <c r="J48" s="2"/>
      <c r="K48" s="2"/>
      <c r="L48" s="2"/>
      <c r="M48" s="2"/>
      <c r="O48" s="126"/>
      <c r="P48" s="126"/>
      <c r="Q48" s="126"/>
      <c r="R48" s="126"/>
      <c r="S48" s="126"/>
      <c r="T48" s="126"/>
      <c r="U48" s="126"/>
      <c r="V48" s="126"/>
      <c r="W48" s="126"/>
      <c r="X48" s="126"/>
      <c r="Y48" s="126"/>
    </row>
    <row r="49" spans="1:25">
      <c r="A49" s="1"/>
      <c r="B49" s="416" t="s">
        <v>712</v>
      </c>
      <c r="C49" s="1"/>
      <c r="D49" s="1"/>
      <c r="E49" s="1"/>
      <c r="F49" s="1"/>
      <c r="G49" s="1"/>
      <c r="H49" s="126"/>
      <c r="I49" s="126"/>
      <c r="J49" s="2"/>
      <c r="K49" s="2"/>
      <c r="L49" s="2"/>
      <c r="M49" s="2"/>
      <c r="N49" s="1"/>
      <c r="O49" s="1"/>
      <c r="P49" s="1"/>
      <c r="Q49" s="1"/>
      <c r="R49" s="126"/>
      <c r="S49" s="126"/>
      <c r="T49" s="126"/>
      <c r="U49" s="126"/>
      <c r="V49" s="126"/>
      <c r="W49" s="126"/>
      <c r="X49" s="126"/>
      <c r="Y49" s="126"/>
    </row>
    <row r="50" spans="1:25">
      <c r="A50" s="1"/>
      <c r="B50" s="1"/>
      <c r="C50" s="1"/>
      <c r="D50" s="1"/>
      <c r="E50" s="1"/>
      <c r="F50" s="1"/>
      <c r="G50" s="1"/>
      <c r="H50" s="126"/>
      <c r="I50" s="126"/>
      <c r="J50" s="2"/>
      <c r="K50" s="2"/>
      <c r="L50" s="2"/>
      <c r="M50" s="2"/>
      <c r="N50" s="2"/>
      <c r="O50" s="126"/>
      <c r="P50" s="126"/>
      <c r="Q50" s="126"/>
      <c r="R50" s="126"/>
      <c r="S50" s="126"/>
      <c r="T50" s="126"/>
      <c r="U50" s="126"/>
      <c r="V50" s="126"/>
      <c r="W50" s="126"/>
      <c r="X50" s="126"/>
      <c r="Y50" s="126"/>
    </row>
    <row r="51" spans="1:25">
      <c r="A51" s="1"/>
      <c r="B51" s="126" t="s">
        <v>548</v>
      </c>
      <c r="C51" s="126"/>
      <c r="D51" s="441">
        <f>N29*((-(1-E53))*(1+C14))/C15-C14</f>
        <v>3782.4525423100736</v>
      </c>
      <c r="E51" s="1"/>
      <c r="G51" s="1"/>
      <c r="H51" s="126"/>
      <c r="I51" s="126"/>
      <c r="J51" s="2"/>
      <c r="K51" s="2"/>
      <c r="L51" s="2"/>
      <c r="M51" s="2"/>
      <c r="N51" s="2"/>
      <c r="O51" s="126"/>
      <c r="P51" s="126"/>
      <c r="Q51" s="126"/>
      <c r="R51" s="126"/>
      <c r="S51" s="126"/>
      <c r="T51" s="126"/>
      <c r="U51" s="126"/>
      <c r="V51" s="126"/>
      <c r="W51" s="126"/>
      <c r="X51" s="126"/>
      <c r="Y51" s="126"/>
    </row>
    <row r="52" spans="1:25">
      <c r="A52" s="1"/>
      <c r="B52" s="126" t="s">
        <v>713</v>
      </c>
      <c r="D52" s="434">
        <f>D51/N45</f>
        <v>2855.9833702151109</v>
      </c>
      <c r="E52" s="126"/>
      <c r="F52" s="126"/>
      <c r="G52" s="126"/>
      <c r="H52" s="126"/>
      <c r="I52" s="126"/>
      <c r="J52" s="2"/>
      <c r="K52" s="2"/>
      <c r="L52" s="2"/>
      <c r="M52" s="2"/>
      <c r="N52" s="2"/>
      <c r="O52" s="126"/>
      <c r="P52" s="126"/>
      <c r="Q52" s="126"/>
      <c r="R52" s="126"/>
      <c r="S52" s="126"/>
      <c r="T52" s="126"/>
      <c r="U52" s="126"/>
      <c r="V52" s="126"/>
      <c r="W52" s="126"/>
      <c r="X52" s="126"/>
      <c r="Y52" s="126"/>
    </row>
    <row r="53" spans="1:25">
      <c r="A53" s="1"/>
      <c r="B53" s="2" t="s">
        <v>710</v>
      </c>
      <c r="C53" s="126"/>
      <c r="D53" s="126"/>
      <c r="E53" s="409">
        <f>C14/C15</f>
        <v>1.3072480483238231</v>
      </c>
      <c r="F53" s="126"/>
      <c r="G53" s="126"/>
      <c r="H53" s="126"/>
      <c r="I53" s="126"/>
      <c r="J53" s="2"/>
      <c r="K53" s="2"/>
      <c r="L53" s="2"/>
      <c r="M53" s="2"/>
      <c r="N53" s="2"/>
      <c r="O53" s="126"/>
      <c r="P53" s="126"/>
      <c r="Q53" s="126"/>
      <c r="R53" s="126"/>
      <c r="S53" s="126"/>
      <c r="T53" s="126"/>
      <c r="U53" s="126"/>
      <c r="V53" s="126"/>
      <c r="W53" s="126"/>
      <c r="X53" s="126"/>
      <c r="Y53" s="126"/>
    </row>
    <row r="54" spans="1:25">
      <c r="A54" s="1"/>
      <c r="B54" s="1"/>
      <c r="C54" s="1"/>
      <c r="D54" s="1"/>
      <c r="E54" s="1"/>
      <c r="F54" s="126"/>
      <c r="G54" s="126"/>
      <c r="H54" s="126"/>
      <c r="I54" s="126"/>
      <c r="J54" s="2"/>
      <c r="K54" s="2"/>
      <c r="L54" s="2"/>
      <c r="M54" s="2"/>
      <c r="N54" s="2"/>
      <c r="O54" s="126"/>
      <c r="P54" s="126"/>
      <c r="Q54" s="126"/>
      <c r="R54" s="126"/>
      <c r="S54" s="126"/>
      <c r="T54" s="126"/>
      <c r="U54" s="126"/>
      <c r="V54" s="126"/>
      <c r="W54" s="126"/>
      <c r="X54" s="126"/>
      <c r="Y54" s="126"/>
    </row>
    <row r="55" spans="1:25">
      <c r="A55" s="1"/>
      <c r="B55" s="126" t="s">
        <v>547</v>
      </c>
      <c r="C55" s="126"/>
      <c r="E55" s="441">
        <f>SUM(J46:M46,D52)</f>
        <v>3395.6064101630959</v>
      </c>
      <c r="F55" s="126"/>
      <c r="G55" s="126"/>
      <c r="H55" s="126"/>
      <c r="I55" s="126"/>
      <c r="J55" s="2"/>
      <c r="K55" s="2"/>
      <c r="L55" s="2"/>
      <c r="M55" s="2"/>
      <c r="N55" s="2"/>
      <c r="O55" s="126"/>
      <c r="P55" s="126"/>
      <c r="Q55" s="126"/>
      <c r="R55" s="126"/>
      <c r="S55" s="126"/>
      <c r="T55" s="126"/>
      <c r="U55" s="126"/>
      <c r="V55" s="126"/>
      <c r="W55" s="126"/>
      <c r="X55" s="126"/>
      <c r="Y55" s="126"/>
    </row>
    <row r="56" spans="1:25">
      <c r="A56" s="1"/>
      <c r="B56" s="126" t="s">
        <v>554</v>
      </c>
      <c r="C56" s="126"/>
      <c r="D56" s="126"/>
      <c r="E56" s="126">
        <f>'Reorganised Statements'!H41</f>
        <v>434</v>
      </c>
      <c r="F56" s="126"/>
      <c r="G56" s="126"/>
      <c r="H56" s="126"/>
      <c r="I56" s="126"/>
      <c r="J56" s="2"/>
      <c r="K56" s="2"/>
      <c r="L56" s="2"/>
      <c r="M56" s="2"/>
      <c r="N56" s="2"/>
      <c r="O56" s="126"/>
      <c r="P56" s="126"/>
      <c r="Q56" s="126"/>
      <c r="R56" s="126"/>
      <c r="S56" s="126"/>
      <c r="T56" s="126"/>
      <c r="U56" s="126"/>
      <c r="V56" s="126"/>
      <c r="W56" s="126"/>
      <c r="X56" s="126"/>
      <c r="Y56" s="126"/>
    </row>
    <row r="57" spans="1:25">
      <c r="A57" s="1"/>
      <c r="B57" s="126" t="s">
        <v>555</v>
      </c>
      <c r="C57" s="126"/>
      <c r="D57" s="126"/>
      <c r="E57" s="126">
        <f>'Reorganised Statements'!H39 +'Reorganised Statements'!H8</f>
        <v>3702</v>
      </c>
      <c r="F57" s="126"/>
      <c r="G57" s="126"/>
      <c r="H57" s="126"/>
      <c r="I57" s="126"/>
      <c r="J57" s="2"/>
      <c r="K57" s="2"/>
      <c r="L57" s="2"/>
      <c r="M57" s="2"/>
      <c r="N57" s="2"/>
      <c r="O57" s="126"/>
      <c r="P57" s="126"/>
      <c r="Q57" s="126"/>
      <c r="R57" s="126"/>
      <c r="S57" s="126"/>
      <c r="T57" s="126"/>
      <c r="U57" s="126"/>
      <c r="V57" s="126"/>
      <c r="W57" s="126"/>
      <c r="X57" s="126"/>
      <c r="Y57" s="126"/>
    </row>
    <row r="58" spans="1:25">
      <c r="A58" s="1"/>
      <c r="B58" s="126" t="s">
        <v>556</v>
      </c>
      <c r="C58" s="126"/>
      <c r="D58" s="126"/>
      <c r="E58" s="126">
        <f>'Financial statements'!J111</f>
        <v>362</v>
      </c>
      <c r="F58" s="126"/>
      <c r="G58" s="126"/>
      <c r="H58" s="126"/>
      <c r="I58" s="126"/>
      <c r="J58" s="2"/>
      <c r="K58" s="2"/>
      <c r="L58" s="2"/>
      <c r="M58" s="2"/>
      <c r="N58" s="2"/>
      <c r="O58" s="126"/>
      <c r="P58" s="126"/>
      <c r="Q58" s="126"/>
      <c r="R58" s="126"/>
      <c r="S58" s="126"/>
      <c r="T58" s="126"/>
      <c r="U58" s="126"/>
      <c r="V58" s="126"/>
      <c r="W58" s="126"/>
      <c r="X58" s="126"/>
      <c r="Y58" s="126"/>
    </row>
    <row r="59" spans="1:25">
      <c r="A59" s="1"/>
      <c r="B59" s="126" t="s">
        <v>549</v>
      </c>
      <c r="C59" s="126"/>
      <c r="D59" s="126"/>
      <c r="E59" s="441">
        <f>E55+E56+E57-E58</f>
        <v>7169.6064101630964</v>
      </c>
      <c r="F59" s="126"/>
      <c r="G59" s="126"/>
      <c r="H59" s="126"/>
      <c r="I59" s="126"/>
      <c r="J59" s="2"/>
      <c r="K59" s="2"/>
      <c r="L59" s="2"/>
      <c r="M59" s="2"/>
      <c r="N59" s="2"/>
      <c r="O59" s="126"/>
      <c r="P59" s="126"/>
      <c r="Q59" s="126"/>
      <c r="R59" s="126"/>
      <c r="S59" s="126"/>
      <c r="T59" s="126"/>
      <c r="U59" s="126"/>
      <c r="V59" s="126"/>
      <c r="W59" s="126"/>
      <c r="X59" s="126"/>
      <c r="Y59" s="126"/>
    </row>
    <row r="60" spans="1:25">
      <c r="A60" s="1"/>
      <c r="B60" s="126" t="s">
        <v>550</v>
      </c>
      <c r="C60" s="126"/>
      <c r="D60" s="126"/>
      <c r="E60" s="442" t="e">
        <f>E59/#REF!</f>
        <v>#REF!</v>
      </c>
      <c r="F60" s="126"/>
      <c r="G60" s="126"/>
      <c r="H60" s="126"/>
      <c r="I60" s="126"/>
      <c r="J60" s="2"/>
      <c r="K60" s="2"/>
      <c r="L60" s="2"/>
      <c r="M60" s="2"/>
      <c r="N60" s="2"/>
      <c r="O60" s="126"/>
      <c r="P60" s="126"/>
      <c r="Q60" s="126"/>
      <c r="R60" s="126"/>
      <c r="S60" s="126"/>
      <c r="T60" s="126"/>
      <c r="U60" s="126"/>
      <c r="V60" s="126"/>
      <c r="W60" s="126"/>
      <c r="X60" s="126"/>
      <c r="Y60" s="126"/>
    </row>
    <row r="61" spans="1:25">
      <c r="A61" s="1"/>
      <c r="B61" s="126"/>
      <c r="C61" s="126"/>
      <c r="D61" s="126"/>
      <c r="E61" s="126"/>
      <c r="F61" s="126"/>
      <c r="G61" s="126"/>
      <c r="H61" s="126"/>
      <c r="I61" s="126"/>
      <c r="J61" s="2"/>
      <c r="K61" s="2"/>
      <c r="L61" s="2"/>
      <c r="M61" s="2"/>
      <c r="N61" s="2"/>
      <c r="O61" s="126"/>
      <c r="P61" s="126"/>
      <c r="Q61" s="126"/>
      <c r="R61" s="126"/>
      <c r="S61" s="126"/>
      <c r="T61" s="126"/>
      <c r="U61" s="126"/>
      <c r="V61" s="126"/>
      <c r="W61" s="126"/>
      <c r="X61" s="126"/>
      <c r="Y61" s="126"/>
    </row>
    <row r="62" spans="1:25">
      <c r="A62" s="1"/>
      <c r="B62" s="126"/>
      <c r="C62" s="126"/>
      <c r="D62" s="126"/>
      <c r="E62" s="126"/>
      <c r="F62" s="126"/>
      <c r="G62" s="126"/>
      <c r="H62" s="126"/>
      <c r="I62" s="126"/>
      <c r="J62" s="2"/>
      <c r="K62" s="2"/>
      <c r="L62" s="2"/>
      <c r="M62" s="2"/>
      <c r="N62" s="2"/>
      <c r="O62" s="126"/>
      <c r="P62" s="126"/>
      <c r="Q62" s="126"/>
      <c r="R62" s="126"/>
      <c r="S62" s="126"/>
      <c r="T62" s="126"/>
      <c r="U62" s="126"/>
      <c r="V62" s="126"/>
      <c r="W62" s="126"/>
      <c r="X62" s="126"/>
      <c r="Y62" s="126"/>
    </row>
    <row r="63" spans="1:25">
      <c r="A63" s="1"/>
      <c r="B63" s="126"/>
      <c r="C63" s="126"/>
      <c r="D63" s="126"/>
      <c r="E63" s="126"/>
      <c r="F63" s="126"/>
      <c r="G63" s="126"/>
      <c r="H63" s="126"/>
      <c r="I63" s="126"/>
      <c r="J63" s="2"/>
      <c r="K63" s="2"/>
      <c r="L63" s="2"/>
      <c r="M63" s="2"/>
      <c r="N63" s="2"/>
      <c r="O63" s="126"/>
      <c r="P63" s="126"/>
      <c r="Q63" s="126"/>
      <c r="R63" s="126"/>
      <c r="S63" s="126"/>
      <c r="T63" s="126"/>
      <c r="U63" s="126"/>
      <c r="V63" s="126"/>
      <c r="W63" s="126"/>
      <c r="X63" s="126"/>
      <c r="Y63" s="126"/>
    </row>
    <row r="64" spans="1:25">
      <c r="A64" s="1"/>
      <c r="B64" s="126"/>
      <c r="C64" s="126"/>
      <c r="D64" s="126"/>
      <c r="E64" s="126"/>
      <c r="F64" s="126"/>
      <c r="G64" s="126"/>
      <c r="H64" s="126"/>
      <c r="I64" s="126"/>
      <c r="J64" s="2"/>
      <c r="K64" s="2"/>
      <c r="L64" s="2"/>
      <c r="M64" s="2"/>
      <c r="N64" s="2"/>
      <c r="O64" s="126"/>
      <c r="P64" s="126"/>
      <c r="Q64" s="126"/>
      <c r="R64" s="126"/>
      <c r="S64" s="126"/>
      <c r="T64" s="126"/>
      <c r="U64" s="126"/>
      <c r="V64" s="126"/>
      <c r="W64" s="126"/>
      <c r="X64" s="126"/>
      <c r="Y64" s="126"/>
    </row>
    <row r="65" spans="1:25">
      <c r="A65" s="1"/>
      <c r="B65" s="126"/>
      <c r="C65" s="126"/>
      <c r="D65" s="126"/>
      <c r="E65" s="126"/>
      <c r="F65" s="126"/>
      <c r="G65" s="126"/>
      <c r="H65" s="126"/>
      <c r="I65" s="126"/>
      <c r="J65" s="2"/>
      <c r="K65" s="2"/>
      <c r="L65" s="2"/>
      <c r="M65" s="2"/>
      <c r="N65" s="2"/>
      <c r="O65" s="126"/>
      <c r="P65" s="126"/>
      <c r="Q65" s="126"/>
      <c r="R65" s="126"/>
      <c r="S65" s="126"/>
      <c r="T65" s="126"/>
      <c r="U65" s="126"/>
      <c r="V65" s="126"/>
      <c r="W65" s="126"/>
      <c r="X65" s="126"/>
      <c r="Y65" s="126"/>
    </row>
    <row r="66" spans="1:25">
      <c r="A66" s="1"/>
      <c r="B66" s="126"/>
      <c r="C66" s="126"/>
      <c r="D66" s="126"/>
      <c r="E66" s="126"/>
      <c r="F66" s="126"/>
      <c r="G66" s="126"/>
      <c r="H66" s="126"/>
      <c r="I66" s="126"/>
      <c r="J66" s="2"/>
      <c r="K66" s="2"/>
      <c r="L66" s="2"/>
      <c r="M66" s="2"/>
      <c r="N66" s="2"/>
      <c r="O66" s="126"/>
      <c r="P66" s="126"/>
      <c r="Q66" s="126"/>
      <c r="R66" s="126"/>
      <c r="S66" s="126"/>
      <c r="T66" s="126"/>
      <c r="U66" s="126"/>
      <c r="V66" s="126"/>
      <c r="W66" s="126"/>
      <c r="X66" s="126"/>
      <c r="Y66" s="126"/>
    </row>
    <row r="67" spans="1:25">
      <c r="A67" s="1"/>
      <c r="B67" s="126"/>
      <c r="C67" s="126"/>
      <c r="D67" s="126"/>
      <c r="E67" s="126"/>
      <c r="F67" s="126"/>
      <c r="G67" s="126"/>
      <c r="H67" s="126"/>
      <c r="I67" s="126"/>
      <c r="J67" s="2"/>
      <c r="K67" s="2"/>
      <c r="L67" s="2"/>
      <c r="M67" s="2"/>
      <c r="N67" s="2"/>
      <c r="O67" s="126"/>
      <c r="P67" s="126"/>
      <c r="Q67" s="126"/>
      <c r="R67" s="126"/>
      <c r="S67" s="126"/>
      <c r="T67" s="126"/>
      <c r="U67" s="126"/>
      <c r="V67" s="126"/>
      <c r="W67" s="126"/>
      <c r="X67" s="126"/>
      <c r="Y67" s="126"/>
    </row>
    <row r="68" spans="1:25">
      <c r="A68" s="1"/>
      <c r="B68" s="126"/>
      <c r="C68" s="126"/>
      <c r="D68" s="126"/>
      <c r="E68" s="126"/>
      <c r="F68" s="126"/>
      <c r="G68" s="126"/>
      <c r="H68" s="126"/>
      <c r="I68" s="126"/>
      <c r="J68" s="2"/>
      <c r="K68" s="2"/>
      <c r="L68" s="2"/>
      <c r="M68" s="2"/>
      <c r="N68" s="2"/>
      <c r="O68" s="126"/>
      <c r="P68" s="126"/>
      <c r="Q68" s="126"/>
      <c r="R68" s="126"/>
      <c r="S68" s="126"/>
      <c r="T68" s="126"/>
      <c r="U68" s="126"/>
      <c r="V68" s="126"/>
      <c r="W68" s="126"/>
      <c r="X68" s="126"/>
      <c r="Y68" s="126"/>
    </row>
    <row r="69" spans="1:25">
      <c r="A69" s="1"/>
      <c r="B69" s="126"/>
      <c r="C69" s="126"/>
      <c r="D69" s="126"/>
      <c r="E69" s="126"/>
      <c r="F69" s="126"/>
      <c r="G69" s="126"/>
      <c r="H69" s="126"/>
      <c r="I69" s="126"/>
      <c r="J69" s="2"/>
      <c r="K69" s="2"/>
      <c r="L69" s="2"/>
      <c r="M69" s="2"/>
      <c r="N69" s="2"/>
      <c r="O69" s="126"/>
      <c r="P69" s="126"/>
      <c r="Q69" s="126"/>
      <c r="R69" s="126"/>
      <c r="S69" s="126"/>
      <c r="T69" s="126"/>
      <c r="U69" s="126"/>
      <c r="V69" s="126"/>
      <c r="W69" s="126"/>
      <c r="X69" s="126"/>
      <c r="Y69" s="126"/>
    </row>
    <row r="70" spans="1:25">
      <c r="A70" s="1"/>
      <c r="B70" s="126"/>
      <c r="C70" s="126"/>
      <c r="D70" s="126"/>
      <c r="E70" s="126"/>
      <c r="F70" s="126"/>
      <c r="G70" s="126"/>
      <c r="H70" s="126"/>
      <c r="I70" s="126"/>
      <c r="J70" s="2"/>
      <c r="K70" s="2"/>
      <c r="L70" s="2"/>
      <c r="M70" s="2"/>
      <c r="N70" s="2"/>
      <c r="O70" s="126"/>
      <c r="P70" s="126"/>
      <c r="Q70" s="126"/>
      <c r="R70" s="126"/>
      <c r="S70" s="126"/>
      <c r="T70" s="126"/>
      <c r="U70" s="126"/>
      <c r="V70" s="126"/>
      <c r="W70" s="126"/>
      <c r="X70" s="126"/>
      <c r="Y70" s="126"/>
    </row>
    <row r="71" spans="1:25">
      <c r="A71" s="1"/>
      <c r="B71" s="126"/>
      <c r="C71" s="126"/>
      <c r="D71" s="126"/>
      <c r="E71" s="126"/>
      <c r="F71" s="126"/>
      <c r="G71" s="126"/>
      <c r="H71" s="126"/>
      <c r="I71" s="126"/>
      <c r="J71" s="2"/>
      <c r="K71" s="2"/>
      <c r="L71" s="2"/>
      <c r="M71" s="2"/>
      <c r="N71" s="2"/>
      <c r="O71" s="126"/>
      <c r="P71" s="126"/>
      <c r="Q71" s="126"/>
      <c r="R71" s="126"/>
      <c r="S71" s="126"/>
      <c r="T71" s="126"/>
      <c r="U71" s="126"/>
      <c r="V71" s="126"/>
      <c r="W71" s="126"/>
      <c r="X71" s="126"/>
      <c r="Y71" s="126"/>
    </row>
    <row r="72" spans="1:25">
      <c r="A72" s="1"/>
      <c r="B72" s="126"/>
      <c r="C72" s="126"/>
      <c r="D72" s="126"/>
      <c r="E72" s="126"/>
      <c r="F72" s="126"/>
      <c r="G72" s="126"/>
      <c r="H72" s="126"/>
      <c r="I72" s="126"/>
      <c r="J72" s="2"/>
      <c r="K72" s="2"/>
      <c r="L72" s="2"/>
      <c r="M72" s="2"/>
      <c r="N72" s="2"/>
      <c r="O72" s="126"/>
      <c r="P72" s="126"/>
      <c r="Q72" s="126"/>
      <c r="R72" s="126"/>
      <c r="S72" s="126"/>
      <c r="T72" s="126"/>
      <c r="U72" s="126"/>
      <c r="V72" s="126"/>
      <c r="W72" s="126"/>
      <c r="X72" s="126"/>
      <c r="Y72" s="126"/>
    </row>
    <row r="73" spans="1:25">
      <c r="A73" s="1"/>
      <c r="B73" s="126"/>
      <c r="C73" s="126"/>
      <c r="D73" s="126"/>
      <c r="E73" s="126"/>
      <c r="F73" s="126"/>
      <c r="G73" s="126"/>
      <c r="H73" s="126"/>
      <c r="I73" s="126"/>
      <c r="J73" s="2"/>
      <c r="K73" s="2"/>
      <c r="L73" s="2"/>
      <c r="M73" s="2"/>
      <c r="N73" s="2"/>
      <c r="O73" s="126"/>
      <c r="P73" s="126"/>
      <c r="Q73" s="126"/>
      <c r="R73" s="126"/>
      <c r="S73" s="126"/>
      <c r="T73" s="126"/>
      <c r="U73" s="126"/>
      <c r="V73" s="126"/>
      <c r="W73" s="126"/>
      <c r="X73" s="126"/>
      <c r="Y73" s="126"/>
    </row>
    <row r="74" spans="1:25">
      <c r="A74" s="1"/>
      <c r="B74" s="126"/>
      <c r="C74" s="126"/>
      <c r="D74" s="126"/>
      <c r="E74" s="126"/>
      <c r="F74" s="126"/>
      <c r="G74" s="126"/>
      <c r="H74" s="126"/>
      <c r="I74" s="126"/>
      <c r="J74" s="2"/>
      <c r="K74" s="126"/>
      <c r="L74" s="126"/>
      <c r="M74" s="126"/>
      <c r="N74" s="126"/>
      <c r="O74" s="126"/>
      <c r="P74" s="126"/>
      <c r="Q74" s="126"/>
      <c r="R74" s="126"/>
      <c r="S74" s="126"/>
      <c r="T74" s="126"/>
      <c r="U74" s="126"/>
      <c r="V74" s="126"/>
      <c r="W74" s="126"/>
      <c r="X74" s="126"/>
      <c r="Y74" s="126"/>
    </row>
    <row r="75" spans="1:25">
      <c r="A75" s="1"/>
      <c r="B75" s="126"/>
      <c r="C75" s="126"/>
      <c r="D75" s="126"/>
      <c r="E75" s="126"/>
      <c r="F75" s="126"/>
      <c r="G75" s="126"/>
      <c r="H75" s="126"/>
      <c r="I75" s="126"/>
      <c r="J75" s="2"/>
      <c r="K75" s="126"/>
      <c r="L75" s="126"/>
      <c r="M75" s="126"/>
      <c r="N75" s="126"/>
      <c r="O75" s="126"/>
      <c r="P75" s="126"/>
      <c r="Q75" s="126"/>
      <c r="R75" s="126"/>
      <c r="S75" s="126"/>
      <c r="T75" s="126"/>
      <c r="U75" s="126"/>
      <c r="V75" s="126"/>
      <c r="W75" s="126"/>
      <c r="X75" s="126"/>
      <c r="Y75" s="126"/>
    </row>
    <row r="76" spans="1:25">
      <c r="A76" s="1"/>
      <c r="B76" s="126"/>
      <c r="C76" s="126"/>
      <c r="D76" s="126"/>
      <c r="E76" s="126"/>
      <c r="F76" s="126"/>
      <c r="G76" s="126"/>
      <c r="H76" s="126"/>
      <c r="I76" s="126"/>
      <c r="J76" s="2"/>
      <c r="K76" s="126"/>
      <c r="L76" s="126"/>
      <c r="M76" s="126"/>
      <c r="N76" s="126"/>
      <c r="O76" s="126"/>
      <c r="P76" s="126"/>
      <c r="Q76" s="126"/>
      <c r="R76" s="126"/>
      <c r="S76" s="126"/>
      <c r="T76" s="126"/>
      <c r="U76" s="126"/>
      <c r="V76" s="126"/>
      <c r="W76" s="126"/>
      <c r="X76" s="126"/>
      <c r="Y76" s="126"/>
    </row>
    <row r="77" spans="1:25">
      <c r="A77" s="1"/>
      <c r="B77" s="126"/>
      <c r="C77" s="126"/>
      <c r="D77" s="126"/>
      <c r="E77" s="126"/>
      <c r="F77" s="126"/>
      <c r="G77" s="126"/>
      <c r="H77" s="126"/>
      <c r="I77" s="126"/>
      <c r="J77" s="2"/>
      <c r="K77" s="126"/>
      <c r="L77" s="126"/>
      <c r="M77" s="126"/>
      <c r="N77" s="126"/>
      <c r="O77" s="126"/>
      <c r="P77" s="126"/>
      <c r="Q77" s="126"/>
      <c r="R77" s="126"/>
      <c r="S77" s="126"/>
      <c r="T77" s="126"/>
      <c r="U77" s="126"/>
      <c r="V77" s="126"/>
      <c r="W77" s="126"/>
      <c r="X77" s="126"/>
      <c r="Y77" s="126"/>
    </row>
    <row r="78" spans="1:25">
      <c r="A78" s="1"/>
      <c r="B78" s="126"/>
      <c r="C78" s="126"/>
      <c r="D78" s="126"/>
      <c r="E78" s="126"/>
      <c r="F78" s="126"/>
      <c r="G78" s="126"/>
      <c r="H78" s="126"/>
      <c r="I78" s="126"/>
      <c r="J78" s="2"/>
      <c r="K78" s="126"/>
      <c r="L78" s="126"/>
      <c r="M78" s="126"/>
      <c r="N78" s="126"/>
      <c r="O78" s="126"/>
      <c r="P78" s="126"/>
      <c r="Q78" s="126"/>
      <c r="R78" s="126"/>
      <c r="S78" s="126"/>
      <c r="T78" s="126"/>
      <c r="U78" s="126"/>
      <c r="V78" s="126"/>
      <c r="W78" s="126"/>
      <c r="X78" s="126"/>
      <c r="Y78" s="126"/>
    </row>
    <row r="79" spans="1:25">
      <c r="A79" s="1"/>
      <c r="B79" s="126"/>
      <c r="C79" s="126"/>
      <c r="D79" s="126"/>
      <c r="E79" s="126"/>
      <c r="F79" s="126"/>
      <c r="G79" s="126"/>
      <c r="H79" s="126"/>
      <c r="I79" s="126"/>
      <c r="J79" s="2"/>
      <c r="K79" s="126"/>
      <c r="L79" s="126"/>
      <c r="M79" s="126"/>
      <c r="N79" s="126"/>
      <c r="O79" s="126"/>
      <c r="P79" s="126"/>
      <c r="Q79" s="126"/>
      <c r="R79" s="126"/>
      <c r="S79" s="126"/>
      <c r="T79" s="126"/>
      <c r="U79" s="126"/>
      <c r="V79" s="126"/>
      <c r="W79" s="126"/>
      <c r="X79" s="126"/>
      <c r="Y79" s="126"/>
    </row>
    <row r="80" spans="1:25">
      <c r="A80" s="1"/>
      <c r="B80" s="126"/>
      <c r="C80" s="126"/>
      <c r="D80" s="126"/>
      <c r="E80" s="126"/>
      <c r="F80" s="126"/>
      <c r="G80" s="126"/>
      <c r="H80" s="126"/>
      <c r="I80" s="126"/>
      <c r="J80" s="2"/>
      <c r="K80" s="126"/>
      <c r="L80" s="126"/>
      <c r="M80" s="126"/>
      <c r="N80" s="126"/>
      <c r="O80" s="126"/>
      <c r="P80" s="126"/>
      <c r="Q80" s="126"/>
      <c r="R80" s="126"/>
      <c r="S80" s="126"/>
      <c r="T80" s="126"/>
      <c r="U80" s="126"/>
      <c r="V80" s="126"/>
      <c r="W80" s="126"/>
      <c r="X80" s="126"/>
      <c r="Y80" s="126"/>
    </row>
    <row r="81" spans="1:25">
      <c r="A81" s="1"/>
      <c r="B81" s="126"/>
      <c r="C81" s="126"/>
      <c r="D81" s="126"/>
      <c r="E81" s="126"/>
      <c r="F81" s="126"/>
      <c r="G81" s="126"/>
      <c r="H81" s="126"/>
      <c r="I81" s="126"/>
      <c r="J81" s="2"/>
      <c r="K81" s="126"/>
      <c r="L81" s="126"/>
      <c r="M81" s="126"/>
      <c r="N81" s="126"/>
      <c r="O81" s="126"/>
      <c r="P81" s="126"/>
      <c r="Q81" s="126"/>
      <c r="R81" s="126"/>
      <c r="S81" s="126"/>
      <c r="T81" s="126"/>
      <c r="U81" s="126"/>
      <c r="V81" s="126"/>
      <c r="W81" s="126"/>
      <c r="X81" s="126"/>
      <c r="Y81" s="126"/>
    </row>
    <row r="82" spans="1:25">
      <c r="B82" s="126"/>
      <c r="C82" s="126"/>
      <c r="D82" s="126"/>
      <c r="E82" s="126"/>
      <c r="F82" s="126"/>
      <c r="G82" s="126"/>
      <c r="H82" s="126"/>
      <c r="I82" s="126"/>
      <c r="J82" s="2"/>
      <c r="K82" s="126"/>
      <c r="L82" s="126"/>
      <c r="M82" s="126"/>
      <c r="N82" s="126"/>
      <c r="O82" s="126"/>
      <c r="P82" s="126"/>
      <c r="Q82" s="126"/>
      <c r="R82" s="126"/>
      <c r="S82" s="126"/>
      <c r="T82" s="126"/>
      <c r="U82" s="126"/>
      <c r="V82" s="126"/>
      <c r="W82" s="126"/>
      <c r="X82" s="126"/>
      <c r="Y82" s="126"/>
    </row>
    <row r="83" spans="1:25">
      <c r="B83" s="126"/>
      <c r="C83" s="126"/>
      <c r="D83" s="126"/>
      <c r="E83" s="126"/>
      <c r="F83" s="126"/>
      <c r="G83" s="126"/>
      <c r="H83" s="126"/>
      <c r="I83" s="126"/>
      <c r="J83" s="2"/>
      <c r="K83" s="126"/>
      <c r="L83" s="126"/>
      <c r="M83" s="126"/>
      <c r="N83" s="126"/>
      <c r="O83" s="126"/>
      <c r="P83" s="126"/>
      <c r="Q83" s="126"/>
      <c r="R83" s="126"/>
      <c r="S83" s="126"/>
      <c r="T83" s="126"/>
      <c r="U83" s="126"/>
      <c r="V83" s="126"/>
      <c r="W83" s="126"/>
      <c r="X83" s="126"/>
      <c r="Y83" s="126"/>
    </row>
    <row r="84" spans="1:25">
      <c r="B84" s="126"/>
      <c r="C84" s="126"/>
      <c r="D84" s="126"/>
      <c r="E84" s="126"/>
      <c r="F84" s="126"/>
      <c r="G84" s="126"/>
      <c r="H84" s="126"/>
      <c r="I84" s="126"/>
      <c r="J84" s="2"/>
      <c r="K84" s="126"/>
      <c r="L84" s="126"/>
      <c r="M84" s="126"/>
      <c r="N84" s="126"/>
      <c r="O84" s="126"/>
      <c r="P84" s="126"/>
      <c r="Q84" s="126"/>
      <c r="R84" s="126"/>
      <c r="S84" s="126"/>
      <c r="T84" s="126"/>
      <c r="U84" s="126"/>
      <c r="V84" s="126"/>
      <c r="W84" s="126"/>
      <c r="X84" s="126"/>
      <c r="Y84" s="126"/>
    </row>
    <row r="85" spans="1:25">
      <c r="B85" s="126"/>
      <c r="C85" s="126"/>
      <c r="D85" s="126"/>
      <c r="E85" s="126"/>
      <c r="F85" s="126"/>
      <c r="G85" s="126"/>
      <c r="H85" s="126"/>
      <c r="I85" s="126"/>
      <c r="J85" s="2"/>
      <c r="K85" s="126"/>
      <c r="L85" s="126"/>
      <c r="M85" s="126"/>
      <c r="N85" s="126"/>
      <c r="O85" s="126"/>
      <c r="P85" s="126"/>
      <c r="Q85" s="126"/>
      <c r="R85" s="126"/>
      <c r="S85" s="126"/>
      <c r="T85" s="126"/>
      <c r="U85" s="126"/>
      <c r="V85" s="126"/>
      <c r="W85" s="126"/>
      <c r="X85" s="126"/>
      <c r="Y85" s="126"/>
    </row>
    <row r="86" spans="1:25">
      <c r="B86" s="126"/>
      <c r="C86" s="126"/>
      <c r="D86" s="126"/>
      <c r="E86" s="126"/>
      <c r="F86" s="126"/>
      <c r="G86" s="126"/>
      <c r="H86" s="126"/>
      <c r="I86" s="126"/>
      <c r="J86" s="2"/>
      <c r="K86" s="126"/>
      <c r="L86" s="126"/>
      <c r="M86" s="126"/>
      <c r="N86" s="126"/>
      <c r="O86" s="126"/>
      <c r="P86" s="126"/>
      <c r="Q86" s="126"/>
      <c r="R86" s="126"/>
      <c r="S86" s="126"/>
      <c r="T86" s="126"/>
      <c r="U86" s="126"/>
      <c r="V86" s="126"/>
      <c r="W86" s="126"/>
      <c r="X86" s="126"/>
      <c r="Y86" s="126"/>
    </row>
    <row r="87" spans="1:25">
      <c r="B87" s="126"/>
      <c r="C87" s="126"/>
      <c r="D87" s="126"/>
      <c r="E87" s="126"/>
      <c r="F87" s="126"/>
      <c r="G87" s="126"/>
      <c r="H87" s="126"/>
      <c r="I87" s="126"/>
      <c r="J87" s="2"/>
      <c r="K87" s="126"/>
      <c r="L87" s="126"/>
      <c r="M87" s="126"/>
      <c r="N87" s="126"/>
      <c r="O87" s="126"/>
      <c r="P87" s="126"/>
      <c r="Q87" s="126"/>
      <c r="R87" s="126"/>
      <c r="S87" s="126"/>
      <c r="T87" s="126"/>
      <c r="U87" s="126"/>
      <c r="V87" s="126"/>
      <c r="W87" s="126"/>
      <c r="X87" s="126"/>
      <c r="Y87" s="126"/>
    </row>
    <row r="88" spans="1:25">
      <c r="B88" s="126"/>
      <c r="C88" s="126"/>
      <c r="D88" s="126"/>
      <c r="E88" s="126"/>
      <c r="F88" s="126"/>
      <c r="G88" s="126"/>
      <c r="H88" s="126"/>
      <c r="I88" s="126"/>
      <c r="J88" s="2"/>
      <c r="K88" s="126"/>
      <c r="L88" s="126"/>
      <c r="M88" s="126"/>
      <c r="N88" s="126"/>
      <c r="O88" s="126"/>
      <c r="P88" s="126"/>
      <c r="Q88" s="126"/>
      <c r="R88" s="126"/>
      <c r="S88" s="126"/>
      <c r="T88" s="126"/>
      <c r="U88" s="126"/>
      <c r="V88" s="126"/>
      <c r="W88" s="126"/>
      <c r="X88" s="126"/>
      <c r="Y88" s="126"/>
    </row>
    <row r="89" spans="1:25">
      <c r="B89" s="126"/>
      <c r="C89" s="126"/>
      <c r="D89" s="126"/>
      <c r="E89" s="126"/>
      <c r="F89" s="126"/>
      <c r="G89" s="126"/>
      <c r="H89" s="126"/>
      <c r="I89" s="126"/>
      <c r="J89" s="2"/>
      <c r="K89" s="126"/>
      <c r="L89" s="126"/>
      <c r="M89" s="126"/>
      <c r="N89" s="126"/>
      <c r="O89" s="126"/>
      <c r="P89" s="126"/>
      <c r="Q89" s="126"/>
      <c r="R89" s="126"/>
      <c r="S89" s="126"/>
      <c r="T89" s="126"/>
      <c r="U89" s="126"/>
      <c r="V89" s="126"/>
      <c r="W89" s="126"/>
      <c r="X89" s="126"/>
      <c r="Y89" s="126"/>
    </row>
    <row r="90" spans="1:25">
      <c r="B90" s="126"/>
      <c r="C90" s="126"/>
      <c r="D90" s="126"/>
      <c r="E90" s="126"/>
      <c r="F90" s="126"/>
      <c r="G90" s="126"/>
      <c r="H90" s="126"/>
      <c r="I90" s="126"/>
      <c r="J90" s="2"/>
      <c r="K90" s="126"/>
      <c r="L90" s="126"/>
      <c r="M90" s="126"/>
      <c r="N90" s="126"/>
      <c r="O90" s="126"/>
      <c r="P90" s="126"/>
      <c r="Q90" s="126"/>
      <c r="R90" s="126"/>
      <c r="S90" s="126"/>
      <c r="T90" s="126"/>
      <c r="U90" s="126"/>
      <c r="V90" s="126"/>
      <c r="W90" s="126"/>
      <c r="X90" s="126"/>
      <c r="Y90" s="126"/>
    </row>
    <row r="91" spans="1:25">
      <c r="B91" s="126"/>
      <c r="C91" s="126"/>
      <c r="D91" s="126"/>
      <c r="E91" s="126"/>
      <c r="F91" s="126"/>
      <c r="G91" s="126"/>
      <c r="H91" s="126"/>
      <c r="I91" s="126"/>
      <c r="J91" s="2"/>
      <c r="K91" s="126"/>
      <c r="L91" s="126"/>
      <c r="M91" s="126"/>
      <c r="N91" s="126"/>
      <c r="O91" s="126"/>
      <c r="P91" s="126"/>
      <c r="Q91" s="126"/>
      <c r="R91" s="126"/>
      <c r="S91" s="126"/>
      <c r="T91" s="126"/>
      <c r="U91" s="126"/>
      <c r="V91" s="126"/>
      <c r="W91" s="126"/>
      <c r="X91" s="126"/>
      <c r="Y91" s="126"/>
    </row>
    <row r="92" spans="1:25">
      <c r="B92" s="126"/>
      <c r="C92" s="126"/>
      <c r="D92" s="126"/>
      <c r="E92" s="126"/>
      <c r="F92" s="126"/>
      <c r="G92" s="126"/>
      <c r="H92" s="126"/>
      <c r="I92" s="126"/>
      <c r="J92" s="2"/>
      <c r="K92" s="126"/>
      <c r="L92" s="126"/>
      <c r="M92" s="126"/>
      <c r="N92" s="126"/>
      <c r="O92" s="126"/>
      <c r="P92" s="126"/>
      <c r="Q92" s="126"/>
      <c r="R92" s="126"/>
      <c r="S92" s="126"/>
      <c r="T92" s="126"/>
      <c r="U92" s="126"/>
      <c r="V92" s="126"/>
      <c r="W92" s="126"/>
      <c r="X92" s="126"/>
      <c r="Y92" s="126"/>
    </row>
    <row r="93" spans="1:25">
      <c r="B93" s="126"/>
      <c r="C93" s="126"/>
      <c r="D93" s="126"/>
      <c r="E93" s="126"/>
      <c r="F93" s="126"/>
      <c r="G93" s="126"/>
      <c r="H93" s="126"/>
      <c r="I93" s="126"/>
      <c r="J93" s="2"/>
      <c r="K93" s="126"/>
      <c r="L93" s="126"/>
      <c r="M93" s="126"/>
      <c r="N93" s="126"/>
      <c r="O93" s="126"/>
      <c r="P93" s="126"/>
      <c r="Q93" s="126"/>
      <c r="R93" s="126"/>
      <c r="S93" s="126"/>
      <c r="T93" s="126"/>
      <c r="U93" s="126"/>
      <c r="V93" s="126"/>
      <c r="W93" s="126"/>
      <c r="X93" s="126"/>
      <c r="Y93" s="126"/>
    </row>
    <row r="94" spans="1:25">
      <c r="B94" s="126"/>
      <c r="C94" s="126"/>
      <c r="D94" s="126"/>
      <c r="E94" s="126"/>
      <c r="F94" s="126"/>
      <c r="G94" s="126"/>
      <c r="H94" s="126"/>
      <c r="I94" s="126"/>
      <c r="J94" s="2"/>
      <c r="K94" s="126"/>
      <c r="L94" s="126"/>
      <c r="M94" s="126"/>
      <c r="N94" s="126"/>
      <c r="O94" s="126"/>
      <c r="P94" s="126"/>
      <c r="Q94" s="126"/>
      <c r="R94" s="126"/>
      <c r="S94" s="126"/>
      <c r="T94" s="126"/>
      <c r="U94" s="126"/>
      <c r="V94" s="126"/>
      <c r="W94" s="126"/>
      <c r="X94" s="126"/>
      <c r="Y94" s="126"/>
    </row>
    <row r="95" spans="1:25">
      <c r="B95" s="126"/>
      <c r="C95" s="126"/>
      <c r="D95" s="126"/>
      <c r="E95" s="126"/>
      <c r="F95" s="126"/>
      <c r="G95" s="126"/>
      <c r="H95" s="126"/>
      <c r="I95" s="126"/>
      <c r="J95" s="2"/>
      <c r="K95" s="126"/>
      <c r="L95" s="126"/>
      <c r="M95" s="126"/>
      <c r="N95" s="126"/>
      <c r="O95" s="126"/>
      <c r="P95" s="126"/>
      <c r="Q95" s="126"/>
      <c r="R95" s="126"/>
      <c r="S95" s="126"/>
      <c r="T95" s="126"/>
      <c r="U95" s="126"/>
      <c r="V95" s="126"/>
      <c r="W95" s="126"/>
      <c r="X95" s="126"/>
      <c r="Y95" s="126"/>
    </row>
    <row r="96" spans="1:25">
      <c r="B96" s="126"/>
      <c r="C96" s="126"/>
      <c r="D96" s="126"/>
      <c r="E96" s="126"/>
      <c r="F96" s="126"/>
      <c r="G96" s="126"/>
      <c r="H96" s="126"/>
      <c r="I96" s="126"/>
      <c r="J96" s="2"/>
      <c r="K96" s="126"/>
      <c r="L96" s="126"/>
      <c r="M96" s="126"/>
      <c r="N96" s="126"/>
      <c r="O96" s="126"/>
      <c r="P96" s="126"/>
      <c r="Q96" s="126"/>
      <c r="R96" s="126"/>
      <c r="S96" s="126"/>
      <c r="T96" s="126"/>
      <c r="U96" s="126"/>
      <c r="V96" s="126"/>
      <c r="W96" s="126"/>
      <c r="X96" s="126"/>
      <c r="Y96" s="126"/>
    </row>
    <row r="97" spans="2:25">
      <c r="B97" s="126"/>
      <c r="C97" s="126"/>
      <c r="D97" s="126"/>
      <c r="E97" s="126"/>
      <c r="F97" s="126"/>
      <c r="G97" s="126"/>
      <c r="H97" s="126"/>
      <c r="I97" s="126"/>
      <c r="J97" s="2"/>
      <c r="K97" s="126"/>
      <c r="L97" s="126"/>
      <c r="M97" s="126"/>
      <c r="N97" s="126"/>
      <c r="O97" s="126"/>
      <c r="P97" s="126"/>
      <c r="Q97" s="126"/>
      <c r="R97" s="126"/>
      <c r="S97" s="126"/>
      <c r="T97" s="126"/>
      <c r="U97" s="126"/>
      <c r="V97" s="126"/>
      <c r="W97" s="126"/>
      <c r="X97" s="126"/>
      <c r="Y97" s="126"/>
    </row>
    <row r="98" spans="2:25">
      <c r="B98" s="126"/>
      <c r="C98" s="126"/>
      <c r="D98" s="126"/>
      <c r="E98" s="126"/>
      <c r="F98" s="126"/>
      <c r="G98" s="126"/>
      <c r="H98" s="126"/>
      <c r="I98" s="126"/>
      <c r="J98" s="2"/>
      <c r="K98" s="126"/>
      <c r="L98" s="126"/>
      <c r="M98" s="126"/>
      <c r="N98" s="126"/>
      <c r="O98" s="126"/>
      <c r="P98" s="126"/>
      <c r="Q98" s="126"/>
      <c r="R98" s="126"/>
      <c r="S98" s="126"/>
      <c r="T98" s="126"/>
      <c r="U98" s="126"/>
      <c r="V98" s="126"/>
      <c r="W98" s="126"/>
      <c r="X98" s="126"/>
      <c r="Y98" s="126"/>
    </row>
    <row r="99" spans="2:25">
      <c r="B99" s="126"/>
      <c r="C99" s="126"/>
      <c r="D99" s="126"/>
      <c r="E99" s="126"/>
      <c r="F99" s="126"/>
      <c r="G99" s="126"/>
      <c r="H99" s="126"/>
      <c r="I99" s="126"/>
      <c r="J99" s="2"/>
      <c r="K99" s="126"/>
      <c r="L99" s="126"/>
      <c r="M99" s="126"/>
      <c r="N99" s="126"/>
      <c r="O99" s="126"/>
      <c r="P99" s="126"/>
      <c r="Q99" s="126"/>
      <c r="R99" s="126"/>
      <c r="S99" s="126"/>
      <c r="T99" s="126"/>
      <c r="U99" s="126"/>
      <c r="V99" s="126"/>
      <c r="W99" s="126"/>
      <c r="X99" s="126"/>
      <c r="Y99" s="126"/>
    </row>
    <row r="100" spans="2:25">
      <c r="B100" s="126"/>
      <c r="C100" s="126"/>
      <c r="D100" s="126"/>
      <c r="E100" s="126"/>
      <c r="F100" s="126"/>
      <c r="G100" s="126"/>
      <c r="H100" s="126"/>
      <c r="I100" s="126"/>
      <c r="J100" s="2"/>
      <c r="K100" s="126"/>
      <c r="L100" s="126"/>
      <c r="M100" s="126"/>
      <c r="N100" s="126"/>
      <c r="O100" s="126"/>
      <c r="P100" s="126"/>
      <c r="Q100" s="126"/>
      <c r="R100" s="126"/>
      <c r="S100" s="126"/>
      <c r="T100" s="126"/>
      <c r="U100" s="126"/>
      <c r="V100" s="126"/>
      <c r="W100" s="126"/>
      <c r="X100" s="126"/>
      <c r="Y100" s="126"/>
    </row>
    <row r="101" spans="2:25">
      <c r="B101" s="126"/>
      <c r="C101" s="126"/>
      <c r="D101" s="126"/>
      <c r="E101" s="126"/>
      <c r="F101" s="126"/>
      <c r="G101" s="126"/>
      <c r="H101" s="126"/>
      <c r="I101" s="126"/>
      <c r="J101" s="2"/>
      <c r="K101" s="126"/>
      <c r="L101" s="126"/>
      <c r="M101" s="126"/>
      <c r="N101" s="126"/>
      <c r="O101" s="126"/>
      <c r="P101" s="126"/>
      <c r="Q101" s="126"/>
      <c r="R101" s="126"/>
      <c r="S101" s="126"/>
      <c r="T101" s="126"/>
      <c r="U101" s="126"/>
      <c r="V101" s="126"/>
      <c r="W101" s="126"/>
      <c r="X101" s="126"/>
      <c r="Y101" s="126"/>
    </row>
    <row r="102" spans="2:25">
      <c r="B102" s="126"/>
      <c r="C102" s="126"/>
      <c r="D102" s="126"/>
      <c r="E102" s="126"/>
      <c r="F102" s="126"/>
      <c r="G102" s="126"/>
      <c r="H102" s="126"/>
      <c r="I102" s="126"/>
      <c r="J102" s="2"/>
      <c r="K102" s="126"/>
      <c r="L102" s="126"/>
      <c r="M102" s="126"/>
      <c r="N102" s="126"/>
      <c r="O102" s="126"/>
      <c r="P102" s="126"/>
      <c r="Q102" s="126"/>
      <c r="R102" s="126"/>
      <c r="S102" s="126"/>
      <c r="T102" s="126"/>
      <c r="U102" s="126"/>
      <c r="V102" s="126"/>
      <c r="W102" s="126"/>
      <c r="X102" s="126"/>
      <c r="Y102" s="126"/>
    </row>
    <row r="103" spans="2:25">
      <c r="B103" s="126"/>
      <c r="C103" s="126"/>
      <c r="D103" s="126"/>
      <c r="E103" s="126"/>
      <c r="F103" s="126"/>
      <c r="G103" s="126"/>
      <c r="H103" s="126"/>
      <c r="I103" s="126"/>
      <c r="J103" s="2"/>
      <c r="K103" s="126"/>
      <c r="L103" s="126"/>
      <c r="M103" s="126"/>
      <c r="N103" s="126"/>
      <c r="O103" s="126"/>
      <c r="P103" s="126"/>
      <c r="Q103" s="126"/>
      <c r="R103" s="126"/>
      <c r="S103" s="126"/>
      <c r="T103" s="126"/>
      <c r="U103" s="126"/>
      <c r="V103" s="126"/>
      <c r="W103" s="126"/>
      <c r="X103" s="126"/>
      <c r="Y103" s="126"/>
    </row>
    <row r="104" spans="2:25">
      <c r="B104" s="126"/>
      <c r="C104" s="126"/>
      <c r="D104" s="126"/>
      <c r="E104" s="126"/>
      <c r="F104" s="126"/>
      <c r="G104" s="126"/>
      <c r="H104" s="126"/>
      <c r="I104" s="126"/>
      <c r="J104" s="2"/>
      <c r="K104" s="126"/>
      <c r="L104" s="126"/>
      <c r="M104" s="126"/>
      <c r="N104" s="126"/>
      <c r="O104" s="126"/>
      <c r="P104" s="126"/>
      <c r="Q104" s="126"/>
      <c r="R104" s="126"/>
      <c r="S104" s="126"/>
      <c r="T104" s="126"/>
      <c r="U104" s="126"/>
      <c r="V104" s="126"/>
      <c r="W104" s="126"/>
      <c r="X104" s="126"/>
      <c r="Y104" s="126"/>
    </row>
    <row r="105" spans="2:25">
      <c r="B105" s="126"/>
      <c r="C105" s="126"/>
      <c r="D105" s="126"/>
      <c r="E105" s="126"/>
      <c r="F105" s="126"/>
      <c r="G105" s="126"/>
      <c r="H105" s="126"/>
      <c r="I105" s="126"/>
      <c r="J105" s="2"/>
      <c r="K105" s="126"/>
      <c r="L105" s="126"/>
      <c r="M105" s="126"/>
      <c r="N105" s="126"/>
      <c r="O105" s="126"/>
      <c r="P105" s="126"/>
      <c r="Q105" s="126"/>
      <c r="R105" s="126"/>
      <c r="S105" s="126"/>
      <c r="T105" s="126"/>
      <c r="U105" s="126"/>
      <c r="V105" s="126"/>
      <c r="W105" s="126"/>
      <c r="X105" s="126"/>
      <c r="Y105" s="126"/>
    </row>
    <row r="106" spans="2:25">
      <c r="B106" s="126"/>
      <c r="C106" s="126"/>
      <c r="D106" s="126"/>
      <c r="E106" s="126"/>
      <c r="F106" s="126"/>
      <c r="G106" s="126"/>
      <c r="H106" s="126"/>
      <c r="I106" s="126"/>
      <c r="J106" s="2"/>
      <c r="K106" s="126"/>
      <c r="L106" s="126"/>
      <c r="M106" s="126"/>
      <c r="N106" s="126"/>
      <c r="O106" s="126"/>
      <c r="P106" s="126"/>
      <c r="Q106" s="126"/>
      <c r="R106" s="126"/>
      <c r="S106" s="126"/>
      <c r="T106" s="126"/>
      <c r="U106" s="126"/>
      <c r="V106" s="126"/>
      <c r="W106" s="126"/>
      <c r="X106" s="126"/>
      <c r="Y106" s="126"/>
    </row>
    <row r="107" spans="2:25">
      <c r="B107" s="126"/>
      <c r="C107" s="126"/>
      <c r="D107" s="126"/>
      <c r="E107" s="126"/>
      <c r="F107" s="126"/>
      <c r="G107" s="126"/>
      <c r="H107" s="126"/>
      <c r="I107" s="126"/>
      <c r="J107" s="2"/>
      <c r="K107" s="126"/>
      <c r="L107" s="126"/>
      <c r="M107" s="126"/>
      <c r="N107" s="126"/>
      <c r="O107" s="126"/>
      <c r="P107" s="126"/>
      <c r="Q107" s="126"/>
      <c r="R107" s="126"/>
      <c r="S107" s="126"/>
      <c r="T107" s="126"/>
      <c r="U107" s="126"/>
      <c r="V107" s="126"/>
      <c r="W107" s="126"/>
      <c r="X107" s="126"/>
      <c r="Y107" s="126"/>
    </row>
    <row r="108" spans="2:25">
      <c r="B108" s="126"/>
      <c r="C108" s="126"/>
      <c r="D108" s="126"/>
      <c r="E108" s="126"/>
      <c r="F108" s="126"/>
      <c r="G108" s="126"/>
      <c r="H108" s="126"/>
      <c r="I108" s="126"/>
      <c r="J108" s="2"/>
      <c r="K108" s="126"/>
      <c r="L108" s="126"/>
      <c r="M108" s="126"/>
      <c r="N108" s="126"/>
      <c r="O108" s="126"/>
      <c r="P108" s="126"/>
      <c r="Q108" s="126"/>
      <c r="R108" s="126"/>
      <c r="S108" s="126"/>
      <c r="T108" s="126"/>
      <c r="U108" s="126"/>
      <c r="V108" s="126"/>
      <c r="W108" s="126"/>
      <c r="X108" s="126"/>
      <c r="Y108" s="126"/>
    </row>
    <row r="109" spans="2:25">
      <c r="B109" s="126"/>
      <c r="C109" s="126"/>
      <c r="D109" s="126"/>
      <c r="E109" s="126"/>
      <c r="F109" s="126"/>
      <c r="G109" s="126"/>
      <c r="H109" s="126"/>
      <c r="I109" s="126"/>
      <c r="J109" s="2"/>
      <c r="K109" s="126"/>
      <c r="L109" s="126"/>
      <c r="M109" s="126"/>
      <c r="N109" s="126"/>
      <c r="O109" s="126"/>
      <c r="P109" s="126"/>
      <c r="Q109" s="126"/>
      <c r="R109" s="126"/>
      <c r="S109" s="126"/>
      <c r="T109" s="126"/>
      <c r="U109" s="126"/>
      <c r="V109" s="126"/>
      <c r="W109" s="126"/>
      <c r="X109" s="126"/>
      <c r="Y109" s="126"/>
    </row>
    <row r="110" spans="2:25">
      <c r="B110" s="126"/>
      <c r="C110" s="126"/>
      <c r="D110" s="126"/>
      <c r="E110" s="126"/>
      <c r="F110" s="126"/>
      <c r="G110" s="126"/>
      <c r="H110" s="126"/>
      <c r="I110" s="126"/>
      <c r="J110" s="2"/>
      <c r="K110" s="126"/>
      <c r="L110" s="126"/>
      <c r="M110" s="126"/>
      <c r="N110" s="126"/>
      <c r="O110" s="126"/>
      <c r="P110" s="126"/>
      <c r="Q110" s="126"/>
      <c r="R110" s="126"/>
      <c r="S110" s="126"/>
      <c r="T110" s="126"/>
      <c r="U110" s="126"/>
      <c r="V110" s="126"/>
      <c r="W110" s="126"/>
      <c r="X110" s="126"/>
      <c r="Y110" s="126"/>
    </row>
    <row r="111" spans="2:25">
      <c r="B111" s="126"/>
      <c r="C111" s="126"/>
      <c r="D111" s="126"/>
      <c r="E111" s="126"/>
      <c r="F111" s="126"/>
      <c r="G111" s="126"/>
      <c r="H111" s="126"/>
      <c r="I111" s="126"/>
      <c r="J111" s="2"/>
      <c r="K111" s="126"/>
      <c r="L111" s="126"/>
      <c r="M111" s="126"/>
      <c r="N111" s="126"/>
      <c r="O111" s="126"/>
      <c r="P111" s="126"/>
      <c r="Q111" s="126"/>
      <c r="R111" s="126"/>
      <c r="S111" s="126"/>
      <c r="T111" s="126"/>
      <c r="U111" s="126"/>
      <c r="V111" s="126"/>
      <c r="W111" s="126"/>
      <c r="X111" s="126"/>
      <c r="Y111" s="126"/>
    </row>
    <row r="112" spans="2:25">
      <c r="B112" s="126"/>
      <c r="C112" s="126"/>
      <c r="D112" s="126"/>
      <c r="E112" s="126"/>
      <c r="F112" s="126"/>
      <c r="G112" s="126"/>
      <c r="H112" s="126"/>
      <c r="I112" s="126"/>
      <c r="J112" s="2"/>
      <c r="K112" s="126"/>
      <c r="L112" s="126"/>
      <c r="M112" s="126"/>
      <c r="N112" s="126"/>
      <c r="O112" s="126"/>
      <c r="P112" s="126"/>
      <c r="Q112" s="126"/>
      <c r="R112" s="126"/>
      <c r="S112" s="126"/>
      <c r="T112" s="126"/>
      <c r="U112" s="126"/>
      <c r="V112" s="126"/>
      <c r="W112" s="126"/>
      <c r="X112" s="126"/>
      <c r="Y112" s="126"/>
    </row>
    <row r="113" spans="2:25">
      <c r="B113" s="126"/>
      <c r="C113" s="126"/>
      <c r="D113" s="126"/>
      <c r="E113" s="126"/>
      <c r="F113" s="126"/>
      <c r="G113" s="126"/>
      <c r="H113" s="126"/>
      <c r="I113" s="126"/>
      <c r="J113" s="2"/>
      <c r="K113" s="126"/>
      <c r="L113" s="126"/>
      <c r="M113" s="126"/>
      <c r="N113" s="126"/>
      <c r="O113" s="126"/>
      <c r="P113" s="126"/>
      <c r="Q113" s="126"/>
      <c r="R113" s="126"/>
      <c r="S113" s="126"/>
      <c r="T113" s="126"/>
      <c r="U113" s="126"/>
      <c r="V113" s="126"/>
      <c r="W113" s="126"/>
      <c r="X113" s="126"/>
      <c r="Y113" s="126"/>
    </row>
    <row r="114" spans="2:25">
      <c r="B114" s="126"/>
      <c r="C114" s="126"/>
      <c r="D114" s="126"/>
      <c r="E114" s="126"/>
      <c r="F114" s="126"/>
      <c r="G114" s="126"/>
      <c r="H114" s="126"/>
      <c r="I114" s="126"/>
      <c r="J114" s="2"/>
      <c r="K114" s="126"/>
      <c r="L114" s="126"/>
      <c r="M114" s="126"/>
      <c r="N114" s="126"/>
      <c r="O114" s="126"/>
      <c r="P114" s="126"/>
      <c r="Q114" s="126"/>
      <c r="R114" s="126"/>
      <c r="S114" s="126"/>
      <c r="T114" s="126"/>
      <c r="U114" s="126"/>
      <c r="V114" s="126"/>
      <c r="W114" s="126"/>
      <c r="X114" s="126"/>
      <c r="Y114" s="126"/>
    </row>
    <row r="115" spans="2:25">
      <c r="B115" s="126"/>
      <c r="C115" s="126"/>
      <c r="D115" s="126"/>
      <c r="E115" s="126"/>
      <c r="F115" s="126"/>
      <c r="G115" s="126"/>
      <c r="H115" s="126"/>
      <c r="I115" s="126"/>
      <c r="J115" s="2"/>
      <c r="K115" s="126"/>
      <c r="L115" s="126"/>
      <c r="M115" s="126"/>
      <c r="N115" s="126"/>
      <c r="O115" s="126"/>
      <c r="P115" s="126"/>
      <c r="Q115" s="126"/>
      <c r="R115" s="126"/>
      <c r="S115" s="126"/>
      <c r="T115" s="126"/>
      <c r="U115" s="126"/>
      <c r="V115" s="126"/>
      <c r="W115" s="126"/>
      <c r="X115" s="126"/>
      <c r="Y115" s="126"/>
    </row>
    <row r="116" spans="2:25">
      <c r="B116" s="126"/>
      <c r="C116" s="126"/>
      <c r="D116" s="126"/>
      <c r="E116" s="126"/>
      <c r="F116" s="126"/>
      <c r="G116" s="126"/>
      <c r="H116" s="126"/>
      <c r="I116" s="126"/>
      <c r="J116" s="2"/>
      <c r="K116" s="126"/>
      <c r="L116" s="126"/>
      <c r="M116" s="126"/>
      <c r="N116" s="126"/>
      <c r="O116" s="126"/>
      <c r="P116" s="126"/>
      <c r="Q116" s="126"/>
      <c r="R116" s="126"/>
      <c r="S116" s="126"/>
      <c r="T116" s="126"/>
      <c r="U116" s="126"/>
      <c r="V116" s="126"/>
      <c r="W116" s="126"/>
      <c r="X116" s="126"/>
      <c r="Y116" s="126"/>
    </row>
    <row r="117" spans="2:25">
      <c r="B117" s="126"/>
      <c r="C117" s="126"/>
      <c r="D117" s="126"/>
      <c r="E117" s="126"/>
      <c r="F117" s="126"/>
      <c r="G117" s="126"/>
      <c r="H117" s="126"/>
      <c r="I117" s="126"/>
      <c r="J117" s="2"/>
      <c r="K117" s="126"/>
      <c r="L117" s="126"/>
      <c r="M117" s="126"/>
      <c r="N117" s="126"/>
      <c r="O117" s="126"/>
      <c r="P117" s="126"/>
      <c r="Q117" s="126"/>
      <c r="R117" s="126"/>
      <c r="S117" s="126"/>
      <c r="T117" s="126"/>
      <c r="U117" s="126"/>
      <c r="V117" s="126"/>
      <c r="W117" s="126"/>
      <c r="X117" s="126"/>
      <c r="Y117" s="126"/>
    </row>
    <row r="118" spans="2:25">
      <c r="B118" s="126"/>
      <c r="C118" s="126"/>
      <c r="D118" s="126"/>
      <c r="E118" s="126"/>
      <c r="F118" s="126"/>
      <c r="G118" s="126"/>
      <c r="H118" s="126"/>
      <c r="I118" s="126"/>
      <c r="J118" s="2"/>
      <c r="K118" s="126"/>
      <c r="L118" s="126"/>
      <c r="M118" s="126"/>
      <c r="N118" s="126"/>
      <c r="O118" s="126"/>
      <c r="P118" s="126"/>
      <c r="Q118" s="126"/>
      <c r="R118" s="126"/>
      <c r="S118" s="126"/>
      <c r="T118" s="126"/>
      <c r="U118" s="126"/>
      <c r="V118" s="126"/>
      <c r="W118" s="126"/>
      <c r="X118" s="126"/>
      <c r="Y118" s="126"/>
    </row>
    <row r="119" spans="2:25">
      <c r="B119" s="126"/>
      <c r="C119" s="126"/>
      <c r="D119" s="126"/>
      <c r="E119" s="126"/>
      <c r="F119" s="126"/>
      <c r="G119" s="126"/>
      <c r="H119" s="126"/>
      <c r="I119" s="126"/>
      <c r="J119" s="2"/>
      <c r="K119" s="126"/>
      <c r="L119" s="126"/>
      <c r="M119" s="126"/>
      <c r="N119" s="126"/>
      <c r="O119" s="126"/>
      <c r="P119" s="126"/>
      <c r="Q119" s="126"/>
      <c r="R119" s="126"/>
      <c r="S119" s="126"/>
      <c r="T119" s="126"/>
      <c r="U119" s="126"/>
      <c r="V119" s="126"/>
      <c r="W119" s="126"/>
      <c r="X119" s="126"/>
      <c r="Y119" s="126"/>
    </row>
    <row r="120" spans="2:25">
      <c r="B120" s="126"/>
      <c r="C120" s="126"/>
      <c r="D120" s="126"/>
      <c r="E120" s="126"/>
      <c r="F120" s="126"/>
      <c r="G120" s="126"/>
      <c r="H120" s="126"/>
      <c r="I120" s="126"/>
      <c r="J120" s="2"/>
      <c r="K120" s="126"/>
      <c r="L120" s="126"/>
      <c r="M120" s="126"/>
      <c r="N120" s="126"/>
      <c r="O120" s="126"/>
      <c r="P120" s="126"/>
      <c r="Q120" s="126"/>
      <c r="R120" s="126"/>
      <c r="S120" s="126"/>
      <c r="T120" s="126"/>
      <c r="U120" s="126"/>
      <c r="V120" s="126"/>
      <c r="W120" s="126"/>
      <c r="X120" s="126"/>
      <c r="Y120" s="126"/>
    </row>
    <row r="121" spans="2:25">
      <c r="B121" s="126"/>
      <c r="C121" s="126"/>
      <c r="D121" s="126"/>
      <c r="E121" s="126"/>
      <c r="F121" s="126"/>
      <c r="G121" s="126"/>
      <c r="H121" s="126"/>
      <c r="I121" s="126"/>
      <c r="J121" s="2"/>
      <c r="K121" s="126"/>
      <c r="L121" s="126"/>
      <c r="M121" s="126"/>
      <c r="N121" s="126"/>
      <c r="O121" s="126"/>
      <c r="P121" s="126"/>
      <c r="Q121" s="126"/>
      <c r="R121" s="126"/>
      <c r="S121" s="126"/>
      <c r="T121" s="126"/>
      <c r="U121" s="126"/>
      <c r="V121" s="126"/>
      <c r="W121" s="126"/>
      <c r="X121" s="126"/>
      <c r="Y121" s="126"/>
    </row>
    <row r="122" spans="2:25">
      <c r="B122" s="126"/>
      <c r="C122" s="126"/>
      <c r="D122" s="126"/>
      <c r="E122" s="126"/>
      <c r="F122" s="126"/>
      <c r="G122" s="126"/>
      <c r="H122" s="126"/>
      <c r="I122" s="126"/>
      <c r="J122" s="2"/>
      <c r="K122" s="126"/>
      <c r="L122" s="126"/>
      <c r="M122" s="126"/>
      <c r="N122" s="126"/>
      <c r="O122" s="126"/>
      <c r="P122" s="126"/>
      <c r="Q122" s="126"/>
      <c r="R122" s="126"/>
      <c r="S122" s="126"/>
      <c r="T122" s="126"/>
      <c r="U122" s="126"/>
      <c r="V122" s="126"/>
      <c r="W122" s="126"/>
      <c r="X122" s="126"/>
      <c r="Y122" s="126"/>
    </row>
    <row r="123" spans="2:25">
      <c r="B123" s="126"/>
      <c r="C123" s="126"/>
      <c r="D123" s="126"/>
      <c r="E123" s="126"/>
      <c r="F123" s="126"/>
      <c r="G123" s="126"/>
      <c r="H123" s="126"/>
      <c r="I123" s="126"/>
      <c r="J123" s="2"/>
      <c r="K123" s="126"/>
      <c r="L123" s="126"/>
      <c r="M123" s="126"/>
      <c r="N123" s="126"/>
      <c r="O123" s="126"/>
      <c r="P123" s="126"/>
      <c r="Q123" s="126"/>
      <c r="R123" s="126"/>
      <c r="S123" s="126"/>
      <c r="T123" s="126"/>
      <c r="U123" s="126"/>
      <c r="V123" s="126"/>
      <c r="W123" s="126"/>
      <c r="X123" s="126"/>
      <c r="Y123" s="126"/>
    </row>
    <row r="124" spans="2:25">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row>
    <row r="125" spans="2:25">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row>
    <row r="126" spans="2:25">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row>
    <row r="127" spans="2:25">
      <c r="B127" s="126"/>
      <c r="C127" s="126"/>
      <c r="D127" s="126"/>
      <c r="E127" s="126"/>
      <c r="F127" s="126"/>
      <c r="G127" s="126"/>
      <c r="H127" s="126"/>
      <c r="I127" s="126"/>
      <c r="J127" s="2"/>
      <c r="K127" s="126"/>
      <c r="L127" s="126"/>
      <c r="M127" s="126"/>
      <c r="N127" s="126"/>
      <c r="O127" s="126"/>
      <c r="P127" s="126"/>
      <c r="Q127" s="126"/>
      <c r="R127" s="126"/>
      <c r="S127" s="126"/>
      <c r="T127" s="126"/>
      <c r="U127" s="126"/>
      <c r="V127" s="126"/>
      <c r="W127" s="126"/>
      <c r="X127" s="126"/>
      <c r="Y127" s="126"/>
    </row>
    <row r="128" spans="2:25">
      <c r="B128" s="126"/>
      <c r="C128" s="126"/>
      <c r="D128" s="126"/>
      <c r="E128" s="126"/>
      <c r="F128" s="126"/>
      <c r="G128" s="126"/>
      <c r="H128" s="126"/>
      <c r="I128" s="126"/>
      <c r="J128" s="2"/>
      <c r="K128" s="126"/>
      <c r="L128" s="126"/>
      <c r="M128" s="126"/>
      <c r="N128" s="126"/>
      <c r="O128" s="126"/>
      <c r="P128" s="126"/>
      <c r="Q128" s="126"/>
      <c r="R128" s="126"/>
      <c r="S128" s="126"/>
      <c r="T128" s="126"/>
      <c r="U128" s="126"/>
      <c r="V128" s="126"/>
      <c r="W128" s="126"/>
      <c r="X128" s="126"/>
      <c r="Y128" s="126"/>
    </row>
    <row r="129" spans="2:25">
      <c r="B129" s="126"/>
      <c r="C129" s="126"/>
      <c r="D129" s="126"/>
      <c r="E129" s="126"/>
      <c r="F129" s="126"/>
      <c r="G129" s="126"/>
      <c r="H129" s="126"/>
      <c r="I129" s="126"/>
      <c r="J129" s="2"/>
      <c r="K129" s="126"/>
      <c r="L129" s="126"/>
      <c r="M129" s="126"/>
      <c r="N129" s="126"/>
      <c r="O129" s="126"/>
      <c r="P129" s="126"/>
      <c r="Q129" s="126"/>
      <c r="R129" s="126"/>
      <c r="S129" s="126"/>
      <c r="T129" s="126"/>
      <c r="U129" s="126"/>
      <c r="V129" s="126"/>
      <c r="W129" s="126"/>
      <c r="X129" s="126"/>
      <c r="Y129" s="126"/>
    </row>
    <row r="130" spans="2:25">
      <c r="B130" s="126"/>
      <c r="C130" s="126"/>
      <c r="D130" s="126"/>
      <c r="E130" s="126"/>
      <c r="F130" s="126"/>
      <c r="G130" s="126"/>
      <c r="H130" s="126"/>
      <c r="I130" s="126"/>
      <c r="J130" s="2"/>
      <c r="K130" s="126"/>
      <c r="L130" s="126"/>
      <c r="M130" s="126"/>
      <c r="N130" s="126"/>
      <c r="O130" s="126"/>
      <c r="P130" s="126"/>
      <c r="Q130" s="126"/>
      <c r="R130" s="126"/>
      <c r="S130" s="126"/>
      <c r="T130" s="126"/>
      <c r="U130" s="126"/>
      <c r="V130" s="126"/>
      <c r="W130" s="126"/>
      <c r="X130" s="126"/>
      <c r="Y130" s="126"/>
    </row>
    <row r="131" spans="2:25">
      <c r="B131" s="126"/>
      <c r="C131" s="126"/>
      <c r="D131" s="126"/>
      <c r="E131" s="126"/>
      <c r="F131" s="126"/>
      <c r="G131" s="126"/>
      <c r="H131" s="126"/>
      <c r="I131" s="126"/>
      <c r="J131" s="2"/>
      <c r="K131" s="126"/>
      <c r="L131" s="126"/>
      <c r="M131" s="126"/>
      <c r="N131" s="126"/>
      <c r="O131" s="126"/>
      <c r="P131" s="126"/>
      <c r="Q131" s="126"/>
      <c r="R131" s="126"/>
      <c r="S131" s="126"/>
      <c r="T131" s="126"/>
      <c r="U131" s="126"/>
      <c r="V131" s="126"/>
      <c r="W131" s="126"/>
      <c r="X131" s="126"/>
      <c r="Y131" s="126"/>
    </row>
    <row r="132" spans="2:25">
      <c r="B132" s="126"/>
      <c r="C132" s="126"/>
      <c r="D132" s="126"/>
      <c r="E132" s="126"/>
      <c r="F132" s="126"/>
      <c r="G132" s="126"/>
      <c r="H132" s="126"/>
      <c r="I132" s="126"/>
      <c r="J132" s="2"/>
      <c r="K132" s="126"/>
      <c r="L132" s="126"/>
      <c r="M132" s="126"/>
      <c r="N132" s="126"/>
      <c r="O132" s="126"/>
      <c r="P132" s="126"/>
      <c r="Q132" s="126"/>
      <c r="R132" s="126"/>
      <c r="S132" s="126"/>
      <c r="T132" s="126"/>
      <c r="U132" s="126"/>
      <c r="V132" s="126"/>
      <c r="W132" s="126"/>
      <c r="X132" s="126"/>
      <c r="Y132" s="126"/>
    </row>
    <row r="133" spans="2:25">
      <c r="B133" s="126"/>
      <c r="C133" s="126"/>
      <c r="D133" s="126"/>
      <c r="E133" s="126"/>
      <c r="F133" s="126"/>
      <c r="G133" s="126"/>
      <c r="H133" s="126"/>
      <c r="I133" s="126"/>
      <c r="J133" s="2"/>
      <c r="K133" s="126"/>
      <c r="L133" s="126"/>
      <c r="M133" s="126"/>
      <c r="N133" s="126"/>
      <c r="O133" s="126"/>
      <c r="P133" s="126"/>
      <c r="Q133" s="126"/>
      <c r="R133" s="126"/>
      <c r="S133" s="126"/>
      <c r="T133" s="126"/>
      <c r="U133" s="126"/>
      <c r="V133" s="126"/>
      <c r="W133" s="126"/>
      <c r="X133" s="126"/>
      <c r="Y133" s="126"/>
    </row>
    <row r="134" spans="2:25">
      <c r="B134" s="126"/>
      <c r="C134" s="126"/>
      <c r="D134" s="126"/>
      <c r="E134" s="126"/>
      <c r="F134" s="126"/>
      <c r="G134" s="126"/>
      <c r="H134" s="126"/>
      <c r="I134" s="126"/>
      <c r="J134" s="2"/>
      <c r="K134" s="126"/>
      <c r="L134" s="126"/>
      <c r="M134" s="126"/>
      <c r="N134" s="126"/>
      <c r="O134" s="126"/>
      <c r="P134" s="126"/>
      <c r="Q134" s="126"/>
      <c r="R134" s="126"/>
      <c r="S134" s="126"/>
      <c r="T134" s="126"/>
      <c r="U134" s="126"/>
      <c r="V134" s="126"/>
      <c r="W134" s="126"/>
      <c r="X134" s="126"/>
      <c r="Y134" s="126"/>
    </row>
    <row r="135" spans="2:25">
      <c r="B135" s="126"/>
      <c r="C135" s="126"/>
      <c r="D135" s="126"/>
      <c r="E135" s="126"/>
      <c r="F135" s="126"/>
      <c r="G135" s="126"/>
      <c r="H135" s="126"/>
      <c r="I135" s="126"/>
      <c r="J135" s="2"/>
      <c r="K135" s="126"/>
      <c r="L135" s="126"/>
      <c r="M135" s="126"/>
      <c r="N135" s="126"/>
      <c r="O135" s="126"/>
      <c r="P135" s="126"/>
      <c r="Q135" s="126"/>
      <c r="R135" s="126"/>
      <c r="S135" s="126"/>
      <c r="T135" s="126"/>
      <c r="U135" s="126"/>
      <c r="V135" s="126"/>
      <c r="W135" s="126"/>
      <c r="X135" s="126"/>
      <c r="Y135" s="126"/>
    </row>
    <row r="136" spans="2:25">
      <c r="B136" s="126"/>
      <c r="C136" s="126"/>
      <c r="D136" s="126"/>
      <c r="E136" s="126"/>
      <c r="F136" s="126"/>
      <c r="G136" s="126"/>
      <c r="H136" s="126"/>
      <c r="I136" s="126"/>
      <c r="J136" s="2"/>
      <c r="K136" s="126"/>
      <c r="L136" s="126"/>
      <c r="M136" s="126"/>
      <c r="N136" s="126"/>
      <c r="O136" s="126"/>
      <c r="P136" s="126"/>
      <c r="Q136" s="126"/>
      <c r="R136" s="126"/>
      <c r="S136" s="126"/>
      <c r="T136" s="126"/>
      <c r="U136" s="126"/>
      <c r="V136" s="126"/>
      <c r="W136" s="126"/>
      <c r="X136" s="126"/>
      <c r="Y136" s="126"/>
    </row>
    <row r="137" spans="2:25">
      <c r="B137" s="126"/>
      <c r="C137" s="126"/>
      <c r="D137" s="126"/>
      <c r="E137" s="126"/>
      <c r="F137" s="126"/>
      <c r="G137" s="126"/>
      <c r="H137" s="126"/>
      <c r="I137" s="126"/>
      <c r="J137" s="2"/>
      <c r="K137" s="126"/>
      <c r="L137" s="126"/>
      <c r="M137" s="126"/>
      <c r="N137" s="126"/>
      <c r="O137" s="126"/>
      <c r="P137" s="126"/>
      <c r="Q137" s="126"/>
      <c r="R137" s="126"/>
      <c r="S137" s="126"/>
      <c r="T137" s="126"/>
      <c r="U137" s="126"/>
      <c r="V137" s="126"/>
      <c r="W137" s="126"/>
      <c r="X137" s="126"/>
      <c r="Y137" s="126"/>
    </row>
    <row r="138" spans="2:25">
      <c r="B138" s="126"/>
      <c r="C138" s="126"/>
      <c r="D138" s="126"/>
      <c r="E138" s="126"/>
      <c r="F138" s="126"/>
      <c r="G138" s="126"/>
      <c r="H138" s="126"/>
      <c r="I138" s="126"/>
      <c r="J138" s="2"/>
      <c r="K138" s="126"/>
      <c r="L138" s="126"/>
      <c r="M138" s="126"/>
      <c r="N138" s="126"/>
      <c r="O138" s="126"/>
      <c r="P138" s="126"/>
      <c r="Q138" s="126"/>
      <c r="R138" s="126"/>
      <c r="S138" s="126"/>
      <c r="T138" s="126"/>
      <c r="U138" s="126"/>
      <c r="V138" s="126"/>
      <c r="W138" s="126"/>
      <c r="X138" s="126"/>
      <c r="Y138" s="126"/>
    </row>
    <row r="139" spans="2:25">
      <c r="B139" s="126"/>
      <c r="C139" s="126"/>
      <c r="D139" s="126"/>
      <c r="E139" s="126"/>
      <c r="F139" s="126"/>
      <c r="G139" s="126"/>
      <c r="H139" s="126"/>
      <c r="I139" s="126"/>
      <c r="J139" s="2"/>
      <c r="K139" s="126"/>
      <c r="L139" s="126"/>
      <c r="M139" s="126"/>
      <c r="N139" s="126"/>
      <c r="O139" s="126"/>
      <c r="P139" s="126"/>
      <c r="Q139" s="126"/>
      <c r="R139" s="126"/>
      <c r="S139" s="126"/>
      <c r="T139" s="126"/>
      <c r="U139" s="126"/>
      <c r="V139" s="126"/>
      <c r="W139" s="126"/>
      <c r="X139" s="126"/>
      <c r="Y139" s="126"/>
    </row>
    <row r="140" spans="2:25">
      <c r="B140" s="126"/>
      <c r="C140" s="126"/>
      <c r="D140" s="126"/>
      <c r="E140" s="126"/>
      <c r="F140" s="126"/>
      <c r="G140" s="126"/>
      <c r="H140" s="126"/>
      <c r="I140" s="126"/>
      <c r="J140" s="2"/>
      <c r="K140" s="126"/>
      <c r="L140" s="126"/>
      <c r="M140" s="126"/>
      <c r="N140" s="126"/>
      <c r="O140" s="126"/>
      <c r="P140" s="126"/>
      <c r="Q140" s="126"/>
      <c r="R140" s="126"/>
      <c r="S140" s="126"/>
      <c r="T140" s="126"/>
      <c r="U140" s="126"/>
      <c r="V140" s="126"/>
      <c r="W140" s="126"/>
      <c r="X140" s="126"/>
      <c r="Y140" s="126"/>
    </row>
    <row r="141" spans="2:25">
      <c r="B141" s="126"/>
      <c r="C141" s="126"/>
      <c r="D141" s="126"/>
      <c r="E141" s="126"/>
      <c r="F141" s="126"/>
      <c r="G141" s="126"/>
      <c r="H141" s="126"/>
      <c r="I141" s="126"/>
      <c r="J141" s="2"/>
      <c r="K141" s="126"/>
      <c r="L141" s="126"/>
      <c r="M141" s="126"/>
      <c r="N141" s="126"/>
      <c r="O141" s="126"/>
      <c r="P141" s="126"/>
      <c r="Q141" s="126"/>
      <c r="R141" s="126"/>
      <c r="S141" s="126"/>
      <c r="T141" s="126"/>
      <c r="U141" s="126"/>
      <c r="V141" s="126"/>
      <c r="W141" s="126"/>
      <c r="X141" s="126"/>
      <c r="Y141" s="126"/>
    </row>
    <row r="142" spans="2:25">
      <c r="B142" s="126"/>
      <c r="C142" s="126"/>
      <c r="D142" s="126"/>
      <c r="E142" s="126"/>
      <c r="F142" s="126"/>
      <c r="G142" s="126"/>
      <c r="H142" s="126"/>
      <c r="I142" s="126"/>
      <c r="J142" s="2"/>
      <c r="K142" s="126"/>
      <c r="L142" s="126"/>
      <c r="M142" s="126"/>
      <c r="N142" s="126"/>
      <c r="O142" s="126"/>
      <c r="P142" s="126"/>
      <c r="Q142" s="126"/>
      <c r="R142" s="126"/>
      <c r="S142" s="126"/>
      <c r="T142" s="126"/>
      <c r="U142" s="126"/>
      <c r="V142" s="126"/>
      <c r="W142" s="126"/>
      <c r="X142" s="126"/>
      <c r="Y142" s="126"/>
    </row>
    <row r="143" spans="2:25">
      <c r="B143" s="126"/>
      <c r="C143" s="126"/>
      <c r="D143" s="126"/>
      <c r="E143" s="126"/>
      <c r="F143" s="126"/>
      <c r="G143" s="126"/>
      <c r="H143" s="126"/>
      <c r="I143" s="126"/>
      <c r="J143" s="2"/>
      <c r="K143" s="126"/>
      <c r="L143" s="126"/>
      <c r="M143" s="126"/>
      <c r="N143" s="126"/>
      <c r="O143" s="126"/>
      <c r="P143" s="126"/>
      <c r="Q143" s="126"/>
      <c r="R143" s="126"/>
      <c r="S143" s="126"/>
      <c r="T143" s="126"/>
      <c r="U143" s="126"/>
      <c r="V143" s="126"/>
      <c r="W143" s="126"/>
      <c r="X143" s="126"/>
      <c r="Y143" s="126"/>
    </row>
    <row r="144" spans="2:25">
      <c r="B144" s="126"/>
      <c r="C144" s="126"/>
      <c r="D144" s="126"/>
      <c r="E144" s="126"/>
      <c r="F144" s="126"/>
      <c r="G144" s="126"/>
      <c r="H144" s="126"/>
      <c r="I144" s="126"/>
      <c r="J144" s="2"/>
      <c r="K144" s="126"/>
      <c r="L144" s="126"/>
      <c r="M144" s="126"/>
      <c r="N144" s="126"/>
      <c r="O144" s="126"/>
      <c r="P144" s="126"/>
      <c r="Q144" s="126"/>
      <c r="R144" s="126"/>
      <c r="S144" s="126"/>
      <c r="T144" s="126"/>
      <c r="U144" s="126"/>
      <c r="V144" s="126"/>
      <c r="W144" s="126"/>
      <c r="X144" s="126"/>
      <c r="Y144" s="126"/>
    </row>
    <row r="145" spans="2:25">
      <c r="B145" s="126"/>
      <c r="C145" s="126"/>
      <c r="D145" s="126"/>
      <c r="E145" s="126"/>
      <c r="F145" s="126"/>
      <c r="G145" s="126"/>
      <c r="H145" s="126"/>
      <c r="I145" s="126"/>
      <c r="J145" s="2"/>
      <c r="K145" s="126"/>
      <c r="L145" s="126"/>
      <c r="M145" s="126"/>
      <c r="N145" s="126"/>
      <c r="O145" s="126"/>
      <c r="P145" s="126"/>
      <c r="Q145" s="126"/>
      <c r="R145" s="126"/>
      <c r="S145" s="126"/>
      <c r="T145" s="126"/>
      <c r="U145" s="126"/>
      <c r="V145" s="126"/>
      <c r="W145" s="126"/>
      <c r="X145" s="126"/>
      <c r="Y145" s="126"/>
    </row>
    <row r="146" spans="2:25">
      <c r="B146" s="126"/>
      <c r="C146" s="126"/>
      <c r="D146" s="126"/>
      <c r="E146" s="126"/>
      <c r="F146" s="126"/>
      <c r="G146" s="126"/>
      <c r="H146" s="126"/>
      <c r="I146" s="126"/>
      <c r="J146" s="2"/>
      <c r="K146" s="126"/>
      <c r="L146" s="126"/>
      <c r="M146" s="126"/>
      <c r="N146" s="126"/>
      <c r="O146" s="126"/>
      <c r="P146" s="126"/>
      <c r="Q146" s="126"/>
      <c r="R146" s="126"/>
      <c r="S146" s="126"/>
      <c r="T146" s="126"/>
      <c r="U146" s="126"/>
      <c r="V146" s="126"/>
      <c r="W146" s="126"/>
      <c r="X146" s="126"/>
      <c r="Y146" s="126"/>
    </row>
    <row r="147" spans="2:25">
      <c r="B147" s="126"/>
      <c r="C147" s="126"/>
      <c r="D147" s="126"/>
      <c r="E147" s="126"/>
      <c r="F147" s="126"/>
      <c r="G147" s="126"/>
      <c r="H147" s="126"/>
      <c r="I147" s="126"/>
      <c r="J147" s="2"/>
      <c r="K147" s="126"/>
      <c r="L147" s="126"/>
      <c r="M147" s="126"/>
      <c r="N147" s="126"/>
      <c r="O147" s="126"/>
      <c r="P147" s="126"/>
      <c r="Q147" s="126"/>
      <c r="R147" s="126"/>
      <c r="S147" s="126"/>
      <c r="T147" s="126"/>
      <c r="U147" s="126"/>
      <c r="V147" s="126"/>
      <c r="W147" s="126"/>
      <c r="X147" s="126"/>
      <c r="Y147" s="126"/>
    </row>
    <row r="148" spans="2:25">
      <c r="B148" s="126"/>
      <c r="C148" s="126"/>
      <c r="D148" s="126"/>
      <c r="E148" s="126"/>
      <c r="F148" s="126"/>
      <c r="G148" s="126"/>
      <c r="H148" s="126"/>
      <c r="I148" s="126"/>
      <c r="J148" s="2"/>
      <c r="K148" s="126"/>
      <c r="L148" s="126"/>
      <c r="M148" s="126"/>
      <c r="N148" s="126"/>
      <c r="O148" s="126"/>
      <c r="P148" s="126"/>
      <c r="Q148" s="126"/>
      <c r="R148" s="126"/>
      <c r="S148" s="126"/>
      <c r="T148" s="126"/>
      <c r="U148" s="126"/>
      <c r="V148" s="126"/>
      <c r="W148" s="126"/>
      <c r="X148" s="126"/>
      <c r="Y148" s="126"/>
    </row>
    <row r="149" spans="2:25">
      <c r="B149" s="126"/>
      <c r="C149" s="126"/>
      <c r="D149" s="126"/>
      <c r="E149" s="126"/>
      <c r="F149" s="126"/>
      <c r="G149" s="126"/>
      <c r="H149" s="126"/>
      <c r="I149" s="126"/>
      <c r="J149" s="2"/>
      <c r="K149" s="126"/>
      <c r="L149" s="126"/>
      <c r="M149" s="126"/>
      <c r="N149" s="126"/>
      <c r="O149" s="126"/>
      <c r="P149" s="126"/>
      <c r="Q149" s="126"/>
      <c r="R149" s="126"/>
      <c r="S149" s="126"/>
      <c r="T149" s="126"/>
      <c r="U149" s="126"/>
      <c r="V149" s="126"/>
      <c r="W149" s="126"/>
      <c r="X149" s="126"/>
      <c r="Y149" s="126"/>
    </row>
    <row r="150" spans="2:25">
      <c r="B150" s="126"/>
      <c r="C150" s="126"/>
      <c r="D150" s="126"/>
      <c r="E150" s="126"/>
      <c r="F150" s="126"/>
      <c r="G150" s="126"/>
      <c r="H150" s="126"/>
      <c r="I150" s="126"/>
      <c r="J150" s="2"/>
      <c r="K150" s="126"/>
      <c r="L150" s="126"/>
      <c r="M150" s="126"/>
      <c r="N150" s="126"/>
      <c r="O150" s="126"/>
      <c r="P150" s="126"/>
      <c r="Q150" s="126"/>
      <c r="R150" s="126"/>
      <c r="S150" s="126"/>
      <c r="T150" s="126"/>
      <c r="U150" s="126"/>
      <c r="V150" s="126"/>
      <c r="W150" s="126"/>
      <c r="X150" s="126"/>
      <c r="Y150" s="126"/>
    </row>
    <row r="151" spans="2:25">
      <c r="B151" s="126"/>
      <c r="C151" s="126"/>
      <c r="D151" s="126"/>
      <c r="E151" s="126"/>
      <c r="F151" s="126"/>
      <c r="G151" s="126"/>
      <c r="H151" s="126"/>
      <c r="I151" s="126"/>
      <c r="J151" s="2"/>
      <c r="K151" s="126"/>
      <c r="L151" s="126"/>
      <c r="M151" s="126"/>
      <c r="N151" s="126"/>
      <c r="O151" s="126"/>
      <c r="P151" s="126"/>
      <c r="Q151" s="126"/>
      <c r="R151" s="126"/>
      <c r="S151" s="126"/>
      <c r="T151" s="126"/>
      <c r="U151" s="126"/>
      <c r="V151" s="126"/>
      <c r="W151" s="126"/>
      <c r="X151" s="126"/>
      <c r="Y151" s="126"/>
    </row>
    <row r="152" spans="2:25">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row>
    <row r="153" spans="2:25">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row>
    <row r="154" spans="2:25">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row>
    <row r="155" spans="2:25">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row>
    <row r="156" spans="2:25">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row>
    <row r="157" spans="2:25">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row>
    <row r="158" spans="2:25">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row>
    <row r="159" spans="2:25">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row>
    <row r="160" spans="2:25">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row>
    <row r="161" spans="2:25">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row>
    <row r="162" spans="2:25">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row>
    <row r="163" spans="2:25">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row>
    <row r="164" spans="2:25">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row>
    <row r="165" spans="2:25">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row>
    <row r="166" spans="2:25">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row>
    <row r="167" spans="2:25">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row>
    <row r="168" spans="2:25">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row>
    <row r="169" spans="2:25">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row>
    <row r="170" spans="2:25">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row>
    <row r="171" spans="2:25">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row>
    <row r="172" spans="2:25">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row>
    <row r="173" spans="2:25">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row>
    <row r="174" spans="2:25">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row>
    <row r="175" spans="2:25">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row>
    <row r="176" spans="2:25">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row>
    <row r="177" spans="2:25">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row>
    <row r="178" spans="2:25">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row>
    <row r="179" spans="2:25">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row>
    <row r="180" spans="2:25">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row>
    <row r="181" spans="2:25">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row>
    <row r="182" spans="2:25">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spans="2:25">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spans="2:25">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spans="2:25">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spans="2:25">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spans="2:25">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spans="2:25">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spans="2:25">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spans="2:25">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spans="2:25">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spans="2:25">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spans="2:25">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spans="2:25">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spans="2:25">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spans="2:25">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spans="2:25">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spans="2:25">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spans="2:25">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spans="2:25">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spans="2:25">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spans="2:25">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spans="2:25">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spans="2:25">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spans="2:25">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spans="2:25">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spans="2:25">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spans="2:25">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spans="2:25">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spans="2:25">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spans="2:25">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spans="2:25">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spans="2:25">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spans="2:25">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spans="2:25">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spans="2:25">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spans="2:25">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spans="2:25">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spans="2:25">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spans="2:25">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spans="2:25">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spans="2:25">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spans="2:25">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spans="2:25">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spans="2:25">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spans="2:25">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spans="2:25">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spans="2:25">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spans="2:25">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spans="2:25">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spans="2:25">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spans="2:25">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spans="2:25">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spans="2:25">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spans="2:25">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spans="2:25">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spans="2:25">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spans="2:25">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spans="2:25">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spans="2:25">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spans="2:25">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spans="2:25">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spans="2:25">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spans="2:25">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spans="2:25">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spans="2:25">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spans="2:25">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spans="2:25">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spans="2:25">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spans="2:25">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spans="2:25">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spans="2:25">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spans="2:25">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spans="2:25">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spans="2:25">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spans="2:25">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spans="2:25">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spans="2:25">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spans="2:25">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spans="2:25">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spans="2:25">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spans="2:25">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spans="2:25">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spans="2:25">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spans="2:25">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spans="2:25">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spans="2:25">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spans="2:25">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spans="2:25">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spans="2:25">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spans="2:25">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spans="2:25">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spans="2:25">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spans="2:25">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spans="2:25">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spans="2:25">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spans="2:25">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spans="2:25">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spans="2:25">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25">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25">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25">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25">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25">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25">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25">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25">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25">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2:25">
      <c r="B401" s="1"/>
      <c r="C401" s="1"/>
      <c r="D401" s="1"/>
      <c r="E401" s="1"/>
      <c r="F401" s="1"/>
      <c r="G401" s="1"/>
      <c r="H401" s="1"/>
      <c r="I401" s="1"/>
      <c r="J401" s="1"/>
      <c r="K401" s="1"/>
      <c r="L401" s="1"/>
      <c r="M401" s="1"/>
      <c r="N401" s="1"/>
      <c r="O401" s="1"/>
      <c r="P401" s="1"/>
      <c r="Q401" s="1"/>
      <c r="R401" s="1"/>
      <c r="S401" s="1"/>
      <c r="T401" s="1"/>
      <c r="U401" s="1"/>
      <c r="V401" s="1"/>
      <c r="W401" s="1"/>
      <c r="X401" s="1"/>
      <c r="Y401" s="1"/>
    </row>
  </sheetData>
  <mergeCells count="5">
    <mergeCell ref="F25:I25"/>
    <mergeCell ref="B10:I10"/>
    <mergeCell ref="E5:H5"/>
    <mergeCell ref="B8:M9"/>
    <mergeCell ref="J25:M2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 </vt:lpstr>
      <vt:lpstr>Forecasts Simone</vt:lpstr>
      <vt:lpstr>Output forecasts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2020-06-10T11:19:18Z</dcterms:modified>
</cp:coreProperties>
</file>