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acs.org\cr\desktopFR\mlv00\Desktop\Galleys\"/>
    </mc:Choice>
  </mc:AlternateContent>
  <bookViews>
    <workbookView xWindow="-120" yWindow="-120" windowWidth="25440" windowHeight="15390" firstSheet="6" activeTab="10"/>
  </bookViews>
  <sheets>
    <sheet name="SI 1 Site IDS for map" sheetId="20" r:id="rId1"/>
    <sheet name="SI 2 Sed data" sheetId="1" r:id="rId2"/>
    <sheet name="SI 3 Biofilm data" sheetId="3" r:id="rId3"/>
    <sheet name="SI 4 Compound list" sheetId="6" r:id="rId4"/>
    <sheet name="SI 5 GAM variables" sheetId="17" r:id="rId5"/>
    <sheet name="SI 6 Detection Frequencies" sheetId="26" r:id="rId6"/>
    <sheet name="SI 7 Benchmarks " sheetId="14" r:id="rId7"/>
    <sheet name="SI 8 TUmax" sheetId="15" r:id="rId8"/>
    <sheet name="SI 9 Tobit regression variables" sheetId="16" r:id="rId9"/>
    <sheet name="SI 10 GAM data" sheetId="28" r:id="rId10"/>
    <sheet name="SI 11 Pesticide use in g-km2" sheetId="30" r:id="rId11"/>
  </sheets>
  <externalReferences>
    <externalReference r:id="rId12"/>
  </externalReferences>
  <definedNames>
    <definedName name="_xlnm._FilterDatabase" localSheetId="3" hidden="1">'SI 4 Compound list'!$A$5:$K$123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6" i="30" l="1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P49" i="30"/>
  <c r="O49" i="30"/>
  <c r="N49" i="30"/>
  <c r="M49" i="30"/>
  <c r="L49" i="30"/>
  <c r="K49" i="30"/>
  <c r="J49" i="30"/>
  <c r="I49" i="30"/>
  <c r="H49" i="30"/>
  <c r="G49" i="30"/>
  <c r="F49" i="30"/>
  <c r="E49" i="30"/>
  <c r="D49" i="30"/>
  <c r="C49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P44" i="30"/>
  <c r="O44" i="30"/>
  <c r="N44" i="30"/>
  <c r="M44" i="30"/>
  <c r="L44" i="30"/>
  <c r="K44" i="30"/>
  <c r="J44" i="30"/>
  <c r="I44" i="30"/>
  <c r="H44" i="30"/>
  <c r="G44" i="30"/>
  <c r="F44" i="30"/>
  <c r="E44" i="30"/>
  <c r="D44" i="30"/>
  <c r="C44" i="30"/>
  <c r="P43" i="30"/>
  <c r="O43" i="30"/>
  <c r="N43" i="30"/>
  <c r="M43" i="30"/>
  <c r="L43" i="30"/>
  <c r="K43" i="30"/>
  <c r="J43" i="30"/>
  <c r="I43" i="30"/>
  <c r="H43" i="30"/>
  <c r="G43" i="30"/>
  <c r="F43" i="30"/>
  <c r="E43" i="30"/>
  <c r="D43" i="30"/>
  <c r="C43" i="30"/>
  <c r="P42" i="30"/>
  <c r="O42" i="30"/>
  <c r="N42" i="30"/>
  <c r="M42" i="30"/>
  <c r="L42" i="30"/>
  <c r="K42" i="30"/>
  <c r="J42" i="30"/>
  <c r="I42" i="30"/>
  <c r="H42" i="30"/>
  <c r="G42" i="30"/>
  <c r="F42" i="30"/>
  <c r="E42" i="30"/>
  <c r="D42" i="30"/>
  <c r="C42" i="30"/>
  <c r="P41" i="30"/>
  <c r="O41" i="30"/>
  <c r="N41" i="30"/>
  <c r="M41" i="30"/>
  <c r="L41" i="30"/>
  <c r="K41" i="30"/>
  <c r="J41" i="30"/>
  <c r="I41" i="30"/>
  <c r="H41" i="30"/>
  <c r="G41" i="30"/>
  <c r="F41" i="30"/>
  <c r="E41" i="30"/>
  <c r="D41" i="30"/>
  <c r="C41" i="30"/>
  <c r="P40" i="30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C38" i="30"/>
  <c r="P37" i="30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C34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P31" i="30"/>
  <c r="O31" i="30"/>
  <c r="N31" i="30"/>
  <c r="M31" i="30"/>
  <c r="L31" i="30"/>
  <c r="K31" i="30"/>
  <c r="J31" i="30"/>
  <c r="I31" i="30"/>
  <c r="H31" i="30"/>
  <c r="G31" i="30"/>
  <c r="F31" i="30"/>
  <c r="E31" i="30"/>
  <c r="D31" i="30"/>
  <c r="C31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C27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C26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C25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K123" i="6" l="1"/>
  <c r="J123" i="6"/>
  <c r="K122" i="6"/>
  <c r="J122" i="6"/>
  <c r="K121" i="6"/>
  <c r="J121" i="6"/>
  <c r="K120" i="6"/>
  <c r="J120" i="6"/>
  <c r="K119" i="6"/>
  <c r="J119" i="6"/>
  <c r="K118" i="6"/>
  <c r="J118" i="6"/>
  <c r="K117" i="6"/>
  <c r="J117" i="6"/>
  <c r="K116" i="6"/>
  <c r="J116" i="6"/>
  <c r="K115" i="6"/>
  <c r="J115" i="6"/>
  <c r="K114" i="6"/>
  <c r="J114" i="6"/>
  <c r="K113" i="6"/>
  <c r="J113" i="6"/>
  <c r="K112" i="6"/>
  <c r="J112" i="6"/>
  <c r="K111" i="6"/>
  <c r="J111" i="6"/>
  <c r="K108" i="6"/>
  <c r="J108" i="6"/>
  <c r="K107" i="6"/>
  <c r="J107" i="6"/>
  <c r="K105" i="6"/>
  <c r="J105" i="6"/>
  <c r="K104" i="6"/>
  <c r="J104" i="6"/>
  <c r="K103" i="6"/>
  <c r="J103" i="6"/>
  <c r="K102" i="6"/>
  <c r="J102" i="6"/>
  <c r="K101" i="6"/>
  <c r="J101" i="6"/>
  <c r="K100" i="6"/>
  <c r="J100" i="6"/>
  <c r="K99" i="6"/>
  <c r="J99" i="6"/>
  <c r="K97" i="6"/>
  <c r="J97" i="6"/>
  <c r="K96" i="6"/>
  <c r="J96" i="6"/>
  <c r="K95" i="6"/>
  <c r="J95" i="6"/>
  <c r="K94" i="6"/>
  <c r="J94" i="6"/>
  <c r="K93" i="6"/>
  <c r="J93" i="6"/>
  <c r="K91" i="6"/>
  <c r="J91" i="6"/>
  <c r="K90" i="6"/>
  <c r="J90" i="6"/>
  <c r="K86" i="6"/>
  <c r="J86" i="6"/>
  <c r="K84" i="6"/>
  <c r="J84" i="6"/>
  <c r="K77" i="6"/>
  <c r="J77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5" i="6"/>
  <c r="J55" i="6"/>
  <c r="K54" i="6"/>
  <c r="J54" i="6"/>
  <c r="K50" i="6"/>
  <c r="J50" i="6"/>
  <c r="K49" i="6"/>
  <c r="J49" i="6"/>
  <c r="K48" i="6"/>
  <c r="J48" i="6"/>
  <c r="K46" i="6"/>
  <c r="J46" i="6"/>
  <c r="K45" i="6"/>
  <c r="J45" i="6"/>
  <c r="K44" i="6"/>
  <c r="J44" i="6"/>
  <c r="K43" i="6"/>
  <c r="J43" i="6"/>
  <c r="K42" i="6"/>
  <c r="J42" i="6"/>
  <c r="K41" i="6"/>
  <c r="J41" i="6"/>
  <c r="K39" i="6"/>
  <c r="J39" i="6"/>
  <c r="K37" i="6"/>
  <c r="J37" i="6"/>
  <c r="K36" i="6"/>
  <c r="J36" i="6"/>
  <c r="K35" i="6"/>
  <c r="J35" i="6"/>
  <c r="K32" i="6"/>
  <c r="J32" i="6"/>
  <c r="K31" i="6"/>
  <c r="J31" i="6"/>
  <c r="K30" i="6"/>
  <c r="J30" i="6"/>
  <c r="K27" i="6"/>
  <c r="J27" i="6"/>
  <c r="K26" i="6"/>
  <c r="J26" i="6"/>
  <c r="K25" i="6"/>
  <c r="J25" i="6"/>
  <c r="K24" i="6"/>
  <c r="J24" i="6"/>
  <c r="K22" i="6"/>
  <c r="J22" i="6"/>
  <c r="K21" i="6"/>
  <c r="J21" i="6"/>
  <c r="K20" i="6"/>
  <c r="J20" i="6"/>
  <c r="K19" i="6"/>
  <c r="J19" i="6"/>
  <c r="K18" i="6"/>
  <c r="J18" i="6"/>
  <c r="K17" i="6"/>
  <c r="J17" i="6"/>
  <c r="K14" i="6"/>
  <c r="J14" i="6"/>
  <c r="K12" i="6"/>
  <c r="J12" i="6"/>
  <c r="K11" i="6"/>
  <c r="J11" i="6"/>
  <c r="K10" i="6"/>
  <c r="J10" i="6"/>
  <c r="K9" i="6"/>
  <c r="J9" i="6"/>
  <c r="K8" i="6"/>
  <c r="J8" i="6"/>
  <c r="K7" i="6"/>
  <c r="J7" i="6"/>
</calcChain>
</file>

<file path=xl/sharedStrings.xml><?xml version="1.0" encoding="utf-8"?>
<sst xmlns="http://schemas.openxmlformats.org/spreadsheetml/2006/main" count="13791" uniqueCount="874">
  <si>
    <t>USGS Station ID</t>
  </si>
  <si>
    <t>11135250</t>
  </si>
  <si>
    <t>11141280</t>
  </si>
  <si>
    <t>11148900</t>
  </si>
  <si>
    <t>11152000</t>
  </si>
  <si>
    <t>11152650</t>
  </si>
  <si>
    <t>11153650</t>
  </si>
  <si>
    <t>11159200</t>
  </si>
  <si>
    <t>11176900</t>
  </si>
  <si>
    <t>11182400</t>
  </si>
  <si>
    <t>11182500</t>
  </si>
  <si>
    <t>11456500</t>
  </si>
  <si>
    <t>11458300</t>
  </si>
  <si>
    <t>11459500</t>
  </si>
  <si>
    <t>11460000</t>
  </si>
  <si>
    <t>11465660</t>
  </si>
  <si>
    <t>11465690</t>
  </si>
  <si>
    <t>11466170</t>
  </si>
  <si>
    <t>11466200</t>
  </si>
  <si>
    <t>11466320</t>
  </si>
  <si>
    <t>351436120405201</t>
  </si>
  <si>
    <t>352934120395501</t>
  </si>
  <si>
    <t>363608121255201</t>
  </si>
  <si>
    <t>364138121373701</t>
  </si>
  <si>
    <t>364155121363901</t>
  </si>
  <si>
    <t>365634121264001</t>
  </si>
  <si>
    <t>365736121250801</t>
  </si>
  <si>
    <t>365955121350601</t>
  </si>
  <si>
    <t>371554121474101</t>
  </si>
  <si>
    <t>371620122005801</t>
  </si>
  <si>
    <t>371738121555901</t>
  </si>
  <si>
    <t>372500122081201</t>
  </si>
  <si>
    <t>374708122132801</t>
  </si>
  <si>
    <t>374933122001301</t>
  </si>
  <si>
    <t>375220122104201</t>
  </si>
  <si>
    <t>375257122050001</t>
  </si>
  <si>
    <t>375312122113501</t>
  </si>
  <si>
    <t>375413122033301</t>
  </si>
  <si>
    <t>375701121564401</t>
  </si>
  <si>
    <t>375808122172601</t>
  </si>
  <si>
    <t>380345122345201</t>
  </si>
  <si>
    <t>380410122315501</t>
  </si>
  <si>
    <t>381441122064301</t>
  </si>
  <si>
    <t>381740122395901</t>
  </si>
  <si>
    <t>382017122161101</t>
  </si>
  <si>
    <t>382035121575501</t>
  </si>
  <si>
    <t>382245122001601</t>
  </si>
  <si>
    <t>382346122521201</t>
  </si>
  <si>
    <t>382619122531401</t>
  </si>
  <si>
    <t>382634122315201</t>
  </si>
  <si>
    <t>383039122502401</t>
  </si>
  <si>
    <t>383109122363301</t>
  </si>
  <si>
    <t>383305122311901</t>
  </si>
  <si>
    <t>383321122302101</t>
  </si>
  <si>
    <t>383719122462501</t>
  </si>
  <si>
    <t>SANTA YNEZ R A 13TH ST BRIDGE A VAFB NR LOMPOC CA</t>
  </si>
  <si>
    <t>LOPEZ C NR ARROYO GRANDE CA</t>
  </si>
  <si>
    <t>NACIMIENTO R BL SAPAQUE C NR BRYSON CA</t>
  </si>
  <si>
    <t>ARROYO SECO NR SOLEDAD CA</t>
  </si>
  <si>
    <t>RECLAMATION DITCH NR SALINAS CA</t>
  </si>
  <si>
    <t>LLAGAS C NR GILROY</t>
  </si>
  <si>
    <t>CORRALITOS C A FREEDOM CA</t>
  </si>
  <si>
    <t>ARROYO DE LA LAGUNA A VERONA CA</t>
  </si>
  <si>
    <t>ARROYO DEL HAMBRE A MARTINEZ CA</t>
  </si>
  <si>
    <t>SAN RAMON C A SAN RAMON CA</t>
  </si>
  <si>
    <t>CONN C NR OAKVILLE CA</t>
  </si>
  <si>
    <t>NAPA C A NAPA</t>
  </si>
  <si>
    <t>NOVATO C A NOVATO CA</t>
  </si>
  <si>
    <t>CORTE MADERA C A ROSS CA</t>
  </si>
  <si>
    <t>COPELAND C A ROHNERT PARK CA</t>
  </si>
  <si>
    <t>COLGAN C NR SANTA ROSA CA</t>
  </si>
  <si>
    <t>MATANZAS C A SANTA ROSA CA</t>
  </si>
  <si>
    <t>SANTA ROSA C A SANTA ROSA CA</t>
  </si>
  <si>
    <t>SANTA ROSA C A WILLOWSIDE RD NR SANTA ROSA CA</t>
  </si>
  <si>
    <t>SAN LUIS OBISPO C A LOS OSOS VLY RD NR SAN LUIS OB</t>
  </si>
  <si>
    <t>ATASCADERO C A W MALL BR A ATASCADERO CA</t>
  </si>
  <si>
    <t>CHUALAR C A CHUALAR CANYON RD NR CHUALAR CA</t>
  </si>
  <si>
    <t>GABILAN C AB E LAUREL DR NR SALINAS CA</t>
  </si>
  <si>
    <t>NATIVIDAD C NR SALINAS CA</t>
  </si>
  <si>
    <t>TEQUISQUITA SLOUGH A SHORE RD NR DUNNEVILLE CA</t>
  </si>
  <si>
    <t>PACHECO C A SAN FELIPE RD NR DUNNEVILLE CA</t>
  </si>
  <si>
    <t>UVAS C A MILLER AVE A GILROY CA</t>
  </si>
  <si>
    <t>COYOTE C A COYOTE RD NR SAN JOSE CA</t>
  </si>
  <si>
    <t>SARATOGA C A BRAEMAR DR A SARATOGA CA</t>
  </si>
  <si>
    <t>LOS GATOS C A E HAMILTON AVE NR CAMPBELL CA</t>
  </si>
  <si>
    <t>MATADERO C A JOSINA AVE A PALO ALTO CA</t>
  </si>
  <si>
    <t>SAUSAL C A OAKLAND CA</t>
  </si>
  <si>
    <t>SAN RAMON C A LA GONDA WAY A DANVILLE CA</t>
  </si>
  <si>
    <t>SAN PABLO C A MORAGA WAY A ORINDA CA</t>
  </si>
  <si>
    <t>LAS TRAMPAS C A LAFAYETTE CA</t>
  </si>
  <si>
    <t>SAN PABLO C A ORINDA CA</t>
  </si>
  <si>
    <t>WALNUT C A CIVIC DR A WALNUT CREEK CA</t>
  </si>
  <si>
    <t>MT DIABLO C A CLAYTON CA</t>
  </si>
  <si>
    <t>WILKIE C A SANTA RITA RD NR RICHMOND CA</t>
  </si>
  <si>
    <t>ARROYO SAN JOSE A FAIRWAY DR NR NOVATO CA</t>
  </si>
  <si>
    <t>ARROYO SAN JOSE A DIGITAL DR NR NOVATO CA</t>
  </si>
  <si>
    <t>SUISUN C A ROCKVILLE CA</t>
  </si>
  <si>
    <t>LICHAU C A PENNGROVE CA</t>
  </si>
  <si>
    <t>MILLIKEN C BL HEDGESIDE AVE NR NAPA CA</t>
  </si>
  <si>
    <t>ALAMO C A TULARE RD BR NR VACAVILLE CA</t>
  </si>
  <si>
    <t>ULATIS C A FARRELL RD NR VACAVILLE CA</t>
  </si>
  <si>
    <t>UNNAMED TRIB A MONTGOMERY RD NR SEBASTOPOL CA</t>
  </si>
  <si>
    <t>GREEN VALLEY C A GRATON CA</t>
  </si>
  <si>
    <t>SONOMA C A ADOBE CYN RD NR KENWOOD CA</t>
  </si>
  <si>
    <t>WINDSOR C A MARK WEST STATION RD NR WINDSOR CA</t>
  </si>
  <si>
    <t>MARK WEST C A TARWATER RD NR CALISTOGA CA</t>
  </si>
  <si>
    <t>RITCHEY C NR DEER PARK CA</t>
  </si>
  <si>
    <t>NAPA R A BALE LN NR DEER PARK CA</t>
  </si>
  <si>
    <t>MAACAMA C A CHALK HILL RD BR NR HEALDSBURG CA</t>
  </si>
  <si>
    <t>ShortName</t>
  </si>
  <si>
    <t>SantaYnezLom</t>
  </si>
  <si>
    <t>Lopez</t>
  </si>
  <si>
    <t>NaciBryson</t>
  </si>
  <si>
    <t>ArroyoSeco</t>
  </si>
  <si>
    <t>Reclamation</t>
  </si>
  <si>
    <t>LlagasGilroy</t>
  </si>
  <si>
    <t>Corralitos</t>
  </si>
  <si>
    <t>ArroyoDeLaLa</t>
  </si>
  <si>
    <t>ArroyoMart</t>
  </si>
  <si>
    <t>SanRamonSan</t>
  </si>
  <si>
    <t>ConnOak</t>
  </si>
  <si>
    <t>NapaNapa</t>
  </si>
  <si>
    <t>Novato</t>
  </si>
  <si>
    <t>Corte</t>
  </si>
  <si>
    <t>Copeland</t>
  </si>
  <si>
    <t>Colgan</t>
  </si>
  <si>
    <t>Matanzas</t>
  </si>
  <si>
    <t>SantaSanta</t>
  </si>
  <si>
    <t>SantaWillow</t>
  </si>
  <si>
    <t>SanLObispo</t>
  </si>
  <si>
    <t>Atascadero</t>
  </si>
  <si>
    <t>ChuChuChu</t>
  </si>
  <si>
    <t>GabilanEastL</t>
  </si>
  <si>
    <t>Natividad</t>
  </si>
  <si>
    <t>Tequisquita</t>
  </si>
  <si>
    <t>Pacheco</t>
  </si>
  <si>
    <t>UvasMiller</t>
  </si>
  <si>
    <t>CoyoteCoyote</t>
  </si>
  <si>
    <t>Saratoga</t>
  </si>
  <si>
    <t>LosGatos</t>
  </si>
  <si>
    <t>Matadero</t>
  </si>
  <si>
    <t>Sausal</t>
  </si>
  <si>
    <t>SanRamonDan</t>
  </si>
  <si>
    <t>SanPabloMor</t>
  </si>
  <si>
    <t>LasTrampas.QW</t>
  </si>
  <si>
    <t>SanPabloOr</t>
  </si>
  <si>
    <t>Walnut</t>
  </si>
  <si>
    <t>MtDiablo</t>
  </si>
  <si>
    <t>Wilkie</t>
  </si>
  <si>
    <t>ArroyoNov</t>
  </si>
  <si>
    <t>ArroyoDig</t>
  </si>
  <si>
    <t>Suisan</t>
  </si>
  <si>
    <t>Lichau</t>
  </si>
  <si>
    <t>Milliken</t>
  </si>
  <si>
    <t>Alamo</t>
  </si>
  <si>
    <t>Ulatis</t>
  </si>
  <si>
    <t>NoNameMonty</t>
  </si>
  <si>
    <t>Green</t>
  </si>
  <si>
    <t>SonomaAdobe</t>
  </si>
  <si>
    <t>Windsor</t>
  </si>
  <si>
    <t>MarkWTar</t>
  </si>
  <si>
    <t>Ritchey</t>
  </si>
  <si>
    <t>NapaBale</t>
  </si>
  <si>
    <t>Maacama</t>
  </si>
  <si>
    <t>USGS Site Name</t>
  </si>
  <si>
    <t>Sample Collection Date</t>
  </si>
  <si>
    <t>Time</t>
  </si>
  <si>
    <t>Mass (g)</t>
  </si>
  <si>
    <t>Sample Mass (g)</t>
  </si>
  <si>
    <t>ND</t>
  </si>
  <si>
    <t>3,4-DCA</t>
  </si>
  <si>
    <t>3,5-DCA</t>
  </si>
  <si>
    <t>Alachlor</t>
  </si>
  <si>
    <t>Allethrin</t>
  </si>
  <si>
    <t>Atrazine</t>
  </si>
  <si>
    <t>Azinphos Methyl</t>
  </si>
  <si>
    <t>Azoxystrobin</t>
  </si>
  <si>
    <t>Benfluralin</t>
  </si>
  <si>
    <t>Bifenthrin</t>
  </si>
  <si>
    <t>Boscalid</t>
  </si>
  <si>
    <t>Butralin</t>
  </si>
  <si>
    <t>Butylate</t>
  </si>
  <si>
    <t>Carbaryl</t>
  </si>
  <si>
    <t>Carbofuran</t>
  </si>
  <si>
    <t>CDEPA</t>
  </si>
  <si>
    <t>Chlorpyrifos</t>
  </si>
  <si>
    <t>Clomazone</t>
  </si>
  <si>
    <t>Coumaphos</t>
  </si>
  <si>
    <t>Cycloate</t>
  </si>
  <si>
    <t>Cyfluthrin</t>
  </si>
  <si>
    <t>Cyhalothrin</t>
  </si>
  <si>
    <t>Cyhalofop-butyl</t>
  </si>
  <si>
    <t>Cypermethrin</t>
  </si>
  <si>
    <t>Cyprodinil</t>
  </si>
  <si>
    <t>DCPA</t>
  </si>
  <si>
    <t>Deltamethrin</t>
  </si>
  <si>
    <t>Diazinon</t>
  </si>
  <si>
    <t>Dithiopyr</t>
  </si>
  <si>
    <t>EPTC</t>
  </si>
  <si>
    <t>Esfenvalerate</t>
  </si>
  <si>
    <t>Ethalfluralin</t>
  </si>
  <si>
    <t>Etofenprox</t>
  </si>
  <si>
    <t>Fenpropathrin</t>
  </si>
  <si>
    <t>Fenpyroximate</t>
  </si>
  <si>
    <t>Fenthion</t>
  </si>
  <si>
    <t>Fipronil</t>
  </si>
  <si>
    <t>Fipronil_Desulfinyl.</t>
  </si>
  <si>
    <t>Fipronil_Desulfinyl_Amide.</t>
  </si>
  <si>
    <t>Fipronil_Sulfide.</t>
  </si>
  <si>
    <t>Fipronil_Sulfone.</t>
  </si>
  <si>
    <t>Fludioxinil</t>
  </si>
  <si>
    <t>Flufenacet</t>
  </si>
  <si>
    <t>Flumetralin</t>
  </si>
  <si>
    <t>Flusilazole</t>
  </si>
  <si>
    <t>Flutolanil</t>
  </si>
  <si>
    <t>Hexazinone</t>
  </si>
  <si>
    <t>Iprodione</t>
  </si>
  <si>
    <t>Kresoxim-methyl</t>
  </si>
  <si>
    <t>Malathion</t>
  </si>
  <si>
    <t>Metconazole</t>
  </si>
  <si>
    <t>Methidathion</t>
  </si>
  <si>
    <t>Methoprene</t>
  </si>
  <si>
    <t>Methyl_Parathion.</t>
  </si>
  <si>
    <t>Metolachlor</t>
  </si>
  <si>
    <t>Molinate</t>
  </si>
  <si>
    <t>Myclobutanil</t>
  </si>
  <si>
    <t>Napropamide</t>
  </si>
  <si>
    <t>Novaluron</t>
  </si>
  <si>
    <t>Oxyfluorfen</t>
  </si>
  <si>
    <t>p,p'-DDD</t>
  </si>
  <si>
    <t>p,p'-DDE</t>
  </si>
  <si>
    <t>p,p'-DDT</t>
  </si>
  <si>
    <t>PCA</t>
  </si>
  <si>
    <t>PCNB</t>
  </si>
  <si>
    <t>Pebulate</t>
  </si>
  <si>
    <t>Pendimethalin</t>
  </si>
  <si>
    <t>Permethrin</t>
  </si>
  <si>
    <t>Phenothrin</t>
  </si>
  <si>
    <t>Phosmet</t>
  </si>
  <si>
    <t>Piperonyl_Butoxide.</t>
  </si>
  <si>
    <t>Prodiamine</t>
  </si>
  <si>
    <t>Prometon</t>
  </si>
  <si>
    <t>Prometryn</t>
  </si>
  <si>
    <t>Propanil</t>
  </si>
  <si>
    <t>Propargite</t>
  </si>
  <si>
    <t>Propiconazole</t>
  </si>
  <si>
    <t>Propyzamide</t>
  </si>
  <si>
    <t>Pyridaben</t>
  </si>
  <si>
    <t>Resmethrin</t>
  </si>
  <si>
    <t>Simazine</t>
  </si>
  <si>
    <t>tau-Fluvalinate</t>
  </si>
  <si>
    <t>Tebupirimfos</t>
  </si>
  <si>
    <t>Tefluthrin</t>
  </si>
  <si>
    <t>Tetraconazole.</t>
  </si>
  <si>
    <t>Tetradifon</t>
  </si>
  <si>
    <t>Tetramethrin</t>
  </si>
  <si>
    <t>Thiazopyr</t>
  </si>
  <si>
    <t>Thiobencarb.</t>
  </si>
  <si>
    <t>Triadimefon.</t>
  </si>
  <si>
    <t>Triallate</t>
  </si>
  <si>
    <t>Tribufos.</t>
  </si>
  <si>
    <t>Trifloxystrobin.</t>
  </si>
  <si>
    <t>Trifluralin</t>
  </si>
  <si>
    <t>Vinclozolin.</t>
  </si>
  <si>
    <t>Zoxamide</t>
  </si>
  <si>
    <t>% Organic Carbon</t>
  </si>
  <si>
    <t xml:space="preserve">3,4-DCA </t>
  </si>
  <si>
    <t xml:space="preserve">3,5-DCA </t>
  </si>
  <si>
    <t xml:space="preserve">Alachlor </t>
  </si>
  <si>
    <t xml:space="preserve">Allethrin </t>
  </si>
  <si>
    <t xml:space="preserve">Atrazine </t>
  </si>
  <si>
    <t xml:space="preserve">Azinphos Methyl </t>
  </si>
  <si>
    <t xml:space="preserve">Azoxystrobin </t>
  </si>
  <si>
    <t xml:space="preserve">Benfluralin (Benefin) </t>
  </si>
  <si>
    <t xml:space="preserve">Bifenthrin </t>
  </si>
  <si>
    <t xml:space="preserve">Boscalid </t>
  </si>
  <si>
    <t xml:space="preserve">Butralin </t>
  </si>
  <si>
    <t xml:space="preserve">Butylate </t>
  </si>
  <si>
    <t xml:space="preserve">Captan </t>
  </si>
  <si>
    <t xml:space="preserve">Carbaryl </t>
  </si>
  <si>
    <t xml:space="preserve">CDEPA </t>
  </si>
  <si>
    <t xml:space="preserve">Chlorothalonil </t>
  </si>
  <si>
    <t xml:space="preserve">Chlorpyrifos </t>
  </si>
  <si>
    <t xml:space="preserve">Clomazone </t>
  </si>
  <si>
    <t xml:space="preserve">Coumaphos </t>
  </si>
  <si>
    <t xml:space="preserve">Cycloate </t>
  </si>
  <si>
    <t xml:space="preserve">Cyfluthrin </t>
  </si>
  <si>
    <t xml:space="preserve">Cyhalofop-butyl </t>
  </si>
  <si>
    <t xml:space="preserve">Cyhalothrin </t>
  </si>
  <si>
    <t xml:space="preserve">Cypermethrin </t>
  </si>
  <si>
    <t xml:space="preserve">Cyproconazole </t>
  </si>
  <si>
    <t xml:space="preserve">Cyprodinil </t>
  </si>
  <si>
    <t xml:space="preserve">DCPA </t>
  </si>
  <si>
    <t xml:space="preserve">Deltamethrin </t>
  </si>
  <si>
    <t xml:space="preserve">Diazinon </t>
  </si>
  <si>
    <t xml:space="preserve">Difenconazole </t>
  </si>
  <si>
    <t xml:space="preserve">Dimethomorph </t>
  </si>
  <si>
    <t xml:space="preserve">Dithiopyr </t>
  </si>
  <si>
    <t xml:space="preserve">EPTC </t>
  </si>
  <si>
    <t xml:space="preserve">Esfenvalerate </t>
  </si>
  <si>
    <t xml:space="preserve">Ethalfluralin </t>
  </si>
  <si>
    <t xml:space="preserve">Etofenprox </t>
  </si>
  <si>
    <t xml:space="preserve">Famoxadone </t>
  </si>
  <si>
    <t xml:space="preserve">Fenarimol </t>
  </si>
  <si>
    <t xml:space="preserve">Fenbuconazole </t>
  </si>
  <si>
    <t>Fenhexamid</t>
  </si>
  <si>
    <t xml:space="preserve">Fenpropathrin </t>
  </si>
  <si>
    <t xml:space="preserve">Fenpyroximate </t>
  </si>
  <si>
    <t xml:space="preserve">Fenthion </t>
  </si>
  <si>
    <t xml:space="preserve">Fipronil </t>
  </si>
  <si>
    <t xml:space="preserve">Fipronil Desulfinyl </t>
  </si>
  <si>
    <t xml:space="preserve">Fipronil Desulfinyl Amide </t>
  </si>
  <si>
    <t xml:space="preserve">Fipronil Sulfide </t>
  </si>
  <si>
    <t xml:space="preserve">Fipronil Sulfone </t>
  </si>
  <si>
    <t xml:space="preserve">Fluazinam </t>
  </si>
  <si>
    <t xml:space="preserve">Fludioxinil </t>
  </si>
  <si>
    <t xml:space="preserve">Flufenacet </t>
  </si>
  <si>
    <t xml:space="preserve">Flumetralin </t>
  </si>
  <si>
    <t xml:space="preserve">Fluoxastrobin </t>
  </si>
  <si>
    <t xml:space="preserve">Flusilazole </t>
  </si>
  <si>
    <t xml:space="preserve">Flutolanil </t>
  </si>
  <si>
    <t xml:space="preserve">Flutriafol </t>
  </si>
  <si>
    <t xml:space="preserve">Hexazinone </t>
  </si>
  <si>
    <t xml:space="preserve">Imazalil </t>
  </si>
  <si>
    <t xml:space="preserve">Indoxacarb </t>
  </si>
  <si>
    <t xml:space="preserve">Iprodione </t>
  </si>
  <si>
    <t xml:space="preserve">Kresoxim-methyl </t>
  </si>
  <si>
    <t xml:space="preserve">Malathion </t>
  </si>
  <si>
    <t xml:space="preserve">Metalaxyl </t>
  </si>
  <si>
    <t xml:space="preserve">Metconazole </t>
  </si>
  <si>
    <t xml:space="preserve">Methidathion </t>
  </si>
  <si>
    <t xml:space="preserve">Methoprene </t>
  </si>
  <si>
    <t xml:space="preserve">Methyl Parathion </t>
  </si>
  <si>
    <t xml:space="preserve">Metolachlor </t>
  </si>
  <si>
    <t xml:space="preserve">Molinate </t>
  </si>
  <si>
    <t xml:space="preserve">Myclobutanil </t>
  </si>
  <si>
    <t xml:space="preserve">Napropamide </t>
  </si>
  <si>
    <t xml:space="preserve">Novaluron </t>
  </si>
  <si>
    <t xml:space="preserve">Oxyfluorfen </t>
  </si>
  <si>
    <t xml:space="preserve">p,p'-DDD </t>
  </si>
  <si>
    <t xml:space="preserve">p,p'-DDE </t>
  </si>
  <si>
    <t xml:space="preserve">p,p'-DDT </t>
  </si>
  <si>
    <t xml:space="preserve">PCA </t>
  </si>
  <si>
    <t xml:space="preserve">PCNB </t>
  </si>
  <si>
    <t xml:space="preserve">Pebulate </t>
  </si>
  <si>
    <t xml:space="preserve">Pendimethalin </t>
  </si>
  <si>
    <t xml:space="preserve">Permethrin </t>
  </si>
  <si>
    <t xml:space="preserve">Phenothrin </t>
  </si>
  <si>
    <t xml:space="preserve">Phosmet </t>
  </si>
  <si>
    <t xml:space="preserve">Piperonyl Butoxide </t>
  </si>
  <si>
    <t xml:space="preserve">Prodiamine </t>
  </si>
  <si>
    <t xml:space="preserve">Prometon </t>
  </si>
  <si>
    <t xml:space="preserve">Prometryn </t>
  </si>
  <si>
    <t xml:space="preserve">Propanil </t>
  </si>
  <si>
    <t xml:space="preserve">Propargite </t>
  </si>
  <si>
    <t xml:space="preserve">Propiconazole </t>
  </si>
  <si>
    <t xml:space="preserve">Propyzamide </t>
  </si>
  <si>
    <t xml:space="preserve">Pyraclostrobin </t>
  </si>
  <si>
    <t xml:space="preserve">Pyridaben </t>
  </si>
  <si>
    <t xml:space="preserve">Pyrimethanil </t>
  </si>
  <si>
    <t xml:space="preserve">Resmethrin </t>
  </si>
  <si>
    <t xml:space="preserve">Simazine </t>
  </si>
  <si>
    <t xml:space="preserve">tau-Fluvalinate </t>
  </si>
  <si>
    <t xml:space="preserve">Tebuconazole </t>
  </si>
  <si>
    <t xml:space="preserve">Tebupirimfos </t>
  </si>
  <si>
    <t xml:space="preserve">Tebupirimfos OA </t>
  </si>
  <si>
    <t xml:space="preserve">Tefluthrin </t>
  </si>
  <si>
    <t xml:space="preserve">Tetraconazole </t>
  </si>
  <si>
    <t xml:space="preserve">Tetradifon </t>
  </si>
  <si>
    <t xml:space="preserve">Tetramethrin </t>
  </si>
  <si>
    <t xml:space="preserve">Thiazopyr </t>
  </si>
  <si>
    <t xml:space="preserve">Thiobencarb </t>
  </si>
  <si>
    <t xml:space="preserve">Triadimefon </t>
  </si>
  <si>
    <t xml:space="preserve">Triadimenol </t>
  </si>
  <si>
    <t xml:space="preserve">Triallate </t>
  </si>
  <si>
    <t xml:space="preserve">Tribufos </t>
  </si>
  <si>
    <t xml:space="preserve">Trifloxystrobin </t>
  </si>
  <si>
    <t xml:space="preserve">Triflumizole </t>
  </si>
  <si>
    <t xml:space="preserve">Trifluralin </t>
  </si>
  <si>
    <t xml:space="preserve">Triticonazole </t>
  </si>
  <si>
    <t xml:space="preserve">Vinclozolin </t>
  </si>
  <si>
    <t xml:space="preserve">Zoxamide </t>
  </si>
  <si>
    <t>Sample Collection Time</t>
  </si>
  <si>
    <t>Compound</t>
  </si>
  <si>
    <t>CASRN</t>
  </si>
  <si>
    <t>Chemical class</t>
  </si>
  <si>
    <t>Pesticide type</t>
  </si>
  <si>
    <t>MW (amu)</t>
  </si>
  <si>
    <t>Detected in study</t>
  </si>
  <si>
    <t>SOURCE</t>
  </si>
  <si>
    <t>TEB (ng/g-oc)</t>
  </si>
  <si>
    <t>LEB (ng/g-oc)</t>
  </si>
  <si>
    <t>6967-29-9</t>
  </si>
  <si>
    <t>Chloroacetanilide</t>
  </si>
  <si>
    <t>Degradate</t>
  </si>
  <si>
    <t>x</t>
  </si>
  <si>
    <t>3,4-Dichloroaniline</t>
  </si>
  <si>
    <t>95-76-1</t>
  </si>
  <si>
    <t>Aniline</t>
  </si>
  <si>
    <t>SSB</t>
  </si>
  <si>
    <t>3,5-Dichloroaniline</t>
  </si>
  <si>
    <t>626-43-7</t>
  </si>
  <si>
    <t>EqP</t>
  </si>
  <si>
    <t>15972-60-8</t>
  </si>
  <si>
    <t>Herbicide</t>
  </si>
  <si>
    <t>584-79-2</t>
  </si>
  <si>
    <t>Pyrethroid</t>
  </si>
  <si>
    <t>Insecticide</t>
  </si>
  <si>
    <t>1912-24-9</t>
  </si>
  <si>
    <t>Triazine</t>
  </si>
  <si>
    <t>86-50-0</t>
  </si>
  <si>
    <t>Organophosphate</t>
  </si>
  <si>
    <t>131860-33-8</t>
  </si>
  <si>
    <t>Strobilurin</t>
  </si>
  <si>
    <t>Fungicide</t>
  </si>
  <si>
    <t>Benfluralin (Benefin)</t>
  </si>
  <si>
    <t>1861-40-1</t>
  </si>
  <si>
    <t>Dinitroaniline</t>
  </si>
  <si>
    <t>82657-04-3</t>
  </si>
  <si>
    <t>188425-85-6</t>
  </si>
  <si>
    <t>Pyridine</t>
  </si>
  <si>
    <t>33629-47-9</t>
  </si>
  <si>
    <t>2008-41-5</t>
  </si>
  <si>
    <t>Thiocarbamate</t>
  </si>
  <si>
    <t>133-06-2</t>
  </si>
  <si>
    <t>Phthalimide</t>
  </si>
  <si>
    <t>63-25-2</t>
  </si>
  <si>
    <t>Carbamate</t>
  </si>
  <si>
    <t>1563-66-2</t>
  </si>
  <si>
    <t>Chlorothalonil</t>
  </si>
  <si>
    <t>1897-45-6</t>
  </si>
  <si>
    <t>Chloronitrile</t>
  </si>
  <si>
    <t>2921-88-2</t>
  </si>
  <si>
    <t>81777-89-1</t>
  </si>
  <si>
    <t>Isoxazlidinone</t>
  </si>
  <si>
    <t>56-72-4</t>
  </si>
  <si>
    <t>122008-85-9</t>
  </si>
  <si>
    <t>Aryloxyphenoxypropionate</t>
  </si>
  <si>
    <t>1134-23-2</t>
  </si>
  <si>
    <t>68359-37-5</t>
  </si>
  <si>
    <t>68085-85-8</t>
  </si>
  <si>
    <t>52315-07-8</t>
  </si>
  <si>
    <t>Cyproconazole</t>
  </si>
  <si>
    <t>94361-06-5</t>
  </si>
  <si>
    <t>Triazole</t>
  </si>
  <si>
    <t>121522-61-2</t>
  </si>
  <si>
    <t>Pyrimidine</t>
  </si>
  <si>
    <t>DCPA (Dacthal)</t>
  </si>
  <si>
    <t>1861-32-1</t>
  </si>
  <si>
    <t>Benzenedicarboxylic acid</t>
  </si>
  <si>
    <t>52918-63-5</t>
  </si>
  <si>
    <t>333-41-5</t>
  </si>
  <si>
    <t>Difenoconazole</t>
  </si>
  <si>
    <t>119446-68-3</t>
  </si>
  <si>
    <t>Dimethomorph</t>
  </si>
  <si>
    <t>110488-70-5</t>
  </si>
  <si>
    <t>Morpholine</t>
  </si>
  <si>
    <t>97886-45-8</t>
  </si>
  <si>
    <t>759-94-4</t>
  </si>
  <si>
    <t>66230-04-4</t>
  </si>
  <si>
    <t>55283-68-6</t>
  </si>
  <si>
    <t>80844-07-1</t>
  </si>
  <si>
    <t>Famoxadone</t>
  </si>
  <si>
    <t>131807-57-3</t>
  </si>
  <si>
    <t>Oxazole</t>
  </si>
  <si>
    <t>Fenarimol</t>
  </si>
  <si>
    <t>60168-88-9</t>
  </si>
  <si>
    <t>Fenbuconazole</t>
  </si>
  <si>
    <t>114369-43-6</t>
  </si>
  <si>
    <t>Fenhexamide</t>
  </si>
  <si>
    <t>126833-17-8</t>
  </si>
  <si>
    <t>Anilide</t>
  </si>
  <si>
    <t>39515-41-8</t>
  </si>
  <si>
    <t>134098-61-6</t>
  </si>
  <si>
    <t>Pyrazole</t>
  </si>
  <si>
    <t>55-38-9</t>
  </si>
  <si>
    <t>120068-37-3</t>
  </si>
  <si>
    <t>Phenylpyrazole</t>
  </si>
  <si>
    <t>Fipronil desulfinyl</t>
  </si>
  <si>
    <t>NA</t>
  </si>
  <si>
    <t>Fipronil desulfinyl amide (Desulfinylfipronil amide)*</t>
  </si>
  <si>
    <t>Fipronil sulfide</t>
  </si>
  <si>
    <t>120067-83-6</t>
  </si>
  <si>
    <t>Fipronil sulfone</t>
  </si>
  <si>
    <t>120068-36-2</t>
  </si>
  <si>
    <t>Fluazinam</t>
  </si>
  <si>
    <t>79622-59-6</t>
  </si>
  <si>
    <t>131341-86-1</t>
  </si>
  <si>
    <t>Pyrrole</t>
  </si>
  <si>
    <t>142459-58-3</t>
  </si>
  <si>
    <t>62924-70-3</t>
  </si>
  <si>
    <t>Plant growth regulator</t>
  </si>
  <si>
    <t>Fluoxastrobin</t>
  </si>
  <si>
    <t>361377-29-9</t>
  </si>
  <si>
    <t>85509-19-9</t>
  </si>
  <si>
    <t>66332-96-5</t>
  </si>
  <si>
    <t>Flutriafol</t>
  </si>
  <si>
    <t>76674-21-0</t>
  </si>
  <si>
    <t>51235-04-2</t>
  </si>
  <si>
    <t>Triazone</t>
  </si>
  <si>
    <t>Imazalil</t>
  </si>
  <si>
    <t>35554-44-0</t>
  </si>
  <si>
    <t>173584-44-6</t>
  </si>
  <si>
    <t>Oxadiazine</t>
  </si>
  <si>
    <t>36734-19-7</t>
  </si>
  <si>
    <t>Dicarboxamide</t>
  </si>
  <si>
    <t>143390-89-0</t>
  </si>
  <si>
    <t>121-75-5</t>
  </si>
  <si>
    <t>57837-19-1</t>
  </si>
  <si>
    <t>Phenylamide</t>
  </si>
  <si>
    <t>125116-23-6</t>
  </si>
  <si>
    <t>Azole</t>
  </si>
  <si>
    <t>950-37-8</t>
  </si>
  <si>
    <t>40596-69-8</t>
  </si>
  <si>
    <t>Terpene</t>
  </si>
  <si>
    <t>Methyl parathion</t>
  </si>
  <si>
    <t>298-00-0</t>
  </si>
  <si>
    <t>51218-45-2</t>
  </si>
  <si>
    <t>2212-67-1</t>
  </si>
  <si>
    <t>88671-89-0</t>
  </si>
  <si>
    <t>15299-99-7</t>
  </si>
  <si>
    <t>Amide</t>
  </si>
  <si>
    <t>116714-46-6</t>
  </si>
  <si>
    <t>Benzoylurea</t>
  </si>
  <si>
    <t>19666-30-9</t>
  </si>
  <si>
    <t>Oxadiazolone</t>
  </si>
  <si>
    <t>Oxyflurofen</t>
  </si>
  <si>
    <t>42874-03-3</t>
  </si>
  <si>
    <t>Nitrophenyl ether</t>
  </si>
  <si>
    <t>72-54-8</t>
  </si>
  <si>
    <t>Organochlorine</t>
  </si>
  <si>
    <t>72-55-9</t>
  </si>
  <si>
    <t>50-29-3</t>
  </si>
  <si>
    <t>1114-71-2</t>
  </si>
  <si>
    <t>40487-42-1</t>
  </si>
  <si>
    <t>Pentachloroanisole</t>
  </si>
  <si>
    <t>1825-21-4</t>
  </si>
  <si>
    <t>Pentachloronitrobenzene</t>
  </si>
  <si>
    <t>82-68-8</t>
  </si>
  <si>
    <t>52645-53-1</t>
  </si>
  <si>
    <t>26002-80-2</t>
  </si>
  <si>
    <t>732-11-6</t>
  </si>
  <si>
    <t>Piperonyl butoxide</t>
  </si>
  <si>
    <t>51-03-6</t>
  </si>
  <si>
    <t>Unclassified</t>
  </si>
  <si>
    <t>Synergist</t>
  </si>
  <si>
    <t>29091-21-2</t>
  </si>
  <si>
    <t>1610-18-0</t>
  </si>
  <si>
    <t>7287-19-6</t>
  </si>
  <si>
    <t>23950-58-5</t>
  </si>
  <si>
    <t>709-98-8</t>
  </si>
  <si>
    <t>2312-35-8</t>
  </si>
  <si>
    <t>Sulfite ester</t>
  </si>
  <si>
    <t>60207-90-1</t>
  </si>
  <si>
    <t>Benzamide</t>
  </si>
  <si>
    <t>Pyraclostrobin</t>
  </si>
  <si>
    <t>175013-18-0</t>
  </si>
  <si>
    <t>96489-71-3</t>
  </si>
  <si>
    <t>Pyridazinone</t>
  </si>
  <si>
    <t>Pyrimethanil</t>
  </si>
  <si>
    <t>53112-28-0</t>
  </si>
  <si>
    <t>Pyrmidine</t>
  </si>
  <si>
    <t>10453-86-8</t>
  </si>
  <si>
    <t>122-34-9</t>
  </si>
  <si>
    <t>69409-94-5</t>
  </si>
  <si>
    <t>Tebuconazole</t>
  </si>
  <si>
    <t>107534-96-3</t>
  </si>
  <si>
    <t>Tebupirimfos oxon (Tebupirimfos oxygen analog)*</t>
  </si>
  <si>
    <t>96182-53-5</t>
  </si>
  <si>
    <t>79538-32-2</t>
  </si>
  <si>
    <t>Tetraconazole</t>
  </si>
  <si>
    <t>112281-77-3</t>
  </si>
  <si>
    <t>116-29-0</t>
  </si>
  <si>
    <t>Bridged diphenyl</t>
  </si>
  <si>
    <t>7696-12-0</t>
  </si>
  <si>
    <t>117718-60-2</t>
  </si>
  <si>
    <t>Thiobencarb</t>
  </si>
  <si>
    <t>28249-77-6</t>
  </si>
  <si>
    <t>Triadimefon</t>
  </si>
  <si>
    <t>43121-43-3</t>
  </si>
  <si>
    <t>Triadimenol</t>
  </si>
  <si>
    <t>55219-65-3</t>
  </si>
  <si>
    <t>2303-17-5</t>
  </si>
  <si>
    <t>78-48-8</t>
  </si>
  <si>
    <t>Trifloxystrobin</t>
  </si>
  <si>
    <t>141517-21-7</t>
  </si>
  <si>
    <t>Triflumizole</t>
  </si>
  <si>
    <t>68694-11-1</t>
  </si>
  <si>
    <t>1582-09-8</t>
  </si>
  <si>
    <t>Triticonazole</t>
  </si>
  <si>
    <t>131983-72-7</t>
  </si>
  <si>
    <t>Vinclozolin</t>
  </si>
  <si>
    <t>50471-44-8</t>
  </si>
  <si>
    <t>156052-68-5</t>
  </si>
  <si>
    <t>Azinphos-methyl</t>
  </si>
  <si>
    <t>Captan</t>
  </si>
  <si>
    <t>Indoxacarb</t>
  </si>
  <si>
    <t>Metalaxyl</t>
  </si>
  <si>
    <t>Oxadiazon</t>
  </si>
  <si>
    <t>Tribuphos</t>
  </si>
  <si>
    <t>2-Chloro-2,6-Diethylacetanilide (CDEPA)</t>
  </si>
  <si>
    <t>Measured in biofilm</t>
  </si>
  <si>
    <t xml:space="preserve">[This report contains Chemical Abstracts Service Registry Numbers (CASRN), which is a Registered Trademark of the American Chemical Society. Chemical Abstracts Service (CAS) recommends the verification of the CASRNs through CAS Client Services. </t>
  </si>
  <si>
    <t xml:space="preserve">The five-digit parameter codes are used by the U.S. Geological Survey to uniquely identify a specific constituent or property in the National Water Information System (NWIS) database. Abbreviations/Acronyms: amu, atomic mass unit; </t>
  </si>
  <si>
    <t>MRL, method reporting level; NM, not measured; NA, not available; TEB, threshold effect benchmark; LEB, likely effect benchmark; SSB, spiked-sediment bioassay; EqP, equilibrium partitioning]</t>
  </si>
  <si>
    <t>CA_SantaYnezLom</t>
  </si>
  <si>
    <t>CA_Lopez</t>
  </si>
  <si>
    <t>CA_NaciBryson</t>
  </si>
  <si>
    <t>CA_ArroyoSeco</t>
  </si>
  <si>
    <t>CA_Reclamation</t>
  </si>
  <si>
    <t>CA_LlagasGilroy</t>
  </si>
  <si>
    <t>CA_Corralitos</t>
  </si>
  <si>
    <t>CA_ArroyoDeLaLa</t>
  </si>
  <si>
    <t>CA_ArroyoMart</t>
  </si>
  <si>
    <t>CA_SanRamonSan</t>
  </si>
  <si>
    <t>CA_ConnOak</t>
  </si>
  <si>
    <t>CA_NapaNapa</t>
  </si>
  <si>
    <t>CA_Novato</t>
  </si>
  <si>
    <t>CA_Corte</t>
  </si>
  <si>
    <t>CA_Copeland</t>
  </si>
  <si>
    <t>CA_Colgan</t>
  </si>
  <si>
    <t>CA_Matanzas</t>
  </si>
  <si>
    <t>CA_SantaSanta</t>
  </si>
  <si>
    <t>CA_SantaWillow</t>
  </si>
  <si>
    <t>CA_SanLObispo</t>
  </si>
  <si>
    <t>CA_Atascadero</t>
  </si>
  <si>
    <t>CA_ChuChuChu</t>
  </si>
  <si>
    <t>CA_GabilanEastL</t>
  </si>
  <si>
    <t>CA_Natividad</t>
  </si>
  <si>
    <t>CA_Tequisquita</t>
  </si>
  <si>
    <t>CA_Pacheco</t>
  </si>
  <si>
    <t>CA_UvasMiller</t>
  </si>
  <si>
    <t>CA_CoyoteCoyote</t>
  </si>
  <si>
    <t>CA_Saratoga</t>
  </si>
  <si>
    <t>CA_LosGatos</t>
  </si>
  <si>
    <t>CA_Matadero</t>
  </si>
  <si>
    <t>CA_Sausal</t>
  </si>
  <si>
    <t>CA_SanRamonDan</t>
  </si>
  <si>
    <t>CA_SanPabloOr</t>
  </si>
  <si>
    <t>CA_Walnut</t>
  </si>
  <si>
    <t>CA_MtDiablo</t>
  </si>
  <si>
    <t>CA_Wilkie</t>
  </si>
  <si>
    <t>CA_ArroyoNov</t>
  </si>
  <si>
    <t>CA_ArroyoDig</t>
  </si>
  <si>
    <t>CA_Suisan</t>
  </si>
  <si>
    <t>CA_Lichau</t>
  </si>
  <si>
    <t>CA_Milliken</t>
  </si>
  <si>
    <t>CA_Alamo</t>
  </si>
  <si>
    <t>CA_Ulatis</t>
  </si>
  <si>
    <t>CA_NoNameMonty</t>
  </si>
  <si>
    <t>CA_Green</t>
  </si>
  <si>
    <t>CA_SonomaAdobe</t>
  </si>
  <si>
    <t>CA_Windsor</t>
  </si>
  <si>
    <t>CA_MarkWTar</t>
  </si>
  <si>
    <t>CA_Ritchey</t>
  </si>
  <si>
    <t>CA_NapaBale</t>
  </si>
  <si>
    <t>CA_Maacama</t>
  </si>
  <si>
    <t>CA_SanPabloMor</t>
  </si>
  <si>
    <t>SHORT_NAME</t>
  </si>
  <si>
    <t>CA_LasTrampas</t>
  </si>
  <si>
    <t>PTI</t>
  </si>
  <si>
    <t>No. pesticide concentration &gt; LEB</t>
  </si>
  <si>
    <t>No. pesticide concentrations &gt; TEB</t>
  </si>
  <si>
    <t>Fipronil_Sulfide</t>
  </si>
  <si>
    <t>log 10</t>
  </si>
  <si>
    <t>TEMP</t>
  </si>
  <si>
    <t>none</t>
  </si>
  <si>
    <t>mm</t>
  </si>
  <si>
    <t>PPT</t>
  </si>
  <si>
    <t>Log_P_MEAN</t>
  </si>
  <si>
    <t>KFCT_AVE</t>
  </si>
  <si>
    <t>square root</t>
  </si>
  <si>
    <t>BDH_AVE</t>
  </si>
  <si>
    <t>Elev_atQWsite</t>
  </si>
  <si>
    <t>Mean silt content.</t>
  </si>
  <si>
    <t>square</t>
  </si>
  <si>
    <t>percent</t>
  </si>
  <si>
    <t>SiltContent</t>
  </si>
  <si>
    <t>Mean sand content.</t>
  </si>
  <si>
    <t>SandContent</t>
  </si>
  <si>
    <t>Mean watershed slope.</t>
  </si>
  <si>
    <t>Slope</t>
  </si>
  <si>
    <t>Mean permeability.</t>
  </si>
  <si>
    <t>inches/hr</t>
  </si>
  <si>
    <t>Permeability</t>
  </si>
  <si>
    <t>Mean organic matter.</t>
  </si>
  <si>
    <t>OrganicMatter</t>
  </si>
  <si>
    <t>Average annual runoff for LB for water year 2017 (Oct 1, 2016 to Sept 30, 2017).</t>
  </si>
  <si>
    <t>mm/yr</t>
  </si>
  <si>
    <t>LB_Runoff2017</t>
  </si>
  <si>
    <t>Average annual runoff for water year 2017 (Oct 1, 2016 to Sept 30, 2017).</t>
  </si>
  <si>
    <t>Runoff2017</t>
  </si>
  <si>
    <t>Mean percentage of Horton overland flow, also known as infiltration-excess overland flow.</t>
  </si>
  <si>
    <t>percent of total streamflow</t>
  </si>
  <si>
    <t>HortonOverlandFlow</t>
  </si>
  <si>
    <t>Mean percentage of Dunne overland flow, also known as saturation overland flow in total streamflow, expressed as a percentage and ranging from 0 to 100.</t>
  </si>
  <si>
    <t>DunneOverlandFlow</t>
  </si>
  <si>
    <t>Ratio of base flow to total stream flow.</t>
  </si>
  <si>
    <t>BaseFlowIndex</t>
  </si>
  <si>
    <t>Landscape</t>
  </si>
  <si>
    <t>Precipitation on the basin during January-April 2017.</t>
  </si>
  <si>
    <t>PPT_4MONTH_2017_TOTAL</t>
  </si>
  <si>
    <t>Precipitation on the basin during February-April 2017.</t>
  </si>
  <si>
    <t>PPT_FebMarApr</t>
  </si>
  <si>
    <t>Precipitation on the basin in March and April 2017.</t>
  </si>
  <si>
    <t>PPT_MarApr</t>
  </si>
  <si>
    <t>Precipitation on the basin in April 2017.</t>
  </si>
  <si>
    <t>PPT_Apr_2017</t>
  </si>
  <si>
    <t>Precipitation</t>
  </si>
  <si>
    <t xml:space="preserve">Sum of 2012 data for percentage of the LB as commercial/services, industrial/military, major transportation. </t>
  </si>
  <si>
    <t>LB_Dense_Urban</t>
  </si>
  <si>
    <t xml:space="preserve">Sum of 2012 data for percentage of the basin as commercial/services, industrial/military, major transportation. </t>
  </si>
  <si>
    <t>Dense_Urban</t>
  </si>
  <si>
    <t>Mean percentage of the LB in tree canopy, 2011 data.</t>
  </si>
  <si>
    <t>LB_Canopy2011</t>
  </si>
  <si>
    <t>Mean percentage of the basin in tree canopy, 2011 data.</t>
  </si>
  <si>
    <t>Canopy2011</t>
  </si>
  <si>
    <t>Percentage of the LB in production crops, 2012.</t>
  </si>
  <si>
    <t>LB_Crops</t>
  </si>
  <si>
    <t>Percentage of the basin in production crops, 2012.</t>
  </si>
  <si>
    <t>Crops</t>
  </si>
  <si>
    <t>Same as CSQA_Total_Urban but for the LB.</t>
  </si>
  <si>
    <t>LB_CSQA_Total_Urban</t>
  </si>
  <si>
    <t xml:space="preserve">Sum of 2012 data for commercial/services, industrial/military, major transportation, other developed, recreation, high density residential, low and medium density resideutial, and urban interface high semideveloped.  </t>
  </si>
  <si>
    <t>CSQA_Total_Urban</t>
  </si>
  <si>
    <t>Land Use</t>
  </si>
  <si>
    <t>mass of bifenthrin applied in a basin during January-April 2019, normalized to basin area</t>
  </si>
  <si>
    <r>
      <t>kg/km</t>
    </r>
    <r>
      <rPr>
        <vertAlign val="superscript"/>
        <sz val="11"/>
        <color theme="1"/>
        <rFont val="Calibri"/>
        <family val="2"/>
        <scheme val="minor"/>
      </rPr>
      <t>2</t>
    </r>
  </si>
  <si>
    <t>SPRING2017_TOTAL_USE_NORM</t>
  </si>
  <si>
    <t>mass of bifenthrin applied in a basin during February-April 2019, normalized to basin area</t>
  </si>
  <si>
    <t>FEBMARAPR_USE_NORM</t>
  </si>
  <si>
    <t>mass of bifenthrin applied in a basin during March and April 2019, normalized to basin area</t>
  </si>
  <si>
    <t>MARAPR_USE_NORM</t>
  </si>
  <si>
    <t>mass of bifenthrin applied in a basin during April 2019, normalized to basin area</t>
  </si>
  <si>
    <t>APR_USE_NORM</t>
  </si>
  <si>
    <t>Pesticide Use</t>
  </si>
  <si>
    <t>Variable Description</t>
  </si>
  <si>
    <t>Transform Used</t>
  </si>
  <si>
    <t>Units</t>
  </si>
  <si>
    <t>Variable Name</t>
  </si>
  <si>
    <t>Variable Group</t>
  </si>
  <si>
    <t>Invertebrate metrics</t>
  </si>
  <si>
    <t>RICH</t>
  </si>
  <si>
    <t>SH_rich</t>
  </si>
  <si>
    <t>cn_richp</t>
  </si>
  <si>
    <t>COLEOPRp</t>
  </si>
  <si>
    <t>EPTRp</t>
  </si>
  <si>
    <t>Intol_richp</t>
  </si>
  <si>
    <t>Number of Ephemeroptera, Plecoptera, and Trichoptera taxa, as a percentage of RICH</t>
  </si>
  <si>
    <t>Total richness (number of taxa)</t>
  </si>
  <si>
    <t>Intolerant class: percentage of taxa with TVi≤X, where X is the user-specified criteria for the intolerant class</t>
  </si>
  <si>
    <t>Number of Coleoptera taxa, as a percentage of RICH</t>
  </si>
  <si>
    <t>Natural covariates</t>
  </si>
  <si>
    <t>QW_LAT</t>
  </si>
  <si>
    <t>QW_LONG</t>
  </si>
  <si>
    <t>BasinGIS_km2</t>
  </si>
  <si>
    <t>ELEV_RANGE</t>
  </si>
  <si>
    <t>LOG_P_MEAN</t>
  </si>
  <si>
    <t>SumAve_P</t>
  </si>
  <si>
    <t>Latitude at sampling site</t>
  </si>
  <si>
    <t>Longitude at sampling site</t>
  </si>
  <si>
    <t>Elevation at the sampling site, in m</t>
  </si>
  <si>
    <t>Average bulk soil density</t>
  </si>
  <si>
    <t>Average soil erodability factor (k)</t>
  </si>
  <si>
    <t>Log % phosphorus geology</t>
  </si>
  <si>
    <t>10-y (2000-09) average precipitation at the sampling site</t>
  </si>
  <si>
    <t>10-y (2000-09) average temperature at the sampling site</t>
  </si>
  <si>
    <t>Mean June to September 1971-2000 monthly precipitation, averaged across the basin</t>
  </si>
  <si>
    <r>
      <t>Basin area, in km</t>
    </r>
    <r>
      <rPr>
        <vertAlign val="superscript"/>
        <sz val="11"/>
        <color theme="1"/>
        <rFont val="Calibri"/>
        <family val="2"/>
        <scheme val="minor"/>
      </rPr>
      <t>2</t>
    </r>
  </si>
  <si>
    <t>Pesticide stressors</t>
  </si>
  <si>
    <t>Sed.det</t>
  </si>
  <si>
    <t>Number of pesticides detected in a sediment sample</t>
  </si>
  <si>
    <t>Biofilm.det</t>
  </si>
  <si>
    <t>Number of pesticides detected in a biofilm sample</t>
  </si>
  <si>
    <t>Total.Pest.Sed</t>
  </si>
  <si>
    <t>Total.Pest.Biofilm</t>
  </si>
  <si>
    <t>Total.Pest.Sed.OC</t>
  </si>
  <si>
    <t>Total.Pest.Sed normalized to organic carbon content</t>
  </si>
  <si>
    <t>Sum of concentrations of pesticides detected in a sediment sample (ng/g)</t>
  </si>
  <si>
    <t>Sum of concentrations of pesticides detected in a biofilm sample (ng/g)</t>
  </si>
  <si>
    <t>TOC</t>
  </si>
  <si>
    <t>Total organic carbon content (% by weight)</t>
  </si>
  <si>
    <t>Pesticide Toxicity Index</t>
  </si>
  <si>
    <t>Pendimethalin.Biofilm</t>
  </si>
  <si>
    <t>Bifenthrin.Biofilm</t>
  </si>
  <si>
    <t>Bifenthrin.Sed</t>
  </si>
  <si>
    <t>Concentration of pendimethalin detected in a biofilm sample (ng/g)</t>
  </si>
  <si>
    <t>Concentration of bifenthrin detected in a biofilm sample (ng/g)</t>
  </si>
  <si>
    <t>Concentration of bifenthrin detected in a sediment sample (ng/g)</t>
  </si>
  <si>
    <t>Total.DDT.Biofilm</t>
  </si>
  <si>
    <t>Sum of concentrations of DDT, DDE, and DDD detected in a biofilm sample (ng/g)</t>
  </si>
  <si>
    <t>Total.DDT.Sed</t>
  </si>
  <si>
    <t>Sum of concentrations of DDT, DDE, and DDD detected in a sediment sample (ng/g)</t>
  </si>
  <si>
    <t>Concentration of oxydiazon detected in a biofilm sample (ng/g)</t>
  </si>
  <si>
    <t>Boscalid.Biofilm</t>
  </si>
  <si>
    <t>Concentration of boscalid detected in a biofilm sample (ng/g)</t>
  </si>
  <si>
    <t>Oxyfluorfen.Biofilm</t>
  </si>
  <si>
    <t>Prodiamine.Biofilm</t>
  </si>
  <si>
    <t>Dithiopyr.Sed</t>
  </si>
  <si>
    <t>Pendimethalin.Sed</t>
  </si>
  <si>
    <t>Dithiopyr.Biofilm</t>
  </si>
  <si>
    <t>Boscalid.Sed</t>
  </si>
  <si>
    <t>Prodiamine.Sed</t>
  </si>
  <si>
    <t>Oxyfluorfen.Sed</t>
  </si>
  <si>
    <t>Concentration of boscalid detected in a sediment sample (ng/g)</t>
  </si>
  <si>
    <t>Concentration of oxyfluorfen detected in a sediment sample (ng/g)</t>
  </si>
  <si>
    <t>Concentration of prodiamine detected in a sediment sample (ng/g)</t>
  </si>
  <si>
    <t>Concentration of dithiopyr detected in a sediment sample (ng/g)</t>
  </si>
  <si>
    <t>Concentration of oxyfluorfen detected in a biofilm sample (ng/g)</t>
  </si>
  <si>
    <t>Concentration of prodiamine detected in a biofilm sample (ng/g)</t>
  </si>
  <si>
    <t>Concentration of dithiopyr detected in a biofilm sample (ng/g)</t>
  </si>
  <si>
    <t>Concentration of pendimethalin detected in a sediment sample (ng/g)</t>
  </si>
  <si>
    <t>Richness of taxa with the shredding feeding trait (number of taxa)</t>
  </si>
  <si>
    <t>Richness of taxa with the clinging behavior, as a percentage of RICH</t>
  </si>
  <si>
    <t>Biofilm</t>
  </si>
  <si>
    <t>Sediment</t>
  </si>
  <si>
    <t>Map Number</t>
  </si>
  <si>
    <t>Short Name</t>
  </si>
  <si>
    <t>SAN PABLO C A MORAGE WAY A ORINDA CA</t>
  </si>
  <si>
    <t>USGS Site ID</t>
  </si>
  <si>
    <t>Short name</t>
  </si>
  <si>
    <t>Pesticide</t>
  </si>
  <si>
    <t>Concentration in sediment (ng/g)</t>
  </si>
  <si>
    <t>Difference between elevation at sampling site and maximum elevation in the basin, in m</t>
  </si>
  <si>
    <t>DDD</t>
  </si>
  <si>
    <t>DDE</t>
  </si>
  <si>
    <t>DDT</t>
  </si>
  <si>
    <t>Fipronil_Sulfone</t>
  </si>
  <si>
    <t>tauFluvalinate</t>
  </si>
  <si>
    <t xml:space="preserve">Oxadiazon </t>
  </si>
  <si>
    <t>Oxadiazon.Biofilm</t>
  </si>
  <si>
    <t>Oxadiazon.Sed</t>
  </si>
  <si>
    <t>PYSUM_BF</t>
  </si>
  <si>
    <t>PYSUM_SED</t>
  </si>
  <si>
    <t>Sum of pyrethroid toxic units in a sediment sample</t>
  </si>
  <si>
    <t>Concentration of oxydiazon detected in a sediment sample (ng/g)</t>
  </si>
  <si>
    <t>PY_TU_SUM</t>
  </si>
  <si>
    <t>RICH.Bug</t>
  </si>
  <si>
    <t>SH_rich.Bug</t>
  </si>
  <si>
    <t>cn_richp.Bug</t>
  </si>
  <si>
    <t>COLEOPRp.Bug</t>
  </si>
  <si>
    <t>EPTRp.Bug</t>
  </si>
  <si>
    <t>Intol_richp.Bug</t>
  </si>
  <si>
    <t>Observation Number</t>
  </si>
  <si>
    <t>Definitions of invertebrate metrics are from (12).</t>
  </si>
  <si>
    <t>Definitions of natural covariates are from (13).</t>
  </si>
  <si>
    <t>Sum of pyrethroid concentrations in a biofilm sample</t>
  </si>
  <si>
    <t>Sum of pyrethroid concentrations in a sediment sample</t>
  </si>
  <si>
    <t>Sediment-PTI</t>
  </si>
  <si>
    <t>MRL (ng/g)</t>
  </si>
  <si>
    <t>Yes</t>
  </si>
  <si>
    <t>No</t>
  </si>
  <si>
    <t>Included in Data Analysis</t>
  </si>
  <si>
    <t>Sites with low biofilm mass (&lt;0.1 g) were not included in the data analysis.</t>
  </si>
  <si>
    <t>LasTrampas</t>
  </si>
  <si>
    <t>[ND, not detected.  Method reporting levels provided in SI Table S4.]</t>
  </si>
  <si>
    <t>SI Table S1. Sampling site identification information for SI figure S1.</t>
  </si>
  <si>
    <t>SI Table S2. Concentrations of pesticides in sediment for 54 California stream sites, in ng/g.</t>
  </si>
  <si>
    <t>SI Table S3.  Concentrations of pesticides in biofilm for 54 California stream sites, in ng/g.</t>
  </si>
  <si>
    <t>SI Table S4. CAS Registry number, chemical class, type of pesticide, molecular weight, and USGS parameter codes for each pesticide measured in sediment.</t>
  </si>
  <si>
    <t xml:space="preserve">SI Table S5. Variables used in Generalized Additive Models (GAM). TVi, the tolerance value of taxon "i". </t>
  </si>
  <si>
    <t>[ND, not detected at the Method Reporting Level provided in SI Table S4.]</t>
  </si>
  <si>
    <t>SI Table S7. Computed Pesticide Toxicity Index for sediment (Sediment-PTI),</t>
  </si>
  <si>
    <t>and number of exceedances of the Threshold Effect Benchmark (TEB) and</t>
  </si>
  <si>
    <t>Likely Effect Benchmark (LEB) at each sampling site.</t>
  </si>
  <si>
    <t xml:space="preserve">SI Table S8.  For those sites with at least one exceedance of a TEB, concentration of the </t>
  </si>
  <si>
    <r>
      <t>pesticide with the maximum toxic units (TU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 and the computed TU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.</t>
    </r>
  </si>
  <si>
    <t>SI Table S9. Variables used in Tobit regression. LB, lower basin: the area within a 5-km straight-line distance from the sampling point; GAM, General Additive Model</t>
  </si>
  <si>
    <r>
      <t>TU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</si>
  <si>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t>SI Table S10. Data used for the General additive models (GAM). Variable definitions provided in SI Table S5.</t>
  </si>
  <si>
    <t>Oxydiazon.Biofilm</t>
  </si>
  <si>
    <t>[NA, not detected.]</t>
  </si>
  <si>
    <t>SI Table S6. Detection Frequencies. Detection frequences (percentage) for those pesticide compounds detected in either sediment or biofilm at the 46 sites considered.</t>
  </si>
  <si>
    <t>SI Table S11.  Pesticide use in g/km2. Grams of pesticide used per square kilometer in the study basins.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</si>
</sst>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rgb="FF000000"/>
      <name val="Arial"/>
      <family val="2"/>
    </font>
    <font>
      <sz val="8"/>
      <color indexed="64"/>
      <name val="Arial"/>
      <family val="2"/>
    </font>
    <font>
      <sz val="10"/>
      <color indexed="64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4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left" vertical="top"/>
    </xf>
    <xf numFmtId="14" fontId="4" fillId="0" borderId="0" xfId="0" applyNumberFormat="1" applyFont="1" applyFill="1" applyBorder="1" applyAlignment="1">
      <alignment horizontal="left" vertical="top"/>
    </xf>
    <xf numFmtId="20" fontId="3" fillId="0" borderId="1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vertical="center"/>
    </xf>
    <xf numFmtId="2" fontId="3" fillId="0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right" vertical="top"/>
    </xf>
    <xf numFmtId="164" fontId="3" fillId="0" borderId="1" xfId="0" applyNumberFormat="1" applyFont="1" applyFill="1" applyBorder="1" applyAlignment="1">
      <alignment horizontal="right" vertical="top"/>
    </xf>
    <xf numFmtId="49" fontId="1" fillId="2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left" vertical="top"/>
    </xf>
    <xf numFmtId="2" fontId="3" fillId="0" borderId="0" xfId="0" applyNumberFormat="1" applyFont="1" applyFill="1" applyBorder="1" applyAlignment="1">
      <alignment horizontal="left" vertical="top"/>
    </xf>
    <xf numFmtId="165" fontId="3" fillId="0" borderId="0" xfId="0" applyNumberFormat="1" applyFont="1" applyFill="1" applyBorder="1" applyAlignment="1">
      <alignment horizontal="right" vertical="top"/>
    </xf>
    <xf numFmtId="164" fontId="3" fillId="0" borderId="0" xfId="0" applyNumberFormat="1" applyFont="1" applyFill="1" applyBorder="1" applyAlignment="1">
      <alignment horizontal="right" vertical="top"/>
    </xf>
    <xf numFmtId="49" fontId="5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quotePrefix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Fill="1"/>
    <xf numFmtId="0" fontId="6" fillId="3" borderId="0" xfId="0" applyFont="1" applyFill="1" applyAlignment="1">
      <alignment wrapText="1"/>
    </xf>
    <xf numFmtId="1" fontId="0" fillId="0" borderId="0" xfId="0" applyNumberFormat="1" applyAlignment="1">
      <alignment horizontal="left"/>
    </xf>
    <xf numFmtId="11" fontId="0" fillId="0" borderId="0" xfId="0" applyNumberFormat="1"/>
    <xf numFmtId="9" fontId="0" fillId="0" borderId="0" xfId="1" applyFont="1"/>
    <xf numFmtId="1" fontId="0" fillId="0" borderId="0" xfId="0" applyNumberFormat="1"/>
    <xf numFmtId="0" fontId="0" fillId="0" borderId="0" xfId="0" applyFont="1"/>
    <xf numFmtId="0" fontId="0" fillId="0" borderId="0" xfId="0" applyBorder="1"/>
    <xf numFmtId="165" fontId="2" fillId="0" borderId="0" xfId="0" applyNumberFormat="1" applyFont="1" applyBorder="1"/>
    <xf numFmtId="166" fontId="0" fillId="0" borderId="0" xfId="2" applyNumberFormat="1" applyFont="1"/>
    <xf numFmtId="0" fontId="6" fillId="0" borderId="0" xfId="0" applyFont="1"/>
    <xf numFmtId="0" fontId="6" fillId="3" borderId="3" xfId="0" applyFont="1" applyFill="1" applyBorder="1"/>
    <xf numFmtId="49" fontId="6" fillId="3" borderId="3" xfId="0" applyNumberFormat="1" applyFont="1" applyFill="1" applyBorder="1"/>
    <xf numFmtId="0" fontId="6" fillId="3" borderId="3" xfId="0" applyFont="1" applyFill="1" applyBorder="1" applyAlignment="1">
      <alignment wrapText="1"/>
    </xf>
    <xf numFmtId="0" fontId="6" fillId="3" borderId="0" xfId="0" applyFont="1" applyFill="1"/>
    <xf numFmtId="0" fontId="6" fillId="3" borderId="0" xfId="0" applyFont="1" applyFill="1" applyBorder="1"/>
    <xf numFmtId="0" fontId="6" fillId="3" borderId="0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UBLICATIONS\CSQA\Pyrethroids%20biofilm\RELEASES\Sandstrom%20Colleague%20Review%20OCT%202\pesticide_use%20and%20conversion%20to%20g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ticide use in lb-km2"/>
      <sheetName val="Pesticide use in g-km2"/>
    </sheetNames>
    <sheetDataSet>
      <sheetData sheetId="0">
        <row r="2">
          <cell r="C2">
            <v>2.4060174496312099E-2</v>
          </cell>
          <cell r="D2">
            <v>0.29809587935536702</v>
          </cell>
          <cell r="E2">
            <v>0</v>
          </cell>
          <cell r="F2">
            <v>9.7157092617249797E-3</v>
          </cell>
          <cell r="G2">
            <v>6.3203785148653602E-3</v>
          </cell>
          <cell r="H2">
            <v>1.2903764475551401E-3</v>
          </cell>
          <cell r="I2">
            <v>0</v>
          </cell>
          <cell r="J2">
            <v>7.88894438409923E-3</v>
          </cell>
          <cell r="K2">
            <v>3.2397254331715701E-4</v>
          </cell>
          <cell r="L2">
            <v>7.2594730548888395E-5</v>
          </cell>
          <cell r="M2">
            <v>0.40264067751186999</v>
          </cell>
          <cell r="N2">
            <v>3.5367501273673302E-2</v>
          </cell>
          <cell r="O2">
            <v>0.28899879253271799</v>
          </cell>
          <cell r="P2">
            <v>1.27294505369751E-2</v>
          </cell>
        </row>
        <row r="3">
          <cell r="C3">
            <v>1.29945533567598E-4</v>
          </cell>
          <cell r="D3">
            <v>1.7636970593674901E-6</v>
          </cell>
          <cell r="E3">
            <v>0</v>
          </cell>
          <cell r="F3">
            <v>2.57515442944331E-6</v>
          </cell>
          <cell r="G3">
            <v>6.9646042167560598E-5</v>
          </cell>
          <cell r="H3">
            <v>6.3821860551137404E-7</v>
          </cell>
          <cell r="I3">
            <v>0</v>
          </cell>
          <cell r="J3">
            <v>5.9416608100610301E-5</v>
          </cell>
          <cell r="K3">
            <v>1.2096874422045499E-7</v>
          </cell>
          <cell r="L3">
            <v>3.9755502126872601E-8</v>
          </cell>
          <cell r="M3">
            <v>1.7429149250970999E-4</v>
          </cell>
          <cell r="N3">
            <v>1.2606086554466399E-4</v>
          </cell>
          <cell r="O3">
            <v>3.4259256519326802E-5</v>
          </cell>
          <cell r="P3">
            <v>1.4046952099130801E-4</v>
          </cell>
        </row>
        <row r="4">
          <cell r="C4">
            <v>2.9764364073697498E-4</v>
          </cell>
          <cell r="D4">
            <v>7.8519751035286497E-6</v>
          </cell>
          <cell r="E4">
            <v>0</v>
          </cell>
          <cell r="F4">
            <v>2.6553648920078399E-6</v>
          </cell>
          <cell r="G4">
            <v>9.3985091873930598E-5</v>
          </cell>
          <cell r="H4">
            <v>2.68844942594292E-6</v>
          </cell>
          <cell r="I4">
            <v>0</v>
          </cell>
          <cell r="J4">
            <v>1.3848361147618201E-4</v>
          </cell>
          <cell r="K4">
            <v>5.4604366801398599E-8</v>
          </cell>
          <cell r="L4">
            <v>2.92112232499318E-6</v>
          </cell>
          <cell r="M4">
            <v>1.43493097378927E-3</v>
          </cell>
          <cell r="N4">
            <v>3.7443552954596199E-4</v>
          </cell>
          <cell r="O4">
            <v>3.3983125201477902E-4</v>
          </cell>
          <cell r="P4">
            <v>9.9616229821211598E-5</v>
          </cell>
        </row>
        <row r="5">
          <cell r="C5">
            <v>4.17582045665313E-4</v>
          </cell>
          <cell r="D5">
            <v>1.1016006843401199E-5</v>
          </cell>
          <cell r="E5">
            <v>0</v>
          </cell>
          <cell r="F5">
            <v>3.72536855233283E-6</v>
          </cell>
          <cell r="G5">
            <v>1.3185730069393401E-4</v>
          </cell>
          <cell r="H5">
            <v>3.7717885580889599E-6</v>
          </cell>
          <cell r="I5">
            <v>0</v>
          </cell>
          <cell r="J5">
            <v>1.9428693517955901E-4</v>
          </cell>
          <cell r="K5">
            <v>7.6607847526462205E-8</v>
          </cell>
          <cell r="L5">
            <v>4.0982171980429098E-6</v>
          </cell>
          <cell r="M5">
            <v>0.16820224062549999</v>
          </cell>
          <cell r="N5">
            <v>0.15678317349621099</v>
          </cell>
          <cell r="O5">
            <v>4.7676956924946402E-4</v>
          </cell>
          <cell r="P5">
            <v>1.39757561318794E-4</v>
          </cell>
        </row>
        <row r="6">
          <cell r="C6">
            <v>0.111057683180974</v>
          </cell>
          <cell r="D6">
            <v>1.46647240466111</v>
          </cell>
          <cell r="E6">
            <v>0</v>
          </cell>
          <cell r="F6">
            <v>0.568967609848126</v>
          </cell>
          <cell r="G6">
            <v>7.9980175292275208E-3</v>
          </cell>
          <cell r="H6">
            <v>4.8627725352369203E-3</v>
          </cell>
          <cell r="I6">
            <v>0</v>
          </cell>
          <cell r="J6">
            <v>1.1787526459554901E-2</v>
          </cell>
          <cell r="K6">
            <v>1.3196523262191799E-2</v>
          </cell>
          <cell r="L6">
            <v>2.4823570309939199E-4</v>
          </cell>
          <cell r="M6">
            <v>0.61146756574279804</v>
          </cell>
          <cell r="N6">
            <v>0.14017193384200799</v>
          </cell>
          <cell r="O6">
            <v>1.3011594463488401</v>
          </cell>
          <cell r="P6">
            <v>8.4653442182321507E-3</v>
          </cell>
        </row>
        <row r="7">
          <cell r="C7">
            <v>0.13436644238062601</v>
          </cell>
          <cell r="D7">
            <v>0.26645292201964799</v>
          </cell>
          <cell r="E7">
            <v>9.6557867489147802E-4</v>
          </cell>
          <cell r="F7">
            <v>5.1744911359378601E-2</v>
          </cell>
          <cell r="G7">
            <v>0.135675611994517</v>
          </cell>
          <cell r="H7">
            <v>2.8986756262280099E-2</v>
          </cell>
          <cell r="I7">
            <v>3.8569718985606603E-5</v>
          </cell>
          <cell r="J7">
            <v>0.108885894640165</v>
          </cell>
          <cell r="K7">
            <v>1.39411542152159E-5</v>
          </cell>
          <cell r="L7">
            <v>2.5650819922321201E-3</v>
          </cell>
          <cell r="M7">
            <v>4.1601381699794403E-2</v>
          </cell>
          <cell r="N7">
            <v>0.413058479186658</v>
          </cell>
          <cell r="O7">
            <v>0.75588763267991799</v>
          </cell>
          <cell r="P7">
            <v>0.18902265026273701</v>
          </cell>
        </row>
        <row r="8">
          <cell r="C8">
            <v>2.5908140613080902E-2</v>
          </cell>
          <cell r="D8">
            <v>0.55875690954838297</v>
          </cell>
          <cell r="E8">
            <v>1.33843051377313</v>
          </cell>
          <cell r="F8">
            <v>9.0843805622263003E-5</v>
          </cell>
          <cell r="G8">
            <v>3.22179311060884E-2</v>
          </cell>
          <cell r="H8">
            <v>4.9933936007910702E-3</v>
          </cell>
          <cell r="I8">
            <v>0</v>
          </cell>
          <cell r="J8">
            <v>1.3217084672976401E-2</v>
          </cell>
          <cell r="K8">
            <v>3.9926636591326499E-6</v>
          </cell>
          <cell r="L8">
            <v>2.1056634226585698E-3</v>
          </cell>
          <cell r="M8">
            <v>0.76100930604605199</v>
          </cell>
          <cell r="N8">
            <v>3.0425766492442399E-3</v>
          </cell>
          <cell r="O8">
            <v>2.8620556137872601E-2</v>
          </cell>
          <cell r="P8">
            <v>8.5763822573809802E-6</v>
          </cell>
        </row>
        <row r="9">
          <cell r="C9">
            <v>0.11229604702563099</v>
          </cell>
          <cell r="D9">
            <v>3.6151851470925798E-3</v>
          </cell>
          <cell r="E9">
            <v>2.4302486610558498E-6</v>
          </cell>
          <cell r="F9">
            <v>5.9298578596021397E-3</v>
          </cell>
          <cell r="G9">
            <v>0.10211268254495</v>
          </cell>
          <cell r="H9">
            <v>5.2313755547054295E-4</v>
          </cell>
          <cell r="I9">
            <v>0</v>
          </cell>
          <cell r="J9">
            <v>6.9414369118209696E-2</v>
          </cell>
          <cell r="K9">
            <v>2.8885220734506502E-6</v>
          </cell>
          <cell r="L9">
            <v>8.5831668228768202E-3</v>
          </cell>
          <cell r="M9">
            <v>6.71679676587605E-2</v>
          </cell>
          <cell r="N9">
            <v>0.50676443616105604</v>
          </cell>
          <cell r="O9">
            <v>1.27951643008799E-2</v>
          </cell>
          <cell r="P9">
            <v>2.8303897265684799E-2</v>
          </cell>
        </row>
        <row r="10">
          <cell r="C10">
            <v>0.35329455060558201</v>
          </cell>
          <cell r="D10">
            <v>0</v>
          </cell>
          <cell r="E10">
            <v>1.69984728804634E-5</v>
          </cell>
          <cell r="F10">
            <v>3.4394966061084803E-2</v>
          </cell>
          <cell r="G10">
            <v>0.28915227648762498</v>
          </cell>
          <cell r="H10">
            <v>2.01220071090047E-3</v>
          </cell>
          <cell r="I10">
            <v>0</v>
          </cell>
          <cell r="J10">
            <v>0.187857834175882</v>
          </cell>
          <cell r="K10">
            <v>4.7865982095839901E-6</v>
          </cell>
          <cell r="L10">
            <v>7.7273649052132701E-2</v>
          </cell>
          <cell r="M10">
            <v>0.118920206503423</v>
          </cell>
          <cell r="N10">
            <v>0.18495538217482899</v>
          </cell>
          <cell r="O10">
            <v>4.4913420563454501E-2</v>
          </cell>
          <cell r="P10">
            <v>0.13666902382833099</v>
          </cell>
        </row>
        <row r="11">
          <cell r="C11">
            <v>5.8866709324758799E-2</v>
          </cell>
          <cell r="D11">
            <v>0</v>
          </cell>
          <cell r="E11">
            <v>2.83232154340836E-6</v>
          </cell>
          <cell r="F11">
            <v>5.7309643086816704E-3</v>
          </cell>
          <cell r="G11">
            <v>4.81791834726688E-2</v>
          </cell>
          <cell r="H11">
            <v>3.3527729903537002E-4</v>
          </cell>
          <cell r="I11">
            <v>0</v>
          </cell>
          <cell r="J11">
            <v>3.1301282379421203E-2</v>
          </cell>
          <cell r="K11">
            <v>7.9755627009646305E-7</v>
          </cell>
          <cell r="L11">
            <v>1.2875504115755601E-2</v>
          </cell>
          <cell r="M11">
            <v>1.54132645659164E-2</v>
          </cell>
          <cell r="N11">
            <v>3.0817669517684901E-2</v>
          </cell>
          <cell r="O11">
            <v>7.4835722186495203E-3</v>
          </cell>
          <cell r="P11">
            <v>2.2768581543408401E-2</v>
          </cell>
        </row>
        <row r="12">
          <cell r="C12">
            <v>5.9263185060933901E-3</v>
          </cell>
          <cell r="D12">
            <v>0</v>
          </cell>
          <cell r="E12">
            <v>0</v>
          </cell>
          <cell r="F12">
            <v>1.50040414897987E-4</v>
          </cell>
          <cell r="G12">
            <v>5.16327846090648E-3</v>
          </cell>
          <cell r="H12">
            <v>1.07074305080104E-4</v>
          </cell>
          <cell r="I12">
            <v>0</v>
          </cell>
          <cell r="J12">
            <v>5.71046246747912E-3</v>
          </cell>
          <cell r="K12">
            <v>7.3058948377379203E-6</v>
          </cell>
          <cell r="L12">
            <v>9.0912200465562105E-5</v>
          </cell>
          <cell r="M12">
            <v>1.0257556123236999</v>
          </cell>
          <cell r="N12">
            <v>1.41156443608106</v>
          </cell>
          <cell r="O12">
            <v>2.8867016842393498E-3</v>
          </cell>
          <cell r="P12">
            <v>7.3265509311241997E-3</v>
          </cell>
        </row>
        <row r="13">
          <cell r="C13">
            <v>4.6566671674370799E-2</v>
          </cell>
          <cell r="D13">
            <v>0</v>
          </cell>
          <cell r="E13">
            <v>1.6634874165382599E-6</v>
          </cell>
          <cell r="F13">
            <v>1.1794228556754E-3</v>
          </cell>
          <cell r="G13">
            <v>4.0662771006676902E-2</v>
          </cell>
          <cell r="H13">
            <v>8.42259732922445E-4</v>
          </cell>
          <cell r="I13">
            <v>0</v>
          </cell>
          <cell r="J13">
            <v>4.4888155444273201E-2</v>
          </cell>
          <cell r="K13">
            <v>5.7487390857729802E-5</v>
          </cell>
          <cell r="L13">
            <v>7.31978710837185E-4</v>
          </cell>
          <cell r="M13">
            <v>0.25067741479198802</v>
          </cell>
          <cell r="N13">
            <v>2.3583097357473002</v>
          </cell>
          <cell r="O13">
            <v>2.27507899845917E-2</v>
          </cell>
          <cell r="P13">
            <v>4.3976161633282003E-2</v>
          </cell>
        </row>
        <row r="14">
          <cell r="C14">
            <v>1.2955344635562201E-2</v>
          </cell>
          <cell r="D14">
            <v>3.0009612986454497E-4</v>
          </cell>
          <cell r="E14">
            <v>0</v>
          </cell>
          <cell r="F14">
            <v>7.59089314125994E-4</v>
          </cell>
          <cell r="G14">
            <v>2.2590958933562701E-2</v>
          </cell>
          <cell r="H14">
            <v>5.1683134809718295E-4</v>
          </cell>
          <cell r="I14">
            <v>0</v>
          </cell>
          <cell r="J14">
            <v>4.6410169834444202E-2</v>
          </cell>
          <cell r="K14">
            <v>1.8272500537518799E-5</v>
          </cell>
          <cell r="L14">
            <v>0</v>
          </cell>
          <cell r="M14">
            <v>0</v>
          </cell>
          <cell r="N14">
            <v>5.9396815953558398E-3</v>
          </cell>
          <cell r="O14">
            <v>2.5518935992259701E-2</v>
          </cell>
          <cell r="P14">
            <v>9.9092412169425898E-3</v>
          </cell>
        </row>
        <row r="15">
          <cell r="C15">
            <v>4.0151262162740897E-2</v>
          </cell>
          <cell r="D15">
            <v>9.3005931477516005E-4</v>
          </cell>
          <cell r="E15">
            <v>0</v>
          </cell>
          <cell r="F15">
            <v>2.3525729764454001E-3</v>
          </cell>
          <cell r="G15">
            <v>7.0014001092077102E-2</v>
          </cell>
          <cell r="H15">
            <v>1.60176605995717E-3</v>
          </cell>
          <cell r="I15">
            <v>0</v>
          </cell>
          <cell r="J15">
            <v>0.14383460623126301</v>
          </cell>
          <cell r="K15">
            <v>5.6630299785867197E-5</v>
          </cell>
          <cell r="L15">
            <v>0</v>
          </cell>
          <cell r="M15">
            <v>0</v>
          </cell>
          <cell r="N15">
            <v>1.84082878158458E-2</v>
          </cell>
          <cell r="O15">
            <v>7.4891776038543897E-2</v>
          </cell>
          <cell r="P15">
            <v>3.0710764753747299E-2</v>
          </cell>
        </row>
        <row r="16">
          <cell r="C16">
            <v>4.4192561920752202E-2</v>
          </cell>
          <cell r="D16">
            <v>0</v>
          </cell>
          <cell r="E16">
            <v>1.7539035594358601E-3</v>
          </cell>
          <cell r="F16">
            <v>1.6118476158495602E-2</v>
          </cell>
          <cell r="G16">
            <v>0.12696978522498301</v>
          </cell>
          <cell r="H16">
            <v>1.5882838817998699E-3</v>
          </cell>
          <cell r="I16">
            <v>0</v>
          </cell>
          <cell r="J16">
            <v>5.1968979919408999E-2</v>
          </cell>
          <cell r="K16">
            <v>1.2766762256548E-4</v>
          </cell>
          <cell r="L16">
            <v>1.9116558361316299E-2</v>
          </cell>
          <cell r="M16">
            <v>1.2846293485560801E-3</v>
          </cell>
          <cell r="N16">
            <v>9.9368938549362004E-2</v>
          </cell>
          <cell r="O16">
            <v>8.8828703290799199E-2</v>
          </cell>
          <cell r="P16">
            <v>5.4944989858965697E-2</v>
          </cell>
        </row>
        <row r="17">
          <cell r="C17">
            <v>7.41371667035398E-2</v>
          </cell>
          <cell r="D17">
            <v>0</v>
          </cell>
          <cell r="E17">
            <v>3.74935530973451E-3</v>
          </cell>
          <cell r="F17">
            <v>2.9239017699115E-3</v>
          </cell>
          <cell r="G17">
            <v>0.27142589037610598</v>
          </cell>
          <cell r="H17">
            <v>3.3953067477876099E-3</v>
          </cell>
          <cell r="I17">
            <v>0</v>
          </cell>
          <cell r="J17">
            <v>0.111095144579646</v>
          </cell>
          <cell r="K17">
            <v>2.7291771017699102E-4</v>
          </cell>
          <cell r="L17">
            <v>4.0865855420354001E-2</v>
          </cell>
          <cell r="M17">
            <v>2.7461783185840699E-3</v>
          </cell>
          <cell r="N17">
            <v>0.21242299966814199</v>
          </cell>
          <cell r="O17">
            <v>0.18989092433628299</v>
          </cell>
          <cell r="P17">
            <v>2.45984014380531E-2</v>
          </cell>
        </row>
        <row r="18">
          <cell r="C18">
            <v>3.0495675877808999E-2</v>
          </cell>
          <cell r="D18">
            <v>3.25424420646067E-2</v>
          </cell>
          <cell r="E18">
            <v>1.5422645716292099E-3</v>
          </cell>
          <cell r="F18">
            <v>1.20272148876404E-3</v>
          </cell>
          <cell r="G18">
            <v>0.111648668855337</v>
          </cell>
          <cell r="H18">
            <v>1.3966297752809E-3</v>
          </cell>
          <cell r="I18">
            <v>0</v>
          </cell>
          <cell r="J18">
            <v>4.5698017222612401E-2</v>
          </cell>
          <cell r="K18">
            <v>1.12262294592697E-4</v>
          </cell>
          <cell r="L18">
            <v>1.68098126228933E-2</v>
          </cell>
          <cell r="M18">
            <v>2.7553315537219101E-2</v>
          </cell>
          <cell r="N18">
            <v>0.23700385082514</v>
          </cell>
          <cell r="O18">
            <v>7.8109972893258398E-2</v>
          </cell>
          <cell r="P18">
            <v>1.0118337552668499E-2</v>
          </cell>
        </row>
        <row r="19">
          <cell r="C19">
            <v>3.3353017235896003E-2</v>
          </cell>
          <cell r="D19">
            <v>1.4142820105088501E-2</v>
          </cell>
          <cell r="E19">
            <v>1.6867695174225699E-3</v>
          </cell>
          <cell r="F19">
            <v>1.31541238938053E-3</v>
          </cell>
          <cell r="G19">
            <v>0.122109770326327</v>
          </cell>
          <cell r="H19">
            <v>1.52748923534292E-3</v>
          </cell>
          <cell r="I19">
            <v>0</v>
          </cell>
          <cell r="J19">
            <v>4.9979766399336302E-2</v>
          </cell>
          <cell r="K19">
            <v>1.2278089048672601E-4</v>
          </cell>
          <cell r="L19">
            <v>1.8384835024889402E-2</v>
          </cell>
          <cell r="M19">
            <v>4.0022224121958001E-2</v>
          </cell>
          <cell r="N19">
            <v>0.20060831728429199</v>
          </cell>
          <cell r="O19">
            <v>8.54286123340708E-2</v>
          </cell>
          <cell r="P19">
            <v>1.10670912541482E-2</v>
          </cell>
        </row>
        <row r="20">
          <cell r="C20">
            <v>4.9464527266281803E-2</v>
          </cell>
          <cell r="D20">
            <v>7.6656715030892303E-2</v>
          </cell>
          <cell r="E20">
            <v>2.5280874303656399E-3</v>
          </cell>
          <cell r="F20">
            <v>1.95083556163274E-3</v>
          </cell>
          <cell r="G20">
            <v>0.18109612157398999</v>
          </cell>
          <cell r="H20">
            <v>2.2653582599007401E-3</v>
          </cell>
          <cell r="I20">
            <v>0</v>
          </cell>
          <cell r="J20">
            <v>7.4122994636888498E-2</v>
          </cell>
          <cell r="K20">
            <v>1.8209143117593399E-4</v>
          </cell>
          <cell r="L20">
            <v>2.72658142763091E-2</v>
          </cell>
          <cell r="M20">
            <v>0.25553609430770802</v>
          </cell>
          <cell r="N20">
            <v>0.29907002211587203</v>
          </cell>
          <cell r="O20">
            <v>0.13665073385495799</v>
          </cell>
          <cell r="P20">
            <v>1.6412635612275898E-2</v>
          </cell>
        </row>
        <row r="21">
          <cell r="C21">
            <v>9.7337536589234094E-2</v>
          </cell>
          <cell r="D21">
            <v>7.7067527549211701E-2</v>
          </cell>
          <cell r="E21">
            <v>0</v>
          </cell>
          <cell r="F21">
            <v>1.7368208956059301E-2</v>
          </cell>
          <cell r="G21">
            <v>4.7284014273719602E-2</v>
          </cell>
          <cell r="H21">
            <v>4.3329806884970598E-4</v>
          </cell>
          <cell r="I21">
            <v>0</v>
          </cell>
          <cell r="J21">
            <v>4.0339048866498702E-2</v>
          </cell>
          <cell r="K21">
            <v>8.2128034331560798E-5</v>
          </cell>
          <cell r="L21">
            <v>2.6990736076126501E-5</v>
          </cell>
          <cell r="M21">
            <v>0.14958267496035099</v>
          </cell>
          <cell r="N21">
            <v>8.9931515132008602E-2</v>
          </cell>
          <cell r="O21">
            <v>2.3831634798022201E-2</v>
          </cell>
          <cell r="P21">
            <v>9.5367406437167707E-2</v>
          </cell>
        </row>
        <row r="22">
          <cell r="C22">
            <v>7.9360519016196798E-2</v>
          </cell>
          <cell r="D22">
            <v>1.07712825434913E-3</v>
          </cell>
          <cell r="E22">
            <v>0</v>
          </cell>
          <cell r="F22">
            <v>1.57270189962008E-3</v>
          </cell>
          <cell r="G22">
            <v>4.2534334973005399E-2</v>
          </cell>
          <cell r="H22">
            <v>3.8977328534293097E-4</v>
          </cell>
          <cell r="I22">
            <v>0</v>
          </cell>
          <cell r="J22">
            <v>3.6286991361727701E-2</v>
          </cell>
          <cell r="K22">
            <v>7.3878264347130597E-5</v>
          </cell>
          <cell r="L22">
            <v>2.42795040991802E-5</v>
          </cell>
          <cell r="M22">
            <v>0.10644379840032001</v>
          </cell>
          <cell r="N22">
            <v>7.7007013211357694E-2</v>
          </cell>
          <cell r="O22">
            <v>2.0922864387122601E-2</v>
          </cell>
          <cell r="P22">
            <v>8.5787750349929998E-2</v>
          </cell>
        </row>
        <row r="23">
          <cell r="C23">
            <v>5.5336432718579201E-4</v>
          </cell>
          <cell r="D23">
            <v>1.29118469945355E-5</v>
          </cell>
          <cell r="E23">
            <v>0</v>
          </cell>
          <cell r="F23">
            <v>4.8955993852459004E-6</v>
          </cell>
          <cell r="G23">
            <v>1.4114381830601099E-4</v>
          </cell>
          <cell r="H23">
            <v>4.5953654371584697E-6</v>
          </cell>
          <cell r="I23">
            <v>0</v>
          </cell>
          <cell r="J23">
            <v>2.10214719945355E-4</v>
          </cell>
          <cell r="K23">
            <v>8.9190385928961799E-8</v>
          </cell>
          <cell r="L23">
            <v>4.2389344262295099E-6</v>
          </cell>
          <cell r="M23">
            <v>2.4983820935792398E-3</v>
          </cell>
          <cell r="N23">
            <v>5.4335570355191305E-4</v>
          </cell>
          <cell r="O23">
            <v>4.9548002049180299E-4</v>
          </cell>
          <cell r="P23">
            <v>1.4455638661202199E-4</v>
          </cell>
        </row>
        <row r="24">
          <cell r="C24">
            <v>8.8874724125127605E-3</v>
          </cell>
          <cell r="D24">
            <v>0.85221782793836398</v>
          </cell>
          <cell r="E24">
            <v>0</v>
          </cell>
          <cell r="F24">
            <v>0.127608469989789</v>
          </cell>
          <cell r="G24">
            <v>2.6283254618026499E-3</v>
          </cell>
          <cell r="H24">
            <v>1.32632763389956E-3</v>
          </cell>
          <cell r="I24">
            <v>0</v>
          </cell>
          <cell r="J24">
            <v>3.8846371762740199E-3</v>
          </cell>
          <cell r="K24">
            <v>1.0769383347164201E-2</v>
          </cell>
          <cell r="L24">
            <v>8.0906265664160403E-5</v>
          </cell>
          <cell r="M24">
            <v>0.16727164826881999</v>
          </cell>
          <cell r="N24">
            <v>1.03707335932424E-2</v>
          </cell>
          <cell r="O24">
            <v>0.34620118758934398</v>
          </cell>
          <cell r="P24">
            <v>2.7590687923512501E-3</v>
          </cell>
        </row>
        <row r="25">
          <cell r="C25">
            <v>0.12135561943694601</v>
          </cell>
          <cell r="D25">
            <v>0.31981258067875101</v>
          </cell>
          <cell r="E25">
            <v>0</v>
          </cell>
          <cell r="F25">
            <v>0.19965014600848399</v>
          </cell>
          <cell r="G25">
            <v>4.5836978789047401E-3</v>
          </cell>
          <cell r="H25">
            <v>1.31117123023525E-4</v>
          </cell>
          <cell r="I25">
            <v>0</v>
          </cell>
          <cell r="J25">
            <v>6.7539120709602801E-3</v>
          </cell>
          <cell r="K25">
            <v>4.4043295017354399E-2</v>
          </cell>
          <cell r="L25">
            <v>1.4246451986116499E-4</v>
          </cell>
          <cell r="M25">
            <v>0.79964614350173602</v>
          </cell>
          <cell r="N25">
            <v>1.8261400000000001E-2</v>
          </cell>
          <cell r="O25">
            <v>0.18690362313922099</v>
          </cell>
          <cell r="P25">
            <v>4.8583311993829498E-3</v>
          </cell>
        </row>
        <row r="26">
          <cell r="C26">
            <v>0.11131718892536201</v>
          </cell>
          <cell r="D26">
            <v>0.44337070310023602</v>
          </cell>
          <cell r="E26">
            <v>1.4083689777512499E-7</v>
          </cell>
          <cell r="F26">
            <v>0.16319163971617101</v>
          </cell>
          <cell r="G26">
            <v>4.3739509499651904E-3</v>
          </cell>
          <cell r="H26">
            <v>5.0763867910076602E-2</v>
          </cell>
          <cell r="I26">
            <v>0</v>
          </cell>
          <cell r="J26">
            <v>8.4903477834145698E-3</v>
          </cell>
          <cell r="K26">
            <v>9.1166717169004305E-6</v>
          </cell>
          <cell r="L26">
            <v>2.8701813720614098E-7</v>
          </cell>
          <cell r="M26">
            <v>0.40495526148081801</v>
          </cell>
          <cell r="N26">
            <v>0.53582289018203499</v>
          </cell>
          <cell r="O26">
            <v>0.39925229884943098</v>
          </cell>
          <cell r="P26">
            <v>2.6417670015584099E-5</v>
          </cell>
        </row>
        <row r="27">
          <cell r="C27">
            <v>3.6483558498393701E-3</v>
          </cell>
          <cell r="D27">
            <v>0.12922998534567801</v>
          </cell>
          <cell r="E27">
            <v>8.1480961776833399E-5</v>
          </cell>
          <cell r="F27">
            <v>4.91695387847512E-2</v>
          </cell>
          <cell r="G27">
            <v>1.93999266145557E-3</v>
          </cell>
          <cell r="H27">
            <v>8.5869154461055905E-3</v>
          </cell>
          <cell r="I27">
            <v>0</v>
          </cell>
          <cell r="J27">
            <v>1.6219743543042201E-3</v>
          </cell>
          <cell r="K27">
            <v>3.1253851407755902E-7</v>
          </cell>
          <cell r="L27">
            <v>3.5601219296248499E-5</v>
          </cell>
          <cell r="M27">
            <v>6.8883543474741293E-2</v>
          </cell>
          <cell r="N27">
            <v>5.65553988768308E-3</v>
          </cell>
          <cell r="O27">
            <v>8.9550148111608597E-3</v>
          </cell>
          <cell r="P27">
            <v>1.30879813943487E-2</v>
          </cell>
        </row>
        <row r="28">
          <cell r="C28">
            <v>1.32075019762625E-2</v>
          </cell>
          <cell r="D28">
            <v>3.66162621766879E-3</v>
          </cell>
          <cell r="E28">
            <v>1.97740202664875E-4</v>
          </cell>
          <cell r="F28">
            <v>5.1276207031687401E-4</v>
          </cell>
          <cell r="G28">
            <v>1.85123768950845E-2</v>
          </cell>
          <cell r="H28">
            <v>6.3854937297055199E-4</v>
          </cell>
          <cell r="I28">
            <v>0</v>
          </cell>
          <cell r="J28">
            <v>1.4886693253834999E-2</v>
          </cell>
          <cell r="K28">
            <v>1.9128369723435201E-6</v>
          </cell>
          <cell r="L28">
            <v>3.5315138842234898E-4</v>
          </cell>
          <cell r="M28">
            <v>4.2337103129548803E-2</v>
          </cell>
          <cell r="N28">
            <v>8.9163535550330297E-2</v>
          </cell>
          <cell r="O28">
            <v>8.7711269527488506E-2</v>
          </cell>
          <cell r="P28">
            <v>3.6195606415854897E-2</v>
          </cell>
        </row>
        <row r="29">
          <cell r="C29">
            <v>1.9858288300610701E-2</v>
          </cell>
          <cell r="D29">
            <v>8.8232405957368101E-2</v>
          </cell>
          <cell r="E29">
            <v>2.3990820959302801E-3</v>
          </cell>
          <cell r="F29">
            <v>2.0188765569743802E-2</v>
          </cell>
          <cell r="G29">
            <v>2.44882424502431E-2</v>
          </cell>
          <cell r="H29">
            <v>1.29982637779909E-2</v>
          </cell>
          <cell r="I29">
            <v>0</v>
          </cell>
          <cell r="J29">
            <v>1.96529364996046E-2</v>
          </cell>
          <cell r="K29">
            <v>2.5162551523410598E-6</v>
          </cell>
          <cell r="L29">
            <v>4.6297450831945402E-4</v>
          </cell>
          <cell r="M29">
            <v>3.3275514392907002E-5</v>
          </cell>
          <cell r="N29">
            <v>7.3547220584128298E-2</v>
          </cell>
          <cell r="O29">
            <v>0.119439529446996</v>
          </cell>
          <cell r="P29">
            <v>4.0281553459849601E-2</v>
          </cell>
        </row>
        <row r="30">
          <cell r="C30">
            <v>5.6576220274914102E-2</v>
          </cell>
          <cell r="D30">
            <v>2.19751050019091E-5</v>
          </cell>
          <cell r="E30">
            <v>4.2166895761741098E-5</v>
          </cell>
          <cell r="F30">
            <v>2.1894016800305502E-3</v>
          </cell>
          <cell r="G30">
            <v>7.9052130584192401E-2</v>
          </cell>
          <cell r="H30">
            <v>2.7268308132875098E-3</v>
          </cell>
          <cell r="I30">
            <v>0</v>
          </cell>
          <cell r="J30">
            <v>6.3672234478808695E-2</v>
          </cell>
          <cell r="K30">
            <v>8.2050362733867908E-6</v>
          </cell>
          <cell r="L30">
            <v>1.51895750286369E-3</v>
          </cell>
          <cell r="M30">
            <v>1.5414176021382199E-3</v>
          </cell>
          <cell r="N30">
            <v>0.237215381748759</v>
          </cell>
          <cell r="O30">
            <v>0.37437394272623098</v>
          </cell>
          <cell r="P30">
            <v>3.1591647308132902E-2</v>
          </cell>
        </row>
        <row r="31">
          <cell r="C31">
            <v>4.9921082773673603E-2</v>
          </cell>
          <cell r="D31">
            <v>1.9342016453996001E-5</v>
          </cell>
          <cell r="E31">
            <v>3.5102686366689E-5</v>
          </cell>
          <cell r="F31">
            <v>1.9276220114170599E-3</v>
          </cell>
          <cell r="G31">
            <v>6.9604691277703107E-2</v>
          </cell>
          <cell r="H31">
            <v>2.4009964237743501E-3</v>
          </cell>
          <cell r="I31">
            <v>0</v>
          </cell>
          <cell r="J31">
            <v>5.61243684016118E-2</v>
          </cell>
          <cell r="K31">
            <v>7.2465119207521797E-6</v>
          </cell>
          <cell r="L31">
            <v>1.3439769308260601E-3</v>
          </cell>
          <cell r="M31">
            <v>1.74208587978509E-3</v>
          </cell>
          <cell r="N31">
            <v>0.20881037191907301</v>
          </cell>
          <cell r="O31">
            <v>0.32952886733546</v>
          </cell>
          <cell r="P31">
            <v>2.7497974840497E-2</v>
          </cell>
        </row>
        <row r="32">
          <cell r="C32">
            <v>0.19555052625387001</v>
          </cell>
          <cell r="D32">
            <v>7.6578761609907096E-5</v>
          </cell>
          <cell r="E32">
            <v>6.4289783281733698E-6</v>
          </cell>
          <cell r="F32">
            <v>7.6224195046439604E-3</v>
          </cell>
          <cell r="G32">
            <v>0.27516139411764701</v>
          </cell>
          <cell r="H32">
            <v>9.4908387616099103E-3</v>
          </cell>
          <cell r="I32">
            <v>0</v>
          </cell>
          <cell r="J32">
            <v>0.22082962538699699</v>
          </cell>
          <cell r="K32">
            <v>2.8273802476780202E-5</v>
          </cell>
          <cell r="L32">
            <v>5.2021990712074299E-3</v>
          </cell>
          <cell r="M32">
            <v>3.7389931888544899E-4</v>
          </cell>
          <cell r="N32">
            <v>0.82641111523219801</v>
          </cell>
          <cell r="O32">
            <v>1.3044544777709</v>
          </cell>
          <cell r="P32">
            <v>8.8553727739938096E-2</v>
          </cell>
        </row>
        <row r="33">
          <cell r="C33">
            <v>0.48840752911764701</v>
          </cell>
          <cell r="D33">
            <v>0</v>
          </cell>
          <cell r="E33">
            <v>7.9494333333333305E-7</v>
          </cell>
          <cell r="F33">
            <v>1.4149857647058801E-2</v>
          </cell>
          <cell r="G33">
            <v>0.41861431098039198</v>
          </cell>
          <cell r="H33">
            <v>1.9771946078431398E-3</v>
          </cell>
          <cell r="I33">
            <v>0</v>
          </cell>
          <cell r="J33">
            <v>0.32418363637254899</v>
          </cell>
          <cell r="K33">
            <v>7.0324264705882401E-6</v>
          </cell>
          <cell r="L33">
            <v>1.53710441176471E-4</v>
          </cell>
          <cell r="M33">
            <v>0.34779441303921599</v>
          </cell>
          <cell r="N33">
            <v>0.36216360382352902</v>
          </cell>
          <cell r="O33">
            <v>4.8178908725490202E-2</v>
          </cell>
          <cell r="P33">
            <v>8.7017216568627501E-2</v>
          </cell>
        </row>
        <row r="34">
          <cell r="C34">
            <v>0.42834700512908402</v>
          </cell>
          <cell r="D34">
            <v>0</v>
          </cell>
          <cell r="E34">
            <v>2.06095727667352E-5</v>
          </cell>
          <cell r="F34">
            <v>4.1701692517706203E-2</v>
          </cell>
          <cell r="G34">
            <v>0.54866336355951595</v>
          </cell>
          <cell r="H34">
            <v>2.43966439342015E-3</v>
          </cell>
          <cell r="I34">
            <v>0</v>
          </cell>
          <cell r="J34">
            <v>0.22776558690884199</v>
          </cell>
          <cell r="K34">
            <v>5.8034612748457797E-6</v>
          </cell>
          <cell r="L34">
            <v>9.3689348137994094E-2</v>
          </cell>
          <cell r="M34">
            <v>0.112155508693169</v>
          </cell>
          <cell r="N34">
            <v>0.224246549805803</v>
          </cell>
          <cell r="O34">
            <v>5.4454644608179101E-2</v>
          </cell>
          <cell r="P34">
            <v>0.16567689644733799</v>
          </cell>
        </row>
        <row r="35">
          <cell r="C35">
            <v>0.796590943340858</v>
          </cell>
          <cell r="D35">
            <v>0</v>
          </cell>
          <cell r="E35">
            <v>3.8327313769751698E-5</v>
          </cell>
          <cell r="F35">
            <v>7.7552055304740394E-2</v>
          </cell>
          <cell r="G35">
            <v>0.65196614063205405</v>
          </cell>
          <cell r="H35">
            <v>4.5370097065462796E-3</v>
          </cell>
          <cell r="I35">
            <v>0</v>
          </cell>
          <cell r="J35">
            <v>0.42357248081264098</v>
          </cell>
          <cell r="K35">
            <v>1.0792618510158E-5</v>
          </cell>
          <cell r="L35">
            <v>0.17423277223476299</v>
          </cell>
          <cell r="M35">
            <v>0.20857403318284401</v>
          </cell>
          <cell r="N35">
            <v>0.41702817697516897</v>
          </cell>
          <cell r="O35">
            <v>0.10126854221219</v>
          </cell>
          <cell r="P35">
            <v>0.30810701083521402</v>
          </cell>
        </row>
        <row r="36">
          <cell r="C36">
            <v>0.46077182688540602</v>
          </cell>
          <cell r="D36">
            <v>0</v>
          </cell>
          <cell r="E36">
            <v>2.2169686581782598E-5</v>
          </cell>
          <cell r="F36">
            <v>4.4858408765915798E-2</v>
          </cell>
          <cell r="G36">
            <v>0.37711655171400599</v>
          </cell>
          <cell r="H36">
            <v>2.6243410381978499E-3</v>
          </cell>
          <cell r="I36">
            <v>0</v>
          </cell>
          <cell r="J36">
            <v>0.245006885259549</v>
          </cell>
          <cell r="K36">
            <v>6.2427522037218399E-6</v>
          </cell>
          <cell r="L36">
            <v>0.100781402889324</v>
          </cell>
          <cell r="M36">
            <v>0.120645406611166</v>
          </cell>
          <cell r="N36">
            <v>0.24122146571988201</v>
          </cell>
          <cell r="O36">
            <v>5.8576728207639601E-2</v>
          </cell>
          <cell r="P36">
            <v>0.178218232713026</v>
          </cell>
        </row>
        <row r="37">
          <cell r="C37">
            <v>0.62372896986104498</v>
          </cell>
          <cell r="D37">
            <v>0</v>
          </cell>
          <cell r="E37">
            <v>2.99483140392908E-5</v>
          </cell>
          <cell r="F37">
            <v>6.0632018735026397E-2</v>
          </cell>
          <cell r="G37">
            <v>0.51053954484906605</v>
          </cell>
          <cell r="H37">
            <v>3.5502749880210798E-3</v>
          </cell>
          <cell r="I37">
            <v>0</v>
          </cell>
          <cell r="J37">
            <v>0.33183215519885001</v>
          </cell>
          <cell r="K37">
            <v>8.4516983708672708E-6</v>
          </cell>
          <cell r="L37">
            <v>0.13613301044561599</v>
          </cell>
          <cell r="M37">
            <v>0.163912663488261</v>
          </cell>
          <cell r="N37">
            <v>0.32682248270244402</v>
          </cell>
          <cell r="O37">
            <v>7.9255115189266895E-2</v>
          </cell>
          <cell r="P37">
            <v>0.24096928682319099</v>
          </cell>
        </row>
        <row r="38">
          <cell r="C38">
            <v>0.56855614925154097</v>
          </cell>
          <cell r="D38">
            <v>0</v>
          </cell>
          <cell r="E38">
            <v>2.7355625672634801E-5</v>
          </cell>
          <cell r="F38">
            <v>5.5351743850895203E-2</v>
          </cell>
          <cell r="G38">
            <v>0.55015914802856902</v>
          </cell>
          <cell r="H38">
            <v>3.2382301682809902E-3</v>
          </cell>
          <cell r="I38">
            <v>0</v>
          </cell>
          <cell r="J38">
            <v>0.302319202548674</v>
          </cell>
          <cell r="K38">
            <v>7.7030818902260106E-6</v>
          </cell>
          <cell r="L38">
            <v>0.124356314788181</v>
          </cell>
          <cell r="M38">
            <v>0.14886693117111799</v>
          </cell>
          <cell r="N38">
            <v>0.29764829287740902</v>
          </cell>
          <cell r="O38">
            <v>7.22790697094218E-2</v>
          </cell>
          <cell r="P38">
            <v>0.21990987368652801</v>
          </cell>
        </row>
        <row r="39">
          <cell r="C39">
            <v>0.153104924835989</v>
          </cell>
          <cell r="D39">
            <v>0</v>
          </cell>
          <cell r="E39">
            <v>7.36651827553889E-6</v>
          </cell>
          <cell r="F39">
            <v>1.49055191658857E-2</v>
          </cell>
          <cell r="G39">
            <v>0.125308011340206</v>
          </cell>
          <cell r="H39">
            <v>8.7201410496719797E-4</v>
          </cell>
          <cell r="I39">
            <v>0</v>
          </cell>
          <cell r="J39">
            <v>8.1410708223992503E-2</v>
          </cell>
          <cell r="K39">
            <v>2.0743416119962501E-6</v>
          </cell>
          <cell r="L39">
            <v>3.3487570641986902E-2</v>
          </cell>
          <cell r="M39">
            <v>4.0087967268041202E-2</v>
          </cell>
          <cell r="N39">
            <v>8.0152891776007498E-2</v>
          </cell>
          <cell r="O39">
            <v>1.94638323102156E-2</v>
          </cell>
          <cell r="P39">
            <v>5.9286950773195901E-2</v>
          </cell>
        </row>
        <row r="40">
          <cell r="C40">
            <v>0.79546638871473396</v>
          </cell>
          <cell r="D40">
            <v>0</v>
          </cell>
          <cell r="E40">
            <v>3.82733542319749E-5</v>
          </cell>
          <cell r="F40">
            <v>7.7442574294670802E-2</v>
          </cell>
          <cell r="G40">
            <v>0.65104575454545499</v>
          </cell>
          <cell r="H40">
            <v>4.5306050156739804E-3</v>
          </cell>
          <cell r="I40">
            <v>0</v>
          </cell>
          <cell r="J40">
            <v>0.42297452006269598</v>
          </cell>
          <cell r="K40">
            <v>1.07773667711599E-5</v>
          </cell>
          <cell r="L40">
            <v>0.17398680626959201</v>
          </cell>
          <cell r="M40">
            <v>0.20827958714733499</v>
          </cell>
          <cell r="N40">
            <v>0.416439454545455</v>
          </cell>
          <cell r="O40">
            <v>0.101125580250784</v>
          </cell>
          <cell r="P40">
            <v>0.30767205329153602</v>
          </cell>
        </row>
        <row r="41">
          <cell r="C41">
            <v>1.8469548051948101E-2</v>
          </cell>
          <cell r="D41">
            <v>4.2782640692640698E-4</v>
          </cell>
          <cell r="E41">
            <v>0</v>
          </cell>
          <cell r="F41">
            <v>1.0821822510822499E-3</v>
          </cell>
          <cell r="G41">
            <v>3.2206384415584398E-2</v>
          </cell>
          <cell r="H41">
            <v>7.36810822510822E-4</v>
          </cell>
          <cell r="I41">
            <v>0</v>
          </cell>
          <cell r="J41">
            <v>6.6163803463203497E-2</v>
          </cell>
          <cell r="K41">
            <v>2.60498874458874E-5</v>
          </cell>
          <cell r="L41">
            <v>0</v>
          </cell>
          <cell r="M41">
            <v>0</v>
          </cell>
          <cell r="N41">
            <v>8.4677974025974007E-3</v>
          </cell>
          <cell r="O41">
            <v>3.44501567099567E-2</v>
          </cell>
          <cell r="P41">
            <v>1.4126927012987E-2</v>
          </cell>
        </row>
        <row r="42">
          <cell r="C42">
            <v>5.3844403985765101E-2</v>
          </cell>
          <cell r="D42">
            <v>1.24724569395018E-3</v>
          </cell>
          <cell r="E42">
            <v>0</v>
          </cell>
          <cell r="F42">
            <v>3.1548918149466201E-3</v>
          </cell>
          <cell r="G42">
            <v>9.3891498220640607E-2</v>
          </cell>
          <cell r="H42">
            <v>2.14803053380783E-3</v>
          </cell>
          <cell r="I42">
            <v>0</v>
          </cell>
          <cell r="J42">
            <v>0.19288780049822099</v>
          </cell>
          <cell r="K42">
            <v>7.5943416370106797E-5</v>
          </cell>
          <cell r="L42">
            <v>0</v>
          </cell>
          <cell r="M42">
            <v>0</v>
          </cell>
          <cell r="N42">
            <v>2.46862298932384E-2</v>
          </cell>
          <cell r="O42">
            <v>0.100470412733096</v>
          </cell>
          <cell r="P42">
            <v>4.1184329822064103E-2</v>
          </cell>
        </row>
        <row r="43">
          <cell r="C43">
            <v>1.99552624910351E-3</v>
          </cell>
          <cell r="D43">
            <v>0.19820173610646299</v>
          </cell>
          <cell r="E43">
            <v>0</v>
          </cell>
          <cell r="F43">
            <v>4.6365821977846798E-5</v>
          </cell>
          <cell r="G43">
            <v>4.4872165590883698E-3</v>
          </cell>
          <cell r="H43">
            <v>1.7708438919435801E-5</v>
          </cell>
          <cell r="I43">
            <v>0</v>
          </cell>
          <cell r="J43">
            <v>1.33572676707307E-3</v>
          </cell>
          <cell r="K43">
            <v>1.72344091162642E-6</v>
          </cell>
          <cell r="L43">
            <v>5.68848513825803E-5</v>
          </cell>
          <cell r="M43">
            <v>0.83209418045262595</v>
          </cell>
          <cell r="N43">
            <v>0.31931686151884597</v>
          </cell>
          <cell r="O43">
            <v>6.6777801418439699E-4</v>
          </cell>
          <cell r="P43">
            <v>1.8792129412702201E-3</v>
          </cell>
        </row>
        <row r="44">
          <cell r="C44">
            <v>2.0186525E-2</v>
          </cell>
          <cell r="D44">
            <v>2.9846436372745499E-3</v>
          </cell>
          <cell r="E44">
            <v>9.8954699398797591E-4</v>
          </cell>
          <cell r="F44">
            <v>1.8784178356713399E-3</v>
          </cell>
          <cell r="G44">
            <v>7.1635960921843697E-2</v>
          </cell>
          <cell r="H44">
            <v>8.9610480961923797E-4</v>
          </cell>
          <cell r="I44">
            <v>0</v>
          </cell>
          <cell r="J44">
            <v>2.9320738076152299E-2</v>
          </cell>
          <cell r="K44">
            <v>7.2029700400801604E-5</v>
          </cell>
          <cell r="L44">
            <v>1.0785503256513E-2</v>
          </cell>
          <cell r="M44">
            <v>0.60447203026052099</v>
          </cell>
          <cell r="N44">
            <v>1.85359539348697</v>
          </cell>
          <cell r="O44">
            <v>5.0116880260521003E-2</v>
          </cell>
          <cell r="P44">
            <v>9.3230000601202401E-3</v>
          </cell>
        </row>
        <row r="45">
          <cell r="C45">
            <v>2.10595222222222E-2</v>
          </cell>
          <cell r="D45">
            <v>0</v>
          </cell>
          <cell r="E45">
            <v>0</v>
          </cell>
          <cell r="F45">
            <v>5.3317746666666703E-4</v>
          </cell>
          <cell r="G45">
            <v>1.8348014444444401E-2</v>
          </cell>
          <cell r="H45">
            <v>3.80494844444444E-4</v>
          </cell>
          <cell r="I45">
            <v>0</v>
          </cell>
          <cell r="J45">
            <v>2.0292465044444399E-2</v>
          </cell>
          <cell r="K45">
            <v>2.5961933333333299E-5</v>
          </cell>
          <cell r="L45">
            <v>3.2306186666666701E-4</v>
          </cell>
          <cell r="M45">
            <v>0.74162205162222194</v>
          </cell>
          <cell r="N45">
            <v>3.4458268594222199</v>
          </cell>
          <cell r="O45">
            <v>1.02580646222222E-2</v>
          </cell>
          <cell r="P45">
            <v>2.0598608955555601E-2</v>
          </cell>
        </row>
        <row r="46">
          <cell r="C46">
            <v>0.10905200707125</v>
          </cell>
          <cell r="D46">
            <v>2.1136832814178299E-2</v>
          </cell>
          <cell r="E46">
            <v>0</v>
          </cell>
          <cell r="F46">
            <v>2.37424385964912E-3</v>
          </cell>
          <cell r="G46">
            <v>0.350744951575367</v>
          </cell>
          <cell r="H46">
            <v>2.63390207662012E-4</v>
          </cell>
          <cell r="I46">
            <v>0</v>
          </cell>
          <cell r="J46">
            <v>5.0454293984962401E-2</v>
          </cell>
          <cell r="K46">
            <v>6.5902309344790499E-5</v>
          </cell>
          <cell r="L46">
            <v>4.1173298782671E-3</v>
          </cell>
          <cell r="M46">
            <v>0.28879126747225198</v>
          </cell>
          <cell r="N46">
            <v>0.57064608551736495</v>
          </cell>
          <cell r="O46">
            <v>2.4812365628356599E-2</v>
          </cell>
          <cell r="P46">
            <v>3.0557354010025101E-2</v>
          </cell>
        </row>
        <row r="47">
          <cell r="C47">
            <v>1.47445261400359E-2</v>
          </cell>
          <cell r="D47">
            <v>3.7435450053860002E-2</v>
          </cell>
          <cell r="E47">
            <v>0</v>
          </cell>
          <cell r="F47">
            <v>3.2100646319569099E-4</v>
          </cell>
          <cell r="G47">
            <v>4.7427213931777401E-2</v>
          </cell>
          <cell r="H47">
            <v>3.5583590664272899E-5</v>
          </cell>
          <cell r="I47">
            <v>0</v>
          </cell>
          <cell r="J47">
            <v>6.8208317055655299E-3</v>
          </cell>
          <cell r="K47">
            <v>8.90926750448833E-6</v>
          </cell>
          <cell r="L47">
            <v>5.5672998204667895E-4</v>
          </cell>
          <cell r="M47">
            <v>3.9041513572710997E-2</v>
          </cell>
          <cell r="N47">
            <v>7.7146134865350102E-2</v>
          </cell>
          <cell r="O47">
            <v>3.3543181687612201E-3</v>
          </cell>
          <cell r="P47">
            <v>4.1303997127468597E-3</v>
          </cell>
        </row>
        <row r="48">
          <cell r="C48">
            <v>8.5964404040404004E-3</v>
          </cell>
          <cell r="D48">
            <v>0.41639330518518503</v>
          </cell>
          <cell r="E48">
            <v>4.3474969696969702E-4</v>
          </cell>
          <cell r="F48">
            <v>3.3903569023569001E-4</v>
          </cell>
          <cell r="G48">
            <v>3.1472695824915797E-2</v>
          </cell>
          <cell r="H48">
            <v>3.9369663299663299E-4</v>
          </cell>
          <cell r="I48">
            <v>0</v>
          </cell>
          <cell r="J48">
            <v>1.2881835622895599E-2</v>
          </cell>
          <cell r="K48">
            <v>3.1645652525252499E-5</v>
          </cell>
          <cell r="L48">
            <v>4.7385259932659898E-3</v>
          </cell>
          <cell r="M48">
            <v>0.126388056498316</v>
          </cell>
          <cell r="N48">
            <v>0.46421660282828298</v>
          </cell>
          <cell r="O48">
            <v>2.2018457037037E-2</v>
          </cell>
          <cell r="P48">
            <v>2.8522629225589198E-3</v>
          </cell>
        </row>
        <row r="49">
          <cell r="C49">
            <v>4.5530475652512696E-3</v>
          </cell>
          <cell r="D49">
            <v>8.0957968601480301E-2</v>
          </cell>
          <cell r="E49">
            <v>2.3026229061160901E-4</v>
          </cell>
          <cell r="F49">
            <v>1.79568017140631E-4</v>
          </cell>
          <cell r="G49">
            <v>1.6669304090377899E-2</v>
          </cell>
          <cell r="H49">
            <v>2.0851885469419599E-4</v>
          </cell>
          <cell r="I49">
            <v>0</v>
          </cell>
          <cell r="J49">
            <v>6.8227785742111403E-3</v>
          </cell>
          <cell r="K49">
            <v>1.6760924814959099E-5</v>
          </cell>
          <cell r="L49">
            <v>2.5097287884690302E-3</v>
          </cell>
          <cell r="M49">
            <v>0.48391193770938801</v>
          </cell>
          <cell r="N49">
            <v>1.9268703072847699</v>
          </cell>
          <cell r="O49">
            <v>1.16619293338527E-2</v>
          </cell>
          <cell r="P49">
            <v>1.5106820802493199E-3</v>
          </cell>
        </row>
        <row r="50">
          <cell r="C50">
            <v>4.1491409135082597E-5</v>
          </cell>
          <cell r="D50">
            <v>0</v>
          </cell>
          <cell r="E50">
            <v>2.0983576287657899E-6</v>
          </cell>
          <cell r="F50">
            <v>1.63638386783285E-6</v>
          </cell>
          <cell r="G50">
            <v>1.51905655976676E-4</v>
          </cell>
          <cell r="H50">
            <v>1.9002089407191399E-6</v>
          </cell>
          <cell r="I50">
            <v>0</v>
          </cell>
          <cell r="J50">
            <v>6.2175257531584105E-5</v>
          </cell>
          <cell r="K50">
            <v>1.52740656948494E-7</v>
          </cell>
          <cell r="L50">
            <v>2.2870903790087501E-5</v>
          </cell>
          <cell r="M50">
            <v>1.5369193391642399E-6</v>
          </cell>
          <cell r="N50">
            <v>1.71906854810496E-2</v>
          </cell>
          <cell r="O50">
            <v>1.06273955296404E-4</v>
          </cell>
          <cell r="P50">
            <v>1.5171883187560701E-5</v>
          </cell>
        </row>
        <row r="51">
          <cell r="C51">
            <v>4.3463305204974698E-2</v>
          </cell>
          <cell r="D51">
            <v>4.35283279594657E-3</v>
          </cell>
          <cell r="E51">
            <v>2.1980793489943199E-3</v>
          </cell>
          <cell r="F51">
            <v>1.7141528788576701E-3</v>
          </cell>
          <cell r="G51">
            <v>0.15912486046368801</v>
          </cell>
          <cell r="H51">
            <v>1.99051649009673E-3</v>
          </cell>
          <cell r="I51">
            <v>0</v>
          </cell>
          <cell r="J51">
            <v>6.5130114770459102E-2</v>
          </cell>
          <cell r="K51">
            <v>1.59999415016122E-4</v>
          </cell>
          <cell r="L51">
            <v>2.39578233686473E-2</v>
          </cell>
          <cell r="M51">
            <v>1.0113967583755601</v>
          </cell>
          <cell r="N51">
            <v>2.3724544835406101</v>
          </cell>
          <cell r="O51">
            <v>0.11132455644096401</v>
          </cell>
          <cell r="P51">
            <v>1.44209426685091E-2</v>
          </cell>
        </row>
        <row r="52">
          <cell r="C52">
            <v>1.42327071770335E-3</v>
          </cell>
          <cell r="D52">
            <v>0</v>
          </cell>
          <cell r="E52">
            <v>7.0768325358851701E-5</v>
          </cell>
          <cell r="F52">
            <v>5.5794306220095703E-5</v>
          </cell>
          <cell r="G52">
            <v>5.1439714832535897E-3</v>
          </cell>
          <cell r="H52">
            <v>6.4518277511961701E-5</v>
          </cell>
          <cell r="I52">
            <v>0</v>
          </cell>
          <cell r="J52">
            <v>2.1199727272727298E-3</v>
          </cell>
          <cell r="K52">
            <v>5.1807888995215301E-6</v>
          </cell>
          <cell r="L52">
            <v>7.7170191387559799E-4</v>
          </cell>
          <cell r="M52">
            <v>1.79892344497608E-4</v>
          </cell>
          <cell r="N52">
            <v>7.2898820000000003E-2</v>
          </cell>
          <cell r="O52">
            <v>3.5958166507177002E-3</v>
          </cell>
          <cell r="P52">
            <v>5.8300354066985699E-4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1.31385656577708</v>
          </cell>
          <cell r="O53">
            <v>0</v>
          </cell>
          <cell r="P53">
            <v>8.2854756671899498E-4</v>
          </cell>
        </row>
        <row r="54">
          <cell r="C54">
            <v>1.31655135450644E-2</v>
          </cell>
          <cell r="D54">
            <v>6.9285939914163104E-3</v>
          </cell>
          <cell r="E54">
            <v>5.5601888412017201E-7</v>
          </cell>
          <cell r="F54">
            <v>3.3347502145922699E-4</v>
          </cell>
          <cell r="G54">
            <v>1.1501067699570801E-2</v>
          </cell>
          <cell r="H54">
            <v>2.3817399141630899E-4</v>
          </cell>
          <cell r="I54">
            <v>0</v>
          </cell>
          <cell r="J54">
            <v>1.2691863399141599E-2</v>
          </cell>
          <cell r="K54">
            <v>1.6257210300429201E-5</v>
          </cell>
          <cell r="L54">
            <v>2.0785612017167399E-4</v>
          </cell>
          <cell r="M54">
            <v>0.39261890903004298</v>
          </cell>
          <cell r="N54">
            <v>1.0093382784549401</v>
          </cell>
          <cell r="O54">
            <v>6.4357087296137297E-3</v>
          </cell>
          <cell r="P54">
            <v>1.47056742575107E-2</v>
          </cell>
        </row>
        <row r="55">
          <cell r="C55">
            <v>7.5729974569805898E-4</v>
          </cell>
          <cell r="D55">
            <v>0</v>
          </cell>
          <cell r="E55">
            <v>3.8299084513011803E-5</v>
          </cell>
          <cell r="F55">
            <v>2.9867203526320201E-5</v>
          </cell>
          <cell r="G55">
            <v>2.77257368822582E-3</v>
          </cell>
          <cell r="H55">
            <v>3.4682537933372899E-5</v>
          </cell>
          <cell r="I55">
            <v>0</v>
          </cell>
          <cell r="J55">
            <v>1.13481980164449E-3</v>
          </cell>
          <cell r="K55">
            <v>2.7878121556327899E-6</v>
          </cell>
          <cell r="L55">
            <v>4.1743842502331099E-4</v>
          </cell>
          <cell r="M55">
            <v>0.22376415936255001</v>
          </cell>
          <cell r="N55">
            <v>0.721884603848436</v>
          </cell>
          <cell r="O55">
            <v>1.9397065694668101E-3</v>
          </cell>
          <cell r="P55">
            <v>2.5126888276680499E-4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/>
  </sheetViews>
  <sheetFormatPr defaultRowHeight="15" x14ac:dyDescent="0.25"/>
  <cols>
    <col min="1" max="2" width="11.7109375" customWidth="1"/>
    <col min="3" max="3" width="18.28515625" customWidth="1"/>
    <col min="4" max="4" width="21.42578125" customWidth="1"/>
    <col min="5" max="5" width="17.7109375" customWidth="1"/>
  </cols>
  <sheetData>
    <row r="1" spans="1:5" x14ac:dyDescent="0.25">
      <c r="A1" t="s">
        <v>856</v>
      </c>
    </row>
    <row r="2" spans="1:5" x14ac:dyDescent="0.25">
      <c r="A2" t="s">
        <v>853</v>
      </c>
    </row>
    <row r="3" spans="1:5" s="28" customFormat="1" ht="45" x14ac:dyDescent="0.25">
      <c r="A3" s="42" t="s">
        <v>816</v>
      </c>
      <c r="B3" s="42" t="s">
        <v>852</v>
      </c>
      <c r="C3" s="42" t="s">
        <v>0</v>
      </c>
      <c r="D3" s="42" t="s">
        <v>817</v>
      </c>
      <c r="E3" s="42" t="s">
        <v>164</v>
      </c>
    </row>
    <row r="4" spans="1:5" x14ac:dyDescent="0.25">
      <c r="A4">
        <v>1</v>
      </c>
      <c r="B4" t="s">
        <v>851</v>
      </c>
      <c r="C4" t="s">
        <v>1</v>
      </c>
      <c r="D4" t="s">
        <v>110</v>
      </c>
      <c r="E4" t="s">
        <v>55</v>
      </c>
    </row>
    <row r="5" spans="1:5" x14ac:dyDescent="0.25">
      <c r="A5">
        <v>2</v>
      </c>
      <c r="B5" t="s">
        <v>850</v>
      </c>
      <c r="C5" t="s">
        <v>2</v>
      </c>
      <c r="D5" t="s">
        <v>111</v>
      </c>
      <c r="E5" t="s">
        <v>56</v>
      </c>
    </row>
    <row r="6" spans="1:5" x14ac:dyDescent="0.25">
      <c r="A6">
        <v>3</v>
      </c>
      <c r="B6" t="s">
        <v>851</v>
      </c>
      <c r="C6" t="s">
        <v>3</v>
      </c>
      <c r="D6" t="s">
        <v>112</v>
      </c>
      <c r="E6" t="s">
        <v>57</v>
      </c>
    </row>
    <row r="7" spans="1:5" x14ac:dyDescent="0.25">
      <c r="A7">
        <v>4</v>
      </c>
      <c r="B7" t="s">
        <v>851</v>
      </c>
      <c r="C7" t="s">
        <v>4</v>
      </c>
      <c r="D7" t="s">
        <v>113</v>
      </c>
      <c r="E7" t="s">
        <v>58</v>
      </c>
    </row>
    <row r="8" spans="1:5" x14ac:dyDescent="0.25">
      <c r="A8">
        <v>5</v>
      </c>
      <c r="B8" t="s">
        <v>850</v>
      </c>
      <c r="C8" t="s">
        <v>5</v>
      </c>
      <c r="D8" t="s">
        <v>114</v>
      </c>
      <c r="E8" t="s">
        <v>59</v>
      </c>
    </row>
    <row r="9" spans="1:5" x14ac:dyDescent="0.25">
      <c r="A9">
        <v>6</v>
      </c>
      <c r="B9" t="s">
        <v>850</v>
      </c>
      <c r="C9" t="s">
        <v>6</v>
      </c>
      <c r="D9" t="s">
        <v>115</v>
      </c>
      <c r="E9" t="s">
        <v>60</v>
      </c>
    </row>
    <row r="10" spans="1:5" x14ac:dyDescent="0.25">
      <c r="A10">
        <v>7</v>
      </c>
      <c r="B10" t="s">
        <v>850</v>
      </c>
      <c r="C10" t="s">
        <v>7</v>
      </c>
      <c r="D10" t="s">
        <v>116</v>
      </c>
      <c r="E10" t="s">
        <v>61</v>
      </c>
    </row>
    <row r="11" spans="1:5" x14ac:dyDescent="0.25">
      <c r="A11">
        <v>8</v>
      </c>
      <c r="B11" t="s">
        <v>850</v>
      </c>
      <c r="C11" t="s">
        <v>8</v>
      </c>
      <c r="D11" t="s">
        <v>117</v>
      </c>
      <c r="E11" t="s">
        <v>62</v>
      </c>
    </row>
    <row r="12" spans="1:5" x14ac:dyDescent="0.25">
      <c r="A12">
        <v>9</v>
      </c>
      <c r="B12" t="s">
        <v>850</v>
      </c>
      <c r="C12" t="s">
        <v>9</v>
      </c>
      <c r="D12" t="s">
        <v>118</v>
      </c>
      <c r="E12" t="s">
        <v>63</v>
      </c>
    </row>
    <row r="13" spans="1:5" x14ac:dyDescent="0.25">
      <c r="A13">
        <v>10</v>
      </c>
      <c r="B13" t="s">
        <v>850</v>
      </c>
      <c r="C13" t="s">
        <v>10</v>
      </c>
      <c r="D13" t="s">
        <v>119</v>
      </c>
      <c r="E13" t="s">
        <v>64</v>
      </c>
    </row>
    <row r="14" spans="1:5" x14ac:dyDescent="0.25">
      <c r="A14">
        <v>11</v>
      </c>
      <c r="B14" t="s">
        <v>850</v>
      </c>
      <c r="C14" t="s">
        <v>11</v>
      </c>
      <c r="D14" t="s">
        <v>120</v>
      </c>
      <c r="E14" t="s">
        <v>65</v>
      </c>
    </row>
    <row r="15" spans="1:5" x14ac:dyDescent="0.25">
      <c r="A15">
        <v>12</v>
      </c>
      <c r="B15" t="s">
        <v>850</v>
      </c>
      <c r="C15" t="s">
        <v>12</v>
      </c>
      <c r="D15" t="s">
        <v>121</v>
      </c>
      <c r="E15" t="s">
        <v>66</v>
      </c>
    </row>
    <row r="16" spans="1:5" x14ac:dyDescent="0.25">
      <c r="A16">
        <v>13</v>
      </c>
      <c r="B16" t="s">
        <v>850</v>
      </c>
      <c r="C16" t="s">
        <v>13</v>
      </c>
      <c r="D16" t="s">
        <v>122</v>
      </c>
      <c r="E16" t="s">
        <v>67</v>
      </c>
    </row>
    <row r="17" spans="1:5" x14ac:dyDescent="0.25">
      <c r="A17">
        <v>14</v>
      </c>
      <c r="B17" t="s">
        <v>850</v>
      </c>
      <c r="C17" t="s">
        <v>14</v>
      </c>
      <c r="D17" t="s">
        <v>123</v>
      </c>
      <c r="E17" t="s">
        <v>68</v>
      </c>
    </row>
    <row r="18" spans="1:5" x14ac:dyDescent="0.25">
      <c r="A18">
        <v>15</v>
      </c>
      <c r="B18" t="s">
        <v>850</v>
      </c>
      <c r="C18" t="s">
        <v>15</v>
      </c>
      <c r="D18" t="s">
        <v>124</v>
      </c>
      <c r="E18" t="s">
        <v>69</v>
      </c>
    </row>
    <row r="19" spans="1:5" x14ac:dyDescent="0.25">
      <c r="A19">
        <v>16</v>
      </c>
      <c r="B19" t="s">
        <v>850</v>
      </c>
      <c r="C19" t="s">
        <v>16</v>
      </c>
      <c r="D19" t="s">
        <v>125</v>
      </c>
      <c r="E19" t="s">
        <v>70</v>
      </c>
    </row>
    <row r="20" spans="1:5" x14ac:dyDescent="0.25">
      <c r="A20">
        <v>17</v>
      </c>
      <c r="B20" t="s">
        <v>850</v>
      </c>
      <c r="C20" t="s">
        <v>17</v>
      </c>
      <c r="D20" t="s">
        <v>126</v>
      </c>
      <c r="E20" t="s">
        <v>71</v>
      </c>
    </row>
    <row r="21" spans="1:5" x14ac:dyDescent="0.25">
      <c r="A21">
        <v>18</v>
      </c>
      <c r="B21" t="s">
        <v>850</v>
      </c>
      <c r="C21" t="s">
        <v>18</v>
      </c>
      <c r="D21" t="s">
        <v>127</v>
      </c>
      <c r="E21" t="s">
        <v>72</v>
      </c>
    </row>
    <row r="22" spans="1:5" x14ac:dyDescent="0.25">
      <c r="A22">
        <v>19</v>
      </c>
      <c r="B22" t="s">
        <v>850</v>
      </c>
      <c r="C22" t="s">
        <v>19</v>
      </c>
      <c r="D22" t="s">
        <v>128</v>
      </c>
      <c r="E22" t="s">
        <v>73</v>
      </c>
    </row>
    <row r="23" spans="1:5" x14ac:dyDescent="0.25">
      <c r="A23">
        <v>20</v>
      </c>
      <c r="B23" t="s">
        <v>850</v>
      </c>
      <c r="C23" t="s">
        <v>20</v>
      </c>
      <c r="D23" t="s">
        <v>129</v>
      </c>
      <c r="E23" t="s">
        <v>74</v>
      </c>
    </row>
    <row r="24" spans="1:5" x14ac:dyDescent="0.25">
      <c r="A24">
        <v>21</v>
      </c>
      <c r="B24" t="s">
        <v>850</v>
      </c>
      <c r="C24" t="s">
        <v>21</v>
      </c>
      <c r="D24" t="s">
        <v>130</v>
      </c>
      <c r="E24" t="s">
        <v>75</v>
      </c>
    </row>
    <row r="25" spans="1:5" x14ac:dyDescent="0.25">
      <c r="A25">
        <v>22</v>
      </c>
      <c r="B25" t="s">
        <v>850</v>
      </c>
      <c r="C25" t="s">
        <v>22</v>
      </c>
      <c r="D25" t="s">
        <v>131</v>
      </c>
      <c r="E25" t="s">
        <v>76</v>
      </c>
    </row>
    <row r="26" spans="1:5" x14ac:dyDescent="0.25">
      <c r="A26">
        <v>23</v>
      </c>
      <c r="B26" t="s">
        <v>850</v>
      </c>
      <c r="C26" s="31">
        <v>364138121373701</v>
      </c>
      <c r="D26" t="s">
        <v>132</v>
      </c>
      <c r="E26" t="s">
        <v>77</v>
      </c>
    </row>
    <row r="27" spans="1:5" x14ac:dyDescent="0.25">
      <c r="A27">
        <v>24</v>
      </c>
      <c r="B27" t="s">
        <v>850</v>
      </c>
      <c r="C27" t="s">
        <v>24</v>
      </c>
      <c r="D27" t="s">
        <v>133</v>
      </c>
      <c r="E27" t="s">
        <v>78</v>
      </c>
    </row>
    <row r="28" spans="1:5" x14ac:dyDescent="0.25">
      <c r="A28">
        <v>25</v>
      </c>
      <c r="B28" t="s">
        <v>850</v>
      </c>
      <c r="C28" t="s">
        <v>25</v>
      </c>
      <c r="D28" t="s">
        <v>134</v>
      </c>
      <c r="E28" t="s">
        <v>79</v>
      </c>
    </row>
    <row r="29" spans="1:5" x14ac:dyDescent="0.25">
      <c r="A29">
        <v>26</v>
      </c>
      <c r="B29" t="s">
        <v>850</v>
      </c>
      <c r="C29" t="s">
        <v>26</v>
      </c>
      <c r="D29" t="s">
        <v>135</v>
      </c>
      <c r="E29" t="s">
        <v>80</v>
      </c>
    </row>
    <row r="30" spans="1:5" x14ac:dyDescent="0.25">
      <c r="A30">
        <v>27</v>
      </c>
      <c r="B30" t="s">
        <v>850</v>
      </c>
      <c r="C30" t="s">
        <v>27</v>
      </c>
      <c r="D30" t="s">
        <v>136</v>
      </c>
      <c r="E30" t="s">
        <v>81</v>
      </c>
    </row>
    <row r="31" spans="1:5" x14ac:dyDescent="0.25">
      <c r="A31">
        <v>28</v>
      </c>
      <c r="B31" t="s">
        <v>850</v>
      </c>
      <c r="C31" t="s">
        <v>28</v>
      </c>
      <c r="D31" t="s">
        <v>137</v>
      </c>
      <c r="E31" t="s">
        <v>82</v>
      </c>
    </row>
    <row r="32" spans="1:5" x14ac:dyDescent="0.25">
      <c r="A32">
        <v>29</v>
      </c>
      <c r="B32" t="s">
        <v>850</v>
      </c>
      <c r="C32" t="s">
        <v>29</v>
      </c>
      <c r="D32" t="s">
        <v>138</v>
      </c>
      <c r="E32" t="s">
        <v>83</v>
      </c>
    </row>
    <row r="33" spans="1:5" x14ac:dyDescent="0.25">
      <c r="A33">
        <v>30</v>
      </c>
      <c r="B33" t="s">
        <v>850</v>
      </c>
      <c r="C33" t="s">
        <v>30</v>
      </c>
      <c r="D33" t="s">
        <v>139</v>
      </c>
      <c r="E33" t="s">
        <v>84</v>
      </c>
    </row>
    <row r="34" spans="1:5" x14ac:dyDescent="0.25">
      <c r="A34">
        <v>31</v>
      </c>
      <c r="B34" t="s">
        <v>850</v>
      </c>
      <c r="C34" t="s">
        <v>31</v>
      </c>
      <c r="D34" t="s">
        <v>140</v>
      </c>
      <c r="E34" t="s">
        <v>85</v>
      </c>
    </row>
    <row r="35" spans="1:5" x14ac:dyDescent="0.25">
      <c r="A35">
        <v>32</v>
      </c>
      <c r="B35" t="s">
        <v>850</v>
      </c>
      <c r="C35" t="s">
        <v>32</v>
      </c>
      <c r="D35" t="s">
        <v>141</v>
      </c>
      <c r="E35" t="s">
        <v>86</v>
      </c>
    </row>
    <row r="36" spans="1:5" x14ac:dyDescent="0.25">
      <c r="A36">
        <v>33</v>
      </c>
      <c r="B36" t="s">
        <v>850</v>
      </c>
      <c r="C36" t="s">
        <v>33</v>
      </c>
      <c r="D36" t="s">
        <v>142</v>
      </c>
      <c r="E36" t="s">
        <v>87</v>
      </c>
    </row>
    <row r="37" spans="1:5" x14ac:dyDescent="0.25">
      <c r="A37">
        <v>34</v>
      </c>
      <c r="B37" t="s">
        <v>850</v>
      </c>
      <c r="C37" t="s">
        <v>34</v>
      </c>
      <c r="D37" t="s">
        <v>143</v>
      </c>
      <c r="E37" t="s">
        <v>818</v>
      </c>
    </row>
    <row r="38" spans="1:5" x14ac:dyDescent="0.25">
      <c r="A38">
        <v>35</v>
      </c>
      <c r="B38" t="s">
        <v>850</v>
      </c>
      <c r="C38" t="s">
        <v>35</v>
      </c>
      <c r="D38" t="s">
        <v>854</v>
      </c>
      <c r="E38" t="s">
        <v>89</v>
      </c>
    </row>
    <row r="39" spans="1:5" x14ac:dyDescent="0.25">
      <c r="A39">
        <v>36</v>
      </c>
      <c r="B39" t="s">
        <v>850</v>
      </c>
      <c r="C39" t="s">
        <v>36</v>
      </c>
      <c r="D39" t="s">
        <v>145</v>
      </c>
      <c r="E39" t="s">
        <v>90</v>
      </c>
    </row>
    <row r="40" spans="1:5" x14ac:dyDescent="0.25">
      <c r="A40">
        <v>37</v>
      </c>
      <c r="B40" t="s">
        <v>851</v>
      </c>
      <c r="C40" t="s">
        <v>37</v>
      </c>
      <c r="D40" t="s">
        <v>146</v>
      </c>
      <c r="E40" t="s">
        <v>91</v>
      </c>
    </row>
    <row r="41" spans="1:5" x14ac:dyDescent="0.25">
      <c r="A41">
        <v>38</v>
      </c>
      <c r="B41" t="s">
        <v>851</v>
      </c>
      <c r="C41" t="s">
        <v>38</v>
      </c>
      <c r="D41" t="s">
        <v>147</v>
      </c>
      <c r="E41" t="s">
        <v>92</v>
      </c>
    </row>
    <row r="42" spans="1:5" x14ac:dyDescent="0.25">
      <c r="A42">
        <v>39</v>
      </c>
      <c r="B42" t="s">
        <v>851</v>
      </c>
      <c r="C42" t="s">
        <v>39</v>
      </c>
      <c r="D42" t="s">
        <v>148</v>
      </c>
      <c r="E42" t="s">
        <v>93</v>
      </c>
    </row>
    <row r="43" spans="1:5" x14ac:dyDescent="0.25">
      <c r="A43">
        <v>40</v>
      </c>
      <c r="B43" t="s">
        <v>851</v>
      </c>
      <c r="C43" t="s">
        <v>40</v>
      </c>
      <c r="D43" t="s">
        <v>149</v>
      </c>
      <c r="E43" t="s">
        <v>94</v>
      </c>
    </row>
    <row r="44" spans="1:5" x14ac:dyDescent="0.25">
      <c r="A44">
        <v>41</v>
      </c>
      <c r="B44" t="s">
        <v>850</v>
      </c>
      <c r="C44" t="s">
        <v>41</v>
      </c>
      <c r="D44" t="s">
        <v>150</v>
      </c>
      <c r="E44" t="s">
        <v>95</v>
      </c>
    </row>
    <row r="45" spans="1:5" x14ac:dyDescent="0.25">
      <c r="A45">
        <v>42</v>
      </c>
      <c r="B45" t="s">
        <v>850</v>
      </c>
      <c r="C45" t="s">
        <v>42</v>
      </c>
      <c r="D45" t="s">
        <v>151</v>
      </c>
      <c r="E45" t="s">
        <v>96</v>
      </c>
    </row>
    <row r="46" spans="1:5" x14ac:dyDescent="0.25">
      <c r="A46">
        <v>43</v>
      </c>
      <c r="B46" t="s">
        <v>850</v>
      </c>
      <c r="C46" t="s">
        <v>43</v>
      </c>
      <c r="D46" t="s">
        <v>152</v>
      </c>
      <c r="E46" t="s">
        <v>97</v>
      </c>
    </row>
    <row r="47" spans="1:5" x14ac:dyDescent="0.25">
      <c r="A47">
        <v>44</v>
      </c>
      <c r="B47" t="s">
        <v>850</v>
      </c>
      <c r="C47" t="s">
        <v>44</v>
      </c>
      <c r="D47" t="s">
        <v>153</v>
      </c>
      <c r="E47" t="s">
        <v>98</v>
      </c>
    </row>
    <row r="48" spans="1:5" x14ac:dyDescent="0.25">
      <c r="A48">
        <v>45</v>
      </c>
      <c r="B48" t="s">
        <v>850</v>
      </c>
      <c r="C48" t="s">
        <v>45</v>
      </c>
      <c r="D48" t="s">
        <v>154</v>
      </c>
      <c r="E48" t="s">
        <v>99</v>
      </c>
    </row>
    <row r="49" spans="1:5" x14ac:dyDescent="0.25">
      <c r="A49">
        <v>46</v>
      </c>
      <c r="B49" t="s">
        <v>850</v>
      </c>
      <c r="C49" t="s">
        <v>46</v>
      </c>
      <c r="D49" t="s">
        <v>155</v>
      </c>
      <c r="E49" t="s">
        <v>100</v>
      </c>
    </row>
    <row r="50" spans="1:5" x14ac:dyDescent="0.25">
      <c r="A50">
        <v>47</v>
      </c>
      <c r="B50" t="s">
        <v>850</v>
      </c>
      <c r="C50" t="s">
        <v>47</v>
      </c>
      <c r="D50" t="s">
        <v>156</v>
      </c>
      <c r="E50" t="s">
        <v>101</v>
      </c>
    </row>
    <row r="51" spans="1:5" x14ac:dyDescent="0.25">
      <c r="A51">
        <v>48</v>
      </c>
      <c r="B51" t="s">
        <v>850</v>
      </c>
      <c r="C51" t="s">
        <v>48</v>
      </c>
      <c r="D51" t="s">
        <v>157</v>
      </c>
      <c r="E51" t="s">
        <v>102</v>
      </c>
    </row>
    <row r="52" spans="1:5" x14ac:dyDescent="0.25">
      <c r="A52">
        <v>49</v>
      </c>
      <c r="B52" t="s">
        <v>851</v>
      </c>
      <c r="C52" t="s">
        <v>49</v>
      </c>
      <c r="D52" t="s">
        <v>158</v>
      </c>
      <c r="E52" t="s">
        <v>103</v>
      </c>
    </row>
    <row r="53" spans="1:5" x14ac:dyDescent="0.25">
      <c r="A53">
        <v>50</v>
      </c>
      <c r="B53" t="s">
        <v>850</v>
      </c>
      <c r="C53" t="s">
        <v>50</v>
      </c>
      <c r="D53" t="s">
        <v>159</v>
      </c>
      <c r="E53" t="s">
        <v>104</v>
      </c>
    </row>
    <row r="54" spans="1:5" x14ac:dyDescent="0.25">
      <c r="A54">
        <v>51</v>
      </c>
      <c r="B54" t="s">
        <v>850</v>
      </c>
      <c r="C54" t="s">
        <v>51</v>
      </c>
      <c r="D54" t="s">
        <v>160</v>
      </c>
      <c r="E54" t="s">
        <v>105</v>
      </c>
    </row>
    <row r="55" spans="1:5" x14ac:dyDescent="0.25">
      <c r="A55">
        <v>52</v>
      </c>
      <c r="B55" t="s">
        <v>850</v>
      </c>
      <c r="C55" t="s">
        <v>52</v>
      </c>
      <c r="D55" t="s">
        <v>161</v>
      </c>
      <c r="E55" t="s">
        <v>106</v>
      </c>
    </row>
    <row r="56" spans="1:5" x14ac:dyDescent="0.25">
      <c r="A56">
        <v>53</v>
      </c>
      <c r="B56" t="s">
        <v>850</v>
      </c>
      <c r="C56" t="s">
        <v>53</v>
      </c>
      <c r="D56" t="s">
        <v>162</v>
      </c>
      <c r="E56" t="s">
        <v>107</v>
      </c>
    </row>
    <row r="57" spans="1:5" x14ac:dyDescent="0.25">
      <c r="A57">
        <v>54</v>
      </c>
      <c r="B57" t="s">
        <v>850</v>
      </c>
      <c r="C57" t="s">
        <v>54</v>
      </c>
      <c r="D57" t="s">
        <v>163</v>
      </c>
      <c r="E57" t="s">
        <v>108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opLeftCell="AI1" workbookViewId="0">
      <selection activeCell="F11" sqref="F11"/>
    </sheetView>
  </sheetViews>
  <sheetFormatPr defaultRowHeight="15" x14ac:dyDescent="0.25"/>
  <cols>
    <col min="1" max="1" width="12.85546875" customWidth="1"/>
    <col min="2" max="2" width="17.42578125" customWidth="1"/>
    <col min="3" max="3" width="14.140625" customWidth="1"/>
    <col min="4" max="4" width="11.7109375" customWidth="1"/>
    <col min="5" max="5" width="11" customWidth="1"/>
    <col min="6" max="6" width="12.28515625" customWidth="1"/>
    <col min="8" max="8" width="10.28515625" customWidth="1"/>
    <col min="9" max="10" width="13.7109375" customWidth="1"/>
    <col min="11" max="11" width="12.28515625" customWidth="1"/>
    <col min="13" max="13" width="10.7109375" customWidth="1"/>
    <col min="14" max="14" width="12.28515625" customWidth="1"/>
    <col min="17" max="17" width="10.42578125" customWidth="1"/>
    <col min="19" max="19" width="11.140625" customWidth="1"/>
    <col min="20" max="20" width="13.7109375" customWidth="1"/>
    <col min="21" max="21" width="14.28515625" customWidth="1"/>
    <col min="22" max="22" width="10.28515625" customWidth="1"/>
    <col min="23" max="23" width="14.7109375" customWidth="1"/>
    <col min="24" max="24" width="17.28515625" customWidth="1"/>
    <col min="25" max="25" width="13.7109375" customWidth="1"/>
    <col min="26" max="26" width="14.85546875" customWidth="1"/>
    <col min="27" max="27" width="14.28515625" customWidth="1"/>
    <col min="28" max="28" width="12.7109375" customWidth="1"/>
    <col min="29" max="29" width="19.42578125" customWidth="1"/>
    <col min="30" max="30" width="15.42578125" customWidth="1"/>
    <col min="31" max="31" width="17.140625" customWidth="1"/>
    <col min="32" max="32" width="18.7109375" customWidth="1"/>
    <col min="33" max="33" width="15" customWidth="1"/>
    <col min="34" max="34" width="18.85546875" customWidth="1"/>
    <col min="35" max="35" width="16.28515625" customWidth="1"/>
    <col min="36" max="36" width="13.28515625" customWidth="1"/>
    <col min="37" max="37" width="15.5703125" customWidth="1"/>
    <col min="38" max="38" width="13.7109375" customWidth="1"/>
    <col min="39" max="39" width="18" customWidth="1"/>
    <col min="41" max="41" width="12.28515625" customWidth="1"/>
    <col min="42" max="42" width="14.42578125" customWidth="1"/>
    <col min="43" max="43" width="18.140625" customWidth="1"/>
    <col min="44" max="44" width="15.7109375" customWidth="1"/>
  </cols>
  <sheetData>
    <row r="1" spans="1:46" x14ac:dyDescent="0.25">
      <c r="A1" t="s">
        <v>869</v>
      </c>
    </row>
    <row r="2" spans="1:46" x14ac:dyDescent="0.25">
      <c r="A2" t="s">
        <v>871</v>
      </c>
    </row>
    <row r="3" spans="1:46" s="28" customFormat="1" ht="30" x14ac:dyDescent="0.25">
      <c r="A3" s="42" t="s">
        <v>843</v>
      </c>
      <c r="B3" s="42" t="s">
        <v>0</v>
      </c>
      <c r="C3" s="42" t="s">
        <v>658</v>
      </c>
      <c r="D3" s="42" t="s">
        <v>836</v>
      </c>
      <c r="E3" s="42" t="s">
        <v>832</v>
      </c>
      <c r="F3" s="42" t="s">
        <v>833</v>
      </c>
      <c r="G3" s="42" t="s">
        <v>753</v>
      </c>
      <c r="H3" s="42" t="s">
        <v>754</v>
      </c>
      <c r="I3" s="42" t="s">
        <v>755</v>
      </c>
      <c r="J3" s="42" t="s">
        <v>673</v>
      </c>
      <c r="K3" s="42" t="s">
        <v>756</v>
      </c>
      <c r="L3" s="42" t="s">
        <v>672</v>
      </c>
      <c r="M3" s="42" t="s">
        <v>670</v>
      </c>
      <c r="N3" s="42" t="s">
        <v>669</v>
      </c>
      <c r="O3" s="42" t="s">
        <v>668</v>
      </c>
      <c r="P3" s="42" t="s">
        <v>665</v>
      </c>
      <c r="Q3" s="42" t="s">
        <v>758</v>
      </c>
      <c r="R3" s="42" t="s">
        <v>837</v>
      </c>
      <c r="S3" s="42" t="s">
        <v>838</v>
      </c>
      <c r="T3" s="42" t="s">
        <v>839</v>
      </c>
      <c r="U3" s="42" t="s">
        <v>840</v>
      </c>
      <c r="V3" s="42" t="s">
        <v>841</v>
      </c>
      <c r="W3" s="42" t="s">
        <v>842</v>
      </c>
      <c r="X3" s="42" t="s">
        <v>799</v>
      </c>
      <c r="Y3" s="42" t="s">
        <v>785</v>
      </c>
      <c r="Z3" s="42" t="s">
        <v>831</v>
      </c>
      <c r="AA3" s="42" t="s">
        <v>803</v>
      </c>
      <c r="AB3" s="42" t="s">
        <v>801</v>
      </c>
      <c r="AC3" s="42" t="s">
        <v>783</v>
      </c>
      <c r="AD3" s="42" t="s">
        <v>784</v>
      </c>
      <c r="AE3" s="42" t="s">
        <v>870</v>
      </c>
      <c r="AF3" s="42" t="s">
        <v>796</v>
      </c>
      <c r="AG3" s="42" t="s">
        <v>794</v>
      </c>
      <c r="AH3" s="42" t="s">
        <v>797</v>
      </c>
      <c r="AI3" s="42" t="s">
        <v>802</v>
      </c>
      <c r="AJ3" s="42" t="s">
        <v>798</v>
      </c>
      <c r="AK3" s="42" t="s">
        <v>800</v>
      </c>
      <c r="AL3" s="42" t="s">
        <v>791</v>
      </c>
      <c r="AM3" s="42" t="s">
        <v>789</v>
      </c>
      <c r="AN3" s="42" t="s">
        <v>770</v>
      </c>
      <c r="AO3" s="42" t="s">
        <v>772</v>
      </c>
      <c r="AP3" s="42" t="s">
        <v>774</v>
      </c>
      <c r="AQ3" s="42" t="s">
        <v>776</v>
      </c>
      <c r="AR3" s="42" t="s">
        <v>775</v>
      </c>
      <c r="AS3" s="42" t="s">
        <v>780</v>
      </c>
      <c r="AT3" s="42" t="s">
        <v>660</v>
      </c>
    </row>
    <row r="4" spans="1:46" x14ac:dyDescent="0.25">
      <c r="A4">
        <v>2</v>
      </c>
      <c r="B4" s="3" t="s">
        <v>2</v>
      </c>
      <c r="C4" t="s">
        <v>111</v>
      </c>
      <c r="D4">
        <v>0</v>
      </c>
      <c r="E4">
        <v>0</v>
      </c>
      <c r="F4">
        <v>0</v>
      </c>
      <c r="G4">
        <v>35.235548999999999</v>
      </c>
      <c r="H4">
        <v>-120.472735</v>
      </c>
      <c r="I4">
        <v>54.073689109999997</v>
      </c>
      <c r="J4">
        <v>176.8000031</v>
      </c>
      <c r="K4">
        <v>702.56</v>
      </c>
      <c r="L4">
        <v>1.42</v>
      </c>
      <c r="M4">
        <v>0.2</v>
      </c>
      <c r="N4">
        <v>-0.795880017</v>
      </c>
      <c r="O4">
        <v>573.90200000000004</v>
      </c>
      <c r="P4">
        <v>15.13383333</v>
      </c>
      <c r="Q4">
        <v>3.714</v>
      </c>
      <c r="R4">
        <v>35</v>
      </c>
      <c r="S4">
        <v>5</v>
      </c>
      <c r="T4">
        <v>20</v>
      </c>
      <c r="U4">
        <v>5.7142900000000001</v>
      </c>
      <c r="V4">
        <v>28.571429999999999</v>
      </c>
      <c r="W4">
        <v>22.857140000000001</v>
      </c>
      <c r="X4" t="s">
        <v>479</v>
      </c>
      <c r="Y4" t="s">
        <v>479</v>
      </c>
      <c r="Z4" t="s">
        <v>479</v>
      </c>
      <c r="AA4" t="s">
        <v>479</v>
      </c>
      <c r="AB4" t="s">
        <v>479</v>
      </c>
      <c r="AC4" t="s">
        <v>479</v>
      </c>
      <c r="AD4" t="s">
        <v>479</v>
      </c>
      <c r="AE4" t="s">
        <v>479</v>
      </c>
      <c r="AF4" t="s">
        <v>479</v>
      </c>
      <c r="AG4" t="s">
        <v>479</v>
      </c>
      <c r="AH4" t="s">
        <v>479</v>
      </c>
      <c r="AI4" t="s">
        <v>479</v>
      </c>
      <c r="AJ4" t="s">
        <v>479</v>
      </c>
      <c r="AK4" t="s">
        <v>479</v>
      </c>
      <c r="AL4" t="s">
        <v>479</v>
      </c>
      <c r="AM4" t="s">
        <v>479</v>
      </c>
      <c r="AN4">
        <v>1</v>
      </c>
      <c r="AO4">
        <v>1</v>
      </c>
      <c r="AP4">
        <v>0.97627971899999999</v>
      </c>
      <c r="AQ4">
        <v>1.9525594369999999</v>
      </c>
      <c r="AR4">
        <v>0</v>
      </c>
      <c r="AS4">
        <v>4.22</v>
      </c>
      <c r="AT4" s="32">
        <v>4.3099999999999997E-5</v>
      </c>
    </row>
    <row r="5" spans="1:46" x14ac:dyDescent="0.25">
      <c r="A5">
        <v>5</v>
      </c>
      <c r="B5" s="3" t="s">
        <v>5</v>
      </c>
      <c r="C5" t="s">
        <v>114</v>
      </c>
      <c r="D5">
        <v>25.83</v>
      </c>
      <c r="E5">
        <v>149.80000000000001</v>
      </c>
      <c r="F5">
        <v>118</v>
      </c>
      <c r="G5">
        <v>36.704959000000002</v>
      </c>
      <c r="H5">
        <v>-121.704948</v>
      </c>
      <c r="I5">
        <v>274.5744388</v>
      </c>
      <c r="J5">
        <v>9.5100002289999992</v>
      </c>
      <c r="K5">
        <v>943.64</v>
      </c>
      <c r="L5">
        <v>1.53</v>
      </c>
      <c r="M5">
        <v>0.26</v>
      </c>
      <c r="N5">
        <v>-0.823908741</v>
      </c>
      <c r="O5">
        <v>369.25299999999999</v>
      </c>
      <c r="P5">
        <v>13.996499999999999</v>
      </c>
      <c r="Q5">
        <v>5.718</v>
      </c>
      <c r="R5">
        <v>19</v>
      </c>
      <c r="S5">
        <v>3</v>
      </c>
      <c r="T5">
        <v>0</v>
      </c>
      <c r="U5">
        <v>0</v>
      </c>
      <c r="V5">
        <v>0</v>
      </c>
      <c r="W5">
        <v>11.11111</v>
      </c>
      <c r="X5">
        <v>10</v>
      </c>
      <c r="Y5">
        <v>13.9</v>
      </c>
      <c r="Z5">
        <v>2.1</v>
      </c>
      <c r="AA5">
        <v>23.1</v>
      </c>
      <c r="AB5">
        <v>30.6</v>
      </c>
      <c r="AC5">
        <v>9.9</v>
      </c>
      <c r="AD5">
        <v>15.3</v>
      </c>
      <c r="AE5">
        <v>1.8</v>
      </c>
      <c r="AF5">
        <v>33.5</v>
      </c>
      <c r="AG5">
        <v>34.200000000000003</v>
      </c>
      <c r="AH5" t="s">
        <v>479</v>
      </c>
      <c r="AI5" t="s">
        <v>479</v>
      </c>
      <c r="AJ5" t="s">
        <v>479</v>
      </c>
      <c r="AK5" t="s">
        <v>479</v>
      </c>
      <c r="AL5">
        <v>185.4</v>
      </c>
      <c r="AM5">
        <v>157</v>
      </c>
      <c r="AN5">
        <v>19</v>
      </c>
      <c r="AO5">
        <v>22</v>
      </c>
      <c r="AP5">
        <v>458.61780099999999</v>
      </c>
      <c r="AQ5">
        <v>35087.278380000003</v>
      </c>
      <c r="AR5">
        <v>477.12022580000001</v>
      </c>
      <c r="AS5">
        <v>0.73</v>
      </c>
      <c r="AT5">
        <v>29.440616800000001</v>
      </c>
    </row>
    <row r="6" spans="1:46" x14ac:dyDescent="0.25">
      <c r="A6">
        <v>6</v>
      </c>
      <c r="B6" s="3" t="s">
        <v>6</v>
      </c>
      <c r="C6" t="s">
        <v>115</v>
      </c>
      <c r="D6">
        <v>0.56000000000000005</v>
      </c>
      <c r="E6">
        <v>10.8</v>
      </c>
      <c r="F6">
        <v>2.4</v>
      </c>
      <c r="G6">
        <v>36.987296999999998</v>
      </c>
      <c r="H6">
        <v>-121.527908</v>
      </c>
      <c r="I6">
        <v>218.84611949999999</v>
      </c>
      <c r="J6">
        <v>48.380001069999999</v>
      </c>
      <c r="K6">
        <v>1052.58</v>
      </c>
      <c r="L6">
        <v>1.44</v>
      </c>
      <c r="M6">
        <v>0.3</v>
      </c>
      <c r="N6">
        <v>-0.795880017</v>
      </c>
      <c r="O6">
        <v>464.75400000000002</v>
      </c>
      <c r="P6">
        <v>16.026</v>
      </c>
      <c r="Q6">
        <v>6.8940000000000001</v>
      </c>
      <c r="R6">
        <v>33</v>
      </c>
      <c r="S6">
        <v>2</v>
      </c>
      <c r="T6">
        <v>60</v>
      </c>
      <c r="U6">
        <v>0</v>
      </c>
      <c r="V6">
        <v>9.0909099999999992</v>
      </c>
      <c r="W6">
        <v>0</v>
      </c>
      <c r="X6">
        <v>5.9</v>
      </c>
      <c r="Y6">
        <v>2.4</v>
      </c>
      <c r="Z6">
        <v>1.9</v>
      </c>
      <c r="AA6">
        <v>7</v>
      </c>
      <c r="AB6" t="s">
        <v>479</v>
      </c>
      <c r="AC6">
        <v>17.3</v>
      </c>
      <c r="AD6">
        <v>10.8</v>
      </c>
      <c r="AE6" t="s">
        <v>479</v>
      </c>
      <c r="AF6" t="s">
        <v>479</v>
      </c>
      <c r="AG6" t="s">
        <v>479</v>
      </c>
      <c r="AH6" t="s">
        <v>479</v>
      </c>
      <c r="AI6" t="s">
        <v>479</v>
      </c>
      <c r="AJ6" t="s">
        <v>479</v>
      </c>
      <c r="AK6" t="s">
        <v>479</v>
      </c>
      <c r="AL6">
        <v>37.1</v>
      </c>
      <c r="AM6">
        <v>80.5</v>
      </c>
      <c r="AN6">
        <v>7</v>
      </c>
      <c r="AO6">
        <v>5</v>
      </c>
      <c r="AP6">
        <v>54.306924770000002</v>
      </c>
      <c r="AQ6">
        <v>3847.3484870000002</v>
      </c>
      <c r="AR6">
        <v>108.702781</v>
      </c>
      <c r="AS6">
        <v>0.72</v>
      </c>
      <c r="AT6">
        <v>0.576184959</v>
      </c>
    </row>
    <row r="7" spans="1:46" x14ac:dyDescent="0.25">
      <c r="A7">
        <v>7</v>
      </c>
      <c r="B7" s="3" t="s">
        <v>7</v>
      </c>
      <c r="C7" t="s">
        <v>116</v>
      </c>
      <c r="D7">
        <v>0</v>
      </c>
      <c r="E7">
        <v>2.9</v>
      </c>
      <c r="F7">
        <v>0</v>
      </c>
      <c r="G7">
        <v>36.939397</v>
      </c>
      <c r="H7">
        <v>-121.770506</v>
      </c>
      <c r="I7">
        <v>70.789896110000001</v>
      </c>
      <c r="J7">
        <v>28.370000839999999</v>
      </c>
      <c r="K7">
        <v>852.51</v>
      </c>
      <c r="L7">
        <v>1.43</v>
      </c>
      <c r="M7">
        <v>0.24</v>
      </c>
      <c r="N7">
        <v>-0.85387196399999998</v>
      </c>
      <c r="O7">
        <v>561.34799999999996</v>
      </c>
      <c r="P7">
        <v>14.16341667</v>
      </c>
      <c r="Q7">
        <v>8.327</v>
      </c>
      <c r="R7">
        <v>29</v>
      </c>
      <c r="S7">
        <v>2</v>
      </c>
      <c r="T7">
        <v>66.666669999999996</v>
      </c>
      <c r="U7">
        <v>3.44828</v>
      </c>
      <c r="V7">
        <v>24.137930000000001</v>
      </c>
      <c r="W7">
        <v>13.793100000000001</v>
      </c>
      <c r="X7" t="s">
        <v>479</v>
      </c>
      <c r="Y7" t="s">
        <v>479</v>
      </c>
      <c r="Z7">
        <v>1.4</v>
      </c>
      <c r="AA7" t="s">
        <v>479</v>
      </c>
      <c r="AB7">
        <v>5.3</v>
      </c>
      <c r="AC7" t="s">
        <v>479</v>
      </c>
      <c r="AD7" t="s">
        <v>479</v>
      </c>
      <c r="AE7">
        <v>0.6</v>
      </c>
      <c r="AF7" t="s">
        <v>479</v>
      </c>
      <c r="AG7">
        <v>2.7</v>
      </c>
      <c r="AH7" t="s">
        <v>479</v>
      </c>
      <c r="AI7" t="s">
        <v>479</v>
      </c>
      <c r="AJ7" t="s">
        <v>479</v>
      </c>
      <c r="AK7" t="s">
        <v>479</v>
      </c>
      <c r="AL7">
        <v>98.3</v>
      </c>
      <c r="AM7">
        <v>32</v>
      </c>
      <c r="AN7">
        <v>6</v>
      </c>
      <c r="AO7">
        <v>7</v>
      </c>
      <c r="AP7">
        <v>106.98760849999999</v>
      </c>
      <c r="AQ7">
        <v>7094.6154459999998</v>
      </c>
      <c r="AR7">
        <v>42.702481400000003</v>
      </c>
      <c r="AS7">
        <v>0.96</v>
      </c>
      <c r="AT7">
        <v>3.6686509999999999E-2</v>
      </c>
    </row>
    <row r="8" spans="1:46" x14ac:dyDescent="0.25">
      <c r="A8">
        <v>8</v>
      </c>
      <c r="B8" s="3" t="s">
        <v>8</v>
      </c>
      <c r="C8" t="s">
        <v>117</v>
      </c>
      <c r="D8">
        <v>0</v>
      </c>
      <c r="E8">
        <v>2.1</v>
      </c>
      <c r="F8">
        <v>0</v>
      </c>
      <c r="G8">
        <v>37.626719999999999</v>
      </c>
      <c r="H8">
        <v>-121.882795</v>
      </c>
      <c r="I8">
        <v>1045.6028200000001</v>
      </c>
      <c r="J8">
        <v>81.800003050000001</v>
      </c>
      <c r="K8">
        <v>1167.47</v>
      </c>
      <c r="L8">
        <v>1.43</v>
      </c>
      <c r="M8">
        <v>0.28000000000000003</v>
      </c>
      <c r="N8">
        <v>-0.85387196399999998</v>
      </c>
      <c r="O8">
        <v>418.42</v>
      </c>
      <c r="P8">
        <v>15.76416667</v>
      </c>
      <c r="Q8">
        <v>6.8849999999999998</v>
      </c>
      <c r="R8">
        <v>21</v>
      </c>
      <c r="S8">
        <v>2</v>
      </c>
      <c r="T8">
        <v>50</v>
      </c>
      <c r="U8">
        <v>0</v>
      </c>
      <c r="V8">
        <v>23.809519999999999</v>
      </c>
      <c r="W8">
        <v>0</v>
      </c>
      <c r="X8" t="s">
        <v>479</v>
      </c>
      <c r="Y8" t="s">
        <v>479</v>
      </c>
      <c r="Z8" t="s">
        <v>479</v>
      </c>
      <c r="AA8" t="s">
        <v>479</v>
      </c>
      <c r="AB8" t="s">
        <v>479</v>
      </c>
      <c r="AC8">
        <v>3.3</v>
      </c>
      <c r="AD8">
        <v>2.1</v>
      </c>
      <c r="AE8" t="s">
        <v>479</v>
      </c>
      <c r="AF8" t="s">
        <v>479</v>
      </c>
      <c r="AG8" t="s">
        <v>479</v>
      </c>
      <c r="AH8" t="s">
        <v>479</v>
      </c>
      <c r="AI8" t="s">
        <v>479</v>
      </c>
      <c r="AJ8" t="s">
        <v>479</v>
      </c>
      <c r="AK8" t="s">
        <v>479</v>
      </c>
      <c r="AL8" t="s">
        <v>479</v>
      </c>
      <c r="AM8" t="s">
        <v>479</v>
      </c>
      <c r="AN8">
        <v>0</v>
      </c>
      <c r="AO8">
        <v>4</v>
      </c>
      <c r="AP8">
        <v>0</v>
      </c>
      <c r="AQ8">
        <v>5.7395502250000003</v>
      </c>
      <c r="AR8">
        <v>6.6339122169999998</v>
      </c>
      <c r="AS8">
        <v>0.09</v>
      </c>
      <c r="AT8">
        <v>0</v>
      </c>
    </row>
    <row r="9" spans="1:46" x14ac:dyDescent="0.25">
      <c r="A9">
        <v>9</v>
      </c>
      <c r="B9" s="3" t="s">
        <v>9</v>
      </c>
      <c r="C9" t="s">
        <v>118</v>
      </c>
      <c r="D9">
        <v>0</v>
      </c>
      <c r="E9">
        <v>0</v>
      </c>
      <c r="F9">
        <v>0</v>
      </c>
      <c r="G9">
        <v>38.003520000000002</v>
      </c>
      <c r="H9">
        <v>-122.129699</v>
      </c>
      <c r="I9">
        <v>37.979244809999997</v>
      </c>
      <c r="J9">
        <v>17.090000150000002</v>
      </c>
      <c r="K9">
        <v>442.98</v>
      </c>
      <c r="L9">
        <v>1.46</v>
      </c>
      <c r="M9">
        <v>0.31</v>
      </c>
      <c r="N9">
        <v>-0.67778070499999998</v>
      </c>
      <c r="O9">
        <v>507.65600000000001</v>
      </c>
      <c r="P9">
        <v>15.529500000000001</v>
      </c>
      <c r="Q9">
        <v>4.7830000000000004</v>
      </c>
      <c r="R9">
        <v>36</v>
      </c>
      <c r="S9">
        <v>2</v>
      </c>
      <c r="T9">
        <v>0</v>
      </c>
      <c r="U9">
        <v>8.3333300000000001</v>
      </c>
      <c r="V9">
        <v>5.5555599999999998</v>
      </c>
      <c r="W9">
        <v>5.8823499999999997</v>
      </c>
      <c r="X9" t="s">
        <v>479</v>
      </c>
      <c r="Y9" t="s">
        <v>479</v>
      </c>
      <c r="Z9">
        <v>1.9</v>
      </c>
      <c r="AA9" t="s">
        <v>479</v>
      </c>
      <c r="AB9" t="s">
        <v>479</v>
      </c>
      <c r="AC9" t="s">
        <v>479</v>
      </c>
      <c r="AD9" t="s">
        <v>479</v>
      </c>
      <c r="AE9" t="s">
        <v>479</v>
      </c>
      <c r="AF9" t="s">
        <v>479</v>
      </c>
      <c r="AG9" t="s">
        <v>479</v>
      </c>
      <c r="AH9" t="s">
        <v>479</v>
      </c>
      <c r="AI9">
        <v>2</v>
      </c>
      <c r="AJ9">
        <v>2</v>
      </c>
      <c r="AK9" t="s">
        <v>479</v>
      </c>
      <c r="AL9">
        <v>10.1</v>
      </c>
      <c r="AM9" t="s">
        <v>479</v>
      </c>
      <c r="AN9">
        <v>7</v>
      </c>
      <c r="AO9">
        <v>2</v>
      </c>
      <c r="AP9">
        <v>16.066508540000001</v>
      </c>
      <c r="AQ9">
        <v>2078.5770000000002</v>
      </c>
      <c r="AR9">
        <v>8.1233011659999992</v>
      </c>
      <c r="AS9">
        <v>0.45</v>
      </c>
      <c r="AT9">
        <v>1.0276716999999999E-2</v>
      </c>
    </row>
    <row r="10" spans="1:46" x14ac:dyDescent="0.25">
      <c r="A10">
        <v>10</v>
      </c>
      <c r="B10" s="3" t="s">
        <v>10</v>
      </c>
      <c r="C10" t="s">
        <v>119</v>
      </c>
      <c r="D10">
        <v>0</v>
      </c>
      <c r="E10">
        <v>0</v>
      </c>
      <c r="F10">
        <v>0</v>
      </c>
      <c r="G10">
        <v>37.772983000000004</v>
      </c>
      <c r="H10">
        <v>-121.994682</v>
      </c>
      <c r="I10">
        <v>15.549737179999999</v>
      </c>
      <c r="J10">
        <v>173.97000120000001</v>
      </c>
      <c r="K10">
        <v>463.88</v>
      </c>
      <c r="L10">
        <v>1.45</v>
      </c>
      <c r="M10">
        <v>0.31</v>
      </c>
      <c r="N10">
        <v>-0.92081875400000002</v>
      </c>
      <c r="O10">
        <v>557.48699999999997</v>
      </c>
      <c r="P10">
        <v>14.95691667</v>
      </c>
      <c r="Q10">
        <v>6.4269999999999996</v>
      </c>
      <c r="R10">
        <v>50</v>
      </c>
      <c r="S10">
        <v>7</v>
      </c>
      <c r="T10">
        <v>11.11111</v>
      </c>
      <c r="U10">
        <v>8</v>
      </c>
      <c r="V10">
        <v>32</v>
      </c>
      <c r="W10">
        <v>28.571429999999999</v>
      </c>
      <c r="X10" t="s">
        <v>479</v>
      </c>
      <c r="Y10" t="s">
        <v>479</v>
      </c>
      <c r="Z10" t="s">
        <v>479</v>
      </c>
      <c r="AA10" t="s">
        <v>479</v>
      </c>
      <c r="AB10" t="s">
        <v>479</v>
      </c>
      <c r="AC10">
        <v>7.2</v>
      </c>
      <c r="AD10" t="s">
        <v>479</v>
      </c>
      <c r="AE10" t="s">
        <v>479</v>
      </c>
      <c r="AF10" t="s">
        <v>479</v>
      </c>
      <c r="AG10" t="s">
        <v>479</v>
      </c>
      <c r="AH10" t="s">
        <v>479</v>
      </c>
      <c r="AI10" t="s">
        <v>479</v>
      </c>
      <c r="AJ10" t="s">
        <v>479</v>
      </c>
      <c r="AK10" t="s">
        <v>479</v>
      </c>
      <c r="AL10" t="s">
        <v>479</v>
      </c>
      <c r="AM10" t="s">
        <v>479</v>
      </c>
      <c r="AN10">
        <v>0</v>
      </c>
      <c r="AO10">
        <v>2</v>
      </c>
      <c r="AP10">
        <v>0</v>
      </c>
      <c r="AQ10">
        <v>7.1809408269999997</v>
      </c>
      <c r="AR10">
        <v>7.1809408269999997</v>
      </c>
      <c r="AS10">
        <v>0.03</v>
      </c>
      <c r="AT10" t="s">
        <v>479</v>
      </c>
    </row>
    <row r="11" spans="1:46" x14ac:dyDescent="0.25">
      <c r="A11">
        <v>11</v>
      </c>
      <c r="B11" s="3" t="s">
        <v>11</v>
      </c>
      <c r="C11" t="s">
        <v>120</v>
      </c>
      <c r="D11">
        <v>0</v>
      </c>
      <c r="E11">
        <v>0</v>
      </c>
      <c r="F11">
        <v>0</v>
      </c>
      <c r="G11">
        <v>38.447277999999997</v>
      </c>
      <c r="H11">
        <v>-122.380556</v>
      </c>
      <c r="I11">
        <v>146.0607004</v>
      </c>
      <c r="J11">
        <v>37.349998470000003</v>
      </c>
      <c r="K11">
        <v>709.42</v>
      </c>
      <c r="L11">
        <v>1.36</v>
      </c>
      <c r="M11">
        <v>0.3</v>
      </c>
      <c r="N11">
        <v>-0.88605664799999995</v>
      </c>
      <c r="O11">
        <v>828.43899999999996</v>
      </c>
      <c r="P11">
        <v>15.675000000000001</v>
      </c>
      <c r="Q11">
        <v>7.593</v>
      </c>
      <c r="R11">
        <v>33</v>
      </c>
      <c r="S11">
        <v>3</v>
      </c>
      <c r="T11">
        <v>25</v>
      </c>
      <c r="U11">
        <v>3.0303</v>
      </c>
      <c r="V11">
        <v>12.12121</v>
      </c>
      <c r="W11">
        <v>0</v>
      </c>
      <c r="X11" t="s">
        <v>479</v>
      </c>
      <c r="Y11" t="s">
        <v>479</v>
      </c>
      <c r="Z11" t="s">
        <v>479</v>
      </c>
      <c r="AA11" t="s">
        <v>479</v>
      </c>
      <c r="AB11" t="s">
        <v>479</v>
      </c>
      <c r="AC11">
        <v>9.4</v>
      </c>
      <c r="AD11" t="s">
        <v>479</v>
      </c>
      <c r="AE11" t="s">
        <v>479</v>
      </c>
      <c r="AF11" t="s">
        <v>479</v>
      </c>
      <c r="AG11" t="s">
        <v>479</v>
      </c>
      <c r="AH11" t="s">
        <v>479</v>
      </c>
      <c r="AI11" t="s">
        <v>479</v>
      </c>
      <c r="AJ11" t="s">
        <v>479</v>
      </c>
      <c r="AK11" t="s">
        <v>479</v>
      </c>
      <c r="AL11" t="s">
        <v>479</v>
      </c>
      <c r="AM11" t="s">
        <v>479</v>
      </c>
      <c r="AN11">
        <v>1</v>
      </c>
      <c r="AO11">
        <v>2</v>
      </c>
      <c r="AP11">
        <v>1.1563485179999999</v>
      </c>
      <c r="AQ11">
        <v>73.384486269999996</v>
      </c>
      <c r="AR11">
        <v>9.3831096150000004</v>
      </c>
      <c r="AS11">
        <v>1.84</v>
      </c>
      <c r="AT11">
        <v>3.2608700000000002E-4</v>
      </c>
    </row>
    <row r="12" spans="1:46" x14ac:dyDescent="0.25">
      <c r="A12">
        <v>12</v>
      </c>
      <c r="B12" s="3" t="s">
        <v>12</v>
      </c>
      <c r="C12" t="s">
        <v>121</v>
      </c>
      <c r="D12">
        <v>0.04</v>
      </c>
      <c r="E12">
        <v>15.4</v>
      </c>
      <c r="F12">
        <v>0.6</v>
      </c>
      <c r="G12">
        <v>38.301859</v>
      </c>
      <c r="H12">
        <v>-122.30386300000001</v>
      </c>
      <c r="I12">
        <v>38.94094561</v>
      </c>
      <c r="J12">
        <v>13.02000046</v>
      </c>
      <c r="K12">
        <v>814.44</v>
      </c>
      <c r="L12">
        <v>1.38</v>
      </c>
      <c r="M12">
        <v>0.31</v>
      </c>
      <c r="N12">
        <v>-0.60205999099999996</v>
      </c>
      <c r="O12">
        <v>641.36</v>
      </c>
      <c r="P12">
        <v>15.358083329999999</v>
      </c>
      <c r="Q12">
        <v>7.476</v>
      </c>
      <c r="R12">
        <v>43</v>
      </c>
      <c r="S12">
        <v>4</v>
      </c>
      <c r="T12">
        <v>42.857140000000001</v>
      </c>
      <c r="U12">
        <v>4.65116</v>
      </c>
      <c r="V12">
        <v>30.232559999999999</v>
      </c>
      <c r="W12">
        <v>16.66667</v>
      </c>
      <c r="X12" t="s">
        <v>479</v>
      </c>
      <c r="Y12">
        <v>0.6</v>
      </c>
      <c r="Z12" t="s">
        <v>479</v>
      </c>
      <c r="AA12" t="s">
        <v>479</v>
      </c>
      <c r="AB12" t="s">
        <v>479</v>
      </c>
      <c r="AC12">
        <v>3.7</v>
      </c>
      <c r="AD12">
        <v>7.4</v>
      </c>
      <c r="AE12">
        <v>1.4</v>
      </c>
      <c r="AF12" t="s">
        <v>479</v>
      </c>
      <c r="AG12" t="s">
        <v>479</v>
      </c>
      <c r="AH12" t="s">
        <v>479</v>
      </c>
      <c r="AI12" t="s">
        <v>479</v>
      </c>
      <c r="AJ12" t="s">
        <v>479</v>
      </c>
      <c r="AK12" t="s">
        <v>479</v>
      </c>
      <c r="AL12">
        <v>13.1</v>
      </c>
      <c r="AM12" t="s">
        <v>479</v>
      </c>
      <c r="AN12">
        <v>5</v>
      </c>
      <c r="AO12">
        <v>6</v>
      </c>
      <c r="AP12">
        <v>13.65783845</v>
      </c>
      <c r="AQ12">
        <v>475.70818639999999</v>
      </c>
      <c r="AR12">
        <v>23.836037050000002</v>
      </c>
      <c r="AS12">
        <v>2.29</v>
      </c>
      <c r="AT12">
        <v>4.5951766999999998E-2</v>
      </c>
    </row>
    <row r="13" spans="1:46" x14ac:dyDescent="0.25">
      <c r="A13">
        <v>13</v>
      </c>
      <c r="B13" s="3" t="s">
        <v>13</v>
      </c>
      <c r="C13" t="s">
        <v>122</v>
      </c>
      <c r="D13">
        <v>0</v>
      </c>
      <c r="E13">
        <v>0</v>
      </c>
      <c r="F13">
        <v>0</v>
      </c>
      <c r="G13">
        <v>38.107697999999999</v>
      </c>
      <c r="H13">
        <v>-122.579981</v>
      </c>
      <c r="I13">
        <v>46.514950710000001</v>
      </c>
      <c r="J13">
        <v>8.2899999619999996</v>
      </c>
      <c r="K13">
        <v>470.6</v>
      </c>
      <c r="L13">
        <v>1.46</v>
      </c>
      <c r="M13">
        <v>0.27</v>
      </c>
      <c r="N13">
        <v>-0.823908741</v>
      </c>
      <c r="O13">
        <v>796.62199999999996</v>
      </c>
      <c r="P13">
        <v>15.060166669999999</v>
      </c>
      <c r="Q13">
        <v>7.484</v>
      </c>
      <c r="R13">
        <v>31</v>
      </c>
      <c r="S13">
        <v>3</v>
      </c>
      <c r="T13">
        <v>0</v>
      </c>
      <c r="U13">
        <v>0</v>
      </c>
      <c r="V13">
        <v>19.354839999999999</v>
      </c>
      <c r="W13">
        <v>6.4516099999999996</v>
      </c>
      <c r="X13" t="s">
        <v>479</v>
      </c>
      <c r="Y13" t="s">
        <v>479</v>
      </c>
      <c r="Z13" t="s">
        <v>479</v>
      </c>
      <c r="AA13" t="s">
        <v>479</v>
      </c>
      <c r="AB13" t="s">
        <v>479</v>
      </c>
      <c r="AC13" t="s">
        <v>479</v>
      </c>
      <c r="AD13" t="s">
        <v>479</v>
      </c>
      <c r="AE13" t="s">
        <v>479</v>
      </c>
      <c r="AF13" t="s">
        <v>479</v>
      </c>
      <c r="AG13" t="s">
        <v>479</v>
      </c>
      <c r="AH13" t="s">
        <v>479</v>
      </c>
      <c r="AI13" t="s">
        <v>479</v>
      </c>
      <c r="AJ13" t="s">
        <v>479</v>
      </c>
      <c r="AK13" t="s">
        <v>479</v>
      </c>
      <c r="AL13" t="s">
        <v>479</v>
      </c>
      <c r="AM13" t="s">
        <v>479</v>
      </c>
      <c r="AN13">
        <v>1</v>
      </c>
      <c r="AO13">
        <v>1</v>
      </c>
      <c r="AP13">
        <v>1.808365537</v>
      </c>
      <c r="AQ13">
        <v>862.93481180000003</v>
      </c>
      <c r="AR13">
        <v>0</v>
      </c>
      <c r="AS13">
        <v>0.21</v>
      </c>
      <c r="AT13">
        <v>4.2857140000000004E-3</v>
      </c>
    </row>
    <row r="14" spans="1:46" x14ac:dyDescent="0.25">
      <c r="A14">
        <v>14</v>
      </c>
      <c r="B14" s="3" t="s">
        <v>14</v>
      </c>
      <c r="C14" t="s">
        <v>123</v>
      </c>
      <c r="D14">
        <v>0</v>
      </c>
      <c r="E14">
        <v>0</v>
      </c>
      <c r="F14">
        <v>0</v>
      </c>
      <c r="G14">
        <v>37.962978999999997</v>
      </c>
      <c r="H14">
        <v>-122.556922</v>
      </c>
      <c r="I14">
        <v>46.696376710000003</v>
      </c>
      <c r="J14">
        <v>8.0299997330000004</v>
      </c>
      <c r="K14">
        <v>774.89</v>
      </c>
      <c r="L14">
        <v>1.46</v>
      </c>
      <c r="M14">
        <v>0.27</v>
      </c>
      <c r="N14">
        <v>-0.88605664799999995</v>
      </c>
      <c r="O14">
        <v>1020.643</v>
      </c>
      <c r="P14">
        <v>14.827249999999999</v>
      </c>
      <c r="Q14">
        <v>8.84</v>
      </c>
      <c r="R14">
        <v>39</v>
      </c>
      <c r="S14">
        <v>6</v>
      </c>
      <c r="T14">
        <v>33.333329999999997</v>
      </c>
      <c r="U14">
        <v>2.5640999999999998</v>
      </c>
      <c r="V14">
        <v>23.076920000000001</v>
      </c>
      <c r="W14">
        <v>23.68421</v>
      </c>
      <c r="X14" t="s">
        <v>479</v>
      </c>
      <c r="Y14" t="s">
        <v>479</v>
      </c>
      <c r="Z14" t="s">
        <v>479</v>
      </c>
      <c r="AA14" t="s">
        <v>479</v>
      </c>
      <c r="AB14" t="s">
        <v>479</v>
      </c>
      <c r="AC14" t="s">
        <v>479</v>
      </c>
      <c r="AD14" t="s">
        <v>479</v>
      </c>
      <c r="AE14" t="s">
        <v>479</v>
      </c>
      <c r="AF14" t="s">
        <v>479</v>
      </c>
      <c r="AG14" t="s">
        <v>479</v>
      </c>
      <c r="AH14" t="s">
        <v>479</v>
      </c>
      <c r="AI14" t="s">
        <v>479</v>
      </c>
      <c r="AJ14" t="s">
        <v>479</v>
      </c>
      <c r="AK14" t="s">
        <v>479</v>
      </c>
      <c r="AL14">
        <v>11.7</v>
      </c>
      <c r="AM14" t="s">
        <v>479</v>
      </c>
      <c r="AN14">
        <v>3</v>
      </c>
      <c r="AO14">
        <v>3</v>
      </c>
      <c r="AP14">
        <v>11.64000631</v>
      </c>
      <c r="AQ14">
        <v>1807.8042210000001</v>
      </c>
      <c r="AR14">
        <v>141.1448901</v>
      </c>
      <c r="AS14">
        <v>0.5</v>
      </c>
      <c r="AT14">
        <v>9.222727E-3</v>
      </c>
    </row>
    <row r="15" spans="1:46" x14ac:dyDescent="0.25">
      <c r="A15">
        <v>15</v>
      </c>
      <c r="B15" s="3" t="s">
        <v>15</v>
      </c>
      <c r="C15" t="s">
        <v>124</v>
      </c>
      <c r="D15">
        <v>0</v>
      </c>
      <c r="E15">
        <v>0</v>
      </c>
      <c r="F15">
        <v>0</v>
      </c>
      <c r="G15">
        <v>38.343248000000003</v>
      </c>
      <c r="H15">
        <v>-122.701932</v>
      </c>
      <c r="I15">
        <v>14.88644843</v>
      </c>
      <c r="J15">
        <v>31.209999079999999</v>
      </c>
      <c r="K15">
        <v>720.7</v>
      </c>
      <c r="L15">
        <v>1.39</v>
      </c>
      <c r="M15">
        <v>0.26</v>
      </c>
      <c r="N15">
        <v>-0.823908741</v>
      </c>
      <c r="O15">
        <v>678.90499999999997</v>
      </c>
      <c r="P15">
        <v>14.59316667</v>
      </c>
      <c r="Q15">
        <v>8.4779999999999998</v>
      </c>
      <c r="R15">
        <v>32</v>
      </c>
      <c r="S15">
        <v>4</v>
      </c>
      <c r="T15">
        <v>20</v>
      </c>
      <c r="U15">
        <v>3.125</v>
      </c>
      <c r="V15">
        <v>18.75</v>
      </c>
      <c r="W15">
        <v>9.6774199999999997</v>
      </c>
      <c r="X15" t="s">
        <v>479</v>
      </c>
      <c r="Y15" t="s">
        <v>479</v>
      </c>
      <c r="Z15" t="s">
        <v>479</v>
      </c>
      <c r="AA15" t="s">
        <v>479</v>
      </c>
      <c r="AB15" t="s">
        <v>479</v>
      </c>
      <c r="AC15">
        <v>1</v>
      </c>
      <c r="AD15" t="s">
        <v>479</v>
      </c>
      <c r="AE15" t="s">
        <v>479</v>
      </c>
      <c r="AF15" t="s">
        <v>479</v>
      </c>
      <c r="AG15" t="s">
        <v>479</v>
      </c>
      <c r="AH15" t="s">
        <v>479</v>
      </c>
      <c r="AI15" t="s">
        <v>479</v>
      </c>
      <c r="AJ15" t="s">
        <v>479</v>
      </c>
      <c r="AK15" t="s">
        <v>479</v>
      </c>
      <c r="AL15" t="s">
        <v>479</v>
      </c>
      <c r="AM15" t="s">
        <v>479</v>
      </c>
      <c r="AN15">
        <v>1</v>
      </c>
      <c r="AO15">
        <v>2</v>
      </c>
      <c r="AP15">
        <v>0</v>
      </c>
      <c r="AQ15">
        <v>1.0230955829999999</v>
      </c>
      <c r="AR15">
        <v>1.0230955829999999</v>
      </c>
      <c r="AS15">
        <v>0.11</v>
      </c>
      <c r="AT15">
        <v>0</v>
      </c>
    </row>
    <row r="16" spans="1:46" x14ac:dyDescent="0.25">
      <c r="A16">
        <v>16</v>
      </c>
      <c r="B16" s="3" t="s">
        <v>16</v>
      </c>
      <c r="C16" t="s">
        <v>125</v>
      </c>
      <c r="D16">
        <v>0.25</v>
      </c>
      <c r="E16">
        <v>16.600000000000001</v>
      </c>
      <c r="F16">
        <v>1.3</v>
      </c>
      <c r="G16">
        <v>38.402135000000001</v>
      </c>
      <c r="H16">
        <v>-122.733043</v>
      </c>
      <c r="I16">
        <v>9.0440808859999997</v>
      </c>
      <c r="J16">
        <v>32.209999080000003</v>
      </c>
      <c r="K16">
        <v>21.96</v>
      </c>
      <c r="L16">
        <v>1.52</v>
      </c>
      <c r="M16">
        <v>0.36</v>
      </c>
      <c r="N16">
        <v>-0.88605664799999995</v>
      </c>
      <c r="O16">
        <v>792.09</v>
      </c>
      <c r="P16">
        <v>14.55683333</v>
      </c>
      <c r="Q16">
        <v>8.1489999999999991</v>
      </c>
      <c r="R16">
        <v>25</v>
      </c>
      <c r="S16">
        <v>2</v>
      </c>
      <c r="T16">
        <v>25</v>
      </c>
      <c r="U16">
        <v>0</v>
      </c>
      <c r="V16">
        <v>8</v>
      </c>
      <c r="W16">
        <v>0</v>
      </c>
      <c r="X16">
        <v>13</v>
      </c>
      <c r="Y16">
        <v>1.3</v>
      </c>
      <c r="Z16">
        <v>1.6</v>
      </c>
      <c r="AA16" t="s">
        <v>479</v>
      </c>
      <c r="AB16" t="s">
        <v>479</v>
      </c>
      <c r="AC16">
        <v>121.2</v>
      </c>
      <c r="AD16">
        <v>14.2</v>
      </c>
      <c r="AE16">
        <v>7.1</v>
      </c>
      <c r="AF16" t="s">
        <v>479</v>
      </c>
      <c r="AG16" t="s">
        <v>479</v>
      </c>
      <c r="AH16" t="s">
        <v>479</v>
      </c>
      <c r="AI16" t="s">
        <v>479</v>
      </c>
      <c r="AJ16">
        <v>3.9</v>
      </c>
      <c r="AK16">
        <v>17.2</v>
      </c>
      <c r="AL16" t="s">
        <v>479</v>
      </c>
      <c r="AM16" t="s">
        <v>479</v>
      </c>
      <c r="AN16">
        <v>5</v>
      </c>
      <c r="AO16">
        <v>8</v>
      </c>
      <c r="AP16">
        <v>19.87627724</v>
      </c>
      <c r="AQ16">
        <v>927.49436800000001</v>
      </c>
      <c r="AR16">
        <v>166.21492929999999</v>
      </c>
      <c r="AS16">
        <v>0.87</v>
      </c>
      <c r="AT16">
        <v>0.249607784</v>
      </c>
    </row>
    <row r="17" spans="1:46" x14ac:dyDescent="0.25">
      <c r="A17">
        <v>17</v>
      </c>
      <c r="B17" s="3" t="s">
        <v>17</v>
      </c>
      <c r="C17" t="s">
        <v>126</v>
      </c>
      <c r="D17">
        <v>0.19</v>
      </c>
      <c r="E17">
        <v>2.6</v>
      </c>
      <c r="F17">
        <v>0.7</v>
      </c>
      <c r="G17">
        <v>38.438800999999998</v>
      </c>
      <c r="H17">
        <v>-122.702487</v>
      </c>
      <c r="I17">
        <v>56.958402509999999</v>
      </c>
      <c r="J17">
        <v>49.869998930000001</v>
      </c>
      <c r="K17">
        <v>703.5</v>
      </c>
      <c r="L17">
        <v>1.44</v>
      </c>
      <c r="M17">
        <v>0.28000000000000003</v>
      </c>
      <c r="N17">
        <v>-0.823908741</v>
      </c>
      <c r="O17">
        <v>759.53</v>
      </c>
      <c r="P17">
        <v>14.983166669999999</v>
      </c>
      <c r="Q17">
        <v>8.3710000000000004</v>
      </c>
      <c r="R17">
        <v>36</v>
      </c>
      <c r="S17">
        <v>5</v>
      </c>
      <c r="T17">
        <v>20</v>
      </c>
      <c r="U17">
        <v>2.7777799999999999</v>
      </c>
      <c r="V17">
        <v>13.88889</v>
      </c>
      <c r="W17">
        <v>8.8235299999999999</v>
      </c>
      <c r="X17" t="s">
        <v>479</v>
      </c>
      <c r="Y17">
        <v>0.7</v>
      </c>
      <c r="Z17" t="s">
        <v>479</v>
      </c>
      <c r="AA17" t="s">
        <v>479</v>
      </c>
      <c r="AB17" t="s">
        <v>479</v>
      </c>
      <c r="AC17">
        <v>4</v>
      </c>
      <c r="AD17">
        <v>2.6</v>
      </c>
      <c r="AE17" t="s">
        <v>479</v>
      </c>
      <c r="AF17" t="s">
        <v>479</v>
      </c>
      <c r="AG17">
        <v>2.1</v>
      </c>
      <c r="AH17">
        <v>23.8</v>
      </c>
      <c r="AI17" t="s">
        <v>479</v>
      </c>
      <c r="AJ17" t="s">
        <v>479</v>
      </c>
      <c r="AK17" t="s">
        <v>479</v>
      </c>
      <c r="AL17" t="s">
        <v>479</v>
      </c>
      <c r="AM17" t="s">
        <v>479</v>
      </c>
      <c r="AN17">
        <v>3</v>
      </c>
      <c r="AO17">
        <v>7</v>
      </c>
      <c r="AP17">
        <v>3.0257263920000002</v>
      </c>
      <c r="AQ17">
        <v>372.74956409999999</v>
      </c>
      <c r="AR17">
        <v>37.588187779999998</v>
      </c>
      <c r="AS17">
        <v>0.62</v>
      </c>
      <c r="AT17">
        <v>0.18959433000000001</v>
      </c>
    </row>
    <row r="18" spans="1:46" x14ac:dyDescent="0.25">
      <c r="A18">
        <v>18</v>
      </c>
      <c r="B18" s="3" t="s">
        <v>18</v>
      </c>
      <c r="C18" t="s">
        <v>127</v>
      </c>
      <c r="D18">
        <v>0</v>
      </c>
      <c r="E18">
        <v>3</v>
      </c>
      <c r="F18">
        <v>0</v>
      </c>
      <c r="G18">
        <v>38.436790000000002</v>
      </c>
      <c r="H18">
        <v>-122.724695</v>
      </c>
      <c r="I18">
        <v>144.6399744</v>
      </c>
      <c r="J18">
        <v>42.36000061</v>
      </c>
      <c r="K18">
        <v>796.36</v>
      </c>
      <c r="L18">
        <v>1.44</v>
      </c>
      <c r="M18">
        <v>0.28999999999999998</v>
      </c>
      <c r="N18">
        <v>-0.823908741</v>
      </c>
      <c r="O18">
        <v>761.23599999999999</v>
      </c>
      <c r="P18">
        <v>14.815666670000001</v>
      </c>
      <c r="Q18">
        <v>8.3529999999999998</v>
      </c>
      <c r="R18">
        <v>31</v>
      </c>
      <c r="S18">
        <v>5</v>
      </c>
      <c r="T18">
        <v>60</v>
      </c>
      <c r="U18">
        <v>3.2258100000000001</v>
      </c>
      <c r="V18">
        <v>19.354839999999999</v>
      </c>
      <c r="W18">
        <v>12.903230000000001</v>
      </c>
      <c r="X18" t="s">
        <v>479</v>
      </c>
      <c r="Y18" t="s">
        <v>479</v>
      </c>
      <c r="Z18" t="s">
        <v>479</v>
      </c>
      <c r="AA18" t="s">
        <v>479</v>
      </c>
      <c r="AB18" t="s">
        <v>479</v>
      </c>
      <c r="AC18">
        <v>21.3</v>
      </c>
      <c r="AD18">
        <v>3</v>
      </c>
      <c r="AE18" t="s">
        <v>479</v>
      </c>
      <c r="AF18" t="s">
        <v>479</v>
      </c>
      <c r="AG18">
        <v>2</v>
      </c>
      <c r="AH18">
        <v>9.9</v>
      </c>
      <c r="AI18" t="s">
        <v>479</v>
      </c>
      <c r="AJ18" t="s">
        <v>479</v>
      </c>
      <c r="AK18">
        <v>2.1</v>
      </c>
      <c r="AL18" t="s">
        <v>479</v>
      </c>
      <c r="AM18" t="s">
        <v>479</v>
      </c>
      <c r="AN18">
        <v>1</v>
      </c>
      <c r="AO18">
        <v>8</v>
      </c>
      <c r="AP18">
        <v>2.0414019319999999</v>
      </c>
      <c r="AQ18">
        <v>829.11668840000004</v>
      </c>
      <c r="AR18">
        <v>45.545995040000001</v>
      </c>
      <c r="AS18">
        <v>0.26</v>
      </c>
      <c r="AT18">
        <v>3.8461540000000001E-3</v>
      </c>
    </row>
    <row r="19" spans="1:46" x14ac:dyDescent="0.25">
      <c r="A19">
        <v>19</v>
      </c>
      <c r="B19" s="3" t="s">
        <v>19</v>
      </c>
      <c r="C19" t="s">
        <v>128</v>
      </c>
      <c r="D19">
        <v>0</v>
      </c>
      <c r="E19">
        <v>1.5</v>
      </c>
      <c r="F19">
        <v>0</v>
      </c>
      <c r="G19">
        <v>38.445189999999997</v>
      </c>
      <c r="H19">
        <v>-122.807213</v>
      </c>
      <c r="I19">
        <v>197.46077529999999</v>
      </c>
      <c r="J19">
        <v>19.25</v>
      </c>
      <c r="K19">
        <v>809.36</v>
      </c>
      <c r="L19">
        <v>1.45</v>
      </c>
      <c r="M19">
        <v>0.3</v>
      </c>
      <c r="N19">
        <v>-0.85387196399999998</v>
      </c>
      <c r="O19">
        <v>879.20799999999997</v>
      </c>
      <c r="P19">
        <v>14.456250000000001</v>
      </c>
      <c r="Q19">
        <v>8.2870000000000008</v>
      </c>
      <c r="R19">
        <v>38</v>
      </c>
      <c r="S19">
        <v>4</v>
      </c>
      <c r="T19">
        <v>16.66667</v>
      </c>
      <c r="U19">
        <v>2.63158</v>
      </c>
      <c r="V19">
        <v>15.78947</v>
      </c>
      <c r="W19">
        <v>5.4054099999999998</v>
      </c>
      <c r="X19" t="s">
        <v>479</v>
      </c>
      <c r="Y19" t="s">
        <v>479</v>
      </c>
      <c r="Z19" t="s">
        <v>479</v>
      </c>
      <c r="AA19" t="s">
        <v>479</v>
      </c>
      <c r="AB19" t="s">
        <v>479</v>
      </c>
      <c r="AC19">
        <v>8.5</v>
      </c>
      <c r="AD19">
        <v>1.5</v>
      </c>
      <c r="AE19">
        <v>1.7</v>
      </c>
      <c r="AF19">
        <v>4.3</v>
      </c>
      <c r="AG19">
        <v>11.5</v>
      </c>
      <c r="AH19">
        <v>1.9</v>
      </c>
      <c r="AI19" t="s">
        <v>479</v>
      </c>
      <c r="AJ19" t="s">
        <v>479</v>
      </c>
      <c r="AK19" t="s">
        <v>479</v>
      </c>
      <c r="AL19" t="s">
        <v>479</v>
      </c>
      <c r="AM19">
        <v>6.4</v>
      </c>
      <c r="AN19">
        <v>3</v>
      </c>
      <c r="AO19">
        <v>12</v>
      </c>
      <c r="AP19">
        <v>2.9768079030000001</v>
      </c>
      <c r="AQ19">
        <v>374.53476749999999</v>
      </c>
      <c r="AR19">
        <v>41.774176330000003</v>
      </c>
      <c r="AS19">
        <v>0.51</v>
      </c>
      <c r="AT19">
        <v>2.1925130000000001E-3</v>
      </c>
    </row>
    <row r="20" spans="1:46" x14ac:dyDescent="0.25">
      <c r="A20">
        <v>20</v>
      </c>
      <c r="B20" s="3" t="s">
        <v>20</v>
      </c>
      <c r="C20" t="s">
        <v>129</v>
      </c>
      <c r="D20">
        <v>7.0000000000000007E-2</v>
      </c>
      <c r="E20">
        <v>18.5</v>
      </c>
      <c r="F20">
        <v>0.7</v>
      </c>
      <c r="G20">
        <v>35.243000000000002</v>
      </c>
      <c r="H20">
        <v>-120.681444</v>
      </c>
      <c r="I20">
        <v>107.1861361</v>
      </c>
      <c r="J20">
        <v>30.010000229999999</v>
      </c>
      <c r="K20">
        <v>804.91</v>
      </c>
      <c r="L20">
        <v>1.4</v>
      </c>
      <c r="M20">
        <v>0.23</v>
      </c>
      <c r="N20">
        <v>-0.92081875400000002</v>
      </c>
      <c r="O20">
        <v>470.95499999999998</v>
      </c>
      <c r="P20">
        <v>15.10483333</v>
      </c>
      <c r="Q20">
        <v>3.39</v>
      </c>
      <c r="R20">
        <v>31</v>
      </c>
      <c r="S20">
        <v>3</v>
      </c>
      <c r="T20">
        <v>0</v>
      </c>
      <c r="U20">
        <v>0</v>
      </c>
      <c r="V20">
        <v>12.903230000000001</v>
      </c>
      <c r="W20">
        <v>3.3333300000000001</v>
      </c>
      <c r="X20" t="s">
        <v>479</v>
      </c>
      <c r="Y20">
        <v>0.7</v>
      </c>
      <c r="Z20" t="s">
        <v>479</v>
      </c>
      <c r="AA20" t="s">
        <v>479</v>
      </c>
      <c r="AB20" t="s">
        <v>479</v>
      </c>
      <c r="AC20">
        <v>13.4</v>
      </c>
      <c r="AD20">
        <v>18.5</v>
      </c>
      <c r="AE20" t="s">
        <v>479</v>
      </c>
      <c r="AF20" t="s">
        <v>479</v>
      </c>
      <c r="AG20">
        <v>5.7</v>
      </c>
      <c r="AH20">
        <v>10.5</v>
      </c>
      <c r="AI20" t="s">
        <v>479</v>
      </c>
      <c r="AJ20" t="s">
        <v>479</v>
      </c>
      <c r="AK20" t="s">
        <v>479</v>
      </c>
      <c r="AL20" t="s">
        <v>479</v>
      </c>
      <c r="AM20" t="s">
        <v>479</v>
      </c>
      <c r="AN20">
        <v>1</v>
      </c>
      <c r="AO20">
        <v>7</v>
      </c>
      <c r="AP20">
        <v>0.74308300400000005</v>
      </c>
      <c r="AQ20">
        <v>136.26037959999999</v>
      </c>
      <c r="AR20">
        <v>108.3155596</v>
      </c>
      <c r="AS20">
        <v>1.62</v>
      </c>
      <c r="AT20">
        <v>7.2016461000000004E-2</v>
      </c>
    </row>
    <row r="21" spans="1:46" x14ac:dyDescent="0.25">
      <c r="A21">
        <v>21</v>
      </c>
      <c r="B21" s="3" t="s">
        <v>21</v>
      </c>
      <c r="C21" t="s">
        <v>130</v>
      </c>
      <c r="D21">
        <v>0.09</v>
      </c>
      <c r="E21">
        <v>19.2</v>
      </c>
      <c r="F21">
        <v>0.8</v>
      </c>
      <c r="G21">
        <v>35.492882999999999</v>
      </c>
      <c r="H21">
        <v>-120.665164</v>
      </c>
      <c r="I21">
        <v>50.005947140000004</v>
      </c>
      <c r="J21">
        <v>256.9599915</v>
      </c>
      <c r="K21">
        <v>591.91999999999996</v>
      </c>
      <c r="L21">
        <v>1.46</v>
      </c>
      <c r="M21">
        <v>0.28000000000000003</v>
      </c>
      <c r="N21">
        <v>-0.74472749500000002</v>
      </c>
      <c r="O21">
        <v>501.18799999999999</v>
      </c>
      <c r="P21">
        <v>15.26</v>
      </c>
      <c r="Q21">
        <v>4.5579999999999998</v>
      </c>
      <c r="R21">
        <v>38</v>
      </c>
      <c r="S21">
        <v>3</v>
      </c>
      <c r="T21">
        <v>40</v>
      </c>
      <c r="U21">
        <v>5.2631600000000001</v>
      </c>
      <c r="V21">
        <v>13.15789</v>
      </c>
      <c r="W21">
        <v>5.4054099999999998</v>
      </c>
      <c r="X21" t="s">
        <v>479</v>
      </c>
      <c r="Y21">
        <v>0.8</v>
      </c>
      <c r="Z21" t="s">
        <v>479</v>
      </c>
      <c r="AA21">
        <v>3.2</v>
      </c>
      <c r="AB21" t="s">
        <v>479</v>
      </c>
      <c r="AC21">
        <v>32.799999999999997</v>
      </c>
      <c r="AD21">
        <v>13.6</v>
      </c>
      <c r="AE21">
        <v>2</v>
      </c>
      <c r="AF21">
        <v>21</v>
      </c>
      <c r="AG21">
        <v>2</v>
      </c>
      <c r="AH21" t="s">
        <v>479</v>
      </c>
      <c r="AI21" t="s">
        <v>479</v>
      </c>
      <c r="AJ21" t="s">
        <v>479</v>
      </c>
      <c r="AK21" t="s">
        <v>479</v>
      </c>
      <c r="AL21" t="s">
        <v>479</v>
      </c>
      <c r="AM21" t="s">
        <v>479</v>
      </c>
      <c r="AN21">
        <v>3</v>
      </c>
      <c r="AO21">
        <v>8</v>
      </c>
      <c r="AP21">
        <v>9.0222940699999992</v>
      </c>
      <c r="AQ21">
        <v>471.7195198</v>
      </c>
      <c r="AR21">
        <v>80.179846209999994</v>
      </c>
      <c r="AS21">
        <v>1.43</v>
      </c>
      <c r="AT21">
        <v>9.5343545000000002E-2</v>
      </c>
    </row>
    <row r="22" spans="1:46" x14ac:dyDescent="0.25">
      <c r="A22">
        <v>22</v>
      </c>
      <c r="B22" s="3" t="s">
        <v>22</v>
      </c>
      <c r="C22" t="s">
        <v>131</v>
      </c>
      <c r="D22">
        <v>0</v>
      </c>
      <c r="E22">
        <v>0</v>
      </c>
      <c r="F22">
        <v>0</v>
      </c>
      <c r="G22">
        <v>36.602200000000003</v>
      </c>
      <c r="H22">
        <v>-121.430997</v>
      </c>
      <c r="I22">
        <v>58.561277330000003</v>
      </c>
      <c r="J22">
        <v>161.42999270000001</v>
      </c>
      <c r="K22">
        <v>927.8</v>
      </c>
      <c r="L22">
        <v>1.54</v>
      </c>
      <c r="M22">
        <v>0.23</v>
      </c>
      <c r="N22">
        <v>-0.76955107899999997</v>
      </c>
      <c r="O22">
        <v>361.92700000000002</v>
      </c>
      <c r="P22">
        <v>14.467166669999999</v>
      </c>
      <c r="Q22">
        <v>4.49</v>
      </c>
      <c r="R22">
        <v>38</v>
      </c>
      <c r="S22">
        <v>5</v>
      </c>
      <c r="T22">
        <v>16.66667</v>
      </c>
      <c r="U22">
        <v>5.2631600000000001</v>
      </c>
      <c r="V22">
        <v>15.78947</v>
      </c>
      <c r="W22">
        <v>19.44444</v>
      </c>
      <c r="X22" t="s">
        <v>479</v>
      </c>
      <c r="Y22" t="s">
        <v>479</v>
      </c>
      <c r="Z22" t="s">
        <v>479</v>
      </c>
      <c r="AA22" t="s">
        <v>479</v>
      </c>
      <c r="AB22" t="s">
        <v>479</v>
      </c>
      <c r="AC22" t="s">
        <v>479</v>
      </c>
      <c r="AD22" t="s">
        <v>479</v>
      </c>
      <c r="AE22" t="s">
        <v>479</v>
      </c>
      <c r="AF22" t="s">
        <v>479</v>
      </c>
      <c r="AG22" t="s">
        <v>479</v>
      </c>
      <c r="AH22" t="s">
        <v>479</v>
      </c>
      <c r="AI22" t="s">
        <v>479</v>
      </c>
      <c r="AJ22" t="s">
        <v>479</v>
      </c>
      <c r="AK22" t="s">
        <v>479</v>
      </c>
      <c r="AL22" t="s">
        <v>479</v>
      </c>
      <c r="AM22" t="s">
        <v>479</v>
      </c>
      <c r="AN22">
        <v>1</v>
      </c>
      <c r="AO22">
        <v>1</v>
      </c>
      <c r="AP22">
        <v>1.297866223</v>
      </c>
      <c r="AQ22">
        <v>28.32885564</v>
      </c>
      <c r="AR22">
        <v>12.866561600000001</v>
      </c>
      <c r="AS22">
        <v>1.58</v>
      </c>
      <c r="AT22">
        <v>1.4959700000000001E-4</v>
      </c>
    </row>
    <row r="23" spans="1:46" x14ac:dyDescent="0.25">
      <c r="A23">
        <v>23</v>
      </c>
      <c r="B23" s="3" t="s">
        <v>23</v>
      </c>
      <c r="C23" t="s">
        <v>132</v>
      </c>
      <c r="D23">
        <v>0.69</v>
      </c>
      <c r="E23">
        <v>76.599999999999994</v>
      </c>
      <c r="F23">
        <v>3.2</v>
      </c>
      <c r="G23">
        <v>36.693962999999997</v>
      </c>
      <c r="H23">
        <v>-121.627252</v>
      </c>
      <c r="I23">
        <v>107.7335465</v>
      </c>
      <c r="J23">
        <v>12.760000229999999</v>
      </c>
      <c r="K23">
        <v>938.58</v>
      </c>
      <c r="L23">
        <v>1.53</v>
      </c>
      <c r="M23">
        <v>0.24</v>
      </c>
      <c r="N23">
        <v>-0.795880017</v>
      </c>
      <c r="O23">
        <v>362.928</v>
      </c>
      <c r="P23">
        <v>14.224833329999999</v>
      </c>
      <c r="Q23">
        <v>6.2919999999999998</v>
      </c>
      <c r="R23">
        <v>14</v>
      </c>
      <c r="S23">
        <v>1</v>
      </c>
      <c r="T23">
        <v>0</v>
      </c>
      <c r="U23">
        <v>0</v>
      </c>
      <c r="V23">
        <v>0</v>
      </c>
      <c r="W23">
        <v>7.1428599999999998</v>
      </c>
      <c r="X23" t="s">
        <v>479</v>
      </c>
      <c r="Y23">
        <v>1.3</v>
      </c>
      <c r="Z23">
        <v>2.2999999999999998</v>
      </c>
      <c r="AA23" t="s">
        <v>479</v>
      </c>
      <c r="AB23">
        <v>6.2</v>
      </c>
      <c r="AC23" t="s">
        <v>479</v>
      </c>
      <c r="AD23">
        <v>20.399999999999999</v>
      </c>
      <c r="AE23">
        <v>3.6</v>
      </c>
      <c r="AF23">
        <v>43.9</v>
      </c>
      <c r="AG23">
        <v>61.5</v>
      </c>
      <c r="AH23" t="s">
        <v>479</v>
      </c>
      <c r="AI23" t="s">
        <v>479</v>
      </c>
      <c r="AJ23" t="s">
        <v>479</v>
      </c>
      <c r="AK23" t="s">
        <v>479</v>
      </c>
      <c r="AL23">
        <v>19</v>
      </c>
      <c r="AM23">
        <v>192.1</v>
      </c>
      <c r="AN23">
        <v>7</v>
      </c>
      <c r="AO23">
        <v>10</v>
      </c>
      <c r="AP23">
        <v>30.615929090000002</v>
      </c>
      <c r="AQ23">
        <v>2411.1352649999999</v>
      </c>
      <c r="AR23">
        <v>407.5696853</v>
      </c>
      <c r="AS23">
        <v>0.81</v>
      </c>
      <c r="AT23">
        <v>0.70167794299999997</v>
      </c>
    </row>
    <row r="24" spans="1:46" x14ac:dyDescent="0.25">
      <c r="A24">
        <v>24</v>
      </c>
      <c r="B24" s="3" t="s">
        <v>24</v>
      </c>
      <c r="C24" t="s">
        <v>133</v>
      </c>
      <c r="D24">
        <v>9.3800000000000008</v>
      </c>
      <c r="E24">
        <v>105.5</v>
      </c>
      <c r="F24">
        <v>27</v>
      </c>
      <c r="G24">
        <v>36.698700000000002</v>
      </c>
      <c r="H24">
        <v>-121.610722</v>
      </c>
      <c r="I24">
        <v>25.93281897</v>
      </c>
      <c r="J24">
        <v>18.629999160000001</v>
      </c>
      <c r="K24">
        <v>423.06</v>
      </c>
      <c r="L24">
        <v>1.55</v>
      </c>
      <c r="M24">
        <v>0.26</v>
      </c>
      <c r="N24">
        <v>-0.823908741</v>
      </c>
      <c r="O24">
        <v>363.34800000000001</v>
      </c>
      <c r="P24">
        <v>14.292</v>
      </c>
      <c r="Q24">
        <v>5.4950000000000001</v>
      </c>
      <c r="R24">
        <v>20</v>
      </c>
      <c r="S24">
        <v>2</v>
      </c>
      <c r="T24">
        <v>0</v>
      </c>
      <c r="U24">
        <v>0</v>
      </c>
      <c r="V24">
        <v>0</v>
      </c>
      <c r="W24">
        <v>10</v>
      </c>
      <c r="X24">
        <v>9.1999999999999993</v>
      </c>
      <c r="Y24">
        <v>14.1</v>
      </c>
      <c r="Z24">
        <v>3.4</v>
      </c>
      <c r="AA24">
        <v>26.5</v>
      </c>
      <c r="AB24">
        <v>45</v>
      </c>
      <c r="AC24">
        <v>33.4</v>
      </c>
      <c r="AD24">
        <v>30.2</v>
      </c>
      <c r="AE24">
        <v>5.7</v>
      </c>
      <c r="AF24">
        <v>53.5</v>
      </c>
      <c r="AG24">
        <v>30.3</v>
      </c>
      <c r="AH24" t="s">
        <v>479</v>
      </c>
      <c r="AI24" t="s">
        <v>479</v>
      </c>
      <c r="AJ24" t="s">
        <v>479</v>
      </c>
      <c r="AK24" t="s">
        <v>479</v>
      </c>
      <c r="AL24">
        <v>48.4</v>
      </c>
      <c r="AM24">
        <v>76.3</v>
      </c>
      <c r="AN24">
        <v>17</v>
      </c>
      <c r="AO24">
        <v>22</v>
      </c>
      <c r="AP24">
        <v>227.45466529999999</v>
      </c>
      <c r="AQ24">
        <v>26515.33064</v>
      </c>
      <c r="AR24">
        <v>424.17975819999998</v>
      </c>
      <c r="AS24">
        <v>0.46</v>
      </c>
      <c r="AT24">
        <v>15.63993688</v>
      </c>
    </row>
    <row r="25" spans="1:46" x14ac:dyDescent="0.25">
      <c r="A25">
        <v>25</v>
      </c>
      <c r="B25" s="3" t="s">
        <v>25</v>
      </c>
      <c r="C25" t="s">
        <v>134</v>
      </c>
      <c r="D25">
        <v>0</v>
      </c>
      <c r="E25">
        <v>0</v>
      </c>
      <c r="F25">
        <v>0</v>
      </c>
      <c r="G25">
        <v>36.942700000000002</v>
      </c>
      <c r="H25">
        <v>-121.44450000000001</v>
      </c>
      <c r="I25">
        <v>301.58754090000002</v>
      </c>
      <c r="J25">
        <v>47.299999239999998</v>
      </c>
      <c r="K25">
        <v>1052.1500000000001</v>
      </c>
      <c r="L25">
        <v>1.37</v>
      </c>
      <c r="M25">
        <v>0.28999999999999998</v>
      </c>
      <c r="N25">
        <v>-0.67778070499999998</v>
      </c>
      <c r="O25">
        <v>349.82600000000002</v>
      </c>
      <c r="P25">
        <v>15.15366667</v>
      </c>
      <c r="Q25">
        <v>4.9130000000000003</v>
      </c>
      <c r="R25">
        <v>19</v>
      </c>
      <c r="S25">
        <v>1</v>
      </c>
      <c r="T25">
        <v>33.333329999999997</v>
      </c>
      <c r="U25">
        <v>0</v>
      </c>
      <c r="V25">
        <v>5.2631600000000001</v>
      </c>
      <c r="W25">
        <v>0</v>
      </c>
      <c r="X25" t="s">
        <v>479</v>
      </c>
      <c r="Y25" t="s">
        <v>479</v>
      </c>
      <c r="Z25" t="s">
        <v>479</v>
      </c>
      <c r="AA25">
        <v>2.2999999999999998</v>
      </c>
      <c r="AB25" t="s">
        <v>479</v>
      </c>
      <c r="AC25">
        <v>2.9</v>
      </c>
      <c r="AD25" t="s">
        <v>479</v>
      </c>
      <c r="AE25" t="s">
        <v>479</v>
      </c>
      <c r="AF25" t="s">
        <v>479</v>
      </c>
      <c r="AG25" t="s">
        <v>479</v>
      </c>
      <c r="AH25" t="s">
        <v>479</v>
      </c>
      <c r="AI25" t="s">
        <v>479</v>
      </c>
      <c r="AJ25" t="s">
        <v>479</v>
      </c>
      <c r="AK25" t="s">
        <v>479</v>
      </c>
      <c r="AL25" t="s">
        <v>479</v>
      </c>
      <c r="AM25" t="s">
        <v>479</v>
      </c>
      <c r="AN25">
        <v>3</v>
      </c>
      <c r="AO25">
        <v>3</v>
      </c>
      <c r="AP25">
        <v>8.4244941979999997</v>
      </c>
      <c r="AQ25">
        <v>549.16755769999997</v>
      </c>
      <c r="AR25">
        <v>7.183518866</v>
      </c>
      <c r="AS25">
        <v>0.37</v>
      </c>
      <c r="AT25">
        <v>5.618151E-3</v>
      </c>
    </row>
    <row r="26" spans="1:46" x14ac:dyDescent="0.25">
      <c r="A26">
        <v>26</v>
      </c>
      <c r="B26" s="3" t="s">
        <v>26</v>
      </c>
      <c r="C26" t="s">
        <v>135</v>
      </c>
      <c r="D26">
        <v>0.37</v>
      </c>
      <c r="E26">
        <v>10.199999999999999</v>
      </c>
      <c r="F26">
        <v>7.7</v>
      </c>
      <c r="G26">
        <v>36.959817999999999</v>
      </c>
      <c r="H26">
        <v>-121.41896800000001</v>
      </c>
      <c r="I26">
        <v>395.308559</v>
      </c>
      <c r="J26">
        <v>48.380001069999999</v>
      </c>
      <c r="K26">
        <v>980.31</v>
      </c>
      <c r="L26">
        <v>1.46</v>
      </c>
      <c r="M26">
        <v>0.28999999999999998</v>
      </c>
      <c r="N26">
        <v>-0.76955107899999997</v>
      </c>
      <c r="O26">
        <v>401.66300000000001</v>
      </c>
      <c r="P26">
        <v>15.564083330000001</v>
      </c>
      <c r="Q26">
        <v>5.8449999999999998</v>
      </c>
      <c r="R26">
        <v>36</v>
      </c>
      <c r="S26">
        <v>2</v>
      </c>
      <c r="T26">
        <v>16.66667</v>
      </c>
      <c r="U26">
        <v>0</v>
      </c>
      <c r="V26">
        <v>11.11111</v>
      </c>
      <c r="W26">
        <v>0</v>
      </c>
      <c r="X26" t="s">
        <v>479</v>
      </c>
      <c r="Y26" t="s">
        <v>479</v>
      </c>
      <c r="Z26" t="s">
        <v>479</v>
      </c>
      <c r="AA26" t="s">
        <v>479</v>
      </c>
      <c r="AB26" t="s">
        <v>479</v>
      </c>
      <c r="AC26">
        <v>8.9</v>
      </c>
      <c r="AD26">
        <v>3.1</v>
      </c>
      <c r="AE26" t="s">
        <v>479</v>
      </c>
      <c r="AF26" t="s">
        <v>479</v>
      </c>
      <c r="AG26" t="s">
        <v>479</v>
      </c>
      <c r="AH26" t="s">
        <v>479</v>
      </c>
      <c r="AI26" t="s">
        <v>479</v>
      </c>
      <c r="AJ26" t="s">
        <v>479</v>
      </c>
      <c r="AK26" t="s">
        <v>479</v>
      </c>
      <c r="AL26" t="s">
        <v>479</v>
      </c>
      <c r="AM26">
        <v>37.200000000000003</v>
      </c>
      <c r="AN26">
        <v>3</v>
      </c>
      <c r="AO26">
        <v>6</v>
      </c>
      <c r="AP26">
        <v>10.83607497</v>
      </c>
      <c r="AQ26">
        <v>112.5473831</v>
      </c>
      <c r="AR26">
        <v>56.244892059999998</v>
      </c>
      <c r="AS26">
        <v>3.83</v>
      </c>
      <c r="AT26">
        <v>0.36582008100000002</v>
      </c>
    </row>
    <row r="27" spans="1:46" x14ac:dyDescent="0.25">
      <c r="A27">
        <v>27</v>
      </c>
      <c r="B27" s="3" t="s">
        <v>27</v>
      </c>
      <c r="C27" t="s">
        <v>136</v>
      </c>
      <c r="D27">
        <v>0</v>
      </c>
      <c r="E27">
        <v>5.7</v>
      </c>
      <c r="F27">
        <v>0</v>
      </c>
      <c r="G27">
        <v>36.998533000000002</v>
      </c>
      <c r="H27">
        <v>-121.584958</v>
      </c>
      <c r="I27">
        <v>178.62274980000001</v>
      </c>
      <c r="J27">
        <v>61.400001529999997</v>
      </c>
      <c r="K27">
        <v>1113.6500000000001</v>
      </c>
      <c r="L27">
        <v>1.45</v>
      </c>
      <c r="M27">
        <v>0.28999999999999998</v>
      </c>
      <c r="N27">
        <v>-0.72124639899999998</v>
      </c>
      <c r="O27">
        <v>499.84899999999999</v>
      </c>
      <c r="P27">
        <v>15.93375</v>
      </c>
      <c r="Q27">
        <v>7.9790000000000001</v>
      </c>
      <c r="R27">
        <v>43</v>
      </c>
      <c r="S27">
        <v>1</v>
      </c>
      <c r="T27">
        <v>37.5</v>
      </c>
      <c r="U27">
        <v>2.32558</v>
      </c>
      <c r="V27">
        <v>25.581399999999999</v>
      </c>
      <c r="W27">
        <v>14.28571</v>
      </c>
      <c r="X27" t="s">
        <v>479</v>
      </c>
      <c r="Y27" t="s">
        <v>479</v>
      </c>
      <c r="Z27" t="s">
        <v>479</v>
      </c>
      <c r="AA27" t="s">
        <v>479</v>
      </c>
      <c r="AB27" t="s">
        <v>479</v>
      </c>
      <c r="AC27">
        <v>6</v>
      </c>
      <c r="AD27">
        <v>0.9</v>
      </c>
      <c r="AE27" t="s">
        <v>479</v>
      </c>
      <c r="AF27">
        <v>7.6</v>
      </c>
      <c r="AG27" t="s">
        <v>479</v>
      </c>
      <c r="AH27" t="s">
        <v>479</v>
      </c>
      <c r="AI27" t="s">
        <v>479</v>
      </c>
      <c r="AJ27" t="s">
        <v>479</v>
      </c>
      <c r="AK27" t="s">
        <v>479</v>
      </c>
      <c r="AL27" t="s">
        <v>479</v>
      </c>
      <c r="AM27">
        <v>57.4</v>
      </c>
      <c r="AN27">
        <v>2</v>
      </c>
      <c r="AO27">
        <v>7</v>
      </c>
      <c r="AP27">
        <v>5.5725298590000003</v>
      </c>
      <c r="AQ27">
        <v>551.67954640000005</v>
      </c>
      <c r="AR27">
        <v>76.638318429999998</v>
      </c>
      <c r="AS27">
        <v>0.89</v>
      </c>
      <c r="AT27">
        <v>2.5893769999999999E-3</v>
      </c>
    </row>
    <row r="28" spans="1:46" x14ac:dyDescent="0.25">
      <c r="A28">
        <v>28</v>
      </c>
      <c r="B28" s="3" t="s">
        <v>28</v>
      </c>
      <c r="C28" t="s">
        <v>137</v>
      </c>
      <c r="D28">
        <v>0</v>
      </c>
      <c r="E28">
        <v>0</v>
      </c>
      <c r="F28">
        <v>0</v>
      </c>
      <c r="G28">
        <v>37.264938999999998</v>
      </c>
      <c r="H28">
        <v>-121.794658</v>
      </c>
      <c r="I28">
        <v>594.39026650000005</v>
      </c>
      <c r="J28">
        <v>58.799999239999998</v>
      </c>
      <c r="K28">
        <v>1067.71</v>
      </c>
      <c r="L28">
        <v>1.45</v>
      </c>
      <c r="M28">
        <v>0.28999999999999998</v>
      </c>
      <c r="N28">
        <v>-0.76955107899999997</v>
      </c>
      <c r="O28">
        <v>461.49700000000001</v>
      </c>
      <c r="P28">
        <v>15.859666669999999</v>
      </c>
      <c r="Q28">
        <v>7.7770000000000001</v>
      </c>
      <c r="R28">
        <v>30</v>
      </c>
      <c r="S28">
        <v>2</v>
      </c>
      <c r="T28">
        <v>0</v>
      </c>
      <c r="U28">
        <v>0</v>
      </c>
      <c r="V28">
        <v>23.33333</v>
      </c>
      <c r="W28">
        <v>3.44828</v>
      </c>
      <c r="X28" t="s">
        <v>479</v>
      </c>
      <c r="Y28" t="s">
        <v>479</v>
      </c>
      <c r="Z28" t="s">
        <v>479</v>
      </c>
      <c r="AA28" t="s">
        <v>479</v>
      </c>
      <c r="AB28" t="s">
        <v>479</v>
      </c>
      <c r="AC28">
        <v>25.5</v>
      </c>
      <c r="AD28" t="s">
        <v>479</v>
      </c>
      <c r="AE28" t="s">
        <v>479</v>
      </c>
      <c r="AF28">
        <v>3.9</v>
      </c>
      <c r="AG28" t="s">
        <v>479</v>
      </c>
      <c r="AH28" t="s">
        <v>479</v>
      </c>
      <c r="AI28" t="s">
        <v>479</v>
      </c>
      <c r="AJ28" t="s">
        <v>479</v>
      </c>
      <c r="AK28" t="s">
        <v>479</v>
      </c>
      <c r="AL28">
        <v>18.2</v>
      </c>
      <c r="AM28">
        <v>37</v>
      </c>
      <c r="AN28">
        <v>4</v>
      </c>
      <c r="AO28">
        <v>8</v>
      </c>
      <c r="AP28">
        <v>23.31054937</v>
      </c>
      <c r="AQ28">
        <v>639.64895379999996</v>
      </c>
      <c r="AR28">
        <v>80.940994869999997</v>
      </c>
      <c r="AS28">
        <v>1.83</v>
      </c>
      <c r="AT28">
        <v>2.5239692000000001E-2</v>
      </c>
    </row>
    <row r="29" spans="1:46" x14ac:dyDescent="0.25">
      <c r="A29">
        <v>29</v>
      </c>
      <c r="B29" s="3" t="s">
        <v>29</v>
      </c>
      <c r="C29" t="s">
        <v>138</v>
      </c>
      <c r="D29">
        <v>0</v>
      </c>
      <c r="E29">
        <v>0</v>
      </c>
      <c r="F29">
        <v>0</v>
      </c>
      <c r="G29">
        <v>37.272252000000002</v>
      </c>
      <c r="H29">
        <v>-122.016288</v>
      </c>
      <c r="I29">
        <v>26.19029222</v>
      </c>
      <c r="J29">
        <v>105.6600037</v>
      </c>
      <c r="K29">
        <v>911.89</v>
      </c>
      <c r="L29">
        <v>1.4</v>
      </c>
      <c r="M29">
        <v>0.23</v>
      </c>
      <c r="N29">
        <v>-0.85387196399999998</v>
      </c>
      <c r="O29">
        <v>531.59</v>
      </c>
      <c r="P29">
        <v>15.352499999999999</v>
      </c>
      <c r="Q29">
        <v>9.1010000000000009</v>
      </c>
      <c r="R29">
        <v>29</v>
      </c>
      <c r="S29">
        <v>3</v>
      </c>
      <c r="T29">
        <v>25</v>
      </c>
      <c r="U29">
        <v>6.8965500000000004</v>
      </c>
      <c r="V29">
        <v>31.034479999999999</v>
      </c>
      <c r="W29">
        <v>25.925930000000001</v>
      </c>
      <c r="X29" t="s">
        <v>479</v>
      </c>
      <c r="Y29" t="s">
        <v>479</v>
      </c>
      <c r="Z29" t="s">
        <v>479</v>
      </c>
      <c r="AA29" t="s">
        <v>479</v>
      </c>
      <c r="AB29" t="s">
        <v>479</v>
      </c>
      <c r="AC29" t="s">
        <v>479</v>
      </c>
      <c r="AD29" t="s">
        <v>479</v>
      </c>
      <c r="AE29" t="s">
        <v>479</v>
      </c>
      <c r="AF29" t="s">
        <v>479</v>
      </c>
      <c r="AG29" t="s">
        <v>479</v>
      </c>
      <c r="AH29" t="s">
        <v>479</v>
      </c>
      <c r="AI29" t="s">
        <v>479</v>
      </c>
      <c r="AJ29" t="s">
        <v>479</v>
      </c>
      <c r="AK29" t="s">
        <v>479</v>
      </c>
      <c r="AL29" t="s">
        <v>479</v>
      </c>
      <c r="AM29" t="s">
        <v>479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0.49</v>
      </c>
      <c r="AT29" t="s">
        <v>479</v>
      </c>
    </row>
    <row r="30" spans="1:46" x14ac:dyDescent="0.25">
      <c r="A30">
        <v>30</v>
      </c>
      <c r="B30" s="3" t="s">
        <v>30</v>
      </c>
      <c r="C30" t="s">
        <v>139</v>
      </c>
      <c r="D30">
        <v>0.2</v>
      </c>
      <c r="E30">
        <v>16.399999999999999</v>
      </c>
      <c r="F30">
        <v>1.2</v>
      </c>
      <c r="G30">
        <v>37.293900000000001</v>
      </c>
      <c r="H30">
        <v>-121.93300000000001</v>
      </c>
      <c r="I30">
        <v>119.1174333</v>
      </c>
      <c r="J30">
        <v>52.650001529999997</v>
      </c>
      <c r="K30">
        <v>1118.73</v>
      </c>
      <c r="L30">
        <v>1.43</v>
      </c>
      <c r="M30">
        <v>0.27</v>
      </c>
      <c r="N30">
        <v>-0.76955107899999997</v>
      </c>
      <c r="O30">
        <v>423.74799999999999</v>
      </c>
      <c r="P30">
        <v>15.690250000000001</v>
      </c>
      <c r="Q30">
        <v>9.2449999999999992</v>
      </c>
      <c r="R30">
        <v>22</v>
      </c>
      <c r="S30">
        <v>1</v>
      </c>
      <c r="T30">
        <v>33.333329999999997</v>
      </c>
      <c r="U30">
        <v>0</v>
      </c>
      <c r="V30">
        <v>9.0909099999999992</v>
      </c>
      <c r="W30">
        <v>0</v>
      </c>
      <c r="X30">
        <v>2.2999999999999998</v>
      </c>
      <c r="Y30">
        <v>1.2</v>
      </c>
      <c r="Z30" t="s">
        <v>479</v>
      </c>
      <c r="AA30" t="s">
        <v>479</v>
      </c>
      <c r="AB30" t="s">
        <v>479</v>
      </c>
      <c r="AC30">
        <v>22.3</v>
      </c>
      <c r="AD30">
        <v>16.399999999999999</v>
      </c>
      <c r="AE30" t="s">
        <v>479</v>
      </c>
      <c r="AF30" t="s">
        <v>479</v>
      </c>
      <c r="AG30" t="s">
        <v>479</v>
      </c>
      <c r="AH30" t="s">
        <v>479</v>
      </c>
      <c r="AI30" t="s">
        <v>479</v>
      </c>
      <c r="AJ30" t="s">
        <v>479</v>
      </c>
      <c r="AK30" t="s">
        <v>479</v>
      </c>
      <c r="AL30">
        <v>8.8000000000000007</v>
      </c>
      <c r="AM30">
        <v>51.2</v>
      </c>
      <c r="AN30">
        <v>5</v>
      </c>
      <c r="AO30">
        <v>5</v>
      </c>
      <c r="AP30">
        <v>12.31918441</v>
      </c>
      <c r="AQ30">
        <v>705.42976910000004</v>
      </c>
      <c r="AR30">
        <v>89.802879809999993</v>
      </c>
      <c r="AS30">
        <v>1.02</v>
      </c>
      <c r="AT30">
        <v>0.19908786000000001</v>
      </c>
    </row>
    <row r="31" spans="1:46" x14ac:dyDescent="0.25">
      <c r="A31">
        <v>31</v>
      </c>
      <c r="B31" s="3" t="s">
        <v>31</v>
      </c>
      <c r="C31" t="s">
        <v>140</v>
      </c>
      <c r="D31">
        <v>0.05</v>
      </c>
      <c r="E31">
        <v>7.4</v>
      </c>
      <c r="F31">
        <v>0.7</v>
      </c>
      <c r="G31">
        <v>37.416800000000002</v>
      </c>
      <c r="H31">
        <v>-122.13659199999999</v>
      </c>
      <c r="I31">
        <v>16.14904932</v>
      </c>
      <c r="J31">
        <v>14.40999985</v>
      </c>
      <c r="K31">
        <v>287.81</v>
      </c>
      <c r="L31">
        <v>1.39</v>
      </c>
      <c r="M31">
        <v>0.32</v>
      </c>
      <c r="N31">
        <v>-0.823908741</v>
      </c>
      <c r="O31">
        <v>431.18799999999999</v>
      </c>
      <c r="P31">
        <v>15.163</v>
      </c>
      <c r="Q31">
        <v>5.4450000000000003</v>
      </c>
      <c r="R31">
        <v>22</v>
      </c>
      <c r="S31">
        <v>2</v>
      </c>
      <c r="T31">
        <v>0</v>
      </c>
      <c r="U31">
        <v>0</v>
      </c>
      <c r="V31">
        <v>9.0909099999999992</v>
      </c>
      <c r="W31">
        <v>4.5454499999999998</v>
      </c>
      <c r="X31" t="s">
        <v>479</v>
      </c>
      <c r="Y31">
        <v>0.7</v>
      </c>
      <c r="Z31" t="s">
        <v>479</v>
      </c>
      <c r="AA31" t="s">
        <v>479</v>
      </c>
      <c r="AB31" t="s">
        <v>479</v>
      </c>
      <c r="AC31" t="s">
        <v>479</v>
      </c>
      <c r="AD31">
        <v>7.4</v>
      </c>
      <c r="AE31">
        <v>5.0999999999999996</v>
      </c>
      <c r="AF31" t="s">
        <v>479</v>
      </c>
      <c r="AG31" t="s">
        <v>479</v>
      </c>
      <c r="AH31" t="s">
        <v>479</v>
      </c>
      <c r="AI31" t="s">
        <v>479</v>
      </c>
      <c r="AJ31">
        <v>4.4000000000000004</v>
      </c>
      <c r="AK31">
        <v>2.2999999999999998</v>
      </c>
      <c r="AL31">
        <v>10</v>
      </c>
      <c r="AM31">
        <v>37.6</v>
      </c>
      <c r="AN31">
        <v>5</v>
      </c>
      <c r="AO31">
        <v>6</v>
      </c>
      <c r="AP31">
        <v>15.0602105</v>
      </c>
      <c r="AQ31">
        <v>514.06364380000002</v>
      </c>
      <c r="AR31">
        <v>52.336494790000003</v>
      </c>
      <c r="AS31">
        <v>2.37</v>
      </c>
      <c r="AT31">
        <v>5.0756707999999998E-2</v>
      </c>
    </row>
    <row r="32" spans="1:46" x14ac:dyDescent="0.25">
      <c r="A32">
        <v>32</v>
      </c>
      <c r="B32" s="3" t="s">
        <v>32</v>
      </c>
      <c r="C32" t="s">
        <v>141</v>
      </c>
      <c r="D32">
        <v>0</v>
      </c>
      <c r="E32">
        <v>0</v>
      </c>
      <c r="F32">
        <v>0</v>
      </c>
      <c r="G32">
        <v>37.785680999999997</v>
      </c>
      <c r="H32">
        <v>-122.224339</v>
      </c>
      <c r="I32">
        <v>10.19989797</v>
      </c>
      <c r="J32">
        <v>22.590000150000002</v>
      </c>
      <c r="K32">
        <v>456.84</v>
      </c>
      <c r="L32">
        <v>1.47</v>
      </c>
      <c r="M32">
        <v>0.32</v>
      </c>
      <c r="N32">
        <v>-0.92081875400000002</v>
      </c>
      <c r="O32">
        <v>619.02700000000004</v>
      </c>
      <c r="P32">
        <v>14.69608333</v>
      </c>
      <c r="Q32">
        <v>7.8879999999999999</v>
      </c>
      <c r="R32">
        <v>30</v>
      </c>
      <c r="S32">
        <v>4</v>
      </c>
      <c r="T32">
        <v>0</v>
      </c>
      <c r="U32">
        <v>10</v>
      </c>
      <c r="V32">
        <v>10</v>
      </c>
      <c r="W32">
        <v>14.28571</v>
      </c>
      <c r="X32" t="s">
        <v>479</v>
      </c>
      <c r="Y32" t="s">
        <v>479</v>
      </c>
      <c r="Z32" t="s">
        <v>479</v>
      </c>
      <c r="AA32" t="s">
        <v>479</v>
      </c>
      <c r="AB32" t="s">
        <v>479</v>
      </c>
      <c r="AC32" t="s">
        <v>479</v>
      </c>
      <c r="AD32" t="s">
        <v>479</v>
      </c>
      <c r="AE32" t="s">
        <v>479</v>
      </c>
      <c r="AF32" t="s">
        <v>479</v>
      </c>
      <c r="AG32" t="s">
        <v>479</v>
      </c>
      <c r="AH32" t="s">
        <v>479</v>
      </c>
      <c r="AI32" t="s">
        <v>479</v>
      </c>
      <c r="AJ32" t="s">
        <v>479</v>
      </c>
      <c r="AK32" t="s">
        <v>479</v>
      </c>
      <c r="AL32">
        <v>16.600000000000001</v>
      </c>
      <c r="AM32">
        <v>812.8</v>
      </c>
      <c r="AN32">
        <v>4</v>
      </c>
      <c r="AO32">
        <v>4</v>
      </c>
      <c r="AP32">
        <v>16.532319879999999</v>
      </c>
      <c r="AQ32">
        <v>3859.4532720000002</v>
      </c>
      <c r="AR32">
        <v>812.83369359999995</v>
      </c>
      <c r="AS32">
        <v>0.43</v>
      </c>
      <c r="AT32">
        <v>1.6041225999999999E-2</v>
      </c>
    </row>
    <row r="33" spans="1:46" x14ac:dyDescent="0.25">
      <c r="A33">
        <v>33</v>
      </c>
      <c r="B33" s="3" t="s">
        <v>33</v>
      </c>
      <c r="C33" t="s">
        <v>142</v>
      </c>
      <c r="D33">
        <v>0.47</v>
      </c>
      <c r="E33">
        <v>7</v>
      </c>
      <c r="F33">
        <v>3.2</v>
      </c>
      <c r="G33">
        <v>37.825710999999998</v>
      </c>
      <c r="H33">
        <v>-122.003539</v>
      </c>
      <c r="I33">
        <v>87.536314689999998</v>
      </c>
      <c r="J33">
        <v>98.019996640000002</v>
      </c>
      <c r="K33">
        <v>530.98</v>
      </c>
      <c r="L33">
        <v>1.41</v>
      </c>
      <c r="M33">
        <v>0.28999999999999998</v>
      </c>
      <c r="N33">
        <v>-0.92081875400000002</v>
      </c>
      <c r="O33">
        <v>519.46600000000001</v>
      </c>
      <c r="P33">
        <v>15.052416669999999</v>
      </c>
      <c r="Q33">
        <v>5.609</v>
      </c>
      <c r="R33">
        <v>28</v>
      </c>
      <c r="S33">
        <v>2</v>
      </c>
      <c r="T33">
        <v>0</v>
      </c>
      <c r="U33">
        <v>0</v>
      </c>
      <c r="V33">
        <v>10.71429</v>
      </c>
      <c r="W33">
        <v>0</v>
      </c>
      <c r="X33" t="s">
        <v>479</v>
      </c>
      <c r="Y33">
        <v>3.2</v>
      </c>
      <c r="Z33">
        <v>3.5</v>
      </c>
      <c r="AA33" t="s">
        <v>479</v>
      </c>
      <c r="AB33" t="s">
        <v>479</v>
      </c>
      <c r="AC33">
        <v>10.8</v>
      </c>
      <c r="AD33">
        <v>7</v>
      </c>
      <c r="AE33">
        <v>8.5</v>
      </c>
      <c r="AF33" t="s">
        <v>479</v>
      </c>
      <c r="AG33" t="s">
        <v>479</v>
      </c>
      <c r="AH33" t="s">
        <v>479</v>
      </c>
      <c r="AI33" t="s">
        <v>479</v>
      </c>
      <c r="AJ33">
        <v>6.1</v>
      </c>
      <c r="AK33">
        <v>5.5</v>
      </c>
      <c r="AL33" t="s">
        <v>479</v>
      </c>
      <c r="AM33" t="s">
        <v>479</v>
      </c>
      <c r="AN33">
        <v>5</v>
      </c>
      <c r="AO33">
        <v>5</v>
      </c>
      <c r="AP33">
        <v>16.865316679999999</v>
      </c>
      <c r="AQ33">
        <v>1383.806558</v>
      </c>
      <c r="AR33">
        <v>31.836229750000001</v>
      </c>
      <c r="AS33">
        <v>1.1399999999999999</v>
      </c>
      <c r="AT33">
        <v>0.46950871500000002</v>
      </c>
    </row>
    <row r="34" spans="1:46" x14ac:dyDescent="0.25">
      <c r="A34">
        <v>34</v>
      </c>
      <c r="B34" s="3" t="s">
        <v>34</v>
      </c>
      <c r="C34" t="s">
        <v>143</v>
      </c>
      <c r="D34">
        <v>0.45</v>
      </c>
      <c r="E34">
        <v>6.6</v>
      </c>
      <c r="F34">
        <v>0.6</v>
      </c>
      <c r="G34">
        <v>37.864508000000001</v>
      </c>
      <c r="H34">
        <v>-122.17230600000001</v>
      </c>
      <c r="I34">
        <v>4.4279428919999999</v>
      </c>
      <c r="J34">
        <v>163.5599976</v>
      </c>
      <c r="K34">
        <v>434</v>
      </c>
      <c r="L34">
        <v>1.47</v>
      </c>
      <c r="M34">
        <v>0.31</v>
      </c>
      <c r="N34">
        <v>-0.795880017</v>
      </c>
      <c r="O34">
        <v>670.69399999999996</v>
      </c>
      <c r="P34">
        <v>14.492333329999999</v>
      </c>
      <c r="Q34">
        <v>8.1720000000000006</v>
      </c>
      <c r="R34">
        <v>29</v>
      </c>
      <c r="S34">
        <v>4</v>
      </c>
      <c r="T34">
        <v>20</v>
      </c>
      <c r="U34">
        <v>6.8965500000000004</v>
      </c>
      <c r="V34">
        <v>6.8965500000000004</v>
      </c>
      <c r="W34">
        <v>7.1428599999999998</v>
      </c>
      <c r="X34" t="s">
        <v>479</v>
      </c>
      <c r="Y34">
        <v>0.6</v>
      </c>
      <c r="Z34" t="s">
        <v>479</v>
      </c>
      <c r="AA34" t="s">
        <v>479</v>
      </c>
      <c r="AB34" t="s">
        <v>479</v>
      </c>
      <c r="AC34" t="s">
        <v>479</v>
      </c>
      <c r="AD34">
        <v>6.6</v>
      </c>
      <c r="AE34">
        <v>5.9</v>
      </c>
      <c r="AF34" t="s">
        <v>479</v>
      </c>
      <c r="AG34" t="s">
        <v>479</v>
      </c>
      <c r="AH34" t="s">
        <v>479</v>
      </c>
      <c r="AI34" t="s">
        <v>479</v>
      </c>
      <c r="AJ34" t="s">
        <v>479</v>
      </c>
      <c r="AK34" t="s">
        <v>479</v>
      </c>
      <c r="AL34">
        <v>6.4</v>
      </c>
      <c r="AM34">
        <v>21.6</v>
      </c>
      <c r="AN34">
        <v>4</v>
      </c>
      <c r="AO34">
        <v>6</v>
      </c>
      <c r="AP34">
        <v>7.0186014730000004</v>
      </c>
      <c r="AQ34">
        <v>2294.2955630000001</v>
      </c>
      <c r="AR34">
        <v>34.123626080000001</v>
      </c>
      <c r="AS34">
        <v>0.22</v>
      </c>
      <c r="AT34">
        <v>0.46552341600000002</v>
      </c>
    </row>
    <row r="35" spans="1:46" x14ac:dyDescent="0.25">
      <c r="A35">
        <v>35</v>
      </c>
      <c r="B35" s="3" t="s">
        <v>35</v>
      </c>
      <c r="C35" t="s">
        <v>854</v>
      </c>
      <c r="D35">
        <v>0</v>
      </c>
      <c r="E35">
        <v>0</v>
      </c>
      <c r="F35">
        <v>0</v>
      </c>
      <c r="G35">
        <v>37.879640000000002</v>
      </c>
      <c r="H35">
        <v>-122.10079</v>
      </c>
      <c r="I35">
        <v>20.188084329999999</v>
      </c>
      <c r="J35">
        <v>104.0400009</v>
      </c>
      <c r="K35">
        <v>526.70000000000005</v>
      </c>
      <c r="L35">
        <v>1.45</v>
      </c>
      <c r="M35">
        <v>0.31</v>
      </c>
      <c r="N35">
        <v>-0.92081875400000002</v>
      </c>
      <c r="O35">
        <v>609.22799999999995</v>
      </c>
      <c r="P35">
        <v>14.860749999999999</v>
      </c>
      <c r="Q35">
        <v>6.0919999999999996</v>
      </c>
      <c r="R35">
        <v>28</v>
      </c>
      <c r="S35">
        <v>4</v>
      </c>
      <c r="T35">
        <v>0</v>
      </c>
      <c r="U35">
        <v>7.1428599999999998</v>
      </c>
      <c r="V35">
        <v>10.71429</v>
      </c>
      <c r="W35">
        <v>7.4074099999999996</v>
      </c>
      <c r="X35" t="s">
        <v>479</v>
      </c>
      <c r="Y35" t="s">
        <v>479</v>
      </c>
      <c r="Z35" t="s">
        <v>479</v>
      </c>
      <c r="AA35" t="s">
        <v>479</v>
      </c>
      <c r="AB35" t="s">
        <v>479</v>
      </c>
      <c r="AC35" t="s">
        <v>479</v>
      </c>
      <c r="AD35" t="s">
        <v>479</v>
      </c>
      <c r="AE35" t="s">
        <v>479</v>
      </c>
      <c r="AF35" t="s">
        <v>479</v>
      </c>
      <c r="AG35" t="s">
        <v>479</v>
      </c>
      <c r="AH35" t="s">
        <v>479</v>
      </c>
      <c r="AI35" t="s">
        <v>479</v>
      </c>
      <c r="AJ35" t="s">
        <v>479</v>
      </c>
      <c r="AK35" t="s">
        <v>479</v>
      </c>
      <c r="AL35" t="s">
        <v>479</v>
      </c>
      <c r="AM35" t="s">
        <v>479</v>
      </c>
      <c r="AN35">
        <v>2</v>
      </c>
      <c r="AO35">
        <v>1</v>
      </c>
      <c r="AP35">
        <v>2.7988318300000001</v>
      </c>
      <c r="AQ35">
        <v>225.7884794</v>
      </c>
      <c r="AR35">
        <v>0</v>
      </c>
      <c r="AS35">
        <v>0.69</v>
      </c>
      <c r="AT35">
        <v>1.4295130000000001E-3</v>
      </c>
    </row>
    <row r="36" spans="1:46" x14ac:dyDescent="0.25">
      <c r="A36">
        <v>36</v>
      </c>
      <c r="B36" s="3" t="s">
        <v>36</v>
      </c>
      <c r="C36" t="s">
        <v>145</v>
      </c>
      <c r="D36">
        <v>0.5</v>
      </c>
      <c r="E36">
        <v>20.3</v>
      </c>
      <c r="F36">
        <v>0.6</v>
      </c>
      <c r="G36">
        <v>37.886552999999999</v>
      </c>
      <c r="H36">
        <v>-122.193119</v>
      </c>
      <c r="I36">
        <v>20.874921449999999</v>
      </c>
      <c r="J36">
        <v>122.8399963</v>
      </c>
      <c r="K36">
        <v>434</v>
      </c>
      <c r="L36">
        <v>1.47</v>
      </c>
      <c r="M36">
        <v>0.31</v>
      </c>
      <c r="N36">
        <v>-0.795880017</v>
      </c>
      <c r="O36">
        <v>670.69399999999996</v>
      </c>
      <c r="P36">
        <v>14.492333329999999</v>
      </c>
      <c r="Q36">
        <v>8.1720000000000006</v>
      </c>
      <c r="R36">
        <v>28</v>
      </c>
      <c r="S36">
        <v>6</v>
      </c>
      <c r="T36">
        <v>0</v>
      </c>
      <c r="U36">
        <v>0</v>
      </c>
      <c r="V36">
        <v>25</v>
      </c>
      <c r="W36">
        <v>11.11111</v>
      </c>
      <c r="X36" t="s">
        <v>479</v>
      </c>
      <c r="Y36">
        <v>0.6</v>
      </c>
      <c r="Z36" t="s">
        <v>479</v>
      </c>
      <c r="AA36" t="s">
        <v>479</v>
      </c>
      <c r="AB36" t="s">
        <v>479</v>
      </c>
      <c r="AC36" t="s">
        <v>479</v>
      </c>
      <c r="AD36">
        <v>20.3</v>
      </c>
      <c r="AE36" t="s">
        <v>479</v>
      </c>
      <c r="AF36" t="s">
        <v>479</v>
      </c>
      <c r="AG36" t="s">
        <v>479</v>
      </c>
      <c r="AH36" t="s">
        <v>479</v>
      </c>
      <c r="AI36">
        <v>2.1</v>
      </c>
      <c r="AJ36">
        <v>3.7</v>
      </c>
      <c r="AK36" t="s">
        <v>479</v>
      </c>
      <c r="AL36" t="s">
        <v>479</v>
      </c>
      <c r="AM36" t="s">
        <v>479</v>
      </c>
      <c r="AN36">
        <v>5</v>
      </c>
      <c r="AO36">
        <v>2</v>
      </c>
      <c r="AP36">
        <v>8.8231112350000007</v>
      </c>
      <c r="AQ36">
        <v>14263.279699999999</v>
      </c>
      <c r="AR36">
        <v>20.32975716</v>
      </c>
      <c r="AS36">
        <v>0.04</v>
      </c>
      <c r="AT36">
        <v>2.5551301880000001</v>
      </c>
    </row>
    <row r="37" spans="1:46" x14ac:dyDescent="0.25">
      <c r="A37">
        <v>41</v>
      </c>
      <c r="B37" s="3" t="s">
        <v>41</v>
      </c>
      <c r="C37" t="s">
        <v>150</v>
      </c>
      <c r="D37">
        <v>0.14000000000000001</v>
      </c>
      <c r="E37">
        <v>6.9</v>
      </c>
      <c r="F37">
        <v>0.9</v>
      </c>
      <c r="G37">
        <v>38.069496999999998</v>
      </c>
      <c r="H37">
        <v>-122.531997</v>
      </c>
      <c r="I37">
        <v>14.05034786</v>
      </c>
      <c r="J37">
        <v>4.8200001720000003</v>
      </c>
      <c r="K37">
        <v>570.28</v>
      </c>
      <c r="L37">
        <v>1.46</v>
      </c>
      <c r="M37">
        <v>0.27</v>
      </c>
      <c r="N37">
        <v>-0.88605664799999995</v>
      </c>
      <c r="O37">
        <v>750.18100000000004</v>
      </c>
      <c r="P37">
        <v>15.074</v>
      </c>
      <c r="Q37">
        <v>6.6509999999999998</v>
      </c>
      <c r="R37">
        <v>30</v>
      </c>
      <c r="S37">
        <v>2</v>
      </c>
      <c r="T37">
        <v>20</v>
      </c>
      <c r="U37">
        <v>0</v>
      </c>
      <c r="V37">
        <v>6.6666699999999999</v>
      </c>
      <c r="W37">
        <v>3.3333300000000001</v>
      </c>
      <c r="X37" t="s">
        <v>479</v>
      </c>
      <c r="Y37">
        <v>0.9</v>
      </c>
      <c r="Z37">
        <v>1.5</v>
      </c>
      <c r="AA37" t="s">
        <v>479</v>
      </c>
      <c r="AB37" t="s">
        <v>479</v>
      </c>
      <c r="AC37">
        <v>3.2</v>
      </c>
      <c r="AD37">
        <v>5.5</v>
      </c>
      <c r="AE37">
        <v>3.9</v>
      </c>
      <c r="AF37" t="s">
        <v>479</v>
      </c>
      <c r="AG37" t="s">
        <v>479</v>
      </c>
      <c r="AH37">
        <v>5.5</v>
      </c>
      <c r="AI37" t="s">
        <v>479</v>
      </c>
      <c r="AJ37" t="s">
        <v>479</v>
      </c>
      <c r="AK37">
        <v>1.9</v>
      </c>
      <c r="AL37" t="s">
        <v>479</v>
      </c>
      <c r="AM37">
        <v>11.2</v>
      </c>
      <c r="AN37">
        <v>5</v>
      </c>
      <c r="AO37">
        <v>13</v>
      </c>
      <c r="AP37">
        <v>4.318278093</v>
      </c>
      <c r="AQ37">
        <v>329.6036307</v>
      </c>
      <c r="AR37">
        <v>46.519645079999997</v>
      </c>
      <c r="AS37">
        <v>1.1100000000000001</v>
      </c>
      <c r="AT37">
        <v>0.135752603</v>
      </c>
    </row>
    <row r="38" spans="1:46" x14ac:dyDescent="0.25">
      <c r="A38">
        <v>42</v>
      </c>
      <c r="B38" s="3" t="s">
        <v>42</v>
      </c>
      <c r="C38" t="s">
        <v>151</v>
      </c>
      <c r="D38">
        <v>0</v>
      </c>
      <c r="E38">
        <v>0</v>
      </c>
      <c r="F38">
        <v>0</v>
      </c>
      <c r="G38">
        <v>38.244796999999998</v>
      </c>
      <c r="H38">
        <v>-122.111997</v>
      </c>
      <c r="I38">
        <v>125.4867388</v>
      </c>
      <c r="J38">
        <v>13.210000040000001</v>
      </c>
      <c r="K38">
        <v>856.04</v>
      </c>
      <c r="L38">
        <v>1.4</v>
      </c>
      <c r="M38">
        <v>0.33</v>
      </c>
      <c r="N38">
        <v>-0.823908741</v>
      </c>
      <c r="O38">
        <v>582.31899999999996</v>
      </c>
      <c r="P38">
        <v>16.118749999999999</v>
      </c>
      <c r="Q38">
        <v>6.2629999999999999</v>
      </c>
      <c r="R38">
        <v>34</v>
      </c>
      <c r="S38">
        <v>3</v>
      </c>
      <c r="T38">
        <v>0</v>
      </c>
      <c r="U38">
        <v>2.9411800000000001</v>
      </c>
      <c r="V38">
        <v>26.470590000000001</v>
      </c>
      <c r="W38">
        <v>12.12121</v>
      </c>
      <c r="X38" t="s">
        <v>479</v>
      </c>
      <c r="Y38" t="s">
        <v>479</v>
      </c>
      <c r="Z38" t="s">
        <v>479</v>
      </c>
      <c r="AA38" t="s">
        <v>479</v>
      </c>
      <c r="AB38" t="s">
        <v>479</v>
      </c>
      <c r="AC38">
        <v>9</v>
      </c>
      <c r="AD38" t="s">
        <v>479</v>
      </c>
      <c r="AE38" t="s">
        <v>479</v>
      </c>
      <c r="AF38" t="s">
        <v>479</v>
      </c>
      <c r="AG38">
        <v>5</v>
      </c>
      <c r="AH38" t="s">
        <v>479</v>
      </c>
      <c r="AI38" t="s">
        <v>479</v>
      </c>
      <c r="AJ38" t="s">
        <v>479</v>
      </c>
      <c r="AK38" t="s">
        <v>479</v>
      </c>
      <c r="AL38" t="s">
        <v>479</v>
      </c>
      <c r="AM38" t="s">
        <v>479</v>
      </c>
      <c r="AN38">
        <v>4</v>
      </c>
      <c r="AO38">
        <v>5</v>
      </c>
      <c r="AP38">
        <v>2.9867789560000002</v>
      </c>
      <c r="AQ38">
        <v>1652.256376</v>
      </c>
      <c r="AR38">
        <v>23.49245896</v>
      </c>
      <c r="AS38">
        <v>7.0000000000000007E-2</v>
      </c>
      <c r="AT38">
        <v>1.2792207999999999E-2</v>
      </c>
    </row>
    <row r="39" spans="1:46" x14ac:dyDescent="0.25">
      <c r="A39">
        <v>43</v>
      </c>
      <c r="B39" s="3" t="s">
        <v>43</v>
      </c>
      <c r="C39" t="s">
        <v>152</v>
      </c>
      <c r="D39">
        <v>0</v>
      </c>
      <c r="E39">
        <v>3.1</v>
      </c>
      <c r="F39">
        <v>0</v>
      </c>
      <c r="G39">
        <v>38.294480999999998</v>
      </c>
      <c r="H39">
        <v>-122.66636099999999</v>
      </c>
      <c r="I39">
        <v>19.960461299999999</v>
      </c>
      <c r="J39">
        <v>17.950000760000002</v>
      </c>
      <c r="K39">
        <v>641.54999999999995</v>
      </c>
      <c r="L39">
        <v>1.47</v>
      </c>
      <c r="M39">
        <v>0.28000000000000003</v>
      </c>
      <c r="N39">
        <v>-0.85387196399999998</v>
      </c>
      <c r="O39">
        <v>653.23900000000003</v>
      </c>
      <c r="P39">
        <v>14.58183333</v>
      </c>
      <c r="Q39">
        <v>6.3970000000000002</v>
      </c>
      <c r="R39">
        <v>38</v>
      </c>
      <c r="S39">
        <v>3</v>
      </c>
      <c r="T39">
        <v>28.571429999999999</v>
      </c>
      <c r="U39">
        <v>2.63158</v>
      </c>
      <c r="V39">
        <v>10.52632</v>
      </c>
      <c r="W39">
        <v>8.1081099999999999</v>
      </c>
      <c r="X39" t="s">
        <v>479</v>
      </c>
      <c r="Y39" t="s">
        <v>479</v>
      </c>
      <c r="Z39" t="s">
        <v>479</v>
      </c>
      <c r="AA39" t="s">
        <v>479</v>
      </c>
      <c r="AB39" t="s">
        <v>479</v>
      </c>
      <c r="AC39">
        <v>7.5</v>
      </c>
      <c r="AD39">
        <v>3.1</v>
      </c>
      <c r="AE39" t="s">
        <v>479</v>
      </c>
      <c r="AF39" t="s">
        <v>479</v>
      </c>
      <c r="AG39" t="s">
        <v>479</v>
      </c>
      <c r="AH39" t="s">
        <v>479</v>
      </c>
      <c r="AI39" t="s">
        <v>479</v>
      </c>
      <c r="AJ39" t="s">
        <v>479</v>
      </c>
      <c r="AK39" t="s">
        <v>479</v>
      </c>
      <c r="AL39" t="s">
        <v>479</v>
      </c>
      <c r="AM39">
        <v>12.2</v>
      </c>
      <c r="AN39">
        <v>2</v>
      </c>
      <c r="AO39">
        <v>5</v>
      </c>
      <c r="AP39">
        <v>2.934042577</v>
      </c>
      <c r="AQ39">
        <v>232.6862357</v>
      </c>
      <c r="AR39">
        <v>22.913458370000001</v>
      </c>
      <c r="AS39">
        <v>0.91</v>
      </c>
      <c r="AT39">
        <v>1.2637359999999999E-3</v>
      </c>
    </row>
    <row r="40" spans="1:46" x14ac:dyDescent="0.25">
      <c r="A40">
        <v>44</v>
      </c>
      <c r="B40" s="3" t="s">
        <v>44</v>
      </c>
      <c r="C40" t="s">
        <v>153</v>
      </c>
      <c r="D40">
        <v>0</v>
      </c>
      <c r="E40">
        <v>27</v>
      </c>
      <c r="F40">
        <v>0</v>
      </c>
      <c r="G40">
        <v>38.338155</v>
      </c>
      <c r="H40">
        <v>-122.269874</v>
      </c>
      <c r="I40">
        <v>45.002504500000001</v>
      </c>
      <c r="J40">
        <v>13.989999770000001</v>
      </c>
      <c r="K40">
        <v>788.32</v>
      </c>
      <c r="L40">
        <v>1.19</v>
      </c>
      <c r="M40">
        <v>0.23</v>
      </c>
      <c r="N40">
        <v>-0.76955107899999997</v>
      </c>
      <c r="O40">
        <v>671.08600000000001</v>
      </c>
      <c r="P40">
        <v>15.454333330000001</v>
      </c>
      <c r="Q40">
        <v>7.4969999999999999</v>
      </c>
      <c r="R40">
        <v>58</v>
      </c>
      <c r="S40">
        <v>5</v>
      </c>
      <c r="T40">
        <v>53.846150000000002</v>
      </c>
      <c r="U40">
        <v>3.44828</v>
      </c>
      <c r="V40">
        <v>29.31034</v>
      </c>
      <c r="W40">
        <v>20</v>
      </c>
      <c r="X40" t="s">
        <v>479</v>
      </c>
      <c r="Y40" t="s">
        <v>479</v>
      </c>
      <c r="Z40" t="s">
        <v>479</v>
      </c>
      <c r="AA40" t="s">
        <v>479</v>
      </c>
      <c r="AB40" t="s">
        <v>479</v>
      </c>
      <c r="AC40">
        <v>27.8</v>
      </c>
      <c r="AD40">
        <v>3.7</v>
      </c>
      <c r="AE40">
        <v>2</v>
      </c>
      <c r="AF40">
        <v>9</v>
      </c>
      <c r="AG40" t="s">
        <v>479</v>
      </c>
      <c r="AH40">
        <v>27.3</v>
      </c>
      <c r="AI40" t="s">
        <v>479</v>
      </c>
      <c r="AJ40" t="s">
        <v>479</v>
      </c>
      <c r="AK40" t="s">
        <v>479</v>
      </c>
      <c r="AL40" t="s">
        <v>479</v>
      </c>
      <c r="AM40" t="s">
        <v>479</v>
      </c>
      <c r="AN40">
        <v>0</v>
      </c>
      <c r="AO40">
        <v>12</v>
      </c>
      <c r="AP40">
        <v>0</v>
      </c>
      <c r="AQ40">
        <v>99.238107159999998</v>
      </c>
      <c r="AR40">
        <v>109.6570536</v>
      </c>
      <c r="AS40">
        <v>0.22</v>
      </c>
      <c r="AT40">
        <v>0</v>
      </c>
    </row>
    <row r="41" spans="1:46" x14ac:dyDescent="0.25">
      <c r="A41">
        <v>45</v>
      </c>
      <c r="B41" s="3" t="s">
        <v>45</v>
      </c>
      <c r="C41" t="s">
        <v>154</v>
      </c>
      <c r="D41">
        <v>0.5</v>
      </c>
      <c r="E41">
        <v>0</v>
      </c>
      <c r="F41">
        <v>0.6</v>
      </c>
      <c r="G41">
        <v>38.343083</v>
      </c>
      <c r="H41">
        <v>-121.96535</v>
      </c>
      <c r="I41">
        <v>55.863407559999999</v>
      </c>
      <c r="J41">
        <v>34.63999939</v>
      </c>
      <c r="K41">
        <v>790.87</v>
      </c>
      <c r="L41">
        <v>1.43</v>
      </c>
      <c r="M41">
        <v>0.34</v>
      </c>
      <c r="N41">
        <v>-0.55284196900000004</v>
      </c>
      <c r="O41">
        <v>611.71600000000001</v>
      </c>
      <c r="P41">
        <v>16.738250000000001</v>
      </c>
      <c r="Q41">
        <v>6.2960000000000003</v>
      </c>
      <c r="R41">
        <v>19</v>
      </c>
      <c r="S41">
        <v>2</v>
      </c>
      <c r="T41">
        <v>50</v>
      </c>
      <c r="U41">
        <v>0</v>
      </c>
      <c r="V41">
        <v>10.52632</v>
      </c>
      <c r="W41">
        <v>0</v>
      </c>
      <c r="X41">
        <v>3.6</v>
      </c>
      <c r="Y41">
        <v>0.6</v>
      </c>
      <c r="Z41" t="s">
        <v>479</v>
      </c>
      <c r="AA41" t="s">
        <v>479</v>
      </c>
      <c r="AB41" t="s">
        <v>479</v>
      </c>
      <c r="AC41">
        <v>9</v>
      </c>
      <c r="AD41" t="s">
        <v>479</v>
      </c>
      <c r="AE41" t="s">
        <v>479</v>
      </c>
      <c r="AF41">
        <v>7</v>
      </c>
      <c r="AG41" t="s">
        <v>479</v>
      </c>
      <c r="AH41">
        <v>2.7</v>
      </c>
      <c r="AI41" t="s">
        <v>479</v>
      </c>
      <c r="AJ41" t="s">
        <v>479</v>
      </c>
      <c r="AK41" t="s">
        <v>479</v>
      </c>
      <c r="AL41" t="s">
        <v>479</v>
      </c>
      <c r="AM41">
        <v>15.1</v>
      </c>
      <c r="AN41">
        <v>3</v>
      </c>
      <c r="AO41">
        <v>9</v>
      </c>
      <c r="AP41">
        <v>4.2598425200000003</v>
      </c>
      <c r="AQ41">
        <v>377.05508229999998</v>
      </c>
      <c r="AR41">
        <v>54.491831380000001</v>
      </c>
      <c r="AS41">
        <v>0.19</v>
      </c>
      <c r="AT41">
        <v>0.52681440400000001</v>
      </c>
    </row>
    <row r="42" spans="1:46" x14ac:dyDescent="0.25">
      <c r="A42">
        <v>46</v>
      </c>
      <c r="B42" s="3" t="s">
        <v>46</v>
      </c>
      <c r="C42" t="s">
        <v>155</v>
      </c>
      <c r="D42">
        <v>0</v>
      </c>
      <c r="E42">
        <v>2.6</v>
      </c>
      <c r="F42">
        <v>0</v>
      </c>
      <c r="G42">
        <v>38.379168999999997</v>
      </c>
      <c r="H42">
        <v>-122.004319</v>
      </c>
      <c r="I42">
        <v>27.849658890000001</v>
      </c>
      <c r="J42">
        <v>67.11000061</v>
      </c>
      <c r="K42">
        <v>791.56</v>
      </c>
      <c r="L42">
        <v>1.44</v>
      </c>
      <c r="M42">
        <v>0.34</v>
      </c>
      <c r="N42">
        <v>-0.58502665200000004</v>
      </c>
      <c r="O42">
        <v>705.697</v>
      </c>
      <c r="P42">
        <v>16.323499999999999</v>
      </c>
      <c r="Q42">
        <v>6.6219999999999999</v>
      </c>
      <c r="R42">
        <v>41</v>
      </c>
      <c r="S42">
        <v>4</v>
      </c>
      <c r="T42">
        <v>16.66667</v>
      </c>
      <c r="U42">
        <v>0</v>
      </c>
      <c r="V42">
        <v>21.951219999999999</v>
      </c>
      <c r="W42">
        <v>12.5</v>
      </c>
      <c r="X42" t="s">
        <v>479</v>
      </c>
      <c r="Y42" t="s">
        <v>479</v>
      </c>
      <c r="Z42" t="s">
        <v>479</v>
      </c>
      <c r="AA42" t="s">
        <v>479</v>
      </c>
      <c r="AB42" t="s">
        <v>479</v>
      </c>
      <c r="AC42">
        <v>7.9</v>
      </c>
      <c r="AD42">
        <v>2.6</v>
      </c>
      <c r="AE42" t="s">
        <v>479</v>
      </c>
      <c r="AF42">
        <v>6.5</v>
      </c>
      <c r="AG42" t="s">
        <v>479</v>
      </c>
      <c r="AH42" t="s">
        <v>479</v>
      </c>
      <c r="AI42" t="s">
        <v>479</v>
      </c>
      <c r="AJ42" t="s">
        <v>479</v>
      </c>
      <c r="AK42" t="s">
        <v>479</v>
      </c>
      <c r="AL42" t="s">
        <v>479</v>
      </c>
      <c r="AM42">
        <v>16</v>
      </c>
      <c r="AN42">
        <v>1</v>
      </c>
      <c r="AO42">
        <v>8</v>
      </c>
      <c r="AP42">
        <v>1.0477468809999999</v>
      </c>
      <c r="AQ42">
        <v>41.96237163</v>
      </c>
      <c r="AR42">
        <v>33.195997779999999</v>
      </c>
      <c r="AS42">
        <v>0.12</v>
      </c>
      <c r="AT42">
        <v>1.5151520000000001E-3</v>
      </c>
    </row>
    <row r="43" spans="1:46" x14ac:dyDescent="0.25">
      <c r="A43">
        <v>47</v>
      </c>
      <c r="B43" s="3" t="s">
        <v>47</v>
      </c>
      <c r="C43" t="s">
        <v>156</v>
      </c>
      <c r="D43">
        <v>0</v>
      </c>
      <c r="E43">
        <v>0</v>
      </c>
      <c r="F43">
        <v>0</v>
      </c>
      <c r="G43">
        <v>38.396124999999998</v>
      </c>
      <c r="H43">
        <v>-122.87003900000001</v>
      </c>
      <c r="I43">
        <v>14.85288081</v>
      </c>
      <c r="J43">
        <v>45.290000919999997</v>
      </c>
      <c r="K43">
        <v>188.43</v>
      </c>
      <c r="L43">
        <v>1.49</v>
      </c>
      <c r="M43">
        <v>0.28000000000000003</v>
      </c>
      <c r="N43">
        <v>-0.88605664799999995</v>
      </c>
      <c r="O43">
        <v>1054.134</v>
      </c>
      <c r="P43">
        <v>14.132999999999999</v>
      </c>
      <c r="Q43">
        <v>10.847</v>
      </c>
      <c r="R43">
        <v>60</v>
      </c>
      <c r="S43">
        <v>7</v>
      </c>
      <c r="T43">
        <v>50</v>
      </c>
      <c r="U43">
        <v>8.3333300000000001</v>
      </c>
      <c r="V43">
        <v>28.33333</v>
      </c>
      <c r="W43">
        <v>23.63636</v>
      </c>
      <c r="X43" t="s">
        <v>479</v>
      </c>
      <c r="Y43" t="s">
        <v>479</v>
      </c>
      <c r="Z43" t="s">
        <v>479</v>
      </c>
      <c r="AA43">
        <v>1.9</v>
      </c>
      <c r="AB43" t="s">
        <v>479</v>
      </c>
      <c r="AC43">
        <v>7.6</v>
      </c>
      <c r="AD43" t="s">
        <v>479</v>
      </c>
      <c r="AE43" t="s">
        <v>479</v>
      </c>
      <c r="AF43">
        <v>4.2</v>
      </c>
      <c r="AG43">
        <v>7.5</v>
      </c>
      <c r="AH43" t="s">
        <v>479</v>
      </c>
      <c r="AI43" t="s">
        <v>479</v>
      </c>
      <c r="AJ43" t="s">
        <v>479</v>
      </c>
      <c r="AK43" t="s">
        <v>479</v>
      </c>
      <c r="AL43">
        <v>33.5</v>
      </c>
      <c r="AM43">
        <v>61</v>
      </c>
      <c r="AN43">
        <v>5</v>
      </c>
      <c r="AO43">
        <v>7</v>
      </c>
      <c r="AP43">
        <v>35.44658209</v>
      </c>
      <c r="AQ43">
        <v>1743.5023020000001</v>
      </c>
      <c r="AR43">
        <v>80.271765520000002</v>
      </c>
      <c r="AS43">
        <v>1.2</v>
      </c>
      <c r="AT43">
        <v>9.7898329999999995E-3</v>
      </c>
    </row>
    <row r="44" spans="1:46" x14ac:dyDescent="0.25">
      <c r="A44">
        <v>48</v>
      </c>
      <c r="B44" s="3" t="s">
        <v>48</v>
      </c>
      <c r="C44" t="s">
        <v>157</v>
      </c>
      <c r="D44">
        <v>0</v>
      </c>
      <c r="E44">
        <v>0</v>
      </c>
      <c r="F44">
        <v>0</v>
      </c>
      <c r="G44">
        <v>38.438729000000002</v>
      </c>
      <c r="H44">
        <v>-122.887208</v>
      </c>
      <c r="I44">
        <v>25.671461409999999</v>
      </c>
      <c r="J44">
        <v>31.559999470000001</v>
      </c>
      <c r="K44">
        <v>246.11</v>
      </c>
      <c r="L44">
        <v>1.46</v>
      </c>
      <c r="M44">
        <v>0.25</v>
      </c>
      <c r="N44">
        <v>-0.88605664799999995</v>
      </c>
      <c r="O44">
        <v>997.92700000000002</v>
      </c>
      <c r="P44">
        <v>14.30516667</v>
      </c>
      <c r="Q44">
        <v>10.884</v>
      </c>
      <c r="R44">
        <v>48</v>
      </c>
      <c r="S44">
        <v>7</v>
      </c>
      <c r="T44">
        <v>20</v>
      </c>
      <c r="U44">
        <v>4.1666699999999999</v>
      </c>
      <c r="V44">
        <v>31.25</v>
      </c>
      <c r="W44">
        <v>26.66667</v>
      </c>
      <c r="X44" t="s">
        <v>479</v>
      </c>
      <c r="Y44" t="s">
        <v>479</v>
      </c>
      <c r="Z44" t="s">
        <v>479</v>
      </c>
      <c r="AA44" t="s">
        <v>479</v>
      </c>
      <c r="AB44" t="s">
        <v>479</v>
      </c>
      <c r="AC44" t="s">
        <v>479</v>
      </c>
      <c r="AD44" t="s">
        <v>479</v>
      </c>
      <c r="AE44" t="s">
        <v>479</v>
      </c>
      <c r="AF44" t="s">
        <v>479</v>
      </c>
      <c r="AG44">
        <v>9.8000000000000007</v>
      </c>
      <c r="AH44" t="s">
        <v>479</v>
      </c>
      <c r="AI44" t="s">
        <v>479</v>
      </c>
      <c r="AJ44" t="s">
        <v>479</v>
      </c>
      <c r="AK44" t="s">
        <v>479</v>
      </c>
      <c r="AL44">
        <v>6.5</v>
      </c>
      <c r="AM44" t="s">
        <v>479</v>
      </c>
      <c r="AN44">
        <v>4</v>
      </c>
      <c r="AO44">
        <v>3</v>
      </c>
      <c r="AP44">
        <v>6.4313404600000004</v>
      </c>
      <c r="AQ44">
        <v>7740.8744239999996</v>
      </c>
      <c r="AR44">
        <v>24.134820779999998</v>
      </c>
      <c r="AS44">
        <v>0.04</v>
      </c>
      <c r="AT44">
        <v>5.1912879000000002E-2</v>
      </c>
    </row>
    <row r="45" spans="1:46" x14ac:dyDescent="0.25">
      <c r="A45">
        <v>50</v>
      </c>
      <c r="B45" s="3" t="s">
        <v>50</v>
      </c>
      <c r="C45" t="s">
        <v>159</v>
      </c>
      <c r="D45">
        <v>0</v>
      </c>
      <c r="E45">
        <v>0</v>
      </c>
      <c r="F45">
        <v>0</v>
      </c>
      <c r="G45">
        <v>38.510956999999998</v>
      </c>
      <c r="H45">
        <v>-122.839956</v>
      </c>
      <c r="I45">
        <v>65.129488339999995</v>
      </c>
      <c r="J45">
        <v>17.549999239999998</v>
      </c>
      <c r="K45">
        <v>287.92</v>
      </c>
      <c r="L45">
        <v>1.47</v>
      </c>
      <c r="M45">
        <v>0.32</v>
      </c>
      <c r="N45">
        <v>-0.92081875400000002</v>
      </c>
      <c r="O45">
        <v>883.375</v>
      </c>
      <c r="P45">
        <v>14.68766667</v>
      </c>
      <c r="Q45">
        <v>8.0540000000000003</v>
      </c>
      <c r="R45">
        <v>27</v>
      </c>
      <c r="S45">
        <v>2</v>
      </c>
      <c r="T45">
        <v>50</v>
      </c>
      <c r="U45">
        <v>0</v>
      </c>
      <c r="V45">
        <v>14.81481</v>
      </c>
      <c r="W45">
        <v>8</v>
      </c>
      <c r="X45" t="s">
        <v>479</v>
      </c>
      <c r="Y45" t="s">
        <v>479</v>
      </c>
      <c r="Z45" t="s">
        <v>479</v>
      </c>
      <c r="AA45" t="s">
        <v>479</v>
      </c>
      <c r="AB45" t="s">
        <v>479</v>
      </c>
      <c r="AC45" t="s">
        <v>479</v>
      </c>
      <c r="AD45" t="s">
        <v>479</v>
      </c>
      <c r="AE45" t="s">
        <v>479</v>
      </c>
      <c r="AF45" t="s">
        <v>479</v>
      </c>
      <c r="AG45" t="s">
        <v>479</v>
      </c>
      <c r="AH45" t="s">
        <v>479</v>
      </c>
      <c r="AI45" t="s">
        <v>479</v>
      </c>
      <c r="AJ45" t="s">
        <v>479</v>
      </c>
      <c r="AK45" t="s">
        <v>479</v>
      </c>
      <c r="AL45" t="s">
        <v>479</v>
      </c>
      <c r="AM45" t="s">
        <v>479</v>
      </c>
      <c r="AN45">
        <v>1</v>
      </c>
      <c r="AO45">
        <v>2</v>
      </c>
      <c r="AP45">
        <v>0</v>
      </c>
      <c r="AQ45">
        <v>0</v>
      </c>
      <c r="AR45">
        <v>0</v>
      </c>
      <c r="AS45">
        <v>0.34</v>
      </c>
      <c r="AT45" t="s">
        <v>479</v>
      </c>
    </row>
    <row r="46" spans="1:46" x14ac:dyDescent="0.25">
      <c r="A46">
        <v>51</v>
      </c>
      <c r="B46" s="3" t="s">
        <v>51</v>
      </c>
      <c r="C46" t="s">
        <v>160</v>
      </c>
      <c r="D46">
        <v>0</v>
      </c>
      <c r="E46">
        <v>0</v>
      </c>
      <c r="F46">
        <v>0</v>
      </c>
      <c r="G46">
        <v>38.519047</v>
      </c>
      <c r="H46">
        <v>-122.609222</v>
      </c>
      <c r="I46">
        <v>10.44770952</v>
      </c>
      <c r="J46">
        <v>311.05999759999997</v>
      </c>
      <c r="K46">
        <v>418.11</v>
      </c>
      <c r="L46">
        <v>1.34</v>
      </c>
      <c r="M46">
        <v>0.24</v>
      </c>
      <c r="N46">
        <v>-0.76955107899999997</v>
      </c>
      <c r="O46">
        <v>1187.5039999999999</v>
      </c>
      <c r="P46">
        <v>14.470916669999999</v>
      </c>
      <c r="Q46">
        <v>9.5210000000000008</v>
      </c>
      <c r="R46">
        <v>48</v>
      </c>
      <c r="S46">
        <v>6</v>
      </c>
      <c r="T46">
        <v>45.454549999999998</v>
      </c>
      <c r="U46">
        <v>12.5</v>
      </c>
      <c r="V46">
        <v>39.583329999999997</v>
      </c>
      <c r="W46">
        <v>39.534880000000001</v>
      </c>
      <c r="X46" t="s">
        <v>479</v>
      </c>
      <c r="Y46" t="s">
        <v>479</v>
      </c>
      <c r="Z46" t="s">
        <v>479</v>
      </c>
      <c r="AA46" t="s">
        <v>479</v>
      </c>
      <c r="AB46" t="s">
        <v>479</v>
      </c>
      <c r="AC46" t="s">
        <v>479</v>
      </c>
      <c r="AD46" t="s">
        <v>479</v>
      </c>
      <c r="AE46" t="s">
        <v>479</v>
      </c>
      <c r="AF46" t="s">
        <v>479</v>
      </c>
      <c r="AG46" t="s">
        <v>479</v>
      </c>
      <c r="AH46" t="s">
        <v>479</v>
      </c>
      <c r="AI46" t="s">
        <v>479</v>
      </c>
      <c r="AJ46" t="s">
        <v>479</v>
      </c>
      <c r="AK46" t="s">
        <v>479</v>
      </c>
      <c r="AL46" t="s">
        <v>479</v>
      </c>
      <c r="AM46" t="s">
        <v>479</v>
      </c>
      <c r="AN46">
        <v>0</v>
      </c>
      <c r="AO46">
        <v>2</v>
      </c>
      <c r="AP46">
        <v>0</v>
      </c>
      <c r="AQ46">
        <v>0</v>
      </c>
      <c r="AR46">
        <v>0</v>
      </c>
      <c r="AS46">
        <v>0.55000000000000004</v>
      </c>
      <c r="AT46">
        <v>0</v>
      </c>
    </row>
    <row r="47" spans="1:46" x14ac:dyDescent="0.25">
      <c r="A47">
        <v>52</v>
      </c>
      <c r="B47" s="3" t="s">
        <v>52</v>
      </c>
      <c r="C47" t="s">
        <v>161</v>
      </c>
      <c r="D47">
        <v>0</v>
      </c>
      <c r="E47">
        <v>0</v>
      </c>
      <c r="F47">
        <v>0</v>
      </c>
      <c r="G47">
        <v>38.551423999999997</v>
      </c>
      <c r="H47">
        <v>-122.52101500000001</v>
      </c>
      <c r="I47">
        <v>6.370001824</v>
      </c>
      <c r="J47">
        <v>109.5699997</v>
      </c>
      <c r="K47">
        <v>630</v>
      </c>
      <c r="L47">
        <v>1.1200000000000001</v>
      </c>
      <c r="M47">
        <v>0.2</v>
      </c>
      <c r="N47">
        <v>-0.88605664799999995</v>
      </c>
      <c r="O47">
        <v>1048.96</v>
      </c>
      <c r="P47">
        <v>14.933</v>
      </c>
      <c r="Q47">
        <v>8.4930000000000003</v>
      </c>
      <c r="R47">
        <v>46</v>
      </c>
      <c r="S47">
        <v>6</v>
      </c>
      <c r="T47">
        <v>50</v>
      </c>
      <c r="U47">
        <v>0</v>
      </c>
      <c r="V47">
        <v>36.956519999999998</v>
      </c>
      <c r="W47">
        <v>32.558140000000002</v>
      </c>
      <c r="X47" t="s">
        <v>479</v>
      </c>
      <c r="Y47" t="s">
        <v>479</v>
      </c>
      <c r="Z47" t="s">
        <v>479</v>
      </c>
      <c r="AA47" t="s">
        <v>479</v>
      </c>
      <c r="AB47" t="s">
        <v>479</v>
      </c>
      <c r="AC47">
        <v>0.8</v>
      </c>
      <c r="AD47" t="s">
        <v>479</v>
      </c>
      <c r="AE47" t="s">
        <v>479</v>
      </c>
      <c r="AF47" t="s">
        <v>479</v>
      </c>
      <c r="AG47" t="s">
        <v>479</v>
      </c>
      <c r="AH47" t="s">
        <v>479</v>
      </c>
      <c r="AI47" t="s">
        <v>479</v>
      </c>
      <c r="AJ47" t="s">
        <v>479</v>
      </c>
      <c r="AK47" t="s">
        <v>479</v>
      </c>
      <c r="AL47" t="s">
        <v>479</v>
      </c>
      <c r="AM47" t="s">
        <v>479</v>
      </c>
      <c r="AN47">
        <v>0</v>
      </c>
      <c r="AO47">
        <v>2</v>
      </c>
      <c r="AP47">
        <v>0</v>
      </c>
      <c r="AQ47">
        <v>0.83951214799999996</v>
      </c>
      <c r="AR47">
        <v>0.83951214799999996</v>
      </c>
      <c r="AS47">
        <v>0.35</v>
      </c>
      <c r="AT47" t="s">
        <v>479</v>
      </c>
    </row>
    <row r="48" spans="1:46" x14ac:dyDescent="0.25">
      <c r="A48">
        <v>53</v>
      </c>
      <c r="B48" s="3" t="s">
        <v>53</v>
      </c>
      <c r="C48" t="s">
        <v>162</v>
      </c>
      <c r="D48">
        <v>0</v>
      </c>
      <c r="E48">
        <v>0</v>
      </c>
      <c r="F48">
        <v>0</v>
      </c>
      <c r="G48">
        <v>38.555945999999999</v>
      </c>
      <c r="H48">
        <v>-122.505915</v>
      </c>
      <c r="I48">
        <v>116.4961974</v>
      </c>
      <c r="J48">
        <v>80.949996949999999</v>
      </c>
      <c r="K48">
        <v>1145.76</v>
      </c>
      <c r="L48">
        <v>1.19</v>
      </c>
      <c r="M48">
        <v>0.21</v>
      </c>
      <c r="N48">
        <v>-0.823908741</v>
      </c>
      <c r="O48">
        <v>924.45600000000002</v>
      </c>
      <c r="P48">
        <v>15.189666669999999</v>
      </c>
      <c r="Q48">
        <v>8.7880000000000003</v>
      </c>
      <c r="R48">
        <v>38</v>
      </c>
      <c r="S48">
        <v>3</v>
      </c>
      <c r="T48">
        <v>77.777780000000007</v>
      </c>
      <c r="U48">
        <v>5.2631600000000001</v>
      </c>
      <c r="V48">
        <v>39.473680000000002</v>
      </c>
      <c r="W48">
        <v>27.77778</v>
      </c>
      <c r="X48" t="s">
        <v>479</v>
      </c>
      <c r="Y48" t="s">
        <v>479</v>
      </c>
      <c r="Z48" t="s">
        <v>479</v>
      </c>
      <c r="AA48" t="s">
        <v>479</v>
      </c>
      <c r="AB48" t="s">
        <v>479</v>
      </c>
      <c r="AC48" t="s">
        <v>479</v>
      </c>
      <c r="AD48" t="s">
        <v>479</v>
      </c>
      <c r="AE48" t="s">
        <v>479</v>
      </c>
      <c r="AF48" t="s">
        <v>479</v>
      </c>
      <c r="AG48" t="s">
        <v>479</v>
      </c>
      <c r="AH48" t="s">
        <v>479</v>
      </c>
      <c r="AI48" t="s">
        <v>479</v>
      </c>
      <c r="AJ48" t="s">
        <v>479</v>
      </c>
      <c r="AK48" t="s">
        <v>479</v>
      </c>
      <c r="AL48" t="s">
        <v>479</v>
      </c>
      <c r="AM48" t="s">
        <v>479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0.28999999999999998</v>
      </c>
      <c r="AT48">
        <v>0</v>
      </c>
    </row>
    <row r="49" spans="1:46" x14ac:dyDescent="0.25">
      <c r="A49">
        <v>54</v>
      </c>
      <c r="B49" s="3" t="s">
        <v>54</v>
      </c>
      <c r="C49" t="s">
        <v>163</v>
      </c>
      <c r="D49">
        <v>0.15</v>
      </c>
      <c r="E49">
        <v>0</v>
      </c>
      <c r="F49">
        <v>0.6</v>
      </c>
      <c r="G49">
        <v>38.621957999999999</v>
      </c>
      <c r="H49">
        <v>-122.773689</v>
      </c>
      <c r="I49">
        <v>117.9713727</v>
      </c>
      <c r="J49">
        <v>50.439998629999998</v>
      </c>
      <c r="K49">
        <v>1274.8</v>
      </c>
      <c r="L49">
        <v>1.33</v>
      </c>
      <c r="M49">
        <v>0.25</v>
      </c>
      <c r="N49">
        <v>-0.85387196399999998</v>
      </c>
      <c r="O49">
        <v>1002.727</v>
      </c>
      <c r="P49">
        <v>15.651</v>
      </c>
      <c r="Q49">
        <v>9.9960000000000004</v>
      </c>
      <c r="R49">
        <v>41</v>
      </c>
      <c r="S49">
        <v>3</v>
      </c>
      <c r="T49">
        <v>50</v>
      </c>
      <c r="U49">
        <v>9.7561</v>
      </c>
      <c r="V49">
        <v>39.024389999999997</v>
      </c>
      <c r="W49">
        <v>31.578949999999999</v>
      </c>
      <c r="X49" t="s">
        <v>479</v>
      </c>
      <c r="Y49">
        <v>0.6</v>
      </c>
      <c r="Z49" t="s">
        <v>479</v>
      </c>
      <c r="AA49" t="s">
        <v>479</v>
      </c>
      <c r="AB49" t="s">
        <v>479</v>
      </c>
      <c r="AC49">
        <v>1.9</v>
      </c>
      <c r="AD49" t="s">
        <v>479</v>
      </c>
      <c r="AE49" t="s">
        <v>479</v>
      </c>
      <c r="AF49" t="s">
        <v>479</v>
      </c>
      <c r="AG49">
        <v>4.7</v>
      </c>
      <c r="AH49" t="s">
        <v>479</v>
      </c>
      <c r="AI49" t="s">
        <v>479</v>
      </c>
      <c r="AJ49" t="s">
        <v>479</v>
      </c>
      <c r="AK49" t="s">
        <v>479</v>
      </c>
      <c r="AL49" t="s">
        <v>479</v>
      </c>
      <c r="AM49" t="s">
        <v>479</v>
      </c>
      <c r="AN49">
        <v>1</v>
      </c>
      <c r="AO49">
        <v>3</v>
      </c>
      <c r="AP49">
        <v>0.55779816500000001</v>
      </c>
      <c r="AQ49">
        <v>83.937632379999997</v>
      </c>
      <c r="AR49">
        <v>6.6075195720000002</v>
      </c>
      <c r="AS49">
        <v>0.68</v>
      </c>
      <c r="AT49">
        <v>0.147058824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workbookViewId="0"/>
  </sheetViews>
  <sheetFormatPr defaultRowHeight="15" x14ac:dyDescent="0.25"/>
  <cols>
    <col min="1" max="1" width="14.5703125" customWidth="1"/>
    <col min="2" max="2" width="17.7109375" customWidth="1"/>
    <col min="5" max="5" width="13.28515625" customWidth="1"/>
    <col min="6" max="6" width="12.140625" customWidth="1"/>
    <col min="8" max="8" width="12.42578125" customWidth="1"/>
    <col min="9" max="9" width="13.28515625" customWidth="1"/>
    <col min="11" max="11" width="12" customWidth="1"/>
    <col min="12" max="12" width="12.28515625" customWidth="1"/>
    <col min="13" max="13" width="12.7109375" customWidth="1"/>
    <col min="14" max="14" width="14.7109375" customWidth="1"/>
    <col min="15" max="15" width="13.140625" customWidth="1"/>
    <col min="16" max="16" width="10.5703125" customWidth="1"/>
  </cols>
  <sheetData>
    <row r="1" spans="1:16" x14ac:dyDescent="0.25">
      <c r="A1" t="s">
        <v>873</v>
      </c>
    </row>
    <row r="2" spans="1:16" x14ac:dyDescent="0.25">
      <c r="A2" s="40" t="s">
        <v>0</v>
      </c>
      <c r="B2" s="40" t="s">
        <v>658</v>
      </c>
      <c r="C2" s="40" t="s">
        <v>178</v>
      </c>
      <c r="D2" s="40" t="s">
        <v>179</v>
      </c>
      <c r="E2" s="40" t="s">
        <v>185</v>
      </c>
      <c r="F2" s="40" t="s">
        <v>190</v>
      </c>
      <c r="G2" s="40" t="s">
        <v>197</v>
      </c>
      <c r="H2" s="40" t="s">
        <v>199</v>
      </c>
      <c r="I2" s="40" t="s">
        <v>202</v>
      </c>
      <c r="J2" s="40" t="s">
        <v>205</v>
      </c>
      <c r="K2" s="40" t="s">
        <v>227</v>
      </c>
      <c r="L2" s="40" t="s">
        <v>598</v>
      </c>
      <c r="M2" s="40" t="s">
        <v>228</v>
      </c>
      <c r="N2" s="40" t="s">
        <v>235</v>
      </c>
      <c r="O2" s="40" t="s">
        <v>236</v>
      </c>
      <c r="P2" s="40" t="s">
        <v>240</v>
      </c>
    </row>
    <row r="3" spans="1:16" x14ac:dyDescent="0.25">
      <c r="A3">
        <v>11135250</v>
      </c>
      <c r="B3" t="s">
        <v>605</v>
      </c>
      <c r="C3" s="27">
        <f>'[1]Pesticide use in lb-km2'!C2*453.6</f>
        <v>10.913695151527168</v>
      </c>
      <c r="D3" s="27">
        <f>'[1]Pesticide use in lb-km2'!D2*453.6</f>
        <v>135.2162908755945</v>
      </c>
      <c r="E3" s="27">
        <f>'[1]Pesticide use in lb-km2'!E2*453.6</f>
        <v>0</v>
      </c>
      <c r="F3" s="27">
        <f>'[1]Pesticide use in lb-km2'!F2*453.6</f>
        <v>4.4070457211184513</v>
      </c>
      <c r="G3" s="27">
        <f>'[1]Pesticide use in lb-km2'!G2*453.6</f>
        <v>2.8669236943429275</v>
      </c>
      <c r="H3" s="27">
        <f>'[1]Pesticide use in lb-km2'!H2*453.6</f>
        <v>0.58531475661101151</v>
      </c>
      <c r="I3" s="27">
        <f>'[1]Pesticide use in lb-km2'!I2*453.6</f>
        <v>0</v>
      </c>
      <c r="J3" s="27">
        <f>'[1]Pesticide use in lb-km2'!J2*453.6</f>
        <v>3.5784251726274108</v>
      </c>
      <c r="K3" s="27">
        <f>'[1]Pesticide use in lb-km2'!K2*453.6</f>
        <v>0.14695394564866243</v>
      </c>
      <c r="L3" s="27">
        <f>'[1]Pesticide use in lb-km2'!L2*453.6</f>
        <v>3.2928969776975778E-2</v>
      </c>
      <c r="M3" s="27">
        <f>'[1]Pesticide use in lb-km2'!M2*453.6</f>
        <v>182.63781131938424</v>
      </c>
      <c r="N3" s="27">
        <f>'[1]Pesticide use in lb-km2'!N2*453.6</f>
        <v>16.042698577738211</v>
      </c>
      <c r="O3" s="27">
        <f>'[1]Pesticide use in lb-km2'!O2*453.6</f>
        <v>131.08985229284087</v>
      </c>
      <c r="P3" s="27">
        <f>'[1]Pesticide use in lb-km2'!P2*453.6</f>
        <v>5.7740787635719055</v>
      </c>
    </row>
    <row r="4" spans="1:16" x14ac:dyDescent="0.25">
      <c r="A4">
        <v>11141280</v>
      </c>
      <c r="B4" t="s">
        <v>606</v>
      </c>
      <c r="C4" s="27">
        <f>'[1]Pesticide use in lb-km2'!C3*453.6</f>
        <v>5.8943294026262458E-2</v>
      </c>
      <c r="D4" s="27">
        <f>'[1]Pesticide use in lb-km2'!D3*453.6</f>
        <v>8.0001298612909354E-4</v>
      </c>
      <c r="E4" s="27">
        <f>'[1]Pesticide use in lb-km2'!E3*453.6</f>
        <v>0</v>
      </c>
      <c r="F4" s="27">
        <f>'[1]Pesticide use in lb-km2'!F3*453.6</f>
        <v>1.1680900491954855E-3</v>
      </c>
      <c r="G4" s="27">
        <f>'[1]Pesticide use in lb-km2'!G3*453.6</f>
        <v>3.1591444727205487E-2</v>
      </c>
      <c r="H4" s="27">
        <f>'[1]Pesticide use in lb-km2'!H3*453.6</f>
        <v>2.8949595945995926E-4</v>
      </c>
      <c r="I4" s="27">
        <f>'[1]Pesticide use in lb-km2'!I3*453.6</f>
        <v>0</v>
      </c>
      <c r="J4" s="27">
        <f>'[1]Pesticide use in lb-km2'!J3*453.6</f>
        <v>2.6951373434436834E-2</v>
      </c>
      <c r="K4" s="27">
        <f>'[1]Pesticide use in lb-km2'!K3*453.6</f>
        <v>5.4871422378398388E-5</v>
      </c>
      <c r="L4" s="27">
        <f>'[1]Pesticide use in lb-km2'!L3*453.6</f>
        <v>1.8033095764749414E-5</v>
      </c>
      <c r="M4" s="27">
        <f>'[1]Pesticide use in lb-km2'!M3*453.6</f>
        <v>7.9058621002404461E-2</v>
      </c>
      <c r="N4" s="27">
        <f>'[1]Pesticide use in lb-km2'!N3*453.6</f>
        <v>5.7181208611059589E-2</v>
      </c>
      <c r="O4" s="27">
        <f>'[1]Pesticide use in lb-km2'!O3*453.6</f>
        <v>1.5539998757166638E-2</v>
      </c>
      <c r="P4" s="27">
        <f>'[1]Pesticide use in lb-km2'!P3*453.6</f>
        <v>6.3716974721657313E-2</v>
      </c>
    </row>
    <row r="5" spans="1:16" x14ac:dyDescent="0.25">
      <c r="A5">
        <v>11148900</v>
      </c>
      <c r="B5" t="s">
        <v>607</v>
      </c>
      <c r="C5" s="27">
        <f>'[1]Pesticide use in lb-km2'!C4*453.6</f>
        <v>0.13501115543829187</v>
      </c>
      <c r="D5" s="27">
        <f>'[1]Pesticide use in lb-km2'!D4*453.6</f>
        <v>3.5616559069605955E-3</v>
      </c>
      <c r="E5" s="27">
        <f>'[1]Pesticide use in lb-km2'!E4*453.6</f>
        <v>0</v>
      </c>
      <c r="F5" s="27">
        <f>'[1]Pesticide use in lb-km2'!F4*453.6</f>
        <v>1.2044735150147563E-3</v>
      </c>
      <c r="G5" s="27">
        <f>'[1]Pesticide use in lb-km2'!G4*453.6</f>
        <v>4.263163767401492E-2</v>
      </c>
      <c r="H5" s="27">
        <f>'[1]Pesticide use in lb-km2'!H4*453.6</f>
        <v>1.2194806596077085E-3</v>
      </c>
      <c r="I5" s="27">
        <f>'[1]Pesticide use in lb-km2'!I4*453.6</f>
        <v>0</v>
      </c>
      <c r="J5" s="27">
        <f>'[1]Pesticide use in lb-km2'!J4*453.6</f>
        <v>6.2816166165596168E-2</v>
      </c>
      <c r="K5" s="27">
        <f>'[1]Pesticide use in lb-km2'!K4*453.6</f>
        <v>2.4768540781114405E-5</v>
      </c>
      <c r="L5" s="27">
        <f>'[1]Pesticide use in lb-km2'!L4*453.6</f>
        <v>1.3250210866169066E-3</v>
      </c>
      <c r="M5" s="27">
        <f>'[1]Pesticide use in lb-km2'!M4*453.6</f>
        <v>0.65088468971081292</v>
      </c>
      <c r="N5" s="27">
        <f>'[1]Pesticide use in lb-km2'!N4*453.6</f>
        <v>0.16984395620204837</v>
      </c>
      <c r="O5" s="27">
        <f>'[1]Pesticide use in lb-km2'!O4*453.6</f>
        <v>0.15414745591390377</v>
      </c>
      <c r="P5" s="27">
        <f>'[1]Pesticide use in lb-km2'!P4*453.6</f>
        <v>4.5185921846901581E-2</v>
      </c>
    </row>
    <row r="6" spans="1:16" x14ac:dyDescent="0.25">
      <c r="A6">
        <v>11152000</v>
      </c>
      <c r="B6" t="s">
        <v>608</v>
      </c>
      <c r="C6" s="27">
        <f>'[1]Pesticide use in lb-km2'!C5*453.6</f>
        <v>0.18941521591378599</v>
      </c>
      <c r="D6" s="27">
        <f>'[1]Pesticide use in lb-km2'!D5*453.6</f>
        <v>4.9968607041667844E-3</v>
      </c>
      <c r="E6" s="27">
        <f>'[1]Pesticide use in lb-km2'!E5*453.6</f>
        <v>0</v>
      </c>
      <c r="F6" s="27">
        <f>'[1]Pesticide use in lb-km2'!F5*453.6</f>
        <v>1.6898271753381718E-3</v>
      </c>
      <c r="G6" s="27">
        <f>'[1]Pesticide use in lb-km2'!G5*453.6</f>
        <v>5.9810471594768468E-2</v>
      </c>
      <c r="H6" s="27">
        <f>'[1]Pesticide use in lb-km2'!H5*453.6</f>
        <v>1.7108832899491522E-3</v>
      </c>
      <c r="I6" s="27">
        <f>'[1]Pesticide use in lb-km2'!I5*453.6</f>
        <v>0</v>
      </c>
      <c r="J6" s="27">
        <f>'[1]Pesticide use in lb-km2'!J5*453.6</f>
        <v>8.8128553797447967E-2</v>
      </c>
      <c r="K6" s="27">
        <f>'[1]Pesticide use in lb-km2'!K5*453.6</f>
        <v>3.4749319638003256E-5</v>
      </c>
      <c r="L6" s="27">
        <f>'[1]Pesticide use in lb-km2'!L5*453.6</f>
        <v>1.8589513210322639E-3</v>
      </c>
      <c r="M6" s="27">
        <f>'[1]Pesticide use in lb-km2'!M5*453.6</f>
        <v>76.2965363477268</v>
      </c>
      <c r="N6" s="27">
        <f>'[1]Pesticide use in lb-km2'!N5*453.6</f>
        <v>71.116847497881309</v>
      </c>
      <c r="O6" s="27">
        <f>'[1]Pesticide use in lb-km2'!O5*453.6</f>
        <v>0.21626267661155688</v>
      </c>
      <c r="P6" s="27">
        <f>'[1]Pesticide use in lb-km2'!P5*453.6</f>
        <v>6.3394029814204958E-2</v>
      </c>
    </row>
    <row r="7" spans="1:16" x14ac:dyDescent="0.25">
      <c r="A7">
        <v>11152650</v>
      </c>
      <c r="B7" t="s">
        <v>609</v>
      </c>
      <c r="C7" s="27">
        <f>'[1]Pesticide use in lb-km2'!C6*453.6</f>
        <v>50.375765090889814</v>
      </c>
      <c r="D7" s="27">
        <f>'[1]Pesticide use in lb-km2'!D6*453.6</f>
        <v>665.1918827542795</v>
      </c>
      <c r="E7" s="27">
        <f>'[1]Pesticide use in lb-km2'!E6*453.6</f>
        <v>0</v>
      </c>
      <c r="F7" s="27">
        <f>'[1]Pesticide use in lb-km2'!F6*453.6</f>
        <v>258.08370782710995</v>
      </c>
      <c r="G7" s="27">
        <f>'[1]Pesticide use in lb-km2'!G6*453.6</f>
        <v>3.6279007512576036</v>
      </c>
      <c r="H7" s="27">
        <f>'[1]Pesticide use in lb-km2'!H6*453.6</f>
        <v>2.205753621983467</v>
      </c>
      <c r="I7" s="27">
        <f>'[1]Pesticide use in lb-km2'!I6*453.6</f>
        <v>0</v>
      </c>
      <c r="J7" s="27">
        <f>'[1]Pesticide use in lb-km2'!J6*453.6</f>
        <v>5.3468220020541031</v>
      </c>
      <c r="K7" s="27">
        <f>'[1]Pesticide use in lb-km2'!K6*453.6</f>
        <v>5.985942951730201</v>
      </c>
      <c r="L7" s="27">
        <f>'[1]Pesticide use in lb-km2'!L6*453.6</f>
        <v>0.11259971492588422</v>
      </c>
      <c r="M7" s="27">
        <f>'[1]Pesticide use in lb-km2'!M6*453.6</f>
        <v>277.36168782093318</v>
      </c>
      <c r="N7" s="27">
        <f>'[1]Pesticide use in lb-km2'!N6*453.6</f>
        <v>63.581989190734831</v>
      </c>
      <c r="O7" s="27">
        <f>'[1]Pesticide use in lb-km2'!O6*453.6</f>
        <v>590.20592486383384</v>
      </c>
      <c r="P7" s="27">
        <f>'[1]Pesticide use in lb-km2'!P6*453.6</f>
        <v>3.8398801373901037</v>
      </c>
    </row>
    <row r="8" spans="1:16" x14ac:dyDescent="0.25">
      <c r="A8">
        <v>11153650</v>
      </c>
      <c r="B8" t="s">
        <v>610</v>
      </c>
      <c r="C8" s="27">
        <f>'[1]Pesticide use in lb-km2'!C7*453.6</f>
        <v>60.948618263851962</v>
      </c>
      <c r="D8" s="27">
        <f>'[1]Pesticide use in lb-km2'!D7*453.6</f>
        <v>120.86304542811233</v>
      </c>
      <c r="E8" s="27">
        <f>'[1]Pesticide use in lb-km2'!E7*453.6</f>
        <v>0.43798648693077447</v>
      </c>
      <c r="F8" s="27">
        <f>'[1]Pesticide use in lb-km2'!F7*453.6</f>
        <v>23.471491792614135</v>
      </c>
      <c r="G8" s="27">
        <f>'[1]Pesticide use in lb-km2'!G7*453.6</f>
        <v>61.542457600712915</v>
      </c>
      <c r="H8" s="27">
        <f>'[1]Pesticide use in lb-km2'!H7*453.6</f>
        <v>13.148392640570254</v>
      </c>
      <c r="I8" s="27">
        <f>'[1]Pesticide use in lb-km2'!I7*453.6</f>
        <v>1.7495224531871155E-2</v>
      </c>
      <c r="J8" s="27">
        <f>'[1]Pesticide use in lb-km2'!J7*453.6</f>
        <v>49.390641808778845</v>
      </c>
      <c r="K8" s="27">
        <f>'[1]Pesticide use in lb-km2'!K7*453.6</f>
        <v>6.323707552021933E-3</v>
      </c>
      <c r="L8" s="27">
        <f>'[1]Pesticide use in lb-km2'!L7*453.6</f>
        <v>1.1635211916764898</v>
      </c>
      <c r="M8" s="27">
        <f>'[1]Pesticide use in lb-km2'!M7*453.6</f>
        <v>18.870386739026742</v>
      </c>
      <c r="N8" s="27">
        <f>'[1]Pesticide use in lb-km2'!N7*453.6</f>
        <v>187.36332615906807</v>
      </c>
      <c r="O8" s="27">
        <f>'[1]Pesticide use in lb-km2'!O7*453.6</f>
        <v>342.87063018361084</v>
      </c>
      <c r="P8" s="27">
        <f>'[1]Pesticide use in lb-km2'!P7*453.6</f>
        <v>85.740674159177516</v>
      </c>
    </row>
    <row r="9" spans="1:16" x14ac:dyDescent="0.25">
      <c r="A9">
        <v>11159200</v>
      </c>
      <c r="B9" t="s">
        <v>611</v>
      </c>
      <c r="C9" s="27">
        <f>'[1]Pesticide use in lb-km2'!C8*453.6</f>
        <v>11.751932582093497</v>
      </c>
      <c r="D9" s="27">
        <f>'[1]Pesticide use in lb-km2'!D8*453.6</f>
        <v>253.45213417114653</v>
      </c>
      <c r="E9" s="27">
        <f>'[1]Pesticide use in lb-km2'!E8*453.6</f>
        <v>607.11208104749187</v>
      </c>
      <c r="F9" s="27">
        <f>'[1]Pesticide use in lb-km2'!F8*453.6</f>
        <v>4.12067502302585E-2</v>
      </c>
      <c r="G9" s="27">
        <f>'[1]Pesticide use in lb-km2'!G8*453.6</f>
        <v>14.614053549721699</v>
      </c>
      <c r="H9" s="27">
        <f>'[1]Pesticide use in lb-km2'!H8*453.6</f>
        <v>2.2650033373188294</v>
      </c>
      <c r="I9" s="27">
        <f>'[1]Pesticide use in lb-km2'!I8*453.6</f>
        <v>0</v>
      </c>
      <c r="J9" s="27">
        <f>'[1]Pesticide use in lb-km2'!J8*453.6</f>
        <v>5.9952696076620953</v>
      </c>
      <c r="K9" s="27">
        <f>'[1]Pesticide use in lb-km2'!K8*453.6</f>
        <v>1.8110722357825701E-3</v>
      </c>
      <c r="L9" s="27">
        <f>'[1]Pesticide use in lb-km2'!L8*453.6</f>
        <v>0.9551289285179273</v>
      </c>
      <c r="M9" s="27">
        <f>'[1]Pesticide use in lb-km2'!M8*453.6</f>
        <v>345.19382122248919</v>
      </c>
      <c r="N9" s="27">
        <f>'[1]Pesticide use in lb-km2'!N8*453.6</f>
        <v>1.3801127680971872</v>
      </c>
      <c r="O9" s="27">
        <f>'[1]Pesticide use in lb-km2'!O8*453.6</f>
        <v>12.982284264139013</v>
      </c>
      <c r="P9" s="27">
        <f>'[1]Pesticide use in lb-km2'!P8*453.6</f>
        <v>3.8902469919480129E-3</v>
      </c>
    </row>
    <row r="10" spans="1:16" x14ac:dyDescent="0.25">
      <c r="A10">
        <v>11176900</v>
      </c>
      <c r="B10" t="s">
        <v>612</v>
      </c>
      <c r="C10" s="27">
        <f>'[1]Pesticide use in lb-km2'!C9*453.6</f>
        <v>50.937486930826218</v>
      </c>
      <c r="D10" s="27">
        <f>'[1]Pesticide use in lb-km2'!D9*453.6</f>
        <v>1.6398479827211943</v>
      </c>
      <c r="E10" s="27">
        <f>'[1]Pesticide use in lb-km2'!E9*453.6</f>
        <v>1.1023607926549336E-3</v>
      </c>
      <c r="F10" s="27">
        <f>'[1]Pesticide use in lb-km2'!F9*453.6</f>
        <v>2.6897835251155309</v>
      </c>
      <c r="G10" s="27">
        <f>'[1]Pesticide use in lb-km2'!G9*453.6</f>
        <v>46.318312802389322</v>
      </c>
      <c r="H10" s="27">
        <f>'[1]Pesticide use in lb-km2'!H9*453.6</f>
        <v>0.23729519516143829</v>
      </c>
      <c r="I10" s="27">
        <f>'[1]Pesticide use in lb-km2'!I9*453.6</f>
        <v>0</v>
      </c>
      <c r="J10" s="27">
        <f>'[1]Pesticide use in lb-km2'!J9*453.6</f>
        <v>31.48635783201992</v>
      </c>
      <c r="K10" s="27">
        <f>'[1]Pesticide use in lb-km2'!K9*453.6</f>
        <v>1.310233612517215E-3</v>
      </c>
      <c r="L10" s="27">
        <f>'[1]Pesticide use in lb-km2'!L9*453.6</f>
        <v>3.8933244708569257</v>
      </c>
      <c r="M10" s="27">
        <f>'[1]Pesticide use in lb-km2'!M9*453.6</f>
        <v>30.467390130013765</v>
      </c>
      <c r="N10" s="27">
        <f>'[1]Pesticide use in lb-km2'!N9*453.6</f>
        <v>229.86834824265503</v>
      </c>
      <c r="O10" s="27">
        <f>'[1]Pesticide use in lb-km2'!O9*453.6</f>
        <v>5.8038865268791229</v>
      </c>
      <c r="P10" s="27">
        <f>'[1]Pesticide use in lb-km2'!P9*453.6</f>
        <v>12.838647799714625</v>
      </c>
    </row>
    <row r="11" spans="1:16" x14ac:dyDescent="0.25">
      <c r="A11">
        <v>11182400</v>
      </c>
      <c r="B11" t="s">
        <v>613</v>
      </c>
      <c r="C11" s="27">
        <f>'[1]Pesticide use in lb-km2'!C10*453.6</f>
        <v>160.25440815469202</v>
      </c>
      <c r="D11" s="27">
        <f>'[1]Pesticide use in lb-km2'!D10*453.6</f>
        <v>0</v>
      </c>
      <c r="E11" s="27">
        <f>'[1]Pesticide use in lb-km2'!E10*453.6</f>
        <v>7.7105072985781987E-3</v>
      </c>
      <c r="F11" s="27">
        <f>'[1]Pesticide use in lb-km2'!F10*453.6</f>
        <v>15.601556605308067</v>
      </c>
      <c r="G11" s="27">
        <f>'[1]Pesticide use in lb-km2'!G10*453.6</f>
        <v>131.15947261478669</v>
      </c>
      <c r="H11" s="27">
        <f>'[1]Pesticide use in lb-km2'!H10*453.6</f>
        <v>0.91273424246445323</v>
      </c>
      <c r="I11" s="27">
        <f>'[1]Pesticide use in lb-km2'!I10*453.6</f>
        <v>0</v>
      </c>
      <c r="J11" s="27">
        <f>'[1]Pesticide use in lb-km2'!J10*453.6</f>
        <v>85.212313582180087</v>
      </c>
      <c r="K11" s="27">
        <f>'[1]Pesticide use in lb-km2'!K10*453.6</f>
        <v>2.171200947867298E-3</v>
      </c>
      <c r="L11" s="27">
        <f>'[1]Pesticide use in lb-km2'!L10*453.6</f>
        <v>35.051327210047397</v>
      </c>
      <c r="M11" s="27">
        <f>'[1]Pesticide use in lb-km2'!M10*453.6</f>
        <v>53.942205669952678</v>
      </c>
      <c r="N11" s="27">
        <f>'[1]Pesticide use in lb-km2'!N10*453.6</f>
        <v>83.895761354502426</v>
      </c>
      <c r="O11" s="27">
        <f>'[1]Pesticide use in lb-km2'!O10*453.6</f>
        <v>20.372727567582963</v>
      </c>
      <c r="P11" s="27">
        <f>'[1]Pesticide use in lb-km2'!P10*453.6</f>
        <v>61.99306920853094</v>
      </c>
    </row>
    <row r="12" spans="1:16" x14ac:dyDescent="0.25">
      <c r="A12">
        <v>11182500</v>
      </c>
      <c r="B12" t="s">
        <v>614</v>
      </c>
      <c r="C12" s="27">
        <f>'[1]Pesticide use in lb-km2'!C11*453.6</f>
        <v>26.701939349710592</v>
      </c>
      <c r="D12" s="27">
        <f>'[1]Pesticide use in lb-km2'!D11*453.6</f>
        <v>0</v>
      </c>
      <c r="E12" s="27">
        <f>'[1]Pesticide use in lb-km2'!E11*453.6</f>
        <v>1.2847410520900322E-3</v>
      </c>
      <c r="F12" s="27">
        <f>'[1]Pesticide use in lb-km2'!F11*453.6</f>
        <v>2.5995654104180059</v>
      </c>
      <c r="G12" s="27">
        <f>'[1]Pesticide use in lb-km2'!G11*453.6</f>
        <v>21.854077623202571</v>
      </c>
      <c r="H12" s="27">
        <f>'[1]Pesticide use in lb-km2'!H11*453.6</f>
        <v>0.15208178284244384</v>
      </c>
      <c r="I12" s="27">
        <f>'[1]Pesticide use in lb-km2'!I11*453.6</f>
        <v>0</v>
      </c>
      <c r="J12" s="27">
        <f>'[1]Pesticide use in lb-km2'!J11*453.6</f>
        <v>14.198261687305457</v>
      </c>
      <c r="K12" s="27">
        <f>'[1]Pesticide use in lb-km2'!K11*453.6</f>
        <v>3.6177152411575567E-4</v>
      </c>
      <c r="L12" s="27">
        <f>'[1]Pesticide use in lb-km2'!L11*453.6</f>
        <v>5.8403286669067409</v>
      </c>
      <c r="M12" s="27">
        <f>'[1]Pesticide use in lb-km2'!M11*453.6</f>
        <v>6.991456807099679</v>
      </c>
      <c r="N12" s="27">
        <f>'[1]Pesticide use in lb-km2'!N11*453.6</f>
        <v>13.978894893221872</v>
      </c>
      <c r="O12" s="27">
        <f>'[1]Pesticide use in lb-km2'!O11*453.6</f>
        <v>3.3945483583794225</v>
      </c>
      <c r="P12" s="27">
        <f>'[1]Pesticide use in lb-km2'!P11*453.6</f>
        <v>10.327828588090052</v>
      </c>
    </row>
    <row r="13" spans="1:16" x14ac:dyDescent="0.25">
      <c r="A13">
        <v>11456500</v>
      </c>
      <c r="B13" t="s">
        <v>615</v>
      </c>
      <c r="C13" s="27">
        <f>'[1]Pesticide use in lb-km2'!C12*453.6</f>
        <v>2.6881780743639618</v>
      </c>
      <c r="D13" s="27">
        <f>'[1]Pesticide use in lb-km2'!D12*453.6</f>
        <v>0</v>
      </c>
      <c r="E13" s="27">
        <f>'[1]Pesticide use in lb-km2'!E12*453.6</f>
        <v>0</v>
      </c>
      <c r="F13" s="27">
        <f>'[1]Pesticide use in lb-km2'!F12*453.6</f>
        <v>6.8058332197726903E-2</v>
      </c>
      <c r="G13" s="27">
        <f>'[1]Pesticide use in lb-km2'!G12*453.6</f>
        <v>2.3420631098671794</v>
      </c>
      <c r="H13" s="27">
        <f>'[1]Pesticide use in lb-km2'!H12*453.6</f>
        <v>4.8568904784335176E-2</v>
      </c>
      <c r="I13" s="27">
        <f>'[1]Pesticide use in lb-km2'!I12*453.6</f>
        <v>0</v>
      </c>
      <c r="J13" s="27">
        <f>'[1]Pesticide use in lb-km2'!J12*453.6</f>
        <v>2.590265775248529</v>
      </c>
      <c r="K13" s="27">
        <f>'[1]Pesticide use in lb-km2'!K12*453.6</f>
        <v>3.3139538983979209E-3</v>
      </c>
      <c r="L13" s="27">
        <f>'[1]Pesticide use in lb-km2'!L12*453.6</f>
        <v>4.1237774131178975E-2</v>
      </c>
      <c r="M13" s="27">
        <f>'[1]Pesticide use in lb-km2'!M12*453.6</f>
        <v>465.2827457500303</v>
      </c>
      <c r="N13" s="27">
        <f>'[1]Pesticide use in lb-km2'!N12*453.6</f>
        <v>640.28562820636887</v>
      </c>
      <c r="O13" s="27">
        <f>'[1]Pesticide use in lb-km2'!O12*453.6</f>
        <v>1.3094078839709691</v>
      </c>
      <c r="P13" s="27">
        <f>'[1]Pesticide use in lb-km2'!P12*453.6</f>
        <v>3.3233235023579373</v>
      </c>
    </row>
    <row r="14" spans="1:16" x14ac:dyDescent="0.25">
      <c r="A14">
        <v>11458300</v>
      </c>
      <c r="B14" t="s">
        <v>616</v>
      </c>
      <c r="C14" s="27">
        <f>'[1]Pesticide use in lb-km2'!C13*453.6</f>
        <v>21.122642271494595</v>
      </c>
      <c r="D14" s="27">
        <f>'[1]Pesticide use in lb-km2'!D13*453.6</f>
        <v>0</v>
      </c>
      <c r="E14" s="27">
        <f>'[1]Pesticide use in lb-km2'!E13*453.6</f>
        <v>7.5455789214175478E-4</v>
      </c>
      <c r="F14" s="27">
        <f>'[1]Pesticide use in lb-km2'!F13*453.6</f>
        <v>0.53498620733436142</v>
      </c>
      <c r="G14" s="27">
        <f>'[1]Pesticide use in lb-km2'!G13*453.6</f>
        <v>18.444632928628643</v>
      </c>
      <c r="H14" s="27">
        <f>'[1]Pesticide use in lb-km2'!H13*453.6</f>
        <v>0.38204901485362108</v>
      </c>
      <c r="I14" s="27">
        <f>'[1]Pesticide use in lb-km2'!I13*453.6</f>
        <v>0</v>
      </c>
      <c r="J14" s="27">
        <f>'[1]Pesticide use in lb-km2'!J13*453.6</f>
        <v>20.361267309522326</v>
      </c>
      <c r="K14" s="27">
        <f>'[1]Pesticide use in lb-km2'!K13*453.6</f>
        <v>2.6076280493066241E-2</v>
      </c>
      <c r="L14" s="27">
        <f>'[1]Pesticide use in lb-km2'!L13*453.6</f>
        <v>0.33202554323574712</v>
      </c>
      <c r="M14" s="27">
        <f>'[1]Pesticide use in lb-km2'!M13*453.6</f>
        <v>113.70727534964577</v>
      </c>
      <c r="N14" s="27">
        <f>'[1]Pesticide use in lb-km2'!N13*453.6</f>
        <v>1069.7292961349754</v>
      </c>
      <c r="O14" s="27">
        <f>'[1]Pesticide use in lb-km2'!O13*453.6</f>
        <v>10.319758337010796</v>
      </c>
      <c r="P14" s="27">
        <f>'[1]Pesticide use in lb-km2'!P13*453.6</f>
        <v>19.947586916856718</v>
      </c>
    </row>
    <row r="15" spans="1:16" x14ac:dyDescent="0.25">
      <c r="A15">
        <v>11459500</v>
      </c>
      <c r="B15" t="s">
        <v>617</v>
      </c>
      <c r="C15" s="27">
        <f>'[1]Pesticide use in lb-km2'!C14*453.6</f>
        <v>5.8765443266910147</v>
      </c>
      <c r="D15" s="27">
        <f>'[1]Pesticide use in lb-km2'!D14*453.6</f>
        <v>0.13612360450655761</v>
      </c>
      <c r="E15" s="27">
        <f>'[1]Pesticide use in lb-km2'!E14*453.6</f>
        <v>0</v>
      </c>
      <c r="F15" s="27">
        <f>'[1]Pesticide use in lb-km2'!F14*453.6</f>
        <v>0.3443229128875509</v>
      </c>
      <c r="G15" s="27">
        <f>'[1]Pesticide use in lb-km2'!G14*453.6</f>
        <v>10.247258972264042</v>
      </c>
      <c r="H15" s="27">
        <f>'[1]Pesticide use in lb-km2'!H14*453.6</f>
        <v>0.2344346994968822</v>
      </c>
      <c r="I15" s="27">
        <f>'[1]Pesticide use in lb-km2'!I14*453.6</f>
        <v>0</v>
      </c>
      <c r="J15" s="27">
        <f>'[1]Pesticide use in lb-km2'!J14*453.6</f>
        <v>21.05165303690389</v>
      </c>
      <c r="K15" s="27">
        <f>'[1]Pesticide use in lb-km2'!K14*453.6</f>
        <v>8.2884062438185278E-3</v>
      </c>
      <c r="L15" s="27">
        <f>'[1]Pesticide use in lb-km2'!L14*453.6</f>
        <v>0</v>
      </c>
      <c r="M15" s="27">
        <f>'[1]Pesticide use in lb-km2'!M14*453.6</f>
        <v>0</v>
      </c>
      <c r="N15" s="27">
        <f>'[1]Pesticide use in lb-km2'!N14*453.6</f>
        <v>2.6942395716534091</v>
      </c>
      <c r="O15" s="27">
        <f>'[1]Pesticide use in lb-km2'!O14*453.6</f>
        <v>11.575389366089</v>
      </c>
      <c r="P15" s="27">
        <f>'[1]Pesticide use in lb-km2'!P14*453.6</f>
        <v>4.494831816005159</v>
      </c>
    </row>
    <row r="16" spans="1:16" x14ac:dyDescent="0.25">
      <c r="A16">
        <v>11460000</v>
      </c>
      <c r="B16" t="s">
        <v>618</v>
      </c>
      <c r="C16" s="27">
        <f>'[1]Pesticide use in lb-km2'!C15*453.6</f>
        <v>18.212612517019274</v>
      </c>
      <c r="D16" s="27">
        <f>'[1]Pesticide use in lb-km2'!D15*453.6</f>
        <v>0.42187490518201259</v>
      </c>
      <c r="E16" s="27">
        <f>'[1]Pesticide use in lb-km2'!E15*453.6</f>
        <v>0</v>
      </c>
      <c r="F16" s="27">
        <f>'[1]Pesticide use in lb-km2'!F15*453.6</f>
        <v>1.0671271021156334</v>
      </c>
      <c r="G16" s="27">
        <f>'[1]Pesticide use in lb-km2'!G15*453.6</f>
        <v>31.758350895366174</v>
      </c>
      <c r="H16" s="27">
        <f>'[1]Pesticide use in lb-km2'!H15*453.6</f>
        <v>0.72656108479657233</v>
      </c>
      <c r="I16" s="27">
        <f>'[1]Pesticide use in lb-km2'!I15*453.6</f>
        <v>0</v>
      </c>
      <c r="J16" s="27">
        <f>'[1]Pesticide use in lb-km2'!J15*453.6</f>
        <v>65.24337738650091</v>
      </c>
      <c r="K16" s="27">
        <f>'[1]Pesticide use in lb-km2'!K15*453.6</f>
        <v>2.5687503982869363E-2</v>
      </c>
      <c r="L16" s="27">
        <f>'[1]Pesticide use in lb-km2'!L15*453.6</f>
        <v>0</v>
      </c>
      <c r="M16" s="27">
        <f>'[1]Pesticide use in lb-km2'!M15*453.6</f>
        <v>0</v>
      </c>
      <c r="N16" s="27">
        <f>'[1]Pesticide use in lb-km2'!N15*453.6</f>
        <v>8.3499993532676555</v>
      </c>
      <c r="O16" s="27">
        <f>'[1]Pesticide use in lb-km2'!O15*453.6</f>
        <v>33.970909611083513</v>
      </c>
      <c r="P16" s="27">
        <f>'[1]Pesticide use in lb-km2'!P15*453.6</f>
        <v>13.930402892299776</v>
      </c>
    </row>
    <row r="17" spans="1:16" x14ac:dyDescent="0.25">
      <c r="A17">
        <v>11465660</v>
      </c>
      <c r="B17" t="s">
        <v>619</v>
      </c>
      <c r="C17" s="27">
        <f>'[1]Pesticide use in lb-km2'!C16*453.6</f>
        <v>20.0457460872532</v>
      </c>
      <c r="D17" s="27">
        <f>'[1]Pesticide use in lb-km2'!D16*453.6</f>
        <v>0</v>
      </c>
      <c r="E17" s="27">
        <f>'[1]Pesticide use in lb-km2'!E16*453.6</f>
        <v>0.79557065456010612</v>
      </c>
      <c r="F17" s="27">
        <f>'[1]Pesticide use in lb-km2'!F16*453.6</f>
        <v>7.3113407854936057</v>
      </c>
      <c r="G17" s="27">
        <f>'[1]Pesticide use in lb-km2'!G16*453.6</f>
        <v>57.593494578052294</v>
      </c>
      <c r="H17" s="27">
        <f>'[1]Pesticide use in lb-km2'!H16*453.6</f>
        <v>0.72044556878442101</v>
      </c>
      <c r="I17" s="27">
        <f>'[1]Pesticide use in lb-km2'!I16*453.6</f>
        <v>0</v>
      </c>
      <c r="J17" s="27">
        <f>'[1]Pesticide use in lb-km2'!J16*453.6</f>
        <v>23.573129291443923</v>
      </c>
      <c r="K17" s="27">
        <f>'[1]Pesticide use in lb-km2'!K16*453.6</f>
        <v>5.7910033595701731E-2</v>
      </c>
      <c r="L17" s="27">
        <f>'[1]Pesticide use in lb-km2'!L16*453.6</f>
        <v>8.6712708726930732</v>
      </c>
      <c r="M17" s="27">
        <f>'[1]Pesticide use in lb-km2'!M16*453.6</f>
        <v>0.58270787250503797</v>
      </c>
      <c r="N17" s="27">
        <f>'[1]Pesticide use in lb-km2'!N16*453.6</f>
        <v>45.073750525990604</v>
      </c>
      <c r="O17" s="27">
        <f>'[1]Pesticide use in lb-km2'!O16*453.6</f>
        <v>40.292699812706516</v>
      </c>
      <c r="P17" s="27">
        <f>'[1]Pesticide use in lb-km2'!P16*453.6</f>
        <v>24.923047400026842</v>
      </c>
    </row>
    <row r="18" spans="1:16" x14ac:dyDescent="0.25">
      <c r="A18">
        <v>11465690</v>
      </c>
      <c r="B18" t="s">
        <v>620</v>
      </c>
      <c r="C18" s="27">
        <f>'[1]Pesticide use in lb-km2'!C17*453.6</f>
        <v>33.628618816725655</v>
      </c>
      <c r="D18" s="27">
        <f>'[1]Pesticide use in lb-km2'!D17*453.6</f>
        <v>0</v>
      </c>
      <c r="E18" s="27">
        <f>'[1]Pesticide use in lb-km2'!E17*453.6</f>
        <v>1.7007075684955737</v>
      </c>
      <c r="F18" s="27">
        <f>'[1]Pesticide use in lb-km2'!F17*453.6</f>
        <v>1.3262818428318566</v>
      </c>
      <c r="G18" s="27">
        <f>'[1]Pesticide use in lb-km2'!G17*453.6</f>
        <v>123.11878387460168</v>
      </c>
      <c r="H18" s="27">
        <f>'[1]Pesticide use in lb-km2'!H17*453.6</f>
        <v>1.5401111407964598</v>
      </c>
      <c r="I18" s="27">
        <f>'[1]Pesticide use in lb-km2'!I17*453.6</f>
        <v>0</v>
      </c>
      <c r="J18" s="27">
        <f>'[1]Pesticide use in lb-km2'!J17*453.6</f>
        <v>50.39275758132743</v>
      </c>
      <c r="K18" s="27">
        <f>'[1]Pesticide use in lb-km2'!K17*453.6</f>
        <v>0.12379547333628313</v>
      </c>
      <c r="L18" s="27">
        <f>'[1]Pesticide use in lb-km2'!L17*453.6</f>
        <v>18.536752018672576</v>
      </c>
      <c r="M18" s="27">
        <f>'[1]Pesticide use in lb-km2'!M17*453.6</f>
        <v>1.2456664853097341</v>
      </c>
      <c r="N18" s="27">
        <f>'[1]Pesticide use in lb-km2'!N17*453.6</f>
        <v>96.355072649469207</v>
      </c>
      <c r="O18" s="27">
        <f>'[1]Pesticide use in lb-km2'!O17*453.6</f>
        <v>86.134523278937962</v>
      </c>
      <c r="P18" s="27">
        <f>'[1]Pesticide use in lb-km2'!P17*453.6</f>
        <v>11.157834892300887</v>
      </c>
    </row>
    <row r="19" spans="1:16" x14ac:dyDescent="0.25">
      <c r="A19">
        <v>11466170</v>
      </c>
      <c r="B19" t="s">
        <v>621</v>
      </c>
      <c r="C19" s="27">
        <f>'[1]Pesticide use in lb-km2'!C18*453.6</f>
        <v>13.832838578174163</v>
      </c>
      <c r="D19" s="27">
        <f>'[1]Pesticide use in lb-km2'!D18*453.6</f>
        <v>14.7612517205056</v>
      </c>
      <c r="E19" s="27">
        <f>'[1]Pesticide use in lb-km2'!E18*453.6</f>
        <v>0.69957120969100961</v>
      </c>
      <c r="F19" s="27">
        <f>'[1]Pesticide use in lb-km2'!F18*453.6</f>
        <v>0.54555446730336854</v>
      </c>
      <c r="G19" s="27">
        <f>'[1]Pesticide use in lb-km2'!G18*453.6</f>
        <v>50.643836192780867</v>
      </c>
      <c r="H19" s="27">
        <f>'[1]Pesticide use in lb-km2'!H18*453.6</f>
        <v>0.63351126606741626</v>
      </c>
      <c r="I19" s="27">
        <f>'[1]Pesticide use in lb-km2'!I18*453.6</f>
        <v>0</v>
      </c>
      <c r="J19" s="27">
        <f>'[1]Pesticide use in lb-km2'!J18*453.6</f>
        <v>20.728620612176986</v>
      </c>
      <c r="K19" s="27">
        <f>'[1]Pesticide use in lb-km2'!K18*453.6</f>
        <v>5.092217682724736E-2</v>
      </c>
      <c r="L19" s="27">
        <f>'[1]Pesticide use in lb-km2'!L18*453.6</f>
        <v>7.6249310057444015</v>
      </c>
      <c r="M19" s="27">
        <f>'[1]Pesticide use in lb-km2'!M18*453.6</f>
        <v>12.498183927682584</v>
      </c>
      <c r="N19" s="27">
        <f>'[1]Pesticide use in lb-km2'!N18*453.6</f>
        <v>107.50494673428351</v>
      </c>
      <c r="O19" s="27">
        <f>'[1]Pesticide use in lb-km2'!O18*453.6</f>
        <v>35.430683704382012</v>
      </c>
      <c r="P19" s="27">
        <f>'[1]Pesticide use in lb-km2'!P18*453.6</f>
        <v>4.5896779138904318</v>
      </c>
    </row>
    <row r="20" spans="1:16" x14ac:dyDescent="0.25">
      <c r="A20">
        <v>11466200</v>
      </c>
      <c r="B20" t="s">
        <v>622</v>
      </c>
      <c r="C20" s="27">
        <f>'[1]Pesticide use in lb-km2'!C19*453.6</f>
        <v>15.128928618202428</v>
      </c>
      <c r="D20" s="27">
        <f>'[1]Pesticide use in lb-km2'!D19*453.6</f>
        <v>6.4151831996681441</v>
      </c>
      <c r="E20" s="27">
        <f>'[1]Pesticide use in lb-km2'!E19*453.6</f>
        <v>0.76511865310287774</v>
      </c>
      <c r="F20" s="27">
        <f>'[1]Pesticide use in lb-km2'!F19*453.6</f>
        <v>0.59667105982300839</v>
      </c>
      <c r="G20" s="27">
        <f>'[1]Pesticide use in lb-km2'!G19*453.6</f>
        <v>55.388991820021928</v>
      </c>
      <c r="H20" s="27">
        <f>'[1]Pesticide use in lb-km2'!H19*453.6</f>
        <v>0.69286911715154853</v>
      </c>
      <c r="I20" s="27">
        <f>'[1]Pesticide use in lb-km2'!I19*453.6</f>
        <v>0</v>
      </c>
      <c r="J20" s="27">
        <f>'[1]Pesticide use in lb-km2'!J19*453.6</f>
        <v>22.670822038738947</v>
      </c>
      <c r="K20" s="27">
        <f>'[1]Pesticide use in lb-km2'!K19*453.6</f>
        <v>5.5693411924778918E-2</v>
      </c>
      <c r="L20" s="27">
        <f>'[1]Pesticide use in lb-km2'!L19*453.6</f>
        <v>8.3393611672898338</v>
      </c>
      <c r="M20" s="27">
        <f>'[1]Pesticide use in lb-km2'!M19*453.6</f>
        <v>18.15408086172015</v>
      </c>
      <c r="N20" s="27">
        <f>'[1]Pesticide use in lb-km2'!N19*453.6</f>
        <v>90.995932720154855</v>
      </c>
      <c r="O20" s="27">
        <f>'[1]Pesticide use in lb-km2'!O19*453.6</f>
        <v>38.750418554734516</v>
      </c>
      <c r="P20" s="27">
        <f>'[1]Pesticide use in lb-km2'!P19*453.6</f>
        <v>5.0200325928816234</v>
      </c>
    </row>
    <row r="21" spans="1:16" x14ac:dyDescent="0.25">
      <c r="A21">
        <v>11466320</v>
      </c>
      <c r="B21" t="s">
        <v>623</v>
      </c>
      <c r="C21" s="27">
        <f>'[1]Pesticide use in lb-km2'!C20*453.6</f>
        <v>22.437109567985427</v>
      </c>
      <c r="D21" s="27">
        <f>'[1]Pesticide use in lb-km2'!D20*453.6</f>
        <v>34.771485938012752</v>
      </c>
      <c r="E21" s="27">
        <f>'[1]Pesticide use in lb-km2'!E20*453.6</f>
        <v>1.1467404584138543</v>
      </c>
      <c r="F21" s="27">
        <f>'[1]Pesticide use in lb-km2'!F20*453.6</f>
        <v>0.88489901075661093</v>
      </c>
      <c r="G21" s="27">
        <f>'[1]Pesticide use in lb-km2'!G20*453.6</f>
        <v>82.145200745961859</v>
      </c>
      <c r="H21" s="27">
        <f>'[1]Pesticide use in lb-km2'!H20*453.6</f>
        <v>1.0275665066909758</v>
      </c>
      <c r="I21" s="27">
        <f>'[1]Pesticide use in lb-km2'!I20*453.6</f>
        <v>0</v>
      </c>
      <c r="J21" s="27">
        <f>'[1]Pesticide use in lb-km2'!J20*453.6</f>
        <v>33.622190367292625</v>
      </c>
      <c r="K21" s="27">
        <f>'[1]Pesticide use in lb-km2'!K20*453.6</f>
        <v>8.2596673181403665E-2</v>
      </c>
      <c r="L21" s="27">
        <f>'[1]Pesticide use in lb-km2'!L20*453.6</f>
        <v>12.367773355733808</v>
      </c>
      <c r="M21" s="27">
        <f>'[1]Pesticide use in lb-km2'!M20*453.6</f>
        <v>115.91117237797636</v>
      </c>
      <c r="N21" s="27">
        <f>'[1]Pesticide use in lb-km2'!N20*453.6</f>
        <v>135.65816203175956</v>
      </c>
      <c r="O21" s="27">
        <f>'[1]Pesticide use in lb-km2'!O20*453.6</f>
        <v>61.98477287660895</v>
      </c>
      <c r="P21" s="27">
        <f>'[1]Pesticide use in lb-km2'!P20*453.6</f>
        <v>7.4447715137283481</v>
      </c>
    </row>
    <row r="22" spans="1:16" x14ac:dyDescent="0.25">
      <c r="A22" s="34">
        <v>351436120405201</v>
      </c>
      <c r="B22" t="s">
        <v>624</v>
      </c>
      <c r="C22" s="27">
        <f>'[1]Pesticide use in lb-km2'!C21*453.6</f>
        <v>44.152306596876585</v>
      </c>
      <c r="D22" s="27">
        <f>'[1]Pesticide use in lb-km2'!D21*453.6</f>
        <v>34.95783049632243</v>
      </c>
      <c r="E22" s="27">
        <f>'[1]Pesticide use in lb-km2'!E21*453.6</f>
        <v>0</v>
      </c>
      <c r="F22" s="27">
        <f>'[1]Pesticide use in lb-km2'!F21*453.6</f>
        <v>7.8782195824684988</v>
      </c>
      <c r="G22" s="27">
        <f>'[1]Pesticide use in lb-km2'!G21*453.6</f>
        <v>21.448028874559213</v>
      </c>
      <c r="H22" s="27">
        <f>'[1]Pesticide use in lb-km2'!H21*453.6</f>
        <v>0.19654400403022665</v>
      </c>
      <c r="I22" s="27">
        <f>'[1]Pesticide use in lb-km2'!I21*453.6</f>
        <v>0</v>
      </c>
      <c r="J22" s="27">
        <f>'[1]Pesticide use in lb-km2'!J21*453.6</f>
        <v>18.29779256584381</v>
      </c>
      <c r="K22" s="27">
        <f>'[1]Pesticide use in lb-km2'!K21*453.6</f>
        <v>3.7253276372795976E-2</v>
      </c>
      <c r="L22" s="27">
        <f>'[1]Pesticide use in lb-km2'!L21*453.6</f>
        <v>1.2242997884130982E-2</v>
      </c>
      <c r="M22" s="27">
        <f>'[1]Pesticide use in lb-km2'!M21*453.6</f>
        <v>67.850701362015215</v>
      </c>
      <c r="N22" s="27">
        <f>'[1]Pesticide use in lb-km2'!N21*453.6</f>
        <v>40.792935263879102</v>
      </c>
      <c r="O22" s="27">
        <f>'[1]Pesticide use in lb-km2'!O21*453.6</f>
        <v>10.810029544382871</v>
      </c>
      <c r="P22" s="27">
        <f>'[1]Pesticide use in lb-km2'!P21*453.6</f>
        <v>43.258655559899275</v>
      </c>
    </row>
    <row r="23" spans="1:16" x14ac:dyDescent="0.25">
      <c r="A23" s="34">
        <v>352934120395501</v>
      </c>
      <c r="B23" t="s">
        <v>625</v>
      </c>
      <c r="C23" s="27">
        <f>'[1]Pesticide use in lb-km2'!C22*453.6</f>
        <v>35.99793142574687</v>
      </c>
      <c r="D23" s="27">
        <f>'[1]Pesticide use in lb-km2'!D22*453.6</f>
        <v>0.48858537617276537</v>
      </c>
      <c r="E23" s="27">
        <f>'[1]Pesticide use in lb-km2'!E22*453.6</f>
        <v>0</v>
      </c>
      <c r="F23" s="27">
        <f>'[1]Pesticide use in lb-km2'!F22*453.6</f>
        <v>0.71337758166766829</v>
      </c>
      <c r="G23" s="27">
        <f>'[1]Pesticide use in lb-km2'!G22*453.6</f>
        <v>19.29357434375525</v>
      </c>
      <c r="H23" s="27">
        <f>'[1]Pesticide use in lb-km2'!H22*453.6</f>
        <v>0.17680116223155351</v>
      </c>
      <c r="I23" s="27">
        <f>'[1]Pesticide use in lb-km2'!I22*453.6</f>
        <v>0</v>
      </c>
      <c r="J23" s="27">
        <f>'[1]Pesticide use in lb-km2'!J22*453.6</f>
        <v>16.459779281679687</v>
      </c>
      <c r="K23" s="27">
        <f>'[1]Pesticide use in lb-km2'!K22*453.6</f>
        <v>3.351118070785844E-2</v>
      </c>
      <c r="L23" s="27">
        <f>'[1]Pesticide use in lb-km2'!L22*453.6</f>
        <v>1.101318305938814E-2</v>
      </c>
      <c r="M23" s="27">
        <f>'[1]Pesticide use in lb-km2'!M22*453.6</f>
        <v>48.282906954385155</v>
      </c>
      <c r="N23" s="27">
        <f>'[1]Pesticide use in lb-km2'!N22*453.6</f>
        <v>34.930381192671852</v>
      </c>
      <c r="O23" s="27">
        <f>'[1]Pesticide use in lb-km2'!O22*453.6</f>
        <v>9.4906112859988117</v>
      </c>
      <c r="P23" s="27">
        <f>'[1]Pesticide use in lb-km2'!P22*453.6</f>
        <v>38.913323558728251</v>
      </c>
    </row>
    <row r="24" spans="1:16" x14ac:dyDescent="0.25">
      <c r="A24" s="34">
        <v>363608121255201</v>
      </c>
      <c r="B24" t="s">
        <v>626</v>
      </c>
      <c r="C24" s="27">
        <f>'[1]Pesticide use in lb-km2'!C23*453.6</f>
        <v>0.25100605881147525</v>
      </c>
      <c r="D24" s="27">
        <f>'[1]Pesticide use in lb-km2'!D23*453.6</f>
        <v>5.8568137967213033E-3</v>
      </c>
      <c r="E24" s="27">
        <f>'[1]Pesticide use in lb-km2'!E23*453.6</f>
        <v>0</v>
      </c>
      <c r="F24" s="27">
        <f>'[1]Pesticide use in lb-km2'!F23*453.6</f>
        <v>2.2206438811475404E-3</v>
      </c>
      <c r="G24" s="27">
        <f>'[1]Pesticide use in lb-km2'!G23*453.6</f>
        <v>6.4022835983606585E-2</v>
      </c>
      <c r="H24" s="27">
        <f>'[1]Pesticide use in lb-km2'!H23*453.6</f>
        <v>2.0844577622950822E-3</v>
      </c>
      <c r="I24" s="27">
        <f>'[1]Pesticide use in lb-km2'!I23*453.6</f>
        <v>0</v>
      </c>
      <c r="J24" s="27">
        <f>'[1]Pesticide use in lb-km2'!J23*453.6</f>
        <v>9.5353396967213039E-2</v>
      </c>
      <c r="K24" s="27">
        <f>'[1]Pesticide use in lb-km2'!K23*453.6</f>
        <v>4.0456759057377073E-5</v>
      </c>
      <c r="L24" s="27">
        <f>'[1]Pesticide use in lb-km2'!L23*453.6</f>
        <v>1.9227806557377057E-3</v>
      </c>
      <c r="M24" s="27">
        <f>'[1]Pesticide use in lb-km2'!M23*453.6</f>
        <v>1.1332661176475431</v>
      </c>
      <c r="N24" s="27">
        <f>'[1]Pesticide use in lb-km2'!N23*453.6</f>
        <v>0.24646614713114778</v>
      </c>
      <c r="O24" s="27">
        <f>'[1]Pesticide use in lb-km2'!O23*453.6</f>
        <v>0.22474973729508185</v>
      </c>
      <c r="P24" s="27">
        <f>'[1]Pesticide use in lb-km2'!P23*453.6</f>
        <v>6.5570776967213182E-2</v>
      </c>
    </row>
    <row r="25" spans="1:16" x14ac:dyDescent="0.25">
      <c r="A25" s="34">
        <v>364138121373701</v>
      </c>
      <c r="B25" t="s">
        <v>627</v>
      </c>
      <c r="C25" s="27">
        <f>'[1]Pesticide use in lb-km2'!C24*453.6</f>
        <v>4.0313574863157884</v>
      </c>
      <c r="D25" s="27">
        <f>'[1]Pesticide use in lb-km2'!D24*453.6</f>
        <v>386.56600675284193</v>
      </c>
      <c r="E25" s="27">
        <f>'[1]Pesticide use in lb-km2'!E24*453.6</f>
        <v>0</v>
      </c>
      <c r="F25" s="27">
        <f>'[1]Pesticide use in lb-km2'!F24*453.6</f>
        <v>57.883201987368295</v>
      </c>
      <c r="G25" s="27">
        <f>'[1]Pesticide use in lb-km2'!G24*453.6</f>
        <v>1.1922084294736821</v>
      </c>
      <c r="H25" s="27">
        <f>'[1]Pesticide use in lb-km2'!H24*453.6</f>
        <v>0.60162221473684041</v>
      </c>
      <c r="I25" s="27">
        <f>'[1]Pesticide use in lb-km2'!I24*453.6</f>
        <v>0</v>
      </c>
      <c r="J25" s="27">
        <f>'[1]Pesticide use in lb-km2'!J24*453.6</f>
        <v>1.7620714231578956</v>
      </c>
      <c r="K25" s="27">
        <f>'[1]Pesticide use in lb-km2'!K24*453.6</f>
        <v>4.8849922862736816</v>
      </c>
      <c r="L25" s="27">
        <f>'[1]Pesticide use in lb-km2'!L24*453.6</f>
        <v>3.669908210526316E-2</v>
      </c>
      <c r="M25" s="27">
        <f>'[1]Pesticide use in lb-km2'!M24*453.6</f>
        <v>75.874419654736755</v>
      </c>
      <c r="N25" s="27">
        <f>'[1]Pesticide use in lb-km2'!N24*453.6</f>
        <v>4.7041647578947527</v>
      </c>
      <c r="O25" s="27">
        <f>'[1]Pesticide use in lb-km2'!O24*453.6</f>
        <v>157.03685869052643</v>
      </c>
      <c r="P25" s="27">
        <f>'[1]Pesticide use in lb-km2'!P24*453.6</f>
        <v>1.251513604210527</v>
      </c>
    </row>
    <row r="26" spans="1:16" x14ac:dyDescent="0.25">
      <c r="A26" s="34">
        <v>364155121363901</v>
      </c>
      <c r="B26" t="s">
        <v>628</v>
      </c>
      <c r="C26" s="27">
        <f>'[1]Pesticide use in lb-km2'!C25*453.6</f>
        <v>55.046908976598708</v>
      </c>
      <c r="D26" s="27">
        <f>'[1]Pesticide use in lb-km2'!D25*453.6</f>
        <v>145.06698659588147</v>
      </c>
      <c r="E26" s="27">
        <f>'[1]Pesticide use in lb-km2'!E25*453.6</f>
        <v>0</v>
      </c>
      <c r="F26" s="27">
        <f>'[1]Pesticide use in lb-km2'!F25*453.6</f>
        <v>90.561306229448348</v>
      </c>
      <c r="G26" s="27">
        <f>'[1]Pesticide use in lb-km2'!G25*453.6</f>
        <v>2.0791653578711902</v>
      </c>
      <c r="H26" s="27">
        <f>'[1]Pesticide use in lb-km2'!H25*453.6</f>
        <v>5.9474727003470944E-2</v>
      </c>
      <c r="I26" s="27">
        <f>'[1]Pesticide use in lb-km2'!I25*453.6</f>
        <v>0</v>
      </c>
      <c r="J26" s="27">
        <f>'[1]Pesticide use in lb-km2'!J25*453.6</f>
        <v>3.0635745153875833</v>
      </c>
      <c r="K26" s="27">
        <f>'[1]Pesticide use in lb-km2'!K25*453.6</f>
        <v>19.978038619871956</v>
      </c>
      <c r="L26" s="27">
        <f>'[1]Pesticide use in lb-km2'!L25*453.6</f>
        <v>6.4621906209024443E-2</v>
      </c>
      <c r="M26" s="27">
        <f>'[1]Pesticide use in lb-km2'!M25*453.6</f>
        <v>362.71949069238747</v>
      </c>
      <c r="N26" s="27">
        <f>'[1]Pesticide use in lb-km2'!N25*453.6</f>
        <v>8.2833710400000005</v>
      </c>
      <c r="O26" s="27">
        <f>'[1]Pesticide use in lb-km2'!O25*453.6</f>
        <v>84.77948345595064</v>
      </c>
      <c r="P26" s="27">
        <f>'[1]Pesticide use in lb-km2'!P25*453.6</f>
        <v>2.2037390320401062</v>
      </c>
    </row>
    <row r="27" spans="1:16" x14ac:dyDescent="0.25">
      <c r="A27" s="34">
        <v>365634121264001</v>
      </c>
      <c r="B27" t="s">
        <v>629</v>
      </c>
      <c r="C27" s="27">
        <f>'[1]Pesticide use in lb-km2'!C26*453.6</f>
        <v>50.493476896544209</v>
      </c>
      <c r="D27" s="27">
        <f>'[1]Pesticide use in lb-km2'!D26*453.6</f>
        <v>201.11295092626708</v>
      </c>
      <c r="E27" s="27">
        <f>'[1]Pesticide use in lb-km2'!E26*453.6</f>
        <v>6.3883616830796698E-5</v>
      </c>
      <c r="F27" s="27">
        <f>'[1]Pesticide use in lb-km2'!F26*453.6</f>
        <v>74.023727775255168</v>
      </c>
      <c r="G27" s="27">
        <f>'[1]Pesticide use in lb-km2'!G26*453.6</f>
        <v>1.9840241509042105</v>
      </c>
      <c r="H27" s="27">
        <f>'[1]Pesticide use in lb-km2'!H26*453.6</f>
        <v>23.026490484010747</v>
      </c>
      <c r="I27" s="27">
        <f>'[1]Pesticide use in lb-km2'!I26*453.6</f>
        <v>0</v>
      </c>
      <c r="J27" s="27">
        <f>'[1]Pesticide use in lb-km2'!J26*453.6</f>
        <v>3.8512217545568492</v>
      </c>
      <c r="K27" s="27">
        <f>'[1]Pesticide use in lb-km2'!K26*453.6</f>
        <v>4.1353222907860353E-3</v>
      </c>
      <c r="L27" s="27">
        <f>'[1]Pesticide use in lb-km2'!L26*453.6</f>
        <v>1.3019142703670554E-4</v>
      </c>
      <c r="M27" s="27">
        <f>'[1]Pesticide use in lb-km2'!M26*453.6</f>
        <v>183.68770660769906</v>
      </c>
      <c r="N27" s="27">
        <f>'[1]Pesticide use in lb-km2'!N26*453.6</f>
        <v>243.04926298657108</v>
      </c>
      <c r="O27" s="27">
        <f>'[1]Pesticide use in lb-km2'!O26*453.6</f>
        <v>181.10084275810189</v>
      </c>
      <c r="P27" s="27">
        <f>'[1]Pesticide use in lb-km2'!P26*453.6</f>
        <v>1.1983055119068949E-2</v>
      </c>
    </row>
    <row r="28" spans="1:16" x14ac:dyDescent="0.25">
      <c r="A28" s="34">
        <v>365736121250801</v>
      </c>
      <c r="B28" t="s">
        <v>630</v>
      </c>
      <c r="C28" s="27">
        <f>'[1]Pesticide use in lb-km2'!C27*453.6</f>
        <v>1.6548942134871383</v>
      </c>
      <c r="D28" s="27">
        <f>'[1]Pesticide use in lb-km2'!D27*453.6</f>
        <v>58.618721352799547</v>
      </c>
      <c r="E28" s="27">
        <f>'[1]Pesticide use in lb-km2'!E27*453.6</f>
        <v>3.6959764261971631E-2</v>
      </c>
      <c r="F28" s="27">
        <f>'[1]Pesticide use in lb-km2'!F27*453.6</f>
        <v>22.303302792763144</v>
      </c>
      <c r="G28" s="27">
        <f>'[1]Pesticide use in lb-km2'!G27*453.6</f>
        <v>0.87998067123624657</v>
      </c>
      <c r="H28" s="27">
        <f>'[1]Pesticide use in lb-km2'!H27*453.6</f>
        <v>3.895024846353496</v>
      </c>
      <c r="I28" s="27">
        <f>'[1]Pesticide use in lb-km2'!I27*453.6</f>
        <v>0</v>
      </c>
      <c r="J28" s="27">
        <f>'[1]Pesticide use in lb-km2'!J27*453.6</f>
        <v>0.73572756711239429</v>
      </c>
      <c r="K28" s="27">
        <f>'[1]Pesticide use in lb-km2'!K27*453.6</f>
        <v>1.4176746998558078E-4</v>
      </c>
      <c r="L28" s="27">
        <f>'[1]Pesticide use in lb-km2'!L27*453.6</f>
        <v>1.614871307277832E-2</v>
      </c>
      <c r="M28" s="27">
        <f>'[1]Pesticide use in lb-km2'!M27*453.6</f>
        <v>31.245575320142652</v>
      </c>
      <c r="N28" s="27">
        <f>'[1]Pesticide use in lb-km2'!N27*453.6</f>
        <v>2.5653528930530451</v>
      </c>
      <c r="O28" s="27">
        <f>'[1]Pesticide use in lb-km2'!O27*453.6</f>
        <v>4.0619947183425662</v>
      </c>
      <c r="P28" s="27">
        <f>'[1]Pesticide use in lb-km2'!P27*453.6</f>
        <v>5.9367083604765707</v>
      </c>
    </row>
    <row r="29" spans="1:16" x14ac:dyDescent="0.25">
      <c r="A29" s="34">
        <v>365955121350601</v>
      </c>
      <c r="B29" t="s">
        <v>631</v>
      </c>
      <c r="C29" s="27">
        <f>'[1]Pesticide use in lb-km2'!C28*453.6</f>
        <v>5.9909228964326697</v>
      </c>
      <c r="D29" s="27">
        <f>'[1]Pesticide use in lb-km2'!D28*453.6</f>
        <v>1.6609136523345631</v>
      </c>
      <c r="E29" s="27">
        <f>'[1]Pesticide use in lb-km2'!E28*453.6</f>
        <v>8.9694955928787304E-2</v>
      </c>
      <c r="F29" s="27">
        <f>'[1]Pesticide use in lb-km2'!F28*453.6</f>
        <v>0.23258887509573406</v>
      </c>
      <c r="G29" s="27">
        <f>'[1]Pesticide use in lb-km2'!G28*453.6</f>
        <v>8.3972141596103302</v>
      </c>
      <c r="H29" s="27">
        <f>'[1]Pesticide use in lb-km2'!H28*453.6</f>
        <v>0.28964599557944237</v>
      </c>
      <c r="I29" s="27">
        <f>'[1]Pesticide use in lb-km2'!I28*453.6</f>
        <v>0</v>
      </c>
      <c r="J29" s="27">
        <f>'[1]Pesticide use in lb-km2'!J28*453.6</f>
        <v>6.7526040599395563</v>
      </c>
      <c r="K29" s="27">
        <f>'[1]Pesticide use in lb-km2'!K28*453.6</f>
        <v>8.6766285065502076E-4</v>
      </c>
      <c r="L29" s="27">
        <f>'[1]Pesticide use in lb-km2'!L28*453.6</f>
        <v>0.1601894697883775</v>
      </c>
      <c r="M29" s="27">
        <f>'[1]Pesticide use in lb-km2'!M28*453.6</f>
        <v>19.204109979563338</v>
      </c>
      <c r="N29" s="27">
        <f>'[1]Pesticide use in lb-km2'!N28*453.6</f>
        <v>40.444579725629822</v>
      </c>
      <c r="O29" s="27">
        <f>'[1]Pesticide use in lb-km2'!O28*453.6</f>
        <v>39.785831857668789</v>
      </c>
      <c r="P29" s="27">
        <f>'[1]Pesticide use in lb-km2'!P28*453.6</f>
        <v>16.418327070231783</v>
      </c>
    </row>
    <row r="30" spans="1:16" x14ac:dyDescent="0.25">
      <c r="A30" s="34">
        <v>371554121474101</v>
      </c>
      <c r="B30" t="s">
        <v>632</v>
      </c>
      <c r="C30" s="27">
        <f>'[1]Pesticide use in lb-km2'!C29*453.6</f>
        <v>9.007719573157015</v>
      </c>
      <c r="D30" s="27">
        <f>'[1]Pesticide use in lb-km2'!D29*453.6</f>
        <v>40.022219342262176</v>
      </c>
      <c r="E30" s="27">
        <f>'[1]Pesticide use in lb-km2'!E29*453.6</f>
        <v>1.0882236387139752</v>
      </c>
      <c r="F30" s="27">
        <f>'[1]Pesticide use in lb-km2'!F29*453.6</f>
        <v>9.1576240624357883</v>
      </c>
      <c r="G30" s="27">
        <f>'[1]Pesticide use in lb-km2'!G29*453.6</f>
        <v>11.107866775430271</v>
      </c>
      <c r="H30" s="27">
        <f>'[1]Pesticide use in lb-km2'!H29*453.6</f>
        <v>5.8960124496966726</v>
      </c>
      <c r="I30" s="27">
        <f>'[1]Pesticide use in lb-km2'!I29*453.6</f>
        <v>0</v>
      </c>
      <c r="J30" s="27">
        <f>'[1]Pesticide use in lb-km2'!J29*453.6</f>
        <v>8.9145719962206478</v>
      </c>
      <c r="K30" s="27">
        <f>'[1]Pesticide use in lb-km2'!K29*453.6</f>
        <v>1.1413733371019048E-3</v>
      </c>
      <c r="L30" s="27">
        <f>'[1]Pesticide use in lb-km2'!L29*453.6</f>
        <v>0.21000523697370435</v>
      </c>
      <c r="M30" s="27">
        <f>'[1]Pesticide use in lb-km2'!M29*453.6</f>
        <v>1.5093773328622617E-2</v>
      </c>
      <c r="N30" s="27">
        <f>'[1]Pesticide use in lb-km2'!N29*453.6</f>
        <v>33.361019256960596</v>
      </c>
      <c r="O30" s="27">
        <f>'[1]Pesticide use in lb-km2'!O29*453.6</f>
        <v>54.177770557157388</v>
      </c>
      <c r="P30" s="27">
        <f>'[1]Pesticide use in lb-km2'!P29*453.6</f>
        <v>18.27171264938778</v>
      </c>
    </row>
    <row r="31" spans="1:16" x14ac:dyDescent="0.25">
      <c r="A31" s="34">
        <v>371620122005801</v>
      </c>
      <c r="B31" t="s">
        <v>633</v>
      </c>
      <c r="C31" s="27">
        <f>'[1]Pesticide use in lb-km2'!C30*453.6</f>
        <v>25.662973516701037</v>
      </c>
      <c r="D31" s="27">
        <f>'[1]Pesticide use in lb-km2'!D30*453.6</f>
        <v>9.9679076288659678E-3</v>
      </c>
      <c r="E31" s="27">
        <f>'[1]Pesticide use in lb-km2'!E30*453.6</f>
        <v>1.9126903917525764E-2</v>
      </c>
      <c r="F31" s="27">
        <f>'[1]Pesticide use in lb-km2'!F30*453.6</f>
        <v>0.99311260206185759</v>
      </c>
      <c r="G31" s="27">
        <f>'[1]Pesticide use in lb-km2'!G30*453.6</f>
        <v>35.858046432989674</v>
      </c>
      <c r="H31" s="27">
        <f>'[1]Pesticide use in lb-km2'!H30*453.6</f>
        <v>1.2368904569072146</v>
      </c>
      <c r="I31" s="27">
        <f>'[1]Pesticide use in lb-km2'!I30*453.6</f>
        <v>0</v>
      </c>
      <c r="J31" s="27">
        <f>'[1]Pesticide use in lb-km2'!J30*453.6</f>
        <v>28.881725559587625</v>
      </c>
      <c r="K31" s="27">
        <f>'[1]Pesticide use in lb-km2'!K30*453.6</f>
        <v>3.7218044536082486E-3</v>
      </c>
      <c r="L31" s="27">
        <f>'[1]Pesticide use in lb-km2'!L30*453.6</f>
        <v>0.68899912329896984</v>
      </c>
      <c r="M31" s="27">
        <f>'[1]Pesticide use in lb-km2'!M30*453.6</f>
        <v>0.69918702432989654</v>
      </c>
      <c r="N31" s="27">
        <f>'[1]Pesticide use in lb-km2'!N30*453.6</f>
        <v>107.60089716123709</v>
      </c>
      <c r="O31" s="27">
        <f>'[1]Pesticide use in lb-km2'!O30*453.6</f>
        <v>169.81602042061837</v>
      </c>
      <c r="P31" s="27">
        <f>'[1]Pesticide use in lb-km2'!P30*453.6</f>
        <v>14.329971218969085</v>
      </c>
    </row>
    <row r="32" spans="1:16" x14ac:dyDescent="0.25">
      <c r="A32" s="34">
        <v>371738121555901</v>
      </c>
      <c r="B32" t="s">
        <v>634</v>
      </c>
      <c r="C32" s="27">
        <f>'[1]Pesticide use in lb-km2'!C31*453.6</f>
        <v>22.644203146138349</v>
      </c>
      <c r="D32" s="27">
        <f>'[1]Pesticide use in lb-km2'!D31*453.6</f>
        <v>8.7735386635325874E-3</v>
      </c>
      <c r="E32" s="27">
        <f>'[1]Pesticide use in lb-km2'!E31*453.6</f>
        <v>1.592257853593013E-2</v>
      </c>
      <c r="F32" s="27">
        <f>'[1]Pesticide use in lb-km2'!F31*453.6</f>
        <v>0.87436934437877845</v>
      </c>
      <c r="G32" s="27">
        <f>'[1]Pesticide use in lb-km2'!G31*453.6</f>
        <v>31.572687963566132</v>
      </c>
      <c r="H32" s="27">
        <f>'[1]Pesticide use in lb-km2'!H31*453.6</f>
        <v>1.0890919778240453</v>
      </c>
      <c r="I32" s="27">
        <f>'[1]Pesticide use in lb-km2'!I31*453.6</f>
        <v>0</v>
      </c>
      <c r="J32" s="27">
        <f>'[1]Pesticide use in lb-km2'!J31*453.6</f>
        <v>25.458013506971113</v>
      </c>
      <c r="K32" s="27">
        <f>'[1]Pesticide use in lb-km2'!K31*453.6</f>
        <v>3.2870178072531889E-3</v>
      </c>
      <c r="L32" s="27">
        <f>'[1]Pesticide use in lb-km2'!L31*453.6</f>
        <v>0.60962793582270092</v>
      </c>
      <c r="M32" s="27">
        <f>'[1]Pesticide use in lb-km2'!M31*453.6</f>
        <v>0.79021015507051684</v>
      </c>
      <c r="N32" s="27">
        <f>'[1]Pesticide use in lb-km2'!N31*453.6</f>
        <v>94.716384702491524</v>
      </c>
      <c r="O32" s="27">
        <f>'[1]Pesticide use in lb-km2'!O31*453.6</f>
        <v>149.47429422336467</v>
      </c>
      <c r="P32" s="27">
        <f>'[1]Pesticide use in lb-km2'!P31*453.6</f>
        <v>12.47308138764944</v>
      </c>
    </row>
    <row r="33" spans="1:16" x14ac:dyDescent="0.25">
      <c r="A33" s="34">
        <v>372500122081201</v>
      </c>
      <c r="B33" t="s">
        <v>635</v>
      </c>
      <c r="C33" s="27">
        <f>'[1]Pesticide use in lb-km2'!C32*453.6</f>
        <v>88.701718708755436</v>
      </c>
      <c r="D33" s="27">
        <f>'[1]Pesticide use in lb-km2'!D32*453.6</f>
        <v>3.4736126266253858E-2</v>
      </c>
      <c r="E33" s="27">
        <f>'[1]Pesticide use in lb-km2'!E32*453.6</f>
        <v>2.9161845696594408E-3</v>
      </c>
      <c r="F33" s="27">
        <f>'[1]Pesticide use in lb-km2'!F32*453.6</f>
        <v>3.4575294873065006</v>
      </c>
      <c r="G33" s="27">
        <f>'[1]Pesticide use in lb-km2'!G32*453.6</f>
        <v>124.81320837176469</v>
      </c>
      <c r="H33" s="27">
        <f>'[1]Pesticide use in lb-km2'!H32*453.6</f>
        <v>4.3050444622662551</v>
      </c>
      <c r="I33" s="27">
        <f>'[1]Pesticide use in lb-km2'!I32*453.6</f>
        <v>0</v>
      </c>
      <c r="J33" s="27">
        <f>'[1]Pesticide use in lb-km2'!J32*453.6</f>
        <v>100.16831807554183</v>
      </c>
      <c r="K33" s="27">
        <f>'[1]Pesticide use in lb-km2'!K32*453.6</f>
        <v>1.2824996803467501E-2</v>
      </c>
      <c r="L33" s="27">
        <f>'[1]Pesticide use in lb-km2'!L32*453.6</f>
        <v>2.3597174986996903</v>
      </c>
      <c r="M33" s="27">
        <f>'[1]Pesticide use in lb-km2'!M32*453.6</f>
        <v>0.16960073104643966</v>
      </c>
      <c r="N33" s="27">
        <f>'[1]Pesticide use in lb-km2'!N32*453.6</f>
        <v>374.86008186932503</v>
      </c>
      <c r="O33" s="27">
        <f>'[1]Pesticide use in lb-km2'!O32*453.6</f>
        <v>591.70055111688021</v>
      </c>
      <c r="P33" s="27">
        <f>'[1]Pesticide use in lb-km2'!P32*453.6</f>
        <v>40.167970902835926</v>
      </c>
    </row>
    <row r="34" spans="1:16" x14ac:dyDescent="0.25">
      <c r="A34" s="34">
        <v>374708122132801</v>
      </c>
      <c r="B34" t="s">
        <v>636</v>
      </c>
      <c r="C34" s="27">
        <f>'[1]Pesticide use in lb-km2'!C33*453.6</f>
        <v>221.54165520776471</v>
      </c>
      <c r="D34" s="27">
        <f>'[1]Pesticide use in lb-km2'!D33*453.6</f>
        <v>0</v>
      </c>
      <c r="E34" s="27">
        <f>'[1]Pesticide use in lb-km2'!E33*453.6</f>
        <v>3.6058629599999988E-4</v>
      </c>
      <c r="F34" s="27">
        <f>'[1]Pesticide use in lb-km2'!F33*453.6</f>
        <v>6.4183754287058727</v>
      </c>
      <c r="G34" s="27">
        <f>'[1]Pesticide use in lb-km2'!G33*453.6</f>
        <v>189.8834514607058</v>
      </c>
      <c r="H34" s="27">
        <f>'[1]Pesticide use in lb-km2'!H33*453.6</f>
        <v>0.89685547411764821</v>
      </c>
      <c r="I34" s="27">
        <f>'[1]Pesticide use in lb-km2'!I33*453.6</f>
        <v>0</v>
      </c>
      <c r="J34" s="27">
        <f>'[1]Pesticide use in lb-km2'!J33*453.6</f>
        <v>147.04969745858824</v>
      </c>
      <c r="K34" s="27">
        <f>'[1]Pesticide use in lb-km2'!K33*453.6</f>
        <v>3.1899086470588258E-3</v>
      </c>
      <c r="L34" s="27">
        <f>'[1]Pesticide use in lb-km2'!L33*453.6</f>
        <v>6.9723056117647245E-2</v>
      </c>
      <c r="M34" s="27">
        <f>'[1]Pesticide use in lb-km2'!M33*453.6</f>
        <v>157.75954575458837</v>
      </c>
      <c r="N34" s="27">
        <f>'[1]Pesticide use in lb-km2'!N33*453.6</f>
        <v>164.27741069435277</v>
      </c>
      <c r="O34" s="27">
        <f>'[1]Pesticide use in lb-km2'!O33*453.6</f>
        <v>21.853952997882356</v>
      </c>
      <c r="P34" s="27">
        <f>'[1]Pesticide use in lb-km2'!P33*453.6</f>
        <v>39.471009435529439</v>
      </c>
    </row>
    <row r="35" spans="1:16" x14ac:dyDescent="0.25">
      <c r="A35" s="34">
        <v>374933122001301</v>
      </c>
      <c r="B35" t="s">
        <v>637</v>
      </c>
      <c r="C35" s="27">
        <f>'[1]Pesticide use in lb-km2'!C34*453.6</f>
        <v>194.29820152655253</v>
      </c>
      <c r="D35" s="27">
        <f>'[1]Pesticide use in lb-km2'!D34*453.6</f>
        <v>0</v>
      </c>
      <c r="E35" s="27">
        <f>'[1]Pesticide use in lb-km2'!E34*453.6</f>
        <v>9.3485022069910873E-3</v>
      </c>
      <c r="F35" s="27">
        <f>'[1]Pesticide use in lb-km2'!F34*453.6</f>
        <v>18.915887726031535</v>
      </c>
      <c r="G35" s="27">
        <f>'[1]Pesticide use in lb-km2'!G34*453.6</f>
        <v>248.87370171059644</v>
      </c>
      <c r="H35" s="27">
        <f>'[1]Pesticide use in lb-km2'!H34*453.6</f>
        <v>1.1066317688553802</v>
      </c>
      <c r="I35" s="27">
        <f>'[1]Pesticide use in lb-km2'!I34*453.6</f>
        <v>0</v>
      </c>
      <c r="J35" s="27">
        <f>'[1]Pesticide use in lb-km2'!J34*453.6</f>
        <v>103.31447022185074</v>
      </c>
      <c r="K35" s="27">
        <f>'[1]Pesticide use in lb-km2'!K34*453.6</f>
        <v>2.6324500342700457E-3</v>
      </c>
      <c r="L35" s="27">
        <f>'[1]Pesticide use in lb-km2'!L34*453.6</f>
        <v>42.497488315394122</v>
      </c>
      <c r="M35" s="27">
        <f>'[1]Pesticide use in lb-km2'!M34*453.6</f>
        <v>50.873738743221459</v>
      </c>
      <c r="N35" s="27">
        <f>'[1]Pesticide use in lb-km2'!N34*453.6</f>
        <v>101.71823499191224</v>
      </c>
      <c r="O35" s="27">
        <f>'[1]Pesticide use in lb-km2'!O34*453.6</f>
        <v>24.70062679427004</v>
      </c>
      <c r="P35" s="27">
        <f>'[1]Pesticide use in lb-km2'!P34*453.6</f>
        <v>75.151040228512514</v>
      </c>
    </row>
    <row r="36" spans="1:16" x14ac:dyDescent="0.25">
      <c r="A36" s="34">
        <v>375220122104201</v>
      </c>
      <c r="B36" t="s">
        <v>657</v>
      </c>
      <c r="C36" s="27">
        <f>'[1]Pesticide use in lb-km2'!C35*453.6</f>
        <v>361.33365189941321</v>
      </c>
      <c r="D36" s="27">
        <f>'[1]Pesticide use in lb-km2'!D35*453.6</f>
        <v>0</v>
      </c>
      <c r="E36" s="27">
        <f>'[1]Pesticide use in lb-km2'!E35*453.6</f>
        <v>1.7385269525959372E-2</v>
      </c>
      <c r="F36" s="27">
        <f>'[1]Pesticide use in lb-km2'!F35*453.6</f>
        <v>35.177612286230243</v>
      </c>
      <c r="G36" s="27">
        <f>'[1]Pesticide use in lb-km2'!G35*453.6</f>
        <v>295.73184139069974</v>
      </c>
      <c r="H36" s="27">
        <f>'[1]Pesticide use in lb-km2'!H35*453.6</f>
        <v>2.0579876028893924</v>
      </c>
      <c r="I36" s="27">
        <f>'[1]Pesticide use in lb-km2'!I35*453.6</f>
        <v>0</v>
      </c>
      <c r="J36" s="27">
        <f>'[1]Pesticide use in lb-km2'!J35*453.6</f>
        <v>192.13247729661396</v>
      </c>
      <c r="K36" s="27">
        <f>'[1]Pesticide use in lb-km2'!K35*453.6</f>
        <v>4.8955317562076692E-3</v>
      </c>
      <c r="L36" s="27">
        <f>'[1]Pesticide use in lb-km2'!L35*453.6</f>
        <v>79.031985485688494</v>
      </c>
      <c r="M36" s="27">
        <f>'[1]Pesticide use in lb-km2'!M35*453.6</f>
        <v>94.609181451738053</v>
      </c>
      <c r="N36" s="27">
        <f>'[1]Pesticide use in lb-km2'!N35*453.6</f>
        <v>189.16398107593665</v>
      </c>
      <c r="O36" s="27">
        <f>'[1]Pesticide use in lb-km2'!O35*453.6</f>
        <v>45.935410747449389</v>
      </c>
      <c r="P36" s="27">
        <f>'[1]Pesticide use in lb-km2'!P35*453.6</f>
        <v>139.75734011485309</v>
      </c>
    </row>
    <row r="37" spans="1:16" x14ac:dyDescent="0.25">
      <c r="A37" s="34">
        <v>375257122050001</v>
      </c>
      <c r="B37" t="s">
        <v>659</v>
      </c>
      <c r="C37" s="27">
        <f>'[1]Pesticide use in lb-km2'!C36*453.6</f>
        <v>209.00610067522018</v>
      </c>
      <c r="D37" s="27">
        <f>'[1]Pesticide use in lb-km2'!D36*453.6</f>
        <v>0</v>
      </c>
      <c r="E37" s="27">
        <f>'[1]Pesticide use in lb-km2'!E36*453.6</f>
        <v>1.0056169833496588E-2</v>
      </c>
      <c r="F37" s="27">
        <f>'[1]Pesticide use in lb-km2'!F36*453.6</f>
        <v>20.347774216219406</v>
      </c>
      <c r="G37" s="27">
        <f>'[1]Pesticide use in lb-km2'!G36*453.6</f>
        <v>171.06006785747311</v>
      </c>
      <c r="H37" s="27">
        <f>'[1]Pesticide use in lb-km2'!H36*453.6</f>
        <v>1.1904010949265449</v>
      </c>
      <c r="I37" s="27">
        <f>'[1]Pesticide use in lb-km2'!I36*453.6</f>
        <v>0</v>
      </c>
      <c r="J37" s="27">
        <f>'[1]Pesticide use in lb-km2'!J36*453.6</f>
        <v>111.13512315373143</v>
      </c>
      <c r="K37" s="27">
        <f>'[1]Pesticide use in lb-km2'!K36*453.6</f>
        <v>2.8317123996082268E-3</v>
      </c>
      <c r="L37" s="27">
        <f>'[1]Pesticide use in lb-km2'!L36*453.6</f>
        <v>45.714444350597368</v>
      </c>
      <c r="M37" s="27">
        <f>'[1]Pesticide use in lb-km2'!M36*453.6</f>
        <v>54.724756438824905</v>
      </c>
      <c r="N37" s="27">
        <f>'[1]Pesticide use in lb-km2'!N36*453.6</f>
        <v>109.41805685053849</v>
      </c>
      <c r="O37" s="27">
        <f>'[1]Pesticide use in lb-km2'!O36*453.6</f>
        <v>26.570403914985324</v>
      </c>
      <c r="P37" s="27">
        <f>'[1]Pesticide use in lb-km2'!P36*453.6</f>
        <v>80.839790358628605</v>
      </c>
    </row>
    <row r="38" spans="1:16" x14ac:dyDescent="0.25">
      <c r="A38" s="34">
        <v>375312122113501</v>
      </c>
      <c r="B38" t="s">
        <v>638</v>
      </c>
      <c r="C38" s="27">
        <f>'[1]Pesticide use in lb-km2'!C37*453.6</f>
        <v>282.92346072897004</v>
      </c>
      <c r="D38" s="27">
        <f>'[1]Pesticide use in lb-km2'!D37*453.6</f>
        <v>0</v>
      </c>
      <c r="E38" s="27">
        <f>'[1]Pesticide use in lb-km2'!E37*453.6</f>
        <v>1.3584555248222307E-2</v>
      </c>
      <c r="F38" s="27">
        <f>'[1]Pesticide use in lb-km2'!F37*453.6</f>
        <v>27.502683698207974</v>
      </c>
      <c r="G38" s="27">
        <f>'[1]Pesticide use in lb-km2'!G37*453.6</f>
        <v>231.58073754353637</v>
      </c>
      <c r="H38" s="27">
        <f>'[1]Pesticide use in lb-km2'!H37*453.6</f>
        <v>1.6104047345663619</v>
      </c>
      <c r="I38" s="27">
        <f>'[1]Pesticide use in lb-km2'!I37*453.6</f>
        <v>0</v>
      </c>
      <c r="J38" s="27">
        <f>'[1]Pesticide use in lb-km2'!J37*453.6</f>
        <v>150.51906559819838</v>
      </c>
      <c r="K38" s="27">
        <f>'[1]Pesticide use in lb-km2'!K37*453.6</f>
        <v>3.8336903810253942E-3</v>
      </c>
      <c r="L38" s="27">
        <f>'[1]Pesticide use in lb-km2'!L37*453.6</f>
        <v>61.749933538131415</v>
      </c>
      <c r="M38" s="27">
        <f>'[1]Pesticide use in lb-km2'!M37*453.6</f>
        <v>74.350784158275189</v>
      </c>
      <c r="N38" s="27">
        <f>'[1]Pesticide use in lb-km2'!N37*453.6</f>
        <v>148.24667815382861</v>
      </c>
      <c r="O38" s="27">
        <f>'[1]Pesticide use in lb-km2'!O37*453.6</f>
        <v>35.950120249851466</v>
      </c>
      <c r="P38" s="27">
        <f>'[1]Pesticide use in lb-km2'!P37*453.6</f>
        <v>109.30366850299944</v>
      </c>
    </row>
    <row r="39" spans="1:16" x14ac:dyDescent="0.25">
      <c r="A39" s="34">
        <v>375413122033301</v>
      </c>
      <c r="B39" t="s">
        <v>639</v>
      </c>
      <c r="C39" s="27">
        <f>'[1]Pesticide use in lb-km2'!C38*453.6</f>
        <v>257.89706930049897</v>
      </c>
      <c r="D39" s="27">
        <f>'[1]Pesticide use in lb-km2'!D38*453.6</f>
        <v>0</v>
      </c>
      <c r="E39" s="27">
        <f>'[1]Pesticide use in lb-km2'!E38*453.6</f>
        <v>1.2408511805107146E-2</v>
      </c>
      <c r="F39" s="27">
        <f>'[1]Pesticide use in lb-km2'!F38*453.6</f>
        <v>25.107551010766066</v>
      </c>
      <c r="G39" s="27">
        <f>'[1]Pesticide use in lb-km2'!G38*453.6</f>
        <v>249.55218954575892</v>
      </c>
      <c r="H39" s="27">
        <f>'[1]Pesticide use in lb-km2'!H38*453.6</f>
        <v>1.4688612043322573</v>
      </c>
      <c r="I39" s="27">
        <f>'[1]Pesticide use in lb-km2'!I38*453.6</f>
        <v>0</v>
      </c>
      <c r="J39" s="27">
        <f>'[1]Pesticide use in lb-km2'!J38*453.6</f>
        <v>137.13199027607854</v>
      </c>
      <c r="K39" s="27">
        <f>'[1]Pesticide use in lb-km2'!K38*453.6</f>
        <v>3.4941179454065184E-3</v>
      </c>
      <c r="L39" s="27">
        <f>'[1]Pesticide use in lb-km2'!L38*453.6</f>
        <v>56.408024387918907</v>
      </c>
      <c r="M39" s="27">
        <f>'[1]Pesticide use in lb-km2'!M38*453.6</f>
        <v>67.526039979219121</v>
      </c>
      <c r="N39" s="27">
        <f>'[1]Pesticide use in lb-km2'!N38*453.6</f>
        <v>135.01326564919273</v>
      </c>
      <c r="O39" s="27">
        <f>'[1]Pesticide use in lb-km2'!O38*453.6</f>
        <v>32.785786020193733</v>
      </c>
      <c r="P39" s="27">
        <f>'[1]Pesticide use in lb-km2'!P38*453.6</f>
        <v>99.751118704209105</v>
      </c>
    </row>
    <row r="40" spans="1:16" x14ac:dyDescent="0.25">
      <c r="A40" s="34">
        <v>375701121564401</v>
      </c>
      <c r="B40" t="s">
        <v>640</v>
      </c>
      <c r="C40" s="27">
        <f>'[1]Pesticide use in lb-km2'!C39*453.6</f>
        <v>69.448393905604618</v>
      </c>
      <c r="D40" s="27">
        <f>'[1]Pesticide use in lb-km2'!D39*453.6</f>
        <v>0</v>
      </c>
      <c r="E40" s="27">
        <f>'[1]Pesticide use in lb-km2'!E39*453.6</f>
        <v>3.3414526897844405E-3</v>
      </c>
      <c r="F40" s="27">
        <f>'[1]Pesticide use in lb-km2'!F39*453.6</f>
        <v>6.7611434936457542</v>
      </c>
      <c r="G40" s="27">
        <f>'[1]Pesticide use in lb-km2'!G39*453.6</f>
        <v>56.839713943917445</v>
      </c>
      <c r="H40" s="27">
        <f>'[1]Pesticide use in lb-km2'!H39*453.6</f>
        <v>0.395545598013121</v>
      </c>
      <c r="I40" s="27">
        <f>'[1]Pesticide use in lb-km2'!I39*453.6</f>
        <v>0</v>
      </c>
      <c r="J40" s="27">
        <f>'[1]Pesticide use in lb-km2'!J39*453.6</f>
        <v>36.927897250402999</v>
      </c>
      <c r="K40" s="27">
        <f>'[1]Pesticide use in lb-km2'!K39*453.6</f>
        <v>9.4092135520149913E-4</v>
      </c>
      <c r="L40" s="27">
        <f>'[1]Pesticide use in lb-km2'!L39*453.6</f>
        <v>15.189962043205259</v>
      </c>
      <c r="M40" s="27">
        <f>'[1]Pesticide use in lb-km2'!M39*453.6</f>
        <v>18.18390195278349</v>
      </c>
      <c r="N40" s="27">
        <f>'[1]Pesticide use in lb-km2'!N39*453.6</f>
        <v>36.357351709597005</v>
      </c>
      <c r="O40" s="27">
        <f>'[1]Pesticide use in lb-km2'!O39*453.6</f>
        <v>8.8287943359137966</v>
      </c>
      <c r="P40" s="27">
        <f>'[1]Pesticide use in lb-km2'!P39*453.6</f>
        <v>26.892560870721663</v>
      </c>
    </row>
    <row r="41" spans="1:16" x14ac:dyDescent="0.25">
      <c r="A41" s="34">
        <v>375808122172601</v>
      </c>
      <c r="B41" t="s">
        <v>641</v>
      </c>
      <c r="C41" s="27">
        <f>'[1]Pesticide use in lb-km2'!C40*453.6</f>
        <v>360.82355392100334</v>
      </c>
      <c r="D41" s="27">
        <f>'[1]Pesticide use in lb-km2'!D40*453.6</f>
        <v>0</v>
      </c>
      <c r="E41" s="27">
        <f>'[1]Pesticide use in lb-km2'!E40*453.6</f>
        <v>1.7360793479623816E-2</v>
      </c>
      <c r="F41" s="27">
        <f>'[1]Pesticide use in lb-km2'!F40*453.6</f>
        <v>35.127951700062674</v>
      </c>
      <c r="G41" s="27">
        <f>'[1]Pesticide use in lb-km2'!G40*453.6</f>
        <v>295.31435426181838</v>
      </c>
      <c r="H41" s="27">
        <f>'[1]Pesticide use in lb-km2'!H40*453.6</f>
        <v>2.0550824351097177</v>
      </c>
      <c r="I41" s="27">
        <f>'[1]Pesticide use in lb-km2'!I40*453.6</f>
        <v>0</v>
      </c>
      <c r="J41" s="27">
        <f>'[1]Pesticide use in lb-km2'!J40*453.6</f>
        <v>191.8612423004389</v>
      </c>
      <c r="K41" s="27">
        <f>'[1]Pesticide use in lb-km2'!K40*453.6</f>
        <v>4.8886135673981311E-3</v>
      </c>
      <c r="L41" s="27">
        <f>'[1]Pesticide use in lb-km2'!L40*453.6</f>
        <v>78.920415323886942</v>
      </c>
      <c r="M41" s="27">
        <f>'[1]Pesticide use in lb-km2'!M40*453.6</f>
        <v>94.475620730031153</v>
      </c>
      <c r="N41" s="27">
        <f>'[1]Pesticide use in lb-km2'!N40*453.6</f>
        <v>188.89693658181841</v>
      </c>
      <c r="O41" s="27">
        <f>'[1]Pesticide use in lb-km2'!O40*453.6</f>
        <v>45.870563201755623</v>
      </c>
      <c r="P41" s="27">
        <f>'[1]Pesticide use in lb-km2'!P40*453.6</f>
        <v>139.56004337304074</v>
      </c>
    </row>
    <row r="42" spans="1:16" x14ac:dyDescent="0.25">
      <c r="A42" s="34">
        <v>380345122345201</v>
      </c>
      <c r="B42" t="s">
        <v>642</v>
      </c>
      <c r="C42" s="27">
        <f>'[1]Pesticide use in lb-km2'!C41*453.6</f>
        <v>8.3777869963636586</v>
      </c>
      <c r="D42" s="27">
        <f>'[1]Pesticide use in lb-km2'!D41*453.6</f>
        <v>0.19406205818181821</v>
      </c>
      <c r="E42" s="27">
        <f>'[1]Pesticide use in lb-km2'!E41*453.6</f>
        <v>0</v>
      </c>
      <c r="F42" s="27">
        <f>'[1]Pesticide use in lb-km2'!F41*453.6</f>
        <v>0.49087786909090858</v>
      </c>
      <c r="G42" s="27">
        <f>'[1]Pesticide use in lb-km2'!G41*453.6</f>
        <v>14.608815970909083</v>
      </c>
      <c r="H42" s="27">
        <f>'[1]Pesticide use in lb-km2'!H41*453.6</f>
        <v>0.33421738909090887</v>
      </c>
      <c r="I42" s="27">
        <f>'[1]Pesticide use in lb-km2'!I41*453.6</f>
        <v>0</v>
      </c>
      <c r="J42" s="27">
        <f>'[1]Pesticide use in lb-km2'!J41*453.6</f>
        <v>30.011901250909109</v>
      </c>
      <c r="K42" s="27">
        <f>'[1]Pesticide use in lb-km2'!K41*453.6</f>
        <v>1.1816228945454525E-2</v>
      </c>
      <c r="L42" s="27">
        <f>'[1]Pesticide use in lb-km2'!L41*453.6</f>
        <v>0</v>
      </c>
      <c r="M42" s="27">
        <f>'[1]Pesticide use in lb-km2'!M41*453.6</f>
        <v>0</v>
      </c>
      <c r="N42" s="27">
        <f>'[1]Pesticide use in lb-km2'!N41*453.6</f>
        <v>3.840992901818181</v>
      </c>
      <c r="O42" s="27">
        <f>'[1]Pesticide use in lb-km2'!O41*453.6</f>
        <v>15.62659108363636</v>
      </c>
      <c r="P42" s="27">
        <f>'[1]Pesticide use in lb-km2'!P41*453.6</f>
        <v>6.4079740930909033</v>
      </c>
    </row>
    <row r="43" spans="1:16" x14ac:dyDescent="0.25">
      <c r="A43" s="34">
        <v>380410122315501</v>
      </c>
      <c r="B43" t="s">
        <v>643</v>
      </c>
      <c r="C43" s="27">
        <f>'[1]Pesticide use in lb-km2'!C42*453.6</f>
        <v>24.423821647943051</v>
      </c>
      <c r="D43" s="27">
        <f>'[1]Pesticide use in lb-km2'!D42*453.6</f>
        <v>0.56575064677580167</v>
      </c>
      <c r="E43" s="27">
        <f>'[1]Pesticide use in lb-km2'!E42*453.6</f>
        <v>0</v>
      </c>
      <c r="F43" s="27">
        <f>'[1]Pesticide use in lb-km2'!F42*453.6</f>
        <v>1.4310589272597869</v>
      </c>
      <c r="G43" s="27">
        <f>'[1]Pesticide use in lb-km2'!G42*453.6</f>
        <v>42.589183592882584</v>
      </c>
      <c r="H43" s="27">
        <f>'[1]Pesticide use in lb-km2'!H42*453.6</f>
        <v>0.9743466501352317</v>
      </c>
      <c r="I43" s="27">
        <f>'[1]Pesticide use in lb-km2'!I42*453.6</f>
        <v>0</v>
      </c>
      <c r="J43" s="27">
        <f>'[1]Pesticide use in lb-km2'!J42*453.6</f>
        <v>87.49390630599305</v>
      </c>
      <c r="K43" s="27">
        <f>'[1]Pesticide use in lb-km2'!K42*453.6</f>
        <v>3.4447933665480442E-2</v>
      </c>
      <c r="L43" s="27">
        <f>'[1]Pesticide use in lb-km2'!L42*453.6</f>
        <v>0</v>
      </c>
      <c r="M43" s="27">
        <f>'[1]Pesticide use in lb-km2'!M42*453.6</f>
        <v>0</v>
      </c>
      <c r="N43" s="27">
        <f>'[1]Pesticide use in lb-km2'!N42*453.6</f>
        <v>11.197673879572939</v>
      </c>
      <c r="O43" s="27">
        <f>'[1]Pesticide use in lb-km2'!O42*453.6</f>
        <v>45.573379215732345</v>
      </c>
      <c r="P43" s="27">
        <f>'[1]Pesticide use in lb-km2'!P42*453.6</f>
        <v>18.681212007288277</v>
      </c>
    </row>
    <row r="44" spans="1:16" x14ac:dyDescent="0.25">
      <c r="A44" s="34">
        <v>381441122064301</v>
      </c>
      <c r="B44" t="s">
        <v>644</v>
      </c>
      <c r="C44" s="27">
        <f>'[1]Pesticide use in lb-km2'!C43*453.6</f>
        <v>0.90517070659335219</v>
      </c>
      <c r="D44" s="27">
        <f>'[1]Pesticide use in lb-km2'!D43*453.6</f>
        <v>89.904307497891622</v>
      </c>
      <c r="E44" s="27">
        <f>'[1]Pesticide use in lb-km2'!E43*453.6</f>
        <v>0</v>
      </c>
      <c r="F44" s="27">
        <f>'[1]Pesticide use in lb-km2'!F43*453.6</f>
        <v>2.1031536849151308E-2</v>
      </c>
      <c r="G44" s="27">
        <f>'[1]Pesticide use in lb-km2'!G43*453.6</f>
        <v>2.0354014312024846</v>
      </c>
      <c r="H44" s="27">
        <f>'[1]Pesticide use in lb-km2'!H43*453.6</f>
        <v>8.0325478938560804E-3</v>
      </c>
      <c r="I44" s="27">
        <f>'[1]Pesticide use in lb-km2'!I43*453.6</f>
        <v>0</v>
      </c>
      <c r="J44" s="27">
        <f>'[1]Pesticide use in lb-km2'!J43*453.6</f>
        <v>0.60588566154434453</v>
      </c>
      <c r="K44" s="27">
        <f>'[1]Pesticide use in lb-km2'!K43*453.6</f>
        <v>7.817527975137441E-4</v>
      </c>
      <c r="L44" s="27">
        <f>'[1]Pesticide use in lb-km2'!L43*453.6</f>
        <v>2.5802968587138427E-2</v>
      </c>
      <c r="M44" s="27">
        <f>'[1]Pesticide use in lb-km2'!M43*453.6</f>
        <v>377.43792025331118</v>
      </c>
      <c r="N44" s="27">
        <f>'[1]Pesticide use in lb-km2'!N43*453.6</f>
        <v>144.84212838494855</v>
      </c>
      <c r="O44" s="27">
        <f>'[1]Pesticide use in lb-km2'!O43*453.6</f>
        <v>0.30290410723404249</v>
      </c>
      <c r="P44" s="27">
        <f>'[1]Pesticide use in lb-km2'!P43*453.6</f>
        <v>0.85241099016017186</v>
      </c>
    </row>
    <row r="45" spans="1:16" x14ac:dyDescent="0.25">
      <c r="A45" s="34">
        <v>381740122395901</v>
      </c>
      <c r="B45" t="s">
        <v>645</v>
      </c>
      <c r="C45" s="27">
        <f>'[1]Pesticide use in lb-km2'!C44*453.6</f>
        <v>9.1566077400000001</v>
      </c>
      <c r="D45" s="27">
        <f>'[1]Pesticide use in lb-km2'!D44*453.6</f>
        <v>1.353834353867736</v>
      </c>
      <c r="E45" s="27">
        <f>'[1]Pesticide use in lb-km2'!E44*453.6</f>
        <v>0.44885851647294589</v>
      </c>
      <c r="F45" s="27">
        <f>'[1]Pesticide use in lb-km2'!F44*453.6</f>
        <v>0.85205033026051979</v>
      </c>
      <c r="G45" s="27">
        <f>'[1]Pesticide use in lb-km2'!G44*453.6</f>
        <v>32.494071874148304</v>
      </c>
      <c r="H45" s="27">
        <f>'[1]Pesticide use in lb-km2'!H44*453.6</f>
        <v>0.40647314164328635</v>
      </c>
      <c r="I45" s="27">
        <f>'[1]Pesticide use in lb-km2'!I44*453.6</f>
        <v>0</v>
      </c>
      <c r="J45" s="27">
        <f>'[1]Pesticide use in lb-km2'!J44*453.6</f>
        <v>13.299886791342683</v>
      </c>
      <c r="K45" s="27">
        <f>'[1]Pesticide use in lb-km2'!K44*453.6</f>
        <v>3.2672672101803607E-2</v>
      </c>
      <c r="L45" s="27">
        <f>'[1]Pesticide use in lb-km2'!L44*453.6</f>
        <v>4.8923042771542971</v>
      </c>
      <c r="M45" s="27">
        <f>'[1]Pesticide use in lb-km2'!M44*453.6</f>
        <v>274.18851292617234</v>
      </c>
      <c r="N45" s="27">
        <f>'[1]Pesticide use in lb-km2'!N44*453.6</f>
        <v>840.79087048568965</v>
      </c>
      <c r="O45" s="27">
        <f>'[1]Pesticide use in lb-km2'!O44*453.6</f>
        <v>22.733016886172329</v>
      </c>
      <c r="P45" s="27">
        <f>'[1]Pesticide use in lb-km2'!P44*453.6</f>
        <v>4.2289128272705412</v>
      </c>
    </row>
    <row r="46" spans="1:16" x14ac:dyDescent="0.25">
      <c r="A46" s="34">
        <v>382017122161101</v>
      </c>
      <c r="B46" t="s">
        <v>646</v>
      </c>
      <c r="C46" s="27">
        <f>'[1]Pesticide use in lb-km2'!C45*453.6</f>
        <v>9.5525992799999901</v>
      </c>
      <c r="D46" s="27">
        <f>'[1]Pesticide use in lb-km2'!D45*453.6</f>
        <v>0</v>
      </c>
      <c r="E46" s="27">
        <f>'[1]Pesticide use in lb-km2'!E45*453.6</f>
        <v>0</v>
      </c>
      <c r="F46" s="27">
        <f>'[1]Pesticide use in lb-km2'!F45*453.6</f>
        <v>0.24184929888000017</v>
      </c>
      <c r="G46" s="27">
        <f>'[1]Pesticide use in lb-km2'!G45*453.6</f>
        <v>8.322659351999981</v>
      </c>
      <c r="H46" s="27">
        <f>'[1]Pesticide use in lb-km2'!H45*453.6</f>
        <v>0.17259246143999982</v>
      </c>
      <c r="I46" s="27">
        <f>'[1]Pesticide use in lb-km2'!I45*453.6</f>
        <v>0</v>
      </c>
      <c r="J46" s="27">
        <f>'[1]Pesticide use in lb-km2'!J45*453.6</f>
        <v>9.204662144159979</v>
      </c>
      <c r="K46" s="27">
        <f>'[1]Pesticide use in lb-km2'!K45*453.6</f>
        <v>1.1776332959999984E-2</v>
      </c>
      <c r="L46" s="27">
        <f>'[1]Pesticide use in lb-km2'!L45*453.6</f>
        <v>0.14654086272000016</v>
      </c>
      <c r="M46" s="27">
        <f>'[1]Pesticide use in lb-km2'!M45*453.6</f>
        <v>336.3997626158399</v>
      </c>
      <c r="N46" s="27">
        <f>'[1]Pesticide use in lb-km2'!N45*453.6</f>
        <v>1563.027063433919</v>
      </c>
      <c r="O46" s="27">
        <f>'[1]Pesticide use in lb-km2'!O45*453.6</f>
        <v>4.6530581126399904</v>
      </c>
      <c r="P46" s="27">
        <f>'[1]Pesticide use in lb-km2'!P45*453.6</f>
        <v>9.3435290222400216</v>
      </c>
    </row>
    <row r="47" spans="1:16" x14ac:dyDescent="0.25">
      <c r="A47" s="34">
        <v>382035121575501</v>
      </c>
      <c r="B47" t="s">
        <v>647</v>
      </c>
      <c r="C47" s="27">
        <f>'[1]Pesticide use in lb-km2'!C46*453.6</f>
        <v>49.465990407519001</v>
      </c>
      <c r="D47" s="27">
        <f>'[1]Pesticide use in lb-km2'!D46*453.6</f>
        <v>9.587667364511276</v>
      </c>
      <c r="E47" s="27">
        <f>'[1]Pesticide use in lb-km2'!E46*453.6</f>
        <v>0</v>
      </c>
      <c r="F47" s="27">
        <f>'[1]Pesticide use in lb-km2'!F46*453.6</f>
        <v>1.0769570147368408</v>
      </c>
      <c r="G47" s="27">
        <f>'[1]Pesticide use in lb-km2'!G46*453.6</f>
        <v>159.09791003458648</v>
      </c>
      <c r="H47" s="27">
        <f>'[1]Pesticide use in lb-km2'!H46*453.6</f>
        <v>0.11947379819548865</v>
      </c>
      <c r="I47" s="27">
        <f>'[1]Pesticide use in lb-km2'!I46*453.6</f>
        <v>0</v>
      </c>
      <c r="J47" s="27">
        <f>'[1]Pesticide use in lb-km2'!J46*453.6</f>
        <v>22.886067751578945</v>
      </c>
      <c r="K47" s="27">
        <f>'[1]Pesticide use in lb-km2'!K46*453.6</f>
        <v>2.9893287518796972E-2</v>
      </c>
      <c r="L47" s="27">
        <f>'[1]Pesticide use in lb-km2'!L46*453.6</f>
        <v>1.8676208327819566</v>
      </c>
      <c r="M47" s="27">
        <f>'[1]Pesticide use in lb-km2'!M46*453.6</f>
        <v>130.99571892541351</v>
      </c>
      <c r="N47" s="27">
        <f>'[1]Pesticide use in lb-km2'!N46*453.6</f>
        <v>258.84506439067678</v>
      </c>
      <c r="O47" s="27">
        <f>'[1]Pesticide use in lb-km2'!O46*453.6</f>
        <v>11.254889049022553</v>
      </c>
      <c r="P47" s="27">
        <f>'[1]Pesticide use in lb-km2'!P46*453.6</f>
        <v>13.860815778947387</v>
      </c>
    </row>
    <row r="48" spans="1:16" x14ac:dyDescent="0.25">
      <c r="A48" s="34">
        <v>382245122001601</v>
      </c>
      <c r="B48" t="s">
        <v>648</v>
      </c>
      <c r="C48" s="27">
        <f>'[1]Pesticide use in lb-km2'!C47*453.6</f>
        <v>6.6881170571202846</v>
      </c>
      <c r="D48" s="27">
        <f>'[1]Pesticide use in lb-km2'!D47*453.6</f>
        <v>16.980720144430897</v>
      </c>
      <c r="E48" s="27">
        <f>'[1]Pesticide use in lb-km2'!E47*453.6</f>
        <v>0</v>
      </c>
      <c r="F48" s="27">
        <f>'[1]Pesticide use in lb-km2'!F47*453.6</f>
        <v>0.14560853170556545</v>
      </c>
      <c r="G48" s="27">
        <f>'[1]Pesticide use in lb-km2'!G47*453.6</f>
        <v>21.51298423945423</v>
      </c>
      <c r="H48" s="27">
        <f>'[1]Pesticide use in lb-km2'!H47*453.6</f>
        <v>1.6140716725314187E-2</v>
      </c>
      <c r="I48" s="27">
        <f>'[1]Pesticide use in lb-km2'!I47*453.6</f>
        <v>0</v>
      </c>
      <c r="J48" s="27">
        <f>'[1]Pesticide use in lb-km2'!J47*453.6</f>
        <v>3.0939292616445244</v>
      </c>
      <c r="K48" s="27">
        <f>'[1]Pesticide use in lb-km2'!K47*453.6</f>
        <v>4.0412437400359066E-3</v>
      </c>
      <c r="L48" s="27">
        <f>'[1]Pesticide use in lb-km2'!L47*453.6</f>
        <v>0.2525327198563736</v>
      </c>
      <c r="M48" s="27">
        <f>'[1]Pesticide use in lb-km2'!M47*453.6</f>
        <v>17.709230556581709</v>
      </c>
      <c r="N48" s="27">
        <f>'[1]Pesticide use in lb-km2'!N47*453.6</f>
        <v>34.993486774922808</v>
      </c>
      <c r="O48" s="27">
        <f>'[1]Pesticide use in lb-km2'!O47*453.6</f>
        <v>1.5215187213500896</v>
      </c>
      <c r="P48" s="27">
        <f>'[1]Pesticide use in lb-km2'!P47*453.6</f>
        <v>1.8735493097019758</v>
      </c>
    </row>
    <row r="49" spans="1:16" x14ac:dyDescent="0.25">
      <c r="A49" s="34">
        <v>382346122521201</v>
      </c>
      <c r="B49" t="s">
        <v>649</v>
      </c>
      <c r="C49" s="27">
        <f>'[1]Pesticide use in lb-km2'!C48*453.6</f>
        <v>3.8993453672727258</v>
      </c>
      <c r="D49" s="27">
        <f>'[1]Pesticide use in lb-km2'!D48*453.6</f>
        <v>188.87600323199993</v>
      </c>
      <c r="E49" s="27">
        <f>'[1]Pesticide use in lb-km2'!E48*453.6</f>
        <v>0.19720246254545459</v>
      </c>
      <c r="F49" s="27">
        <f>'[1]Pesticide use in lb-km2'!F48*453.6</f>
        <v>0.153786589090909</v>
      </c>
      <c r="G49" s="27">
        <f>'[1]Pesticide use in lb-km2'!G48*453.6</f>
        <v>14.276014826181806</v>
      </c>
      <c r="H49" s="27">
        <f>'[1]Pesticide use in lb-km2'!H48*453.6</f>
        <v>0.17858079272727273</v>
      </c>
      <c r="I49" s="27">
        <f>'[1]Pesticide use in lb-km2'!I48*453.6</f>
        <v>0</v>
      </c>
      <c r="J49" s="27">
        <f>'[1]Pesticide use in lb-km2'!J48*453.6</f>
        <v>5.8432006385454445</v>
      </c>
      <c r="K49" s="27">
        <f>'[1]Pesticide use in lb-km2'!K48*453.6</f>
        <v>1.4354467985454535E-2</v>
      </c>
      <c r="L49" s="27">
        <f>'[1]Pesticide use in lb-km2'!L48*453.6</f>
        <v>2.149395390545453</v>
      </c>
      <c r="M49" s="27">
        <f>'[1]Pesticide use in lb-km2'!M48*453.6</f>
        <v>57.329622427636139</v>
      </c>
      <c r="N49" s="27">
        <f>'[1]Pesticide use in lb-km2'!N48*453.6</f>
        <v>210.56865104290918</v>
      </c>
      <c r="O49" s="27">
        <f>'[1]Pesticide use in lb-km2'!O48*453.6</f>
        <v>9.9875721119999845</v>
      </c>
      <c r="P49" s="27">
        <f>'[1]Pesticide use in lb-km2'!P48*453.6</f>
        <v>1.2937864616727262</v>
      </c>
    </row>
    <row r="50" spans="1:16" x14ac:dyDescent="0.25">
      <c r="A50" s="34">
        <v>382619122531401</v>
      </c>
      <c r="B50" t="s">
        <v>650</v>
      </c>
      <c r="C50" s="27">
        <f>'[1]Pesticide use in lb-km2'!C49*453.6</f>
        <v>2.065262375597976</v>
      </c>
      <c r="D50" s="27">
        <f>'[1]Pesticide use in lb-km2'!D49*453.6</f>
        <v>36.722534557631469</v>
      </c>
      <c r="E50" s="27">
        <f>'[1]Pesticide use in lb-km2'!E49*453.6</f>
        <v>0.10444697502142584</v>
      </c>
      <c r="F50" s="27">
        <f>'[1]Pesticide use in lb-km2'!F49*453.6</f>
        <v>8.1452052574990219E-2</v>
      </c>
      <c r="G50" s="27">
        <f>'[1]Pesticide use in lb-km2'!G49*453.6</f>
        <v>7.5611963353954152</v>
      </c>
      <c r="H50" s="27">
        <f>'[1]Pesticide use in lb-km2'!H49*453.6</f>
        <v>9.458415248928731E-2</v>
      </c>
      <c r="I50" s="27">
        <f>'[1]Pesticide use in lb-km2'!I49*453.6</f>
        <v>0</v>
      </c>
      <c r="J50" s="27">
        <f>'[1]Pesticide use in lb-km2'!J49*453.6</f>
        <v>3.0948123612621732</v>
      </c>
      <c r="K50" s="27">
        <f>'[1]Pesticide use in lb-km2'!K49*453.6</f>
        <v>7.6027554960654475E-3</v>
      </c>
      <c r="L50" s="27">
        <f>'[1]Pesticide use in lb-km2'!L49*453.6</f>
        <v>1.1384129784495522</v>
      </c>
      <c r="M50" s="27">
        <f>'[1]Pesticide use in lb-km2'!M49*453.6</f>
        <v>219.50245494497841</v>
      </c>
      <c r="N50" s="27">
        <f>'[1]Pesticide use in lb-km2'!N49*453.6</f>
        <v>874.02837138437167</v>
      </c>
      <c r="O50" s="27">
        <f>'[1]Pesticide use in lb-km2'!O49*453.6</f>
        <v>5.289851145835585</v>
      </c>
      <c r="P50" s="27">
        <f>'[1]Pesticide use in lb-km2'!P49*453.6</f>
        <v>0.68524539160109155</v>
      </c>
    </row>
    <row r="51" spans="1:16" x14ac:dyDescent="0.25">
      <c r="A51" s="34">
        <v>382634122315201</v>
      </c>
      <c r="B51" t="s">
        <v>651</v>
      </c>
      <c r="C51" s="27">
        <f>'[1]Pesticide use in lb-km2'!C50*453.6</f>
        <v>1.8820503183673468E-2</v>
      </c>
      <c r="D51" s="27">
        <f>'[1]Pesticide use in lb-km2'!D50*453.6</f>
        <v>0</v>
      </c>
      <c r="E51" s="27">
        <f>'[1]Pesticide use in lb-km2'!E50*453.6</f>
        <v>9.5181502040816231E-4</v>
      </c>
      <c r="F51" s="27">
        <f>'[1]Pesticide use in lb-km2'!F50*453.6</f>
        <v>7.422637224489808E-4</v>
      </c>
      <c r="G51" s="27">
        <f>'[1]Pesticide use in lb-km2'!G50*453.6</f>
        <v>6.8904405551020245E-2</v>
      </c>
      <c r="H51" s="27">
        <f>'[1]Pesticide use in lb-km2'!H50*453.6</f>
        <v>8.6193477551020192E-4</v>
      </c>
      <c r="I51" s="27">
        <f>'[1]Pesticide use in lb-km2'!I50*453.6</f>
        <v>0</v>
      </c>
      <c r="J51" s="27">
        <f>'[1]Pesticide use in lb-km2'!J50*453.6</f>
        <v>2.8202696816326551E-2</v>
      </c>
      <c r="K51" s="27">
        <f>'[1]Pesticide use in lb-km2'!K50*453.6</f>
        <v>6.9283161991836876E-5</v>
      </c>
      <c r="L51" s="27">
        <f>'[1]Pesticide use in lb-km2'!L50*453.6</f>
        <v>1.0374241959183692E-2</v>
      </c>
      <c r="M51" s="27">
        <f>'[1]Pesticide use in lb-km2'!M50*453.6</f>
        <v>6.9714661224489925E-4</v>
      </c>
      <c r="N51" s="27">
        <f>'[1]Pesticide use in lb-km2'!N50*453.6</f>
        <v>7.7976949342040989</v>
      </c>
      <c r="O51" s="27">
        <f>'[1]Pesticide use in lb-km2'!O50*453.6</f>
        <v>4.8205866122448857E-2</v>
      </c>
      <c r="P51" s="27">
        <f>'[1]Pesticide use in lb-km2'!P50*453.6</f>
        <v>6.8819662138775344E-3</v>
      </c>
    </row>
    <row r="52" spans="1:16" x14ac:dyDescent="0.25">
      <c r="A52" s="34">
        <v>383039122502401</v>
      </c>
      <c r="B52" t="s">
        <v>652</v>
      </c>
      <c r="C52" s="27">
        <f>'[1]Pesticide use in lb-km2'!C51*453.6</f>
        <v>19.714955240976522</v>
      </c>
      <c r="D52" s="27">
        <f>'[1]Pesticide use in lb-km2'!D51*453.6</f>
        <v>1.9744449562413642</v>
      </c>
      <c r="E52" s="27">
        <f>'[1]Pesticide use in lb-km2'!E51*453.6</f>
        <v>0.99704879270382352</v>
      </c>
      <c r="F52" s="27">
        <f>'[1]Pesticide use in lb-km2'!F51*453.6</f>
        <v>0.7775397458498392</v>
      </c>
      <c r="G52" s="27">
        <f>'[1]Pesticide use in lb-km2'!G51*453.6</f>
        <v>72.179036706328887</v>
      </c>
      <c r="H52" s="27">
        <f>'[1]Pesticide use in lb-km2'!H51*453.6</f>
        <v>0.90289827990787674</v>
      </c>
      <c r="I52" s="27">
        <f>'[1]Pesticide use in lb-km2'!I51*453.6</f>
        <v>0</v>
      </c>
      <c r="J52" s="27">
        <f>'[1]Pesticide use in lb-km2'!J51*453.6</f>
        <v>29.543020059880249</v>
      </c>
      <c r="K52" s="27">
        <f>'[1]Pesticide use in lb-km2'!K51*453.6</f>
        <v>7.2575734651312937E-2</v>
      </c>
      <c r="L52" s="27">
        <f>'[1]Pesticide use in lb-km2'!L51*453.6</f>
        <v>10.867268680018416</v>
      </c>
      <c r="M52" s="27">
        <f>'[1]Pesticide use in lb-km2'!M51*453.6</f>
        <v>458.76956959915407</v>
      </c>
      <c r="N52" s="27">
        <f>'[1]Pesticide use in lb-km2'!N51*453.6</f>
        <v>1076.1453537340208</v>
      </c>
      <c r="O52" s="27">
        <f>'[1]Pesticide use in lb-km2'!O51*453.6</f>
        <v>50.496818801621274</v>
      </c>
      <c r="P52" s="27">
        <f>'[1]Pesticide use in lb-km2'!P51*453.6</f>
        <v>6.541339594435728</v>
      </c>
    </row>
    <row r="53" spans="1:16" x14ac:dyDescent="0.25">
      <c r="A53" s="34">
        <v>383109122363301</v>
      </c>
      <c r="B53" t="s">
        <v>653</v>
      </c>
      <c r="C53" s="27">
        <f>'[1]Pesticide use in lb-km2'!C52*453.6</f>
        <v>0.64559559755023954</v>
      </c>
      <c r="D53" s="27">
        <f>'[1]Pesticide use in lb-km2'!D52*453.6</f>
        <v>0</v>
      </c>
      <c r="E53" s="27">
        <f>'[1]Pesticide use in lb-km2'!E52*453.6</f>
        <v>3.2100512382775136E-2</v>
      </c>
      <c r="F53" s="27">
        <f>'[1]Pesticide use in lb-km2'!F52*453.6</f>
        <v>2.5308297301435412E-2</v>
      </c>
      <c r="G53" s="27">
        <f>'[1]Pesticide use in lb-km2'!G52*453.6</f>
        <v>2.3333054648038285</v>
      </c>
      <c r="H53" s="27">
        <f>'[1]Pesticide use in lb-km2'!H52*453.6</f>
        <v>2.926549067942583E-2</v>
      </c>
      <c r="I53" s="27">
        <f>'[1]Pesticide use in lb-km2'!I52*453.6</f>
        <v>0</v>
      </c>
      <c r="J53" s="27">
        <f>'[1]Pesticide use in lb-km2'!J52*453.6</f>
        <v>0.96161962909091026</v>
      </c>
      <c r="K53" s="27">
        <f>'[1]Pesticide use in lb-km2'!K52*453.6</f>
        <v>2.350005844822966E-3</v>
      </c>
      <c r="L53" s="27">
        <f>'[1]Pesticide use in lb-km2'!L52*453.6</f>
        <v>0.35004398813397125</v>
      </c>
      <c r="M53" s="27">
        <f>'[1]Pesticide use in lb-km2'!M52*453.6</f>
        <v>8.1599167464114997E-2</v>
      </c>
      <c r="N53" s="27">
        <f>'[1]Pesticide use in lb-km2'!N52*453.6</f>
        <v>33.066904752000006</v>
      </c>
      <c r="O53" s="27">
        <f>'[1]Pesticide use in lb-km2'!O52*453.6</f>
        <v>1.631062432765549</v>
      </c>
      <c r="P53" s="27">
        <f>'[1]Pesticide use in lb-km2'!P52*453.6</f>
        <v>0.26445040604784714</v>
      </c>
    </row>
    <row r="54" spans="1:16" x14ac:dyDescent="0.25">
      <c r="A54" s="34">
        <v>383305122311901</v>
      </c>
      <c r="B54" t="s">
        <v>654</v>
      </c>
      <c r="C54" s="27">
        <f>'[1]Pesticide use in lb-km2'!C53*453.6</f>
        <v>0</v>
      </c>
      <c r="D54" s="27">
        <f>'[1]Pesticide use in lb-km2'!D53*453.6</f>
        <v>0</v>
      </c>
      <c r="E54" s="27">
        <f>'[1]Pesticide use in lb-km2'!E53*453.6</f>
        <v>0</v>
      </c>
      <c r="F54" s="27">
        <f>'[1]Pesticide use in lb-km2'!F53*453.6</f>
        <v>0</v>
      </c>
      <c r="G54" s="27">
        <f>'[1]Pesticide use in lb-km2'!G53*453.6</f>
        <v>0</v>
      </c>
      <c r="H54" s="27">
        <f>'[1]Pesticide use in lb-km2'!H53*453.6</f>
        <v>0</v>
      </c>
      <c r="I54" s="27">
        <f>'[1]Pesticide use in lb-km2'!I53*453.6</f>
        <v>0</v>
      </c>
      <c r="J54" s="27">
        <f>'[1]Pesticide use in lb-km2'!J53*453.6</f>
        <v>0</v>
      </c>
      <c r="K54" s="27">
        <f>'[1]Pesticide use in lb-km2'!K53*453.6</f>
        <v>0</v>
      </c>
      <c r="L54" s="27">
        <f>'[1]Pesticide use in lb-km2'!L53*453.6</f>
        <v>0</v>
      </c>
      <c r="M54" s="27">
        <f>'[1]Pesticide use in lb-km2'!M53*453.6</f>
        <v>0</v>
      </c>
      <c r="N54" s="27">
        <f>'[1]Pesticide use in lb-km2'!N53*453.6</f>
        <v>595.96533823648349</v>
      </c>
      <c r="O54" s="27">
        <f>'[1]Pesticide use in lb-km2'!O53*453.6</f>
        <v>0</v>
      </c>
      <c r="P54" s="27">
        <f>'[1]Pesticide use in lb-km2'!P53*453.6</f>
        <v>0.37582917626373613</v>
      </c>
    </row>
    <row r="55" spans="1:16" x14ac:dyDescent="0.25">
      <c r="A55" s="34">
        <v>383321122302101</v>
      </c>
      <c r="B55" t="s">
        <v>655</v>
      </c>
      <c r="C55" s="27">
        <f>'[1]Pesticide use in lb-km2'!C54*453.6</f>
        <v>5.9718769440412123</v>
      </c>
      <c r="D55" s="27">
        <f>'[1]Pesticide use in lb-km2'!D54*453.6</f>
        <v>3.1428102345064386</v>
      </c>
      <c r="E55" s="27">
        <f>'[1]Pesticide use in lb-km2'!E54*453.6</f>
        <v>2.5221016583691001E-4</v>
      </c>
      <c r="F55" s="27">
        <f>'[1]Pesticide use in lb-km2'!F54*453.6</f>
        <v>0.15126426973390536</v>
      </c>
      <c r="G55" s="27">
        <f>'[1]Pesticide use in lb-km2'!G54*453.6</f>
        <v>5.2168843085253158</v>
      </c>
      <c r="H55" s="27">
        <f>'[1]Pesticide use in lb-km2'!H54*453.6</f>
        <v>0.10803572250643777</v>
      </c>
      <c r="I55" s="27">
        <f>'[1]Pesticide use in lb-km2'!I54*453.6</f>
        <v>0</v>
      </c>
      <c r="J55" s="27">
        <f>'[1]Pesticide use in lb-km2'!J54*453.6</f>
        <v>5.75702923785063</v>
      </c>
      <c r="K55" s="27">
        <f>'[1]Pesticide use in lb-km2'!K54*453.6</f>
        <v>7.3742705922746864E-3</v>
      </c>
      <c r="L55" s="27">
        <f>'[1]Pesticide use in lb-km2'!L54*453.6</f>
        <v>9.4283536109871321E-2</v>
      </c>
      <c r="M55" s="27">
        <f>'[1]Pesticide use in lb-km2'!M54*453.6</f>
        <v>178.0919371360275</v>
      </c>
      <c r="N55" s="27">
        <f>'[1]Pesticide use in lb-km2'!N54*453.6</f>
        <v>457.83584310716083</v>
      </c>
      <c r="O55" s="27">
        <f>'[1]Pesticide use in lb-km2'!O54*453.6</f>
        <v>2.919237479752788</v>
      </c>
      <c r="P55" s="27">
        <f>'[1]Pesticide use in lb-km2'!P54*453.6</f>
        <v>6.6704938432068541</v>
      </c>
    </row>
    <row r="56" spans="1:16" x14ac:dyDescent="0.25">
      <c r="A56" s="34">
        <v>383719122462501</v>
      </c>
      <c r="B56" t="s">
        <v>656</v>
      </c>
      <c r="C56" s="27">
        <f>'[1]Pesticide use in lb-km2'!C55*453.6</f>
        <v>0.34351116464863957</v>
      </c>
      <c r="D56" s="27">
        <f>'[1]Pesticide use in lb-km2'!D55*453.6</f>
        <v>0</v>
      </c>
      <c r="E56" s="27">
        <f>'[1]Pesticide use in lb-km2'!E55*453.6</f>
        <v>1.7372464735102153E-2</v>
      </c>
      <c r="F56" s="27">
        <f>'[1]Pesticide use in lb-km2'!F55*453.6</f>
        <v>1.3547763519538843E-2</v>
      </c>
      <c r="G56" s="27">
        <f>'[1]Pesticide use in lb-km2'!G55*453.6</f>
        <v>1.257639424979232</v>
      </c>
      <c r="H56" s="27">
        <f>'[1]Pesticide use in lb-km2'!H55*453.6</f>
        <v>1.5731999206577949E-2</v>
      </c>
      <c r="I56" s="27">
        <f>'[1]Pesticide use in lb-km2'!I55*453.6</f>
        <v>0</v>
      </c>
      <c r="J56" s="27">
        <f>'[1]Pesticide use in lb-km2'!J55*453.6</f>
        <v>0.51475426202594066</v>
      </c>
      <c r="K56" s="27">
        <f>'[1]Pesticide use in lb-km2'!K55*453.6</f>
        <v>1.2645515937950336E-3</v>
      </c>
      <c r="L56" s="27">
        <f>'[1]Pesticide use in lb-km2'!L55*453.6</f>
        <v>0.18935006959057388</v>
      </c>
      <c r="M56" s="27">
        <f>'[1]Pesticide use in lb-km2'!M55*453.6</f>
        <v>101.49942268685268</v>
      </c>
      <c r="N56" s="27">
        <f>'[1]Pesticide use in lb-km2'!N55*453.6</f>
        <v>327.44685630565061</v>
      </c>
      <c r="O56" s="27">
        <f>'[1]Pesticide use in lb-km2'!O55*453.6</f>
        <v>0.87985089991014509</v>
      </c>
      <c r="P56" s="27">
        <f>'[1]Pesticide use in lb-km2'!P55*453.6</f>
        <v>0.11397556522302275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7"/>
  <sheetViews>
    <sheetView workbookViewId="0"/>
  </sheetViews>
  <sheetFormatPr defaultRowHeight="15" x14ac:dyDescent="0.25"/>
  <cols>
    <col min="1" max="1" width="17.42578125" customWidth="1"/>
    <col min="2" max="2" width="19.85546875" customWidth="1"/>
    <col min="3" max="3" width="49.7109375" customWidth="1"/>
    <col min="4" max="4" width="9.5703125" bestFit="1" customWidth="1"/>
  </cols>
  <sheetData>
    <row r="1" spans="1:125" x14ac:dyDescent="0.25">
      <c r="A1" t="s">
        <v>857</v>
      </c>
    </row>
    <row r="2" spans="1:125" x14ac:dyDescent="0.25">
      <c r="A2" t="s">
        <v>855</v>
      </c>
    </row>
    <row r="3" spans="1:125" ht="33.75" x14ac:dyDescent="0.25">
      <c r="A3" s="1" t="s">
        <v>0</v>
      </c>
      <c r="B3" s="1" t="s">
        <v>109</v>
      </c>
      <c r="C3" s="2" t="s">
        <v>164</v>
      </c>
      <c r="D3" s="5" t="s">
        <v>165</v>
      </c>
      <c r="E3" s="4" t="s">
        <v>382</v>
      </c>
      <c r="F3" s="9" t="s">
        <v>167</v>
      </c>
      <c r="G3" s="4" t="s">
        <v>265</v>
      </c>
      <c r="H3" s="2" t="s">
        <v>266</v>
      </c>
      <c r="I3" s="2" t="s">
        <v>267</v>
      </c>
      <c r="J3" s="2" t="s">
        <v>268</v>
      </c>
      <c r="K3" s="2" t="s">
        <v>269</v>
      </c>
      <c r="L3" s="2" t="s">
        <v>270</v>
      </c>
      <c r="M3" s="2" t="s">
        <v>271</v>
      </c>
      <c r="N3" s="11" t="s">
        <v>272</v>
      </c>
      <c r="O3" s="2" t="s">
        <v>273</v>
      </c>
      <c r="P3" s="2" t="s">
        <v>274</v>
      </c>
      <c r="Q3" s="11" t="s">
        <v>275</v>
      </c>
      <c r="R3" s="2" t="s">
        <v>276</v>
      </c>
      <c r="S3" s="2" t="s">
        <v>277</v>
      </c>
      <c r="T3" s="11" t="s">
        <v>278</v>
      </c>
      <c r="U3" s="2" t="s">
        <v>279</v>
      </c>
      <c r="V3" s="2" t="s">
        <v>183</v>
      </c>
      <c r="W3" s="2" t="s">
        <v>280</v>
      </c>
      <c r="X3" s="11" t="s">
        <v>281</v>
      </c>
      <c r="Y3" s="2" t="s">
        <v>282</v>
      </c>
      <c r="Z3" s="2" t="s">
        <v>283</v>
      </c>
      <c r="AA3" s="2" t="s">
        <v>284</v>
      </c>
      <c r="AB3" s="2" t="s">
        <v>285</v>
      </c>
      <c r="AC3" s="2" t="s">
        <v>286</v>
      </c>
      <c r="AD3" s="2" t="s">
        <v>287</v>
      </c>
      <c r="AE3" s="2" t="s">
        <v>288</v>
      </c>
      <c r="AF3" s="2" t="s">
        <v>289</v>
      </c>
      <c r="AG3" s="11" t="s">
        <v>290</v>
      </c>
      <c r="AH3" s="11" t="s">
        <v>291</v>
      </c>
      <c r="AI3" s="2" t="s">
        <v>292</v>
      </c>
      <c r="AJ3" s="2" t="s">
        <v>293</v>
      </c>
      <c r="AK3" s="2" t="s">
        <v>294</v>
      </c>
      <c r="AL3" s="11" t="s">
        <v>295</v>
      </c>
      <c r="AM3" s="11" t="s">
        <v>296</v>
      </c>
      <c r="AN3" s="2" t="s">
        <v>297</v>
      </c>
      <c r="AO3" s="2" t="s">
        <v>298</v>
      </c>
      <c r="AP3" s="2" t="s">
        <v>299</v>
      </c>
      <c r="AQ3" s="2" t="s">
        <v>300</v>
      </c>
      <c r="AR3" s="2" t="s">
        <v>301</v>
      </c>
      <c r="AS3" s="11" t="s">
        <v>302</v>
      </c>
      <c r="AT3" s="11" t="s">
        <v>303</v>
      </c>
      <c r="AU3" s="11" t="s">
        <v>304</v>
      </c>
      <c r="AV3" s="11" t="s">
        <v>305</v>
      </c>
      <c r="AW3" s="2" t="s">
        <v>306</v>
      </c>
      <c r="AX3" s="2" t="s">
        <v>307</v>
      </c>
      <c r="AY3" s="2" t="s">
        <v>308</v>
      </c>
      <c r="AZ3" s="2" t="s">
        <v>309</v>
      </c>
      <c r="BA3" s="2" t="s">
        <v>310</v>
      </c>
      <c r="BB3" s="2" t="s">
        <v>311</v>
      </c>
      <c r="BC3" s="2" t="s">
        <v>312</v>
      </c>
      <c r="BD3" s="2" t="s">
        <v>313</v>
      </c>
      <c r="BE3" s="11" t="s">
        <v>314</v>
      </c>
      <c r="BF3" s="11" t="s">
        <v>315</v>
      </c>
      <c r="BG3" s="2" t="s">
        <v>316</v>
      </c>
      <c r="BH3" s="2" t="s">
        <v>317</v>
      </c>
      <c r="BI3" s="11" t="s">
        <v>318</v>
      </c>
      <c r="BJ3" s="11" t="s">
        <v>319</v>
      </c>
      <c r="BK3" s="11" t="s">
        <v>320</v>
      </c>
      <c r="BL3" s="11" t="s">
        <v>321</v>
      </c>
      <c r="BM3" s="2" t="s">
        <v>322</v>
      </c>
      <c r="BN3" s="11" t="s">
        <v>323</v>
      </c>
      <c r="BO3" s="11" t="s">
        <v>324</v>
      </c>
      <c r="BP3" s="11" t="s">
        <v>325</v>
      </c>
      <c r="BQ3" s="11" t="s">
        <v>326</v>
      </c>
      <c r="BR3" s="2" t="s">
        <v>327</v>
      </c>
      <c r="BS3" s="11" t="s">
        <v>328</v>
      </c>
      <c r="BT3" s="11" t="s">
        <v>329</v>
      </c>
      <c r="BU3" s="2" t="s">
        <v>330</v>
      </c>
      <c r="BV3" s="2" t="s">
        <v>331</v>
      </c>
      <c r="BW3" s="2" t="s">
        <v>332</v>
      </c>
      <c r="BX3" s="2" t="s">
        <v>333</v>
      </c>
      <c r="BY3" s="2" t="s">
        <v>334</v>
      </c>
      <c r="BZ3" s="11" t="s">
        <v>335</v>
      </c>
      <c r="CA3" s="2" t="s">
        <v>336</v>
      </c>
      <c r="CB3" s="11" t="s">
        <v>337</v>
      </c>
      <c r="CC3" s="2" t="s">
        <v>829</v>
      </c>
      <c r="CD3" s="2" t="s">
        <v>338</v>
      </c>
      <c r="CE3" s="2" t="s">
        <v>339</v>
      </c>
      <c r="CF3" s="2" t="s">
        <v>340</v>
      </c>
      <c r="CG3" s="2" t="s">
        <v>341</v>
      </c>
      <c r="CH3" s="2" t="s">
        <v>342</v>
      </c>
      <c r="CI3" s="11" t="s">
        <v>343</v>
      </c>
      <c r="CJ3" s="2" t="s">
        <v>344</v>
      </c>
      <c r="CK3" s="2" t="s">
        <v>345</v>
      </c>
      <c r="CL3" s="2" t="s">
        <v>346</v>
      </c>
      <c r="CM3" s="2" t="s">
        <v>347</v>
      </c>
      <c r="CN3" s="2" t="s">
        <v>348</v>
      </c>
      <c r="CO3" s="4" t="s">
        <v>349</v>
      </c>
      <c r="CP3" s="2" t="s">
        <v>350</v>
      </c>
      <c r="CQ3" s="2" t="s">
        <v>351</v>
      </c>
      <c r="CR3" s="2" t="s">
        <v>352</v>
      </c>
      <c r="CS3" s="2" t="s">
        <v>353</v>
      </c>
      <c r="CT3" s="2" t="s">
        <v>354</v>
      </c>
      <c r="CU3" s="11" t="s">
        <v>355</v>
      </c>
      <c r="CV3" s="2" t="s">
        <v>356</v>
      </c>
      <c r="CW3" s="11" t="s">
        <v>357</v>
      </c>
      <c r="CX3" s="2" t="s">
        <v>358</v>
      </c>
      <c r="CY3" s="11" t="s">
        <v>359</v>
      </c>
      <c r="CZ3" s="2" t="s">
        <v>360</v>
      </c>
      <c r="DA3" s="2" t="s">
        <v>361</v>
      </c>
      <c r="DB3" s="2" t="s">
        <v>362</v>
      </c>
      <c r="DC3" s="11" t="s">
        <v>363</v>
      </c>
      <c r="DD3" s="2" t="s">
        <v>364</v>
      </c>
      <c r="DE3" s="11" t="s">
        <v>365</v>
      </c>
      <c r="DF3" s="2" t="s">
        <v>366</v>
      </c>
      <c r="DG3" s="11" t="s">
        <v>367</v>
      </c>
      <c r="DH3" s="2" t="s">
        <v>368</v>
      </c>
      <c r="DI3" s="2" t="s">
        <v>369</v>
      </c>
      <c r="DJ3" s="2" t="s">
        <v>370</v>
      </c>
      <c r="DK3" s="2" t="s">
        <v>371</v>
      </c>
      <c r="DL3" s="11" t="s">
        <v>372</v>
      </c>
      <c r="DM3" s="11" t="s">
        <v>373</v>
      </c>
      <c r="DN3" s="2" t="s">
        <v>374</v>
      </c>
      <c r="DO3" s="11" t="s">
        <v>375</v>
      </c>
      <c r="DP3" s="11" t="s">
        <v>376</v>
      </c>
      <c r="DQ3" s="11" t="s">
        <v>377</v>
      </c>
      <c r="DR3" s="2" t="s">
        <v>378</v>
      </c>
      <c r="DS3" s="11" t="s">
        <v>379</v>
      </c>
      <c r="DT3" s="11" t="s">
        <v>380</v>
      </c>
      <c r="DU3" s="11" t="s">
        <v>381</v>
      </c>
    </row>
    <row r="4" spans="1:125" x14ac:dyDescent="0.25">
      <c r="A4" s="3" t="s">
        <v>1</v>
      </c>
      <c r="B4" s="3" t="s">
        <v>110</v>
      </c>
      <c r="C4" s="3" t="s">
        <v>55</v>
      </c>
      <c r="D4" s="7">
        <v>42866</v>
      </c>
      <c r="E4" s="8">
        <v>0.54166666666666663</v>
      </c>
      <c r="F4" s="10">
        <v>5.0199999999999996</v>
      </c>
      <c r="G4" s="10">
        <v>1.72</v>
      </c>
      <c r="H4" s="12" t="s">
        <v>169</v>
      </c>
      <c r="I4" s="12" t="s">
        <v>169</v>
      </c>
      <c r="J4" s="12" t="s">
        <v>169</v>
      </c>
      <c r="K4" s="12" t="s">
        <v>169</v>
      </c>
      <c r="L4" s="12" t="s">
        <v>169</v>
      </c>
      <c r="M4" s="12" t="s">
        <v>169</v>
      </c>
      <c r="N4" s="13" t="s">
        <v>169</v>
      </c>
      <c r="O4" s="12" t="s">
        <v>169</v>
      </c>
      <c r="P4" s="12" t="s">
        <v>169</v>
      </c>
      <c r="Q4" s="13" t="s">
        <v>169</v>
      </c>
      <c r="R4" s="12" t="s">
        <v>169</v>
      </c>
      <c r="S4" s="12" t="s">
        <v>169</v>
      </c>
      <c r="T4" s="13" t="s">
        <v>169</v>
      </c>
      <c r="U4" s="12" t="s">
        <v>169</v>
      </c>
      <c r="V4" s="12" t="s">
        <v>169</v>
      </c>
      <c r="W4" s="12" t="s">
        <v>169</v>
      </c>
      <c r="X4" s="13" t="s">
        <v>169</v>
      </c>
      <c r="Y4" s="12" t="s">
        <v>169</v>
      </c>
      <c r="Z4" s="12" t="s">
        <v>169</v>
      </c>
      <c r="AA4" s="12" t="s">
        <v>169</v>
      </c>
      <c r="AB4" s="12" t="s">
        <v>169</v>
      </c>
      <c r="AC4" s="12" t="s">
        <v>169</v>
      </c>
      <c r="AD4" s="12" t="s">
        <v>169</v>
      </c>
      <c r="AE4" s="12">
        <v>1.6507302849046255</v>
      </c>
      <c r="AF4" s="12" t="s">
        <v>169</v>
      </c>
      <c r="AG4" s="13" t="s">
        <v>169</v>
      </c>
      <c r="AH4" s="13" t="s">
        <v>169</v>
      </c>
      <c r="AI4" s="12">
        <v>42.284888536886854</v>
      </c>
      <c r="AJ4" s="12" t="s">
        <v>169</v>
      </c>
      <c r="AK4" s="12" t="s">
        <v>169</v>
      </c>
      <c r="AL4" s="13" t="s">
        <v>169</v>
      </c>
      <c r="AM4" s="13" t="s">
        <v>169</v>
      </c>
      <c r="AN4" s="12" t="s">
        <v>169</v>
      </c>
      <c r="AO4" s="12" t="s">
        <v>169</v>
      </c>
      <c r="AP4" s="12" t="s">
        <v>169</v>
      </c>
      <c r="AQ4" s="12" t="s">
        <v>169</v>
      </c>
      <c r="AR4" s="12" t="s">
        <v>169</v>
      </c>
      <c r="AS4" s="13" t="s">
        <v>169</v>
      </c>
      <c r="AT4" s="13" t="s">
        <v>169</v>
      </c>
      <c r="AU4" s="13" t="s">
        <v>169</v>
      </c>
      <c r="AV4" s="13" t="s">
        <v>169</v>
      </c>
      <c r="AW4" s="12" t="s">
        <v>169</v>
      </c>
      <c r="AX4" s="12" t="s">
        <v>169</v>
      </c>
      <c r="AY4" s="12" t="s">
        <v>169</v>
      </c>
      <c r="AZ4" s="12" t="s">
        <v>169</v>
      </c>
      <c r="BA4" s="12" t="s">
        <v>169</v>
      </c>
      <c r="BB4" s="12" t="s">
        <v>169</v>
      </c>
      <c r="BC4" s="12" t="s">
        <v>169</v>
      </c>
      <c r="BD4" s="12" t="s">
        <v>169</v>
      </c>
      <c r="BE4" s="13" t="s">
        <v>169</v>
      </c>
      <c r="BF4" s="13" t="s">
        <v>169</v>
      </c>
      <c r="BG4" s="12" t="s">
        <v>169</v>
      </c>
      <c r="BH4" s="12" t="s">
        <v>169</v>
      </c>
      <c r="BI4" s="13" t="s">
        <v>169</v>
      </c>
      <c r="BJ4" s="13" t="s">
        <v>169</v>
      </c>
      <c r="BK4" s="13" t="s">
        <v>169</v>
      </c>
      <c r="BL4" s="13" t="s">
        <v>169</v>
      </c>
      <c r="BM4" s="12" t="s">
        <v>169</v>
      </c>
      <c r="BN4" s="13" t="s">
        <v>169</v>
      </c>
      <c r="BO4" s="13" t="s">
        <v>169</v>
      </c>
      <c r="BP4" s="13" t="s">
        <v>169</v>
      </c>
      <c r="BQ4" s="13" t="s">
        <v>169</v>
      </c>
      <c r="BR4" s="12" t="s">
        <v>169</v>
      </c>
      <c r="BS4" s="13" t="s">
        <v>169</v>
      </c>
      <c r="BT4" s="13" t="s">
        <v>169</v>
      </c>
      <c r="BU4" s="12" t="s">
        <v>169</v>
      </c>
      <c r="BV4" s="12" t="s">
        <v>169</v>
      </c>
      <c r="BW4" s="12" t="s">
        <v>169</v>
      </c>
      <c r="BX4" s="12" t="s">
        <v>169</v>
      </c>
      <c r="BY4" s="12" t="s">
        <v>169</v>
      </c>
      <c r="BZ4" s="13" t="s">
        <v>169</v>
      </c>
      <c r="CA4" s="12" t="s">
        <v>169</v>
      </c>
      <c r="CB4" s="13" t="s">
        <v>169</v>
      </c>
      <c r="CC4" s="12" t="s">
        <v>169</v>
      </c>
      <c r="CD4" s="12">
        <v>17.359757576356735</v>
      </c>
      <c r="CE4" s="12" t="s">
        <v>169</v>
      </c>
      <c r="CF4" s="12">
        <v>3.3720278118399927</v>
      </c>
      <c r="CG4" s="12">
        <v>3.1977179008279482</v>
      </c>
      <c r="CH4" s="12" t="s">
        <v>169</v>
      </c>
      <c r="CI4" s="13" t="s">
        <v>169</v>
      </c>
      <c r="CJ4" s="12" t="s">
        <v>169</v>
      </c>
      <c r="CK4" s="12" t="s">
        <v>169</v>
      </c>
      <c r="CL4" s="12" t="s">
        <v>169</v>
      </c>
      <c r="CM4" s="12" t="s">
        <v>169</v>
      </c>
      <c r="CN4" s="12" t="s">
        <v>169</v>
      </c>
      <c r="CO4" s="12" t="s">
        <v>169</v>
      </c>
      <c r="CP4" s="12" t="s">
        <v>169</v>
      </c>
      <c r="CQ4" s="12" t="s">
        <v>169</v>
      </c>
      <c r="CR4" s="12" t="s">
        <v>169</v>
      </c>
      <c r="CS4" s="12" t="s">
        <v>169</v>
      </c>
      <c r="CT4" s="12" t="s">
        <v>169</v>
      </c>
      <c r="CU4" s="13" t="s">
        <v>169</v>
      </c>
      <c r="CV4" s="12" t="s">
        <v>169</v>
      </c>
      <c r="CW4" s="13" t="s">
        <v>169</v>
      </c>
      <c r="CX4" s="12" t="s">
        <v>169</v>
      </c>
      <c r="CY4" s="13" t="s">
        <v>169</v>
      </c>
      <c r="CZ4" s="12" t="s">
        <v>169</v>
      </c>
      <c r="DA4" s="12" t="s">
        <v>169</v>
      </c>
      <c r="DB4" s="12" t="s">
        <v>169</v>
      </c>
      <c r="DC4" s="13" t="s">
        <v>169</v>
      </c>
      <c r="DD4" s="12" t="s">
        <v>169</v>
      </c>
      <c r="DE4" s="13" t="s">
        <v>169</v>
      </c>
      <c r="DF4" s="12" t="s">
        <v>169</v>
      </c>
      <c r="DG4" s="13" t="s">
        <v>169</v>
      </c>
      <c r="DH4" s="12" t="s">
        <v>169</v>
      </c>
      <c r="DI4" s="12" t="s">
        <v>169</v>
      </c>
      <c r="DJ4" s="12" t="s">
        <v>169</v>
      </c>
      <c r="DK4" s="12" t="s">
        <v>169</v>
      </c>
      <c r="DL4" s="13" t="s">
        <v>169</v>
      </c>
      <c r="DM4" s="13" t="s">
        <v>169</v>
      </c>
      <c r="DN4" s="12" t="s">
        <v>169</v>
      </c>
      <c r="DO4" s="13" t="s">
        <v>169</v>
      </c>
      <c r="DP4" s="13" t="s">
        <v>169</v>
      </c>
      <c r="DQ4" s="13" t="s">
        <v>169</v>
      </c>
      <c r="DR4" s="12" t="s">
        <v>169</v>
      </c>
      <c r="DS4" s="13" t="s">
        <v>169</v>
      </c>
      <c r="DT4" s="13" t="s">
        <v>169</v>
      </c>
      <c r="DU4" s="13" t="s">
        <v>169</v>
      </c>
    </row>
    <row r="5" spans="1:125" x14ac:dyDescent="0.25">
      <c r="A5" s="3" t="s">
        <v>2</v>
      </c>
      <c r="B5" s="3" t="s">
        <v>111</v>
      </c>
      <c r="C5" s="3" t="s">
        <v>56</v>
      </c>
      <c r="D5" s="7">
        <v>42865</v>
      </c>
      <c r="E5" s="8">
        <v>0.40625</v>
      </c>
      <c r="F5" s="10">
        <v>5.1100000000000003</v>
      </c>
      <c r="G5" s="10">
        <v>4.22</v>
      </c>
      <c r="H5" s="12" t="s">
        <v>169</v>
      </c>
      <c r="I5" s="12" t="s">
        <v>169</v>
      </c>
      <c r="J5" s="12" t="s">
        <v>169</v>
      </c>
      <c r="K5" s="12" t="s">
        <v>169</v>
      </c>
      <c r="L5" s="12" t="s">
        <v>169</v>
      </c>
      <c r="M5" s="12" t="s">
        <v>169</v>
      </c>
      <c r="N5" s="13" t="s">
        <v>169</v>
      </c>
      <c r="O5" s="12" t="s">
        <v>169</v>
      </c>
      <c r="P5" s="12" t="s">
        <v>169</v>
      </c>
      <c r="Q5" s="13" t="s">
        <v>169</v>
      </c>
      <c r="R5" s="12" t="s">
        <v>169</v>
      </c>
      <c r="S5" s="12" t="s">
        <v>169</v>
      </c>
      <c r="T5" s="13" t="s">
        <v>169</v>
      </c>
      <c r="U5" s="12" t="s">
        <v>169</v>
      </c>
      <c r="V5" s="12" t="s">
        <v>169</v>
      </c>
      <c r="W5" s="12" t="s">
        <v>169</v>
      </c>
      <c r="X5" s="13" t="s">
        <v>169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3" t="s">
        <v>169</v>
      </c>
      <c r="AH5" s="13" t="s">
        <v>169</v>
      </c>
      <c r="AI5" s="12" t="s">
        <v>169</v>
      </c>
      <c r="AJ5" s="12" t="s">
        <v>169</v>
      </c>
      <c r="AK5" s="12" t="s">
        <v>169</v>
      </c>
      <c r="AL5" s="13" t="s">
        <v>169</v>
      </c>
      <c r="AM5" s="13" t="s">
        <v>169</v>
      </c>
      <c r="AN5" s="12" t="s">
        <v>169</v>
      </c>
      <c r="AO5" s="12" t="s">
        <v>169</v>
      </c>
      <c r="AP5" s="12" t="s">
        <v>169</v>
      </c>
      <c r="AQ5" s="12" t="s">
        <v>169</v>
      </c>
      <c r="AR5" s="12" t="s">
        <v>169</v>
      </c>
      <c r="AS5" s="13" t="s">
        <v>169</v>
      </c>
      <c r="AT5" s="13" t="s">
        <v>169</v>
      </c>
      <c r="AU5" s="13" t="s">
        <v>169</v>
      </c>
      <c r="AV5" s="13" t="s">
        <v>169</v>
      </c>
      <c r="AW5" s="12" t="s">
        <v>169</v>
      </c>
      <c r="AX5" s="12" t="s">
        <v>169</v>
      </c>
      <c r="AY5" s="12" t="s">
        <v>169</v>
      </c>
      <c r="AZ5" s="12" t="s">
        <v>169</v>
      </c>
      <c r="BA5" s="12" t="s">
        <v>169</v>
      </c>
      <c r="BB5" s="12" t="s">
        <v>169</v>
      </c>
      <c r="BC5" s="12" t="s">
        <v>169</v>
      </c>
      <c r="BD5" s="12" t="s">
        <v>169</v>
      </c>
      <c r="BE5" s="13" t="s">
        <v>169</v>
      </c>
      <c r="BF5" s="13" t="s">
        <v>169</v>
      </c>
      <c r="BG5" s="12" t="s">
        <v>169</v>
      </c>
      <c r="BH5" s="12" t="s">
        <v>169</v>
      </c>
      <c r="BI5" s="13" t="s">
        <v>169</v>
      </c>
      <c r="BJ5" s="13" t="s">
        <v>169</v>
      </c>
      <c r="BK5" s="13" t="s">
        <v>169</v>
      </c>
      <c r="BL5" s="13" t="s">
        <v>169</v>
      </c>
      <c r="BM5" s="12" t="s">
        <v>169</v>
      </c>
      <c r="BN5" s="13" t="s">
        <v>169</v>
      </c>
      <c r="BO5" s="13" t="s">
        <v>169</v>
      </c>
      <c r="BP5" s="13" t="s">
        <v>169</v>
      </c>
      <c r="BQ5" s="13" t="s">
        <v>169</v>
      </c>
      <c r="BR5" s="12" t="s">
        <v>169</v>
      </c>
      <c r="BS5" s="13" t="s">
        <v>169</v>
      </c>
      <c r="BT5" s="13" t="s">
        <v>169</v>
      </c>
      <c r="BU5" s="12" t="s">
        <v>169</v>
      </c>
      <c r="BV5" s="12" t="s">
        <v>169</v>
      </c>
      <c r="BW5" s="12" t="s">
        <v>169</v>
      </c>
      <c r="BX5" s="12" t="s">
        <v>169</v>
      </c>
      <c r="BY5" s="12" t="s">
        <v>169</v>
      </c>
      <c r="BZ5" s="13" t="s">
        <v>169</v>
      </c>
      <c r="CA5" s="12" t="s">
        <v>169</v>
      </c>
      <c r="CB5" s="13" t="s">
        <v>169</v>
      </c>
      <c r="CC5" s="12" t="s">
        <v>169</v>
      </c>
      <c r="CD5" s="12" t="s">
        <v>169</v>
      </c>
      <c r="CE5" s="12" t="s">
        <v>169</v>
      </c>
      <c r="CF5" s="12">
        <v>0.97627971860063023</v>
      </c>
      <c r="CG5" s="12" t="s">
        <v>169</v>
      </c>
      <c r="CH5" s="12" t="s">
        <v>169</v>
      </c>
      <c r="CI5" s="13" t="s">
        <v>169</v>
      </c>
      <c r="CJ5" s="12" t="s">
        <v>169</v>
      </c>
      <c r="CK5" s="12" t="s">
        <v>169</v>
      </c>
      <c r="CL5" s="12" t="s">
        <v>169</v>
      </c>
      <c r="CM5" s="12" t="s">
        <v>169</v>
      </c>
      <c r="CN5" s="12" t="s">
        <v>169</v>
      </c>
      <c r="CO5" s="12" t="s">
        <v>169</v>
      </c>
      <c r="CP5" s="12" t="s">
        <v>169</v>
      </c>
      <c r="CQ5" s="12" t="s">
        <v>169</v>
      </c>
      <c r="CR5" s="12" t="s">
        <v>169</v>
      </c>
      <c r="CS5" s="12" t="s">
        <v>169</v>
      </c>
      <c r="CT5" s="12" t="s">
        <v>169</v>
      </c>
      <c r="CU5" s="13" t="s">
        <v>169</v>
      </c>
      <c r="CV5" s="12" t="s">
        <v>169</v>
      </c>
      <c r="CW5" s="13" t="s">
        <v>169</v>
      </c>
      <c r="CX5" s="12" t="s">
        <v>169</v>
      </c>
      <c r="CY5" s="13" t="s">
        <v>169</v>
      </c>
      <c r="CZ5" s="12" t="s">
        <v>169</v>
      </c>
      <c r="DA5" s="12" t="s">
        <v>169</v>
      </c>
      <c r="DB5" s="12" t="s">
        <v>169</v>
      </c>
      <c r="DC5" s="13" t="s">
        <v>169</v>
      </c>
      <c r="DD5" s="12" t="s">
        <v>169</v>
      </c>
      <c r="DE5" s="13" t="s">
        <v>169</v>
      </c>
      <c r="DF5" s="12" t="s">
        <v>169</v>
      </c>
      <c r="DG5" s="13" t="s">
        <v>169</v>
      </c>
      <c r="DH5" s="12" t="s">
        <v>169</v>
      </c>
      <c r="DI5" s="12" t="s">
        <v>169</v>
      </c>
      <c r="DJ5" s="12" t="s">
        <v>169</v>
      </c>
      <c r="DK5" s="12" t="s">
        <v>169</v>
      </c>
      <c r="DL5" s="13" t="s">
        <v>169</v>
      </c>
      <c r="DM5" s="13" t="s">
        <v>169</v>
      </c>
      <c r="DN5" s="12" t="s">
        <v>169</v>
      </c>
      <c r="DO5" s="13" t="s">
        <v>169</v>
      </c>
      <c r="DP5" s="13" t="s">
        <v>169</v>
      </c>
      <c r="DQ5" s="13" t="s">
        <v>169</v>
      </c>
      <c r="DR5" s="12" t="s">
        <v>169</v>
      </c>
      <c r="DS5" s="13" t="s">
        <v>169</v>
      </c>
      <c r="DT5" s="13" t="s">
        <v>169</v>
      </c>
      <c r="DU5" s="13" t="s">
        <v>169</v>
      </c>
    </row>
    <row r="6" spans="1:125" x14ac:dyDescent="0.25">
      <c r="A6" s="3" t="s">
        <v>3</v>
      </c>
      <c r="B6" s="3" t="s">
        <v>112</v>
      </c>
      <c r="C6" s="3" t="s">
        <v>57</v>
      </c>
      <c r="D6" s="7">
        <v>42863</v>
      </c>
      <c r="E6" s="8">
        <v>0.375</v>
      </c>
      <c r="F6" s="10">
        <v>5.04</v>
      </c>
      <c r="G6" s="10">
        <v>1.67</v>
      </c>
      <c r="H6" s="12" t="s">
        <v>169</v>
      </c>
      <c r="I6" s="12" t="s">
        <v>169</v>
      </c>
      <c r="J6" s="12" t="s">
        <v>169</v>
      </c>
      <c r="K6" s="12" t="s">
        <v>169</v>
      </c>
      <c r="L6" s="12" t="s">
        <v>169</v>
      </c>
      <c r="M6" s="12" t="s">
        <v>169</v>
      </c>
      <c r="N6" s="12" t="s">
        <v>169</v>
      </c>
      <c r="O6" s="12" t="s">
        <v>169</v>
      </c>
      <c r="P6" s="12" t="s">
        <v>169</v>
      </c>
      <c r="Q6" s="12" t="s">
        <v>169</v>
      </c>
      <c r="R6" s="12" t="s">
        <v>169</v>
      </c>
      <c r="S6" s="12" t="s">
        <v>169</v>
      </c>
      <c r="T6" s="12" t="s">
        <v>169</v>
      </c>
      <c r="U6" s="12" t="s">
        <v>169</v>
      </c>
      <c r="V6" s="12" t="s">
        <v>169</v>
      </c>
      <c r="W6" s="12" t="s">
        <v>169</v>
      </c>
      <c r="X6" s="12" t="s">
        <v>169</v>
      </c>
      <c r="Y6" s="12" t="s">
        <v>169</v>
      </c>
      <c r="Z6" s="12" t="s">
        <v>169</v>
      </c>
      <c r="AA6" s="12" t="s">
        <v>169</v>
      </c>
      <c r="AB6" s="12" t="s">
        <v>169</v>
      </c>
      <c r="AC6" s="12" t="s">
        <v>169</v>
      </c>
      <c r="AD6" s="12" t="s">
        <v>169</v>
      </c>
      <c r="AE6" s="12" t="s">
        <v>169</v>
      </c>
      <c r="AF6" s="12" t="s">
        <v>169</v>
      </c>
      <c r="AG6" s="12" t="s">
        <v>169</v>
      </c>
      <c r="AH6" s="12" t="s">
        <v>169</v>
      </c>
      <c r="AI6" s="12" t="s">
        <v>169</v>
      </c>
      <c r="AJ6" s="12" t="s">
        <v>169</v>
      </c>
      <c r="AK6" s="12" t="s">
        <v>169</v>
      </c>
      <c r="AL6" s="12" t="s">
        <v>169</v>
      </c>
      <c r="AM6" s="12" t="s">
        <v>169</v>
      </c>
      <c r="AN6" s="12" t="s">
        <v>169</v>
      </c>
      <c r="AO6" s="12" t="s">
        <v>169</v>
      </c>
      <c r="AP6" s="12">
        <v>5.8786839823472619</v>
      </c>
      <c r="AQ6" s="12" t="s">
        <v>169</v>
      </c>
      <c r="AR6" s="12" t="s">
        <v>169</v>
      </c>
      <c r="AS6" s="12" t="s">
        <v>169</v>
      </c>
      <c r="AT6" s="12" t="s">
        <v>169</v>
      </c>
      <c r="AU6" s="12" t="s">
        <v>169</v>
      </c>
      <c r="AV6" s="12" t="s">
        <v>169</v>
      </c>
      <c r="AW6" s="12" t="s">
        <v>169</v>
      </c>
      <c r="AX6" s="12" t="s">
        <v>169</v>
      </c>
      <c r="AY6" s="12" t="s">
        <v>169</v>
      </c>
      <c r="AZ6" s="12" t="s">
        <v>169</v>
      </c>
      <c r="BA6" s="12" t="s">
        <v>169</v>
      </c>
      <c r="BB6" s="12" t="s">
        <v>169</v>
      </c>
      <c r="BC6" s="12" t="s">
        <v>169</v>
      </c>
      <c r="BD6" s="12" t="s">
        <v>169</v>
      </c>
      <c r="BE6" s="12" t="s">
        <v>169</v>
      </c>
      <c r="BF6" s="12" t="s">
        <v>169</v>
      </c>
      <c r="BG6" s="12" t="s">
        <v>169</v>
      </c>
      <c r="BH6" s="12" t="s">
        <v>169</v>
      </c>
      <c r="BI6" s="12" t="s">
        <v>169</v>
      </c>
      <c r="BJ6" s="12" t="s">
        <v>169</v>
      </c>
      <c r="BK6" s="12" t="s">
        <v>169</v>
      </c>
      <c r="BL6" s="12" t="s">
        <v>169</v>
      </c>
      <c r="BM6" s="12" t="s">
        <v>169</v>
      </c>
      <c r="BN6" s="12" t="s">
        <v>169</v>
      </c>
      <c r="BO6" s="12" t="s">
        <v>169</v>
      </c>
      <c r="BP6" s="12" t="s">
        <v>169</v>
      </c>
      <c r="BQ6" s="12" t="s">
        <v>169</v>
      </c>
      <c r="BR6" s="12" t="s">
        <v>169</v>
      </c>
      <c r="BS6" s="12" t="s">
        <v>169</v>
      </c>
      <c r="BT6" s="12" t="s">
        <v>169</v>
      </c>
      <c r="BU6" s="12" t="s">
        <v>169</v>
      </c>
      <c r="BV6" s="12" t="s">
        <v>169</v>
      </c>
      <c r="BW6" s="12" t="s">
        <v>169</v>
      </c>
      <c r="BX6" s="12" t="s">
        <v>169</v>
      </c>
      <c r="BY6" s="12" t="s">
        <v>169</v>
      </c>
      <c r="BZ6" s="12" t="s">
        <v>169</v>
      </c>
      <c r="CA6" s="12" t="s">
        <v>169</v>
      </c>
      <c r="CB6" s="12" t="s">
        <v>169</v>
      </c>
      <c r="CC6" s="12" t="s">
        <v>169</v>
      </c>
      <c r="CD6" s="12" t="s">
        <v>169</v>
      </c>
      <c r="CE6" s="12" t="s">
        <v>169</v>
      </c>
      <c r="CF6" s="12" t="s">
        <v>169</v>
      </c>
      <c r="CG6" s="12">
        <v>3.0098319914359561</v>
      </c>
      <c r="CH6" s="12" t="s">
        <v>169</v>
      </c>
      <c r="CI6" s="12" t="s">
        <v>169</v>
      </c>
      <c r="CJ6" s="12" t="s">
        <v>169</v>
      </c>
      <c r="CK6" s="12" t="s">
        <v>169</v>
      </c>
      <c r="CL6" s="12" t="s">
        <v>169</v>
      </c>
      <c r="CM6" s="12" t="s">
        <v>169</v>
      </c>
      <c r="CN6" s="12" t="s">
        <v>169</v>
      </c>
      <c r="CO6" s="12" t="s">
        <v>169</v>
      </c>
      <c r="CP6" s="12" t="s">
        <v>169</v>
      </c>
      <c r="CQ6" s="12" t="s">
        <v>169</v>
      </c>
      <c r="CR6" s="12" t="s">
        <v>169</v>
      </c>
      <c r="CS6" s="12" t="s">
        <v>169</v>
      </c>
      <c r="CT6" s="12" t="s">
        <v>169</v>
      </c>
      <c r="CU6" s="12" t="s">
        <v>169</v>
      </c>
      <c r="CV6" s="12" t="s">
        <v>169</v>
      </c>
      <c r="CW6" s="12" t="s">
        <v>169</v>
      </c>
      <c r="CX6" s="12" t="s">
        <v>169</v>
      </c>
      <c r="CY6" s="12" t="s">
        <v>169</v>
      </c>
      <c r="CZ6" s="12" t="s">
        <v>169</v>
      </c>
      <c r="DA6" s="12" t="s">
        <v>169</v>
      </c>
      <c r="DB6" s="12" t="s">
        <v>169</v>
      </c>
      <c r="DC6" s="12" t="s">
        <v>169</v>
      </c>
      <c r="DD6" s="12" t="s">
        <v>169</v>
      </c>
      <c r="DE6" s="12" t="s">
        <v>169</v>
      </c>
      <c r="DF6" s="12" t="s">
        <v>169</v>
      </c>
      <c r="DG6" s="12" t="s">
        <v>169</v>
      </c>
      <c r="DH6" s="12" t="s">
        <v>169</v>
      </c>
      <c r="DI6" s="12" t="s">
        <v>169</v>
      </c>
      <c r="DJ6" s="12" t="s">
        <v>169</v>
      </c>
      <c r="DK6" s="12" t="s">
        <v>169</v>
      </c>
      <c r="DL6" s="12" t="s">
        <v>169</v>
      </c>
      <c r="DM6" s="12" t="s">
        <v>169</v>
      </c>
      <c r="DN6" s="12" t="s">
        <v>169</v>
      </c>
      <c r="DO6" s="12" t="s">
        <v>169</v>
      </c>
      <c r="DP6" s="12" t="s">
        <v>169</v>
      </c>
      <c r="DQ6" s="12" t="s">
        <v>169</v>
      </c>
      <c r="DR6" s="12" t="s">
        <v>169</v>
      </c>
      <c r="DS6" s="12" t="s">
        <v>169</v>
      </c>
      <c r="DT6" s="12" t="s">
        <v>169</v>
      </c>
      <c r="DU6" s="12" t="s">
        <v>169</v>
      </c>
    </row>
    <row r="7" spans="1:125" x14ac:dyDescent="0.25">
      <c r="A7" s="3" t="s">
        <v>4</v>
      </c>
      <c r="B7" s="3" t="s">
        <v>113</v>
      </c>
      <c r="C7" s="3" t="s">
        <v>58</v>
      </c>
      <c r="D7" s="7">
        <v>42861</v>
      </c>
      <c r="E7" s="8">
        <v>0.36805555555555558</v>
      </c>
      <c r="F7" s="10">
        <v>5.0449999999999999</v>
      </c>
      <c r="G7" s="10">
        <v>0.88</v>
      </c>
      <c r="H7" s="12" t="s">
        <v>169</v>
      </c>
      <c r="I7" s="12" t="s">
        <v>169</v>
      </c>
      <c r="J7" s="12" t="s">
        <v>169</v>
      </c>
      <c r="K7" s="12" t="s">
        <v>169</v>
      </c>
      <c r="L7" s="12" t="s">
        <v>169</v>
      </c>
      <c r="M7" s="12" t="s">
        <v>169</v>
      </c>
      <c r="N7" s="12" t="s">
        <v>169</v>
      </c>
      <c r="O7" s="12" t="s">
        <v>169</v>
      </c>
      <c r="P7" s="12" t="s">
        <v>169</v>
      </c>
      <c r="Q7" s="12" t="s">
        <v>169</v>
      </c>
      <c r="R7" s="12" t="s">
        <v>169</v>
      </c>
      <c r="S7" s="12" t="s">
        <v>169</v>
      </c>
      <c r="T7" s="12" t="s">
        <v>169</v>
      </c>
      <c r="U7" s="12" t="s">
        <v>169</v>
      </c>
      <c r="V7" s="12" t="s">
        <v>169</v>
      </c>
      <c r="W7" s="12" t="s">
        <v>169</v>
      </c>
      <c r="X7" s="12" t="s">
        <v>169</v>
      </c>
      <c r="Y7" s="12" t="s">
        <v>169</v>
      </c>
      <c r="Z7" s="12" t="s">
        <v>169</v>
      </c>
      <c r="AA7" s="12" t="s">
        <v>169</v>
      </c>
      <c r="AB7" s="12" t="s">
        <v>169</v>
      </c>
      <c r="AC7" s="12" t="s">
        <v>169</v>
      </c>
      <c r="AD7" s="12" t="s">
        <v>169</v>
      </c>
      <c r="AE7" s="12" t="s">
        <v>169</v>
      </c>
      <c r="AF7" s="12" t="s">
        <v>169</v>
      </c>
      <c r="AG7" s="12" t="s">
        <v>169</v>
      </c>
      <c r="AH7" s="12" t="s">
        <v>169</v>
      </c>
      <c r="AI7" s="12" t="s">
        <v>169</v>
      </c>
      <c r="AJ7" s="12" t="s">
        <v>169</v>
      </c>
      <c r="AK7" s="12" t="s">
        <v>169</v>
      </c>
      <c r="AL7" s="12" t="s">
        <v>169</v>
      </c>
      <c r="AM7" s="12" t="s">
        <v>169</v>
      </c>
      <c r="AN7" s="12" t="s">
        <v>169</v>
      </c>
      <c r="AO7" s="12" t="s">
        <v>169</v>
      </c>
      <c r="AP7" s="12" t="s">
        <v>169</v>
      </c>
      <c r="AQ7" s="12" t="s">
        <v>169</v>
      </c>
      <c r="AR7" s="12" t="s">
        <v>169</v>
      </c>
      <c r="AS7" s="12" t="s">
        <v>169</v>
      </c>
      <c r="AT7" s="12" t="s">
        <v>169</v>
      </c>
      <c r="AU7" s="12" t="s">
        <v>169</v>
      </c>
      <c r="AV7" s="12" t="s">
        <v>169</v>
      </c>
      <c r="AW7" s="12" t="s">
        <v>169</v>
      </c>
      <c r="AX7" s="12" t="s">
        <v>169</v>
      </c>
      <c r="AY7" s="12" t="s">
        <v>169</v>
      </c>
      <c r="AZ7" s="12" t="s">
        <v>169</v>
      </c>
      <c r="BA7" s="12" t="s">
        <v>169</v>
      </c>
      <c r="BB7" s="12" t="s">
        <v>169</v>
      </c>
      <c r="BC7" s="12" t="s">
        <v>169</v>
      </c>
      <c r="BD7" s="12" t="s">
        <v>169</v>
      </c>
      <c r="BE7" s="12" t="s">
        <v>169</v>
      </c>
      <c r="BF7" s="12" t="s">
        <v>169</v>
      </c>
      <c r="BG7" s="12" t="s">
        <v>169</v>
      </c>
      <c r="BH7" s="12" t="s">
        <v>169</v>
      </c>
      <c r="BI7" s="12" t="s">
        <v>169</v>
      </c>
      <c r="BJ7" s="12" t="s">
        <v>169</v>
      </c>
      <c r="BK7" s="12" t="s">
        <v>169</v>
      </c>
      <c r="BL7" s="12" t="s">
        <v>169</v>
      </c>
      <c r="BM7" s="12" t="s">
        <v>169</v>
      </c>
      <c r="BN7" s="12" t="s">
        <v>169</v>
      </c>
      <c r="BO7" s="12" t="s">
        <v>169</v>
      </c>
      <c r="BP7" s="12" t="s">
        <v>169</v>
      </c>
      <c r="BQ7" s="12" t="s">
        <v>169</v>
      </c>
      <c r="BR7" s="12" t="s">
        <v>169</v>
      </c>
      <c r="BS7" s="12">
        <v>6.709964895908465</v>
      </c>
      <c r="BT7" s="12" t="s">
        <v>169</v>
      </c>
      <c r="BU7" s="12" t="s">
        <v>169</v>
      </c>
      <c r="BV7" s="12" t="s">
        <v>169</v>
      </c>
      <c r="BW7" s="12" t="s">
        <v>169</v>
      </c>
      <c r="BX7" s="12" t="s">
        <v>169</v>
      </c>
      <c r="BY7" s="12" t="s">
        <v>169</v>
      </c>
      <c r="BZ7" s="12" t="s">
        <v>169</v>
      </c>
      <c r="CA7" s="12" t="s">
        <v>169</v>
      </c>
      <c r="CB7" s="12" t="s">
        <v>169</v>
      </c>
      <c r="CC7" s="12" t="s">
        <v>169</v>
      </c>
      <c r="CD7" s="12" t="s">
        <v>169</v>
      </c>
      <c r="CE7" s="12" t="s">
        <v>169</v>
      </c>
      <c r="CF7" s="12" t="s">
        <v>169</v>
      </c>
      <c r="CG7" s="12">
        <v>2.7183195831896056</v>
      </c>
      <c r="CH7" s="12" t="s">
        <v>169</v>
      </c>
      <c r="CI7" s="12" t="s">
        <v>169</v>
      </c>
      <c r="CJ7" s="12" t="s">
        <v>169</v>
      </c>
      <c r="CK7" s="12" t="s">
        <v>169</v>
      </c>
      <c r="CL7" s="12" t="s">
        <v>169</v>
      </c>
      <c r="CM7" s="12" t="s">
        <v>169</v>
      </c>
      <c r="CN7" s="12" t="s">
        <v>169</v>
      </c>
      <c r="CO7" s="12" t="s">
        <v>169</v>
      </c>
      <c r="CP7" s="12" t="s">
        <v>169</v>
      </c>
      <c r="CQ7" s="12" t="s">
        <v>169</v>
      </c>
      <c r="CR7" s="12" t="s">
        <v>169</v>
      </c>
      <c r="CS7" s="12" t="s">
        <v>169</v>
      </c>
      <c r="CT7" s="12" t="s">
        <v>169</v>
      </c>
      <c r="CU7" s="12" t="s">
        <v>169</v>
      </c>
      <c r="CV7" s="12" t="s">
        <v>169</v>
      </c>
      <c r="CW7" s="12" t="s">
        <v>169</v>
      </c>
      <c r="CX7" s="12" t="s">
        <v>169</v>
      </c>
      <c r="CY7" s="12" t="s">
        <v>169</v>
      </c>
      <c r="CZ7" s="12" t="s">
        <v>169</v>
      </c>
      <c r="DA7" s="12" t="s">
        <v>169</v>
      </c>
      <c r="DB7" s="12" t="s">
        <v>169</v>
      </c>
      <c r="DC7" s="12" t="s">
        <v>169</v>
      </c>
      <c r="DD7" s="12" t="s">
        <v>169</v>
      </c>
      <c r="DE7" s="12" t="s">
        <v>169</v>
      </c>
      <c r="DF7" s="12" t="s">
        <v>169</v>
      </c>
      <c r="DG7" s="12" t="s">
        <v>169</v>
      </c>
      <c r="DH7" s="12" t="s">
        <v>169</v>
      </c>
      <c r="DI7" s="12" t="s">
        <v>169</v>
      </c>
      <c r="DJ7" s="12" t="s">
        <v>169</v>
      </c>
      <c r="DK7" s="12" t="s">
        <v>169</v>
      </c>
      <c r="DL7" s="12" t="s">
        <v>169</v>
      </c>
      <c r="DM7" s="12" t="s">
        <v>169</v>
      </c>
      <c r="DN7" s="12" t="s">
        <v>169</v>
      </c>
      <c r="DO7" s="12" t="s">
        <v>169</v>
      </c>
      <c r="DP7" s="12" t="s">
        <v>169</v>
      </c>
      <c r="DQ7" s="12" t="s">
        <v>169</v>
      </c>
      <c r="DR7" s="12" t="s">
        <v>169</v>
      </c>
      <c r="DS7" s="12" t="s">
        <v>169</v>
      </c>
      <c r="DT7" s="12" t="s">
        <v>169</v>
      </c>
      <c r="DU7" s="12" t="s">
        <v>169</v>
      </c>
    </row>
    <row r="8" spans="1:125" x14ac:dyDescent="0.25">
      <c r="A8" s="3" t="s">
        <v>5</v>
      </c>
      <c r="B8" s="3" t="s">
        <v>114</v>
      </c>
      <c r="C8" s="3" t="s">
        <v>59</v>
      </c>
      <c r="D8" s="7">
        <v>42859</v>
      </c>
      <c r="E8" s="8">
        <v>0.54166666666666663</v>
      </c>
      <c r="F8" s="10">
        <v>5.0049999999999999</v>
      </c>
      <c r="G8" s="10">
        <v>0.73</v>
      </c>
      <c r="H8" s="12" t="s">
        <v>169</v>
      </c>
      <c r="I8" s="12" t="s">
        <v>169</v>
      </c>
      <c r="J8" s="12" t="s">
        <v>169</v>
      </c>
      <c r="K8" s="12" t="s">
        <v>169</v>
      </c>
      <c r="L8" s="12" t="s">
        <v>169</v>
      </c>
      <c r="M8" s="12" t="s">
        <v>169</v>
      </c>
      <c r="N8" s="12">
        <v>2.1138861138861138</v>
      </c>
      <c r="O8" s="12" t="s">
        <v>169</v>
      </c>
      <c r="P8" s="12">
        <v>13.906093906093906</v>
      </c>
      <c r="Q8" s="12">
        <v>30.588085273392245</v>
      </c>
      <c r="R8" s="12" t="s">
        <v>169</v>
      </c>
      <c r="S8" s="12" t="s">
        <v>169</v>
      </c>
      <c r="T8" s="12" t="s">
        <v>169</v>
      </c>
      <c r="U8" s="12" t="s">
        <v>169</v>
      </c>
      <c r="V8" s="12" t="s">
        <v>169</v>
      </c>
      <c r="W8" s="12" t="s">
        <v>169</v>
      </c>
      <c r="X8" s="12" t="s">
        <v>169</v>
      </c>
      <c r="Y8" s="12">
        <v>6.2617382617382615</v>
      </c>
      <c r="Z8" s="12" t="s">
        <v>169</v>
      </c>
      <c r="AA8" s="12" t="s">
        <v>169</v>
      </c>
      <c r="AB8" s="12">
        <v>26.645354645354644</v>
      </c>
      <c r="AC8" s="12" t="s">
        <v>169</v>
      </c>
      <c r="AD8" s="12" t="s">
        <v>169</v>
      </c>
      <c r="AE8" s="12">
        <v>13.419646251409551</v>
      </c>
      <c r="AF8" s="12" t="s">
        <v>169</v>
      </c>
      <c r="AG8" s="12" t="s">
        <v>169</v>
      </c>
      <c r="AH8" s="12" t="s">
        <v>169</v>
      </c>
      <c r="AI8" s="12">
        <v>23.943940905089192</v>
      </c>
      <c r="AJ8" s="12" t="s">
        <v>169</v>
      </c>
      <c r="AK8" s="12" t="s">
        <v>169</v>
      </c>
      <c r="AL8" s="12" t="s">
        <v>169</v>
      </c>
      <c r="AM8" s="12" t="s">
        <v>169</v>
      </c>
      <c r="AN8" s="12" t="s">
        <v>169</v>
      </c>
      <c r="AO8" s="12" t="s">
        <v>169</v>
      </c>
      <c r="AP8" s="12">
        <v>48.817207634400404</v>
      </c>
      <c r="AQ8" s="12" t="s">
        <v>169</v>
      </c>
      <c r="AR8" s="12" t="s">
        <v>169</v>
      </c>
      <c r="AS8" s="12" t="s">
        <v>169</v>
      </c>
      <c r="AT8" s="12" t="s">
        <v>169</v>
      </c>
      <c r="AU8" s="12" t="s">
        <v>169</v>
      </c>
      <c r="AV8" s="12" t="s">
        <v>169</v>
      </c>
      <c r="AW8" s="12">
        <v>17.289740533575426</v>
      </c>
      <c r="AX8" s="12" t="s">
        <v>169</v>
      </c>
      <c r="AY8" s="12" t="s">
        <v>169</v>
      </c>
      <c r="AZ8" s="12" t="s">
        <v>169</v>
      </c>
      <c r="BA8" s="12" t="s">
        <v>169</v>
      </c>
      <c r="BB8" s="12" t="s">
        <v>169</v>
      </c>
      <c r="BC8" s="12" t="s">
        <v>169</v>
      </c>
      <c r="BD8" s="12" t="s">
        <v>169</v>
      </c>
      <c r="BE8" s="12" t="s">
        <v>169</v>
      </c>
      <c r="BF8" s="12">
        <v>9.8981018981018973</v>
      </c>
      <c r="BG8" s="12" t="s">
        <v>169</v>
      </c>
      <c r="BH8" s="12" t="s">
        <v>169</v>
      </c>
      <c r="BI8" s="12" t="s">
        <v>169</v>
      </c>
      <c r="BJ8" s="12" t="s">
        <v>169</v>
      </c>
      <c r="BK8" s="12" t="s">
        <v>169</v>
      </c>
      <c r="BL8" s="12" t="s">
        <v>169</v>
      </c>
      <c r="BM8" s="12" t="s">
        <v>169</v>
      </c>
      <c r="BN8" s="12" t="s">
        <v>169</v>
      </c>
      <c r="BO8" s="12" t="s">
        <v>169</v>
      </c>
      <c r="BP8" s="12" t="s">
        <v>169</v>
      </c>
      <c r="BQ8" s="12" t="s">
        <v>169</v>
      </c>
      <c r="BR8" s="12" t="s">
        <v>169</v>
      </c>
      <c r="BS8" s="12" t="s">
        <v>169</v>
      </c>
      <c r="BT8" s="12" t="s">
        <v>169</v>
      </c>
      <c r="BU8" s="12" t="s">
        <v>169</v>
      </c>
      <c r="BV8" s="12" t="s">
        <v>169</v>
      </c>
      <c r="BW8" s="12" t="s">
        <v>169</v>
      </c>
      <c r="BX8" s="12" t="s">
        <v>169</v>
      </c>
      <c r="BY8" s="12" t="s">
        <v>169</v>
      </c>
      <c r="BZ8" s="12" t="s">
        <v>169</v>
      </c>
      <c r="CA8" s="12" t="s">
        <v>169</v>
      </c>
      <c r="CB8" s="12">
        <v>11.104252546182536</v>
      </c>
      <c r="CC8" s="12">
        <v>2.0770445723477322</v>
      </c>
      <c r="CD8" s="12">
        <v>23.11688311688312</v>
      </c>
      <c r="CE8" s="12">
        <v>35.95442393683588</v>
      </c>
      <c r="CF8" s="12">
        <v>96.897970052899893</v>
      </c>
      <c r="CG8" s="12">
        <v>52.508311182611386</v>
      </c>
      <c r="CH8" s="12" t="s">
        <v>169</v>
      </c>
      <c r="CI8" s="12" t="s">
        <v>169</v>
      </c>
      <c r="CJ8" s="12" t="s">
        <v>169</v>
      </c>
      <c r="CK8" s="12">
        <v>10.00636648937982</v>
      </c>
      <c r="CL8" s="12">
        <v>24.616970725920996</v>
      </c>
      <c r="CM8" s="12" t="s">
        <v>169</v>
      </c>
      <c r="CN8" s="12" t="s">
        <v>169</v>
      </c>
      <c r="CO8" s="12" t="s">
        <v>169</v>
      </c>
      <c r="CP8" s="12" t="s">
        <v>169</v>
      </c>
      <c r="CQ8" s="12" t="s">
        <v>169</v>
      </c>
      <c r="CR8" s="12" t="s">
        <v>169</v>
      </c>
      <c r="CS8" s="12" t="s">
        <v>169</v>
      </c>
      <c r="CT8" s="12" t="s">
        <v>169</v>
      </c>
      <c r="CU8" s="12" t="s">
        <v>169</v>
      </c>
      <c r="CV8" s="12">
        <v>9.4517829739909303</v>
      </c>
      <c r="CW8" s="12" t="s">
        <v>169</v>
      </c>
      <c r="CX8" s="12" t="s">
        <v>169</v>
      </c>
      <c r="CY8" s="12" t="s">
        <v>169</v>
      </c>
      <c r="CZ8" s="12" t="s">
        <v>169</v>
      </c>
      <c r="DA8" s="12" t="s">
        <v>169</v>
      </c>
      <c r="DB8" s="12" t="s">
        <v>169</v>
      </c>
      <c r="DC8" s="12" t="s">
        <v>169</v>
      </c>
      <c r="DD8" s="12" t="s">
        <v>169</v>
      </c>
      <c r="DE8" s="12" t="s">
        <v>169</v>
      </c>
      <c r="DF8" s="12" t="s">
        <v>169</v>
      </c>
      <c r="DG8" s="12" t="s">
        <v>169</v>
      </c>
      <c r="DH8" s="12" t="s">
        <v>169</v>
      </c>
      <c r="DI8" s="12" t="s">
        <v>169</v>
      </c>
      <c r="DJ8" s="12" t="s">
        <v>169</v>
      </c>
      <c r="DK8" s="12" t="s">
        <v>169</v>
      </c>
      <c r="DL8" s="12" t="s">
        <v>169</v>
      </c>
      <c r="DM8" s="12" t="s">
        <v>169</v>
      </c>
      <c r="DN8" s="12" t="s">
        <v>169</v>
      </c>
      <c r="DO8" s="12" t="s">
        <v>169</v>
      </c>
      <c r="DP8" s="12" t="s">
        <v>169</v>
      </c>
      <c r="DQ8" s="12" t="s">
        <v>169</v>
      </c>
      <c r="DR8" s="12" t="s">
        <v>169</v>
      </c>
      <c r="DS8" s="12" t="s">
        <v>169</v>
      </c>
      <c r="DT8" s="12" t="s">
        <v>169</v>
      </c>
      <c r="DU8" s="12" t="s">
        <v>169</v>
      </c>
    </row>
    <row r="9" spans="1:125" x14ac:dyDescent="0.25">
      <c r="A9" s="3" t="s">
        <v>6</v>
      </c>
      <c r="B9" s="3" t="s">
        <v>115</v>
      </c>
      <c r="C9" s="3" t="s">
        <v>60</v>
      </c>
      <c r="D9" s="7">
        <v>42862</v>
      </c>
      <c r="E9" s="8">
        <v>0.64583333333333337</v>
      </c>
      <c r="F9" s="10">
        <v>4.9749999999999996</v>
      </c>
      <c r="G9" s="10">
        <v>0.72</v>
      </c>
      <c r="H9" s="12" t="s">
        <v>169</v>
      </c>
      <c r="I9" s="12" t="s">
        <v>169</v>
      </c>
      <c r="J9" s="12" t="s">
        <v>169</v>
      </c>
      <c r="K9" s="12" t="s">
        <v>169</v>
      </c>
      <c r="L9" s="12" t="s">
        <v>169</v>
      </c>
      <c r="M9" s="12" t="s">
        <v>169</v>
      </c>
      <c r="N9" s="12" t="s">
        <v>169</v>
      </c>
      <c r="O9" s="12" t="s">
        <v>169</v>
      </c>
      <c r="P9" s="12">
        <v>2.4160804020100501</v>
      </c>
      <c r="Q9" s="12" t="s">
        <v>169</v>
      </c>
      <c r="R9" s="12" t="s">
        <v>169</v>
      </c>
      <c r="S9" s="12" t="s">
        <v>169</v>
      </c>
      <c r="T9" s="12" t="s">
        <v>169</v>
      </c>
      <c r="U9" s="12" t="s">
        <v>169</v>
      </c>
      <c r="V9" s="12" t="s">
        <v>169</v>
      </c>
      <c r="W9" s="12" t="s">
        <v>169</v>
      </c>
      <c r="X9" s="12" t="s">
        <v>169</v>
      </c>
      <c r="Y9" s="12" t="s">
        <v>169</v>
      </c>
      <c r="Z9" s="12" t="s">
        <v>169</v>
      </c>
      <c r="AA9" s="12" t="s">
        <v>169</v>
      </c>
      <c r="AB9" s="12" t="s">
        <v>169</v>
      </c>
      <c r="AC9" s="12" t="s">
        <v>169</v>
      </c>
      <c r="AD9" s="12" t="s">
        <v>169</v>
      </c>
      <c r="AE9" s="12" t="s">
        <v>169</v>
      </c>
      <c r="AF9" s="12" t="s">
        <v>169</v>
      </c>
      <c r="AG9" s="12" t="s">
        <v>169</v>
      </c>
      <c r="AH9" s="12" t="s">
        <v>169</v>
      </c>
      <c r="AI9" s="12" t="s">
        <v>169</v>
      </c>
      <c r="AJ9" s="12" t="s">
        <v>169</v>
      </c>
      <c r="AK9" s="12" t="s">
        <v>169</v>
      </c>
      <c r="AL9" s="12" t="s">
        <v>169</v>
      </c>
      <c r="AM9" s="12" t="s">
        <v>169</v>
      </c>
      <c r="AN9" s="12" t="s">
        <v>169</v>
      </c>
      <c r="AO9" s="12" t="s">
        <v>169</v>
      </c>
      <c r="AP9" s="12" t="s">
        <v>169</v>
      </c>
      <c r="AQ9" s="12" t="s">
        <v>169</v>
      </c>
      <c r="AR9" s="12" t="s">
        <v>169</v>
      </c>
      <c r="AS9" s="12" t="s">
        <v>169</v>
      </c>
      <c r="AT9" s="12" t="s">
        <v>169</v>
      </c>
      <c r="AU9" s="12" t="s">
        <v>169</v>
      </c>
      <c r="AV9" s="12" t="s">
        <v>169</v>
      </c>
      <c r="AW9" s="12" t="s">
        <v>169</v>
      </c>
      <c r="AX9" s="12" t="s">
        <v>169</v>
      </c>
      <c r="AY9" s="12" t="s">
        <v>169</v>
      </c>
      <c r="AZ9" s="12" t="s">
        <v>169</v>
      </c>
      <c r="BA9" s="12" t="s">
        <v>169</v>
      </c>
      <c r="BB9" s="12" t="s">
        <v>169</v>
      </c>
      <c r="BC9" s="12" t="s">
        <v>169</v>
      </c>
      <c r="BD9" s="12" t="s">
        <v>169</v>
      </c>
      <c r="BE9" s="12" t="s">
        <v>169</v>
      </c>
      <c r="BF9" s="12" t="s">
        <v>169</v>
      </c>
      <c r="BG9" s="12" t="s">
        <v>169</v>
      </c>
      <c r="BH9" s="12" t="s">
        <v>169</v>
      </c>
      <c r="BI9" s="12" t="s">
        <v>169</v>
      </c>
      <c r="BJ9" s="12" t="s">
        <v>169</v>
      </c>
      <c r="BK9" s="12" t="s">
        <v>169</v>
      </c>
      <c r="BL9" s="12" t="s">
        <v>169</v>
      </c>
      <c r="BM9" s="12" t="s">
        <v>169</v>
      </c>
      <c r="BN9" s="12" t="s">
        <v>169</v>
      </c>
      <c r="BO9" s="12" t="s">
        <v>169</v>
      </c>
      <c r="BP9" s="12" t="s">
        <v>169</v>
      </c>
      <c r="BQ9" s="12" t="s">
        <v>169</v>
      </c>
      <c r="BR9" s="12" t="s">
        <v>169</v>
      </c>
      <c r="BS9" s="12" t="s">
        <v>169</v>
      </c>
      <c r="BT9" s="12" t="s">
        <v>169</v>
      </c>
      <c r="BU9" s="12" t="s">
        <v>169</v>
      </c>
      <c r="BV9" s="12" t="s">
        <v>169</v>
      </c>
      <c r="BW9" s="12" t="s">
        <v>169</v>
      </c>
      <c r="BX9" s="12" t="s">
        <v>169</v>
      </c>
      <c r="BY9" s="12" t="s">
        <v>169</v>
      </c>
      <c r="BZ9" s="12" t="s">
        <v>169</v>
      </c>
      <c r="CA9" s="12" t="s">
        <v>169</v>
      </c>
      <c r="CB9" s="12" t="s">
        <v>169</v>
      </c>
      <c r="CC9" s="12">
        <v>1.9256281407035178</v>
      </c>
      <c r="CD9" s="12">
        <v>7.011055276381911</v>
      </c>
      <c r="CE9" s="12">
        <v>3.0501733870788139</v>
      </c>
      <c r="CF9" s="12">
        <v>14.992527922064404</v>
      </c>
      <c r="CG9" s="12">
        <v>19.011459645646312</v>
      </c>
      <c r="CH9" s="12" t="s">
        <v>169</v>
      </c>
      <c r="CI9" s="12" t="s">
        <v>169</v>
      </c>
      <c r="CJ9" s="12" t="s">
        <v>169</v>
      </c>
      <c r="CK9" s="12">
        <v>5.9</v>
      </c>
      <c r="CL9" s="12" t="s">
        <v>169</v>
      </c>
      <c r="CM9" s="12" t="s">
        <v>169</v>
      </c>
      <c r="CN9" s="12" t="s">
        <v>169</v>
      </c>
      <c r="CO9" s="12" t="s">
        <v>169</v>
      </c>
      <c r="CP9" s="12" t="s">
        <v>169</v>
      </c>
      <c r="CQ9" s="12" t="s">
        <v>169</v>
      </c>
      <c r="CR9" s="12" t="s">
        <v>169</v>
      </c>
      <c r="CS9" s="12" t="s">
        <v>169</v>
      </c>
      <c r="CT9" s="12" t="s">
        <v>169</v>
      </c>
      <c r="CU9" s="12" t="s">
        <v>169</v>
      </c>
      <c r="CV9" s="12" t="s">
        <v>169</v>
      </c>
      <c r="CW9" s="12" t="s">
        <v>169</v>
      </c>
      <c r="CX9" s="12" t="s">
        <v>169</v>
      </c>
      <c r="CY9" s="12" t="s">
        <v>169</v>
      </c>
      <c r="CZ9" s="12" t="s">
        <v>169</v>
      </c>
      <c r="DA9" s="12" t="s">
        <v>169</v>
      </c>
      <c r="DB9" s="12" t="s">
        <v>169</v>
      </c>
      <c r="DC9" s="12" t="s">
        <v>169</v>
      </c>
      <c r="DD9" s="12" t="s">
        <v>169</v>
      </c>
      <c r="DE9" s="12" t="s">
        <v>169</v>
      </c>
      <c r="DF9" s="12" t="s">
        <v>169</v>
      </c>
      <c r="DG9" s="12" t="s">
        <v>169</v>
      </c>
      <c r="DH9" s="12" t="s">
        <v>169</v>
      </c>
      <c r="DI9" s="12" t="s">
        <v>169</v>
      </c>
      <c r="DJ9" s="12" t="s">
        <v>169</v>
      </c>
      <c r="DK9" s="12" t="s">
        <v>169</v>
      </c>
      <c r="DL9" s="12" t="s">
        <v>169</v>
      </c>
      <c r="DM9" s="12" t="s">
        <v>169</v>
      </c>
      <c r="DN9" s="12" t="s">
        <v>169</v>
      </c>
      <c r="DO9" s="12" t="s">
        <v>169</v>
      </c>
      <c r="DP9" s="12" t="s">
        <v>169</v>
      </c>
      <c r="DQ9" s="12" t="s">
        <v>169</v>
      </c>
      <c r="DR9" s="12" t="s">
        <v>169</v>
      </c>
      <c r="DS9" s="12" t="s">
        <v>169</v>
      </c>
      <c r="DT9" s="12" t="s">
        <v>169</v>
      </c>
      <c r="DU9" s="12" t="s">
        <v>169</v>
      </c>
    </row>
    <row r="10" spans="1:125" x14ac:dyDescent="0.25">
      <c r="A10" s="3" t="s">
        <v>7</v>
      </c>
      <c r="B10" s="3" t="s">
        <v>116</v>
      </c>
      <c r="C10" s="3" t="s">
        <v>61</v>
      </c>
      <c r="D10" s="7">
        <v>42861</v>
      </c>
      <c r="E10" s="8">
        <v>0.57291666666666663</v>
      </c>
      <c r="F10" s="10">
        <v>5.0250000000000004</v>
      </c>
      <c r="G10" s="10">
        <v>0.96</v>
      </c>
      <c r="H10" s="12" t="s">
        <v>169</v>
      </c>
      <c r="I10" s="12" t="s">
        <v>169</v>
      </c>
      <c r="J10" s="12" t="s">
        <v>169</v>
      </c>
      <c r="K10" s="12" t="s">
        <v>169</v>
      </c>
      <c r="L10" s="12" t="s">
        <v>169</v>
      </c>
      <c r="M10" s="12" t="s">
        <v>169</v>
      </c>
      <c r="N10" s="12" t="s">
        <v>169</v>
      </c>
      <c r="O10" s="12" t="s">
        <v>169</v>
      </c>
      <c r="P10" s="12" t="s">
        <v>169</v>
      </c>
      <c r="Q10" s="12">
        <v>5.3373134328358205</v>
      </c>
      <c r="R10" s="12" t="s">
        <v>169</v>
      </c>
      <c r="S10" s="12" t="s">
        <v>169</v>
      </c>
      <c r="T10" s="12" t="s">
        <v>169</v>
      </c>
      <c r="U10" s="12" t="s">
        <v>169</v>
      </c>
      <c r="V10" s="12" t="s">
        <v>169</v>
      </c>
      <c r="W10" s="12" t="s">
        <v>169</v>
      </c>
      <c r="X10" s="12" t="s">
        <v>169</v>
      </c>
      <c r="Y10" s="12" t="s">
        <v>169</v>
      </c>
      <c r="Z10" s="12" t="s">
        <v>169</v>
      </c>
      <c r="AA10" s="12" t="s">
        <v>169</v>
      </c>
      <c r="AB10" s="12" t="s">
        <v>169</v>
      </c>
      <c r="AC10" s="12" t="s">
        <v>169</v>
      </c>
      <c r="AD10" s="12" t="s">
        <v>169</v>
      </c>
      <c r="AE10" s="12" t="s">
        <v>169</v>
      </c>
      <c r="AF10" s="12" t="s">
        <v>169</v>
      </c>
      <c r="AG10" s="12" t="s">
        <v>169</v>
      </c>
      <c r="AH10" s="12" t="s">
        <v>169</v>
      </c>
      <c r="AI10" s="12" t="s">
        <v>169</v>
      </c>
      <c r="AJ10" s="12" t="s">
        <v>169</v>
      </c>
      <c r="AK10" s="12" t="s">
        <v>169</v>
      </c>
      <c r="AL10" s="12" t="s">
        <v>169</v>
      </c>
      <c r="AM10" s="12" t="s">
        <v>169</v>
      </c>
      <c r="AN10" s="12" t="s">
        <v>169</v>
      </c>
      <c r="AO10" s="12" t="s">
        <v>169</v>
      </c>
      <c r="AP10" s="12" t="s">
        <v>169</v>
      </c>
      <c r="AQ10" s="12" t="s">
        <v>169</v>
      </c>
      <c r="AR10" s="12" t="s">
        <v>169</v>
      </c>
      <c r="AS10" s="12" t="s">
        <v>169</v>
      </c>
      <c r="AT10" s="12" t="s">
        <v>169</v>
      </c>
      <c r="AU10" s="12" t="s">
        <v>169</v>
      </c>
      <c r="AV10" s="12" t="s">
        <v>169</v>
      </c>
      <c r="AW10" s="12" t="s">
        <v>169</v>
      </c>
      <c r="AX10" s="12" t="s">
        <v>169</v>
      </c>
      <c r="AY10" s="12" t="s">
        <v>169</v>
      </c>
      <c r="AZ10" s="12" t="s">
        <v>169</v>
      </c>
      <c r="BA10" s="12" t="s">
        <v>169</v>
      </c>
      <c r="BB10" s="12" t="s">
        <v>169</v>
      </c>
      <c r="BC10" s="12" t="s">
        <v>169</v>
      </c>
      <c r="BD10" s="12" t="s">
        <v>169</v>
      </c>
      <c r="BE10" s="12" t="s">
        <v>169</v>
      </c>
      <c r="BF10" s="12" t="s">
        <v>169</v>
      </c>
      <c r="BG10" s="12" t="s">
        <v>169</v>
      </c>
      <c r="BH10" s="12" t="s">
        <v>169</v>
      </c>
      <c r="BI10" s="12" t="s">
        <v>169</v>
      </c>
      <c r="BJ10" s="12" t="s">
        <v>169</v>
      </c>
      <c r="BK10" s="12" t="s">
        <v>169</v>
      </c>
      <c r="BL10" s="12" t="s">
        <v>169</v>
      </c>
      <c r="BM10" s="12" t="s">
        <v>169</v>
      </c>
      <c r="BN10" s="12" t="s">
        <v>169</v>
      </c>
      <c r="BO10" s="12" t="s">
        <v>169</v>
      </c>
      <c r="BP10" s="12" t="s">
        <v>169</v>
      </c>
      <c r="BQ10" s="12" t="s">
        <v>169</v>
      </c>
      <c r="BR10" s="12" t="s">
        <v>169</v>
      </c>
      <c r="BS10" s="12" t="s">
        <v>169</v>
      </c>
      <c r="BT10" s="12" t="s">
        <v>169</v>
      </c>
      <c r="BU10" s="12" t="s">
        <v>169</v>
      </c>
      <c r="BV10" s="12" t="s">
        <v>169</v>
      </c>
      <c r="BW10" s="12" t="s">
        <v>169</v>
      </c>
      <c r="BX10" s="12" t="s">
        <v>169</v>
      </c>
      <c r="BY10" s="12" t="s">
        <v>169</v>
      </c>
      <c r="BZ10" s="12" t="s">
        <v>169</v>
      </c>
      <c r="CA10" s="12" t="s">
        <v>169</v>
      </c>
      <c r="CB10" s="12" t="s">
        <v>169</v>
      </c>
      <c r="CC10" s="12">
        <v>1.3690681259046564</v>
      </c>
      <c r="CD10" s="12" t="s">
        <v>169</v>
      </c>
      <c r="CE10" s="12">
        <v>20.818232820333094</v>
      </c>
      <c r="CF10" s="12">
        <v>40.64790076265114</v>
      </c>
      <c r="CG10" s="12">
        <v>36.880781557589614</v>
      </c>
      <c r="CH10" s="12" t="s">
        <v>169</v>
      </c>
      <c r="CI10" s="12">
        <v>1.9343117917192754</v>
      </c>
      <c r="CJ10" s="12" t="s">
        <v>169</v>
      </c>
      <c r="CK10" s="12" t="s">
        <v>169</v>
      </c>
      <c r="CL10" s="12" t="s">
        <v>169</v>
      </c>
      <c r="CM10" s="12" t="s">
        <v>169</v>
      </c>
      <c r="CN10" s="12" t="s">
        <v>169</v>
      </c>
      <c r="CO10" s="12" t="s">
        <v>169</v>
      </c>
      <c r="CP10" s="12" t="s">
        <v>169</v>
      </c>
      <c r="CQ10" s="12" t="s">
        <v>169</v>
      </c>
      <c r="CR10" s="12" t="s">
        <v>169</v>
      </c>
      <c r="CS10" s="12" t="s">
        <v>169</v>
      </c>
      <c r="CT10" s="12" t="s">
        <v>169</v>
      </c>
      <c r="CU10" s="12" t="s">
        <v>169</v>
      </c>
      <c r="CV10" s="12" t="s">
        <v>169</v>
      </c>
      <c r="CW10" s="12" t="s">
        <v>169</v>
      </c>
      <c r="CX10" s="12" t="s">
        <v>169</v>
      </c>
      <c r="CY10" s="12" t="s">
        <v>169</v>
      </c>
      <c r="CZ10" s="12" t="s">
        <v>169</v>
      </c>
      <c r="DA10" s="12" t="s">
        <v>169</v>
      </c>
      <c r="DB10" s="12" t="s">
        <v>169</v>
      </c>
      <c r="DC10" s="12" t="s">
        <v>169</v>
      </c>
      <c r="DD10" s="12" t="s">
        <v>169</v>
      </c>
      <c r="DE10" s="12" t="s">
        <v>169</v>
      </c>
      <c r="DF10" s="12" t="s">
        <v>169</v>
      </c>
      <c r="DG10" s="12" t="s">
        <v>169</v>
      </c>
      <c r="DH10" s="12" t="s">
        <v>169</v>
      </c>
      <c r="DI10" s="12" t="s">
        <v>169</v>
      </c>
      <c r="DJ10" s="12" t="s">
        <v>169</v>
      </c>
      <c r="DK10" s="12" t="s">
        <v>169</v>
      </c>
      <c r="DL10" s="12" t="s">
        <v>169</v>
      </c>
      <c r="DM10" s="12" t="s">
        <v>169</v>
      </c>
      <c r="DN10" s="12" t="s">
        <v>169</v>
      </c>
      <c r="DO10" s="12" t="s">
        <v>169</v>
      </c>
      <c r="DP10" s="12" t="s">
        <v>169</v>
      </c>
      <c r="DQ10" s="12" t="s">
        <v>169</v>
      </c>
      <c r="DR10" s="12" t="s">
        <v>169</v>
      </c>
      <c r="DS10" s="12" t="s">
        <v>169</v>
      </c>
      <c r="DT10" s="12" t="s">
        <v>169</v>
      </c>
      <c r="DU10" s="12" t="s">
        <v>169</v>
      </c>
    </row>
    <row r="11" spans="1:125" x14ac:dyDescent="0.25">
      <c r="A11" s="3" t="s">
        <v>8</v>
      </c>
      <c r="B11" s="3" t="s">
        <v>117</v>
      </c>
      <c r="C11" s="3" t="s">
        <v>62</v>
      </c>
      <c r="D11" s="7">
        <v>42872</v>
      </c>
      <c r="E11" s="8">
        <v>0.41666666666666669</v>
      </c>
      <c r="F11" s="10">
        <v>5.4050000000000002</v>
      </c>
      <c r="G11" s="10">
        <v>0.09</v>
      </c>
      <c r="H11" s="12" t="s">
        <v>169</v>
      </c>
      <c r="I11" s="12" t="s">
        <v>169</v>
      </c>
      <c r="J11" s="12" t="s">
        <v>169</v>
      </c>
      <c r="K11" s="12" t="s">
        <v>169</v>
      </c>
      <c r="L11" s="12" t="s">
        <v>169</v>
      </c>
      <c r="M11" s="12" t="s">
        <v>169</v>
      </c>
      <c r="N11" s="12" t="s">
        <v>169</v>
      </c>
      <c r="O11" s="12" t="s">
        <v>169</v>
      </c>
      <c r="P11" s="12" t="s">
        <v>169</v>
      </c>
      <c r="Q11" s="12" t="s">
        <v>169</v>
      </c>
      <c r="R11" s="12" t="s">
        <v>169</v>
      </c>
      <c r="S11" s="12" t="s">
        <v>169</v>
      </c>
      <c r="T11" s="12" t="s">
        <v>169</v>
      </c>
      <c r="U11" s="12" t="s">
        <v>169</v>
      </c>
      <c r="V11" s="12" t="s">
        <v>169</v>
      </c>
      <c r="W11" s="12" t="s">
        <v>169</v>
      </c>
      <c r="X11" s="12" t="s">
        <v>169</v>
      </c>
      <c r="Y11" s="12" t="s">
        <v>169</v>
      </c>
      <c r="Z11" s="12" t="s">
        <v>169</v>
      </c>
      <c r="AA11" s="12" t="s">
        <v>169</v>
      </c>
      <c r="AB11" s="12" t="s">
        <v>169</v>
      </c>
      <c r="AC11" s="12" t="s">
        <v>169</v>
      </c>
      <c r="AD11" s="12" t="s">
        <v>169</v>
      </c>
      <c r="AE11" s="12" t="s">
        <v>169</v>
      </c>
      <c r="AF11" s="12" t="s">
        <v>169</v>
      </c>
      <c r="AG11" s="12" t="s">
        <v>169</v>
      </c>
      <c r="AH11" s="12" t="s">
        <v>169</v>
      </c>
      <c r="AI11" s="12" t="s">
        <v>169</v>
      </c>
      <c r="AJ11" s="12" t="s">
        <v>169</v>
      </c>
      <c r="AK11" s="12" t="s">
        <v>169</v>
      </c>
      <c r="AL11" s="12" t="s">
        <v>169</v>
      </c>
      <c r="AM11" s="12" t="s">
        <v>169</v>
      </c>
      <c r="AN11" s="12" t="s">
        <v>169</v>
      </c>
      <c r="AO11" s="12" t="s">
        <v>169</v>
      </c>
      <c r="AP11" s="12" t="s">
        <v>169</v>
      </c>
      <c r="AQ11" s="12" t="s">
        <v>169</v>
      </c>
      <c r="AR11" s="12" t="s">
        <v>169</v>
      </c>
      <c r="AS11" s="12" t="s">
        <v>169</v>
      </c>
      <c r="AT11" s="12" t="s">
        <v>169</v>
      </c>
      <c r="AU11" s="12" t="s">
        <v>169</v>
      </c>
      <c r="AV11" s="12" t="s">
        <v>169</v>
      </c>
      <c r="AW11" s="12" t="s">
        <v>169</v>
      </c>
      <c r="AX11" s="12" t="s">
        <v>169</v>
      </c>
      <c r="AY11" s="12" t="s">
        <v>169</v>
      </c>
      <c r="AZ11" s="12" t="s">
        <v>169</v>
      </c>
      <c r="BA11" s="12" t="s">
        <v>169</v>
      </c>
      <c r="BB11" s="12" t="s">
        <v>169</v>
      </c>
      <c r="BC11" s="12" t="s">
        <v>169</v>
      </c>
      <c r="BD11" s="12" t="s">
        <v>169</v>
      </c>
      <c r="BE11" s="12" t="s">
        <v>169</v>
      </c>
      <c r="BF11" s="12" t="s">
        <v>169</v>
      </c>
      <c r="BG11" s="12" t="s">
        <v>169</v>
      </c>
      <c r="BH11" s="12" t="s">
        <v>169</v>
      </c>
      <c r="BI11" s="12" t="s">
        <v>169</v>
      </c>
      <c r="BJ11" s="12" t="s">
        <v>169</v>
      </c>
      <c r="BK11" s="12" t="s">
        <v>169</v>
      </c>
      <c r="BL11" s="12" t="s">
        <v>169</v>
      </c>
      <c r="BM11" s="12" t="s">
        <v>169</v>
      </c>
      <c r="BN11" s="12" t="s">
        <v>169</v>
      </c>
      <c r="BO11" s="12" t="s">
        <v>169</v>
      </c>
      <c r="BP11" s="12" t="s">
        <v>169</v>
      </c>
      <c r="BQ11" s="12" t="s">
        <v>169</v>
      </c>
      <c r="BR11" s="12" t="s">
        <v>169</v>
      </c>
      <c r="BS11" s="12" t="s">
        <v>169</v>
      </c>
      <c r="BT11" s="12" t="s">
        <v>169</v>
      </c>
      <c r="BU11" s="12" t="s">
        <v>169</v>
      </c>
      <c r="BV11" s="12" t="s">
        <v>169</v>
      </c>
      <c r="BW11" s="12" t="s">
        <v>169</v>
      </c>
      <c r="BX11" s="12" t="s">
        <v>169</v>
      </c>
      <c r="BY11" s="12" t="s">
        <v>169</v>
      </c>
      <c r="BZ11" s="12" t="s">
        <v>169</v>
      </c>
      <c r="CA11" s="12" t="s">
        <v>169</v>
      </c>
      <c r="CB11" s="12" t="s">
        <v>169</v>
      </c>
      <c r="CC11" s="12" t="s">
        <v>169</v>
      </c>
      <c r="CD11" s="12" t="s">
        <v>169</v>
      </c>
      <c r="CE11" s="12" t="s">
        <v>169</v>
      </c>
      <c r="CF11" s="12" t="s">
        <v>169</v>
      </c>
      <c r="CG11" s="12" t="s">
        <v>169</v>
      </c>
      <c r="CH11" s="12" t="s">
        <v>169</v>
      </c>
      <c r="CI11" s="12" t="s">
        <v>169</v>
      </c>
      <c r="CJ11" s="12" t="s">
        <v>169</v>
      </c>
      <c r="CK11" s="12" t="s">
        <v>169</v>
      </c>
      <c r="CL11" s="12" t="s">
        <v>169</v>
      </c>
      <c r="CM11" s="12" t="s">
        <v>169</v>
      </c>
      <c r="CN11" s="12" t="s">
        <v>169</v>
      </c>
      <c r="CO11" s="12" t="s">
        <v>169</v>
      </c>
      <c r="CP11" s="12" t="s">
        <v>169</v>
      </c>
      <c r="CQ11" s="12" t="s">
        <v>169</v>
      </c>
      <c r="CR11" s="12" t="s">
        <v>169</v>
      </c>
      <c r="CS11" s="12" t="s">
        <v>169</v>
      </c>
      <c r="CT11" s="12" t="s">
        <v>169</v>
      </c>
      <c r="CU11" s="12" t="s">
        <v>169</v>
      </c>
      <c r="CV11" s="12" t="s">
        <v>169</v>
      </c>
      <c r="CW11" s="12" t="s">
        <v>169</v>
      </c>
      <c r="CX11" s="12" t="s">
        <v>169</v>
      </c>
      <c r="CY11" s="12" t="s">
        <v>169</v>
      </c>
      <c r="CZ11" s="12" t="s">
        <v>169</v>
      </c>
      <c r="DA11" s="12" t="s">
        <v>169</v>
      </c>
      <c r="DB11" s="12" t="s">
        <v>169</v>
      </c>
      <c r="DC11" s="12" t="s">
        <v>169</v>
      </c>
      <c r="DD11" s="12" t="s">
        <v>169</v>
      </c>
      <c r="DE11" s="12" t="s">
        <v>169</v>
      </c>
      <c r="DF11" s="12" t="s">
        <v>169</v>
      </c>
      <c r="DG11" s="12" t="s">
        <v>169</v>
      </c>
      <c r="DH11" s="12" t="s">
        <v>169</v>
      </c>
      <c r="DI11" s="12" t="s">
        <v>169</v>
      </c>
      <c r="DJ11" s="12" t="s">
        <v>169</v>
      </c>
      <c r="DK11" s="12" t="s">
        <v>169</v>
      </c>
      <c r="DL11" s="12" t="s">
        <v>169</v>
      </c>
      <c r="DM11" s="12" t="s">
        <v>169</v>
      </c>
      <c r="DN11" s="12" t="s">
        <v>169</v>
      </c>
      <c r="DO11" s="12" t="s">
        <v>169</v>
      </c>
      <c r="DP11" s="12" t="s">
        <v>169</v>
      </c>
      <c r="DQ11" s="12" t="s">
        <v>169</v>
      </c>
      <c r="DR11" s="12" t="s">
        <v>169</v>
      </c>
      <c r="DS11" s="12" t="s">
        <v>169</v>
      </c>
      <c r="DT11" s="12" t="s">
        <v>169</v>
      </c>
      <c r="DU11" s="12" t="s">
        <v>169</v>
      </c>
    </row>
    <row r="12" spans="1:125" x14ac:dyDescent="0.25">
      <c r="A12" s="3" t="s">
        <v>9</v>
      </c>
      <c r="B12" s="3" t="s">
        <v>118</v>
      </c>
      <c r="C12" s="3" t="s">
        <v>63</v>
      </c>
      <c r="D12" s="7">
        <v>42868</v>
      </c>
      <c r="E12" s="8">
        <v>0.54166666666666663</v>
      </c>
      <c r="F12" s="10">
        <v>5.01</v>
      </c>
      <c r="G12" s="10">
        <v>0.45</v>
      </c>
      <c r="H12" s="12" t="s">
        <v>169</v>
      </c>
      <c r="I12" s="12" t="s">
        <v>169</v>
      </c>
      <c r="J12" s="12" t="s">
        <v>169</v>
      </c>
      <c r="K12" s="12" t="s">
        <v>169</v>
      </c>
      <c r="L12" s="12" t="s">
        <v>169</v>
      </c>
      <c r="M12" s="12" t="s">
        <v>169</v>
      </c>
      <c r="N12" s="12" t="s">
        <v>169</v>
      </c>
      <c r="O12" s="12" t="s">
        <v>169</v>
      </c>
      <c r="P12" s="12" t="s">
        <v>169</v>
      </c>
      <c r="Q12" s="12" t="s">
        <v>169</v>
      </c>
      <c r="R12" s="12" t="s">
        <v>169</v>
      </c>
      <c r="S12" s="12" t="s">
        <v>169</v>
      </c>
      <c r="T12" s="12" t="s">
        <v>169</v>
      </c>
      <c r="U12" s="12" t="s">
        <v>169</v>
      </c>
      <c r="V12" s="12" t="s">
        <v>169</v>
      </c>
      <c r="W12" s="12" t="s">
        <v>169</v>
      </c>
      <c r="X12" s="12" t="s">
        <v>169</v>
      </c>
      <c r="Y12" s="12" t="s">
        <v>169</v>
      </c>
      <c r="Z12" s="12" t="s">
        <v>169</v>
      </c>
      <c r="AA12" s="12" t="s">
        <v>169</v>
      </c>
      <c r="AB12" s="12" t="s">
        <v>169</v>
      </c>
      <c r="AC12" s="12" t="s">
        <v>169</v>
      </c>
      <c r="AD12" s="12" t="s">
        <v>169</v>
      </c>
      <c r="AE12" s="12" t="s">
        <v>169</v>
      </c>
      <c r="AF12" s="12" t="s">
        <v>169</v>
      </c>
      <c r="AG12" s="12" t="s">
        <v>169</v>
      </c>
      <c r="AH12" s="12" t="s">
        <v>169</v>
      </c>
      <c r="AI12" s="12" t="s">
        <v>169</v>
      </c>
      <c r="AJ12" s="12" t="s">
        <v>169</v>
      </c>
      <c r="AK12" s="12" t="s">
        <v>169</v>
      </c>
      <c r="AL12" s="12" t="s">
        <v>169</v>
      </c>
      <c r="AM12" s="12" t="s">
        <v>169</v>
      </c>
      <c r="AN12" s="12">
        <v>2.0121502301677285</v>
      </c>
      <c r="AO12" s="12" t="s">
        <v>169</v>
      </c>
      <c r="AP12" s="12" t="s">
        <v>169</v>
      </c>
      <c r="AQ12" s="12" t="s">
        <v>169</v>
      </c>
      <c r="AR12" s="12" t="s">
        <v>169</v>
      </c>
      <c r="AS12" s="12" t="s">
        <v>169</v>
      </c>
      <c r="AT12" s="12" t="s">
        <v>169</v>
      </c>
      <c r="AU12" s="12" t="s">
        <v>169</v>
      </c>
      <c r="AV12" s="12" t="s">
        <v>169</v>
      </c>
      <c r="AW12" s="12" t="s">
        <v>169</v>
      </c>
      <c r="AX12" s="12" t="s">
        <v>169</v>
      </c>
      <c r="AY12" s="12" t="s">
        <v>169</v>
      </c>
      <c r="AZ12" s="12" t="s">
        <v>169</v>
      </c>
      <c r="BA12" s="12" t="s">
        <v>169</v>
      </c>
      <c r="BB12" s="12" t="s">
        <v>169</v>
      </c>
      <c r="BC12" s="12" t="s">
        <v>169</v>
      </c>
      <c r="BD12" s="12" t="s">
        <v>169</v>
      </c>
      <c r="BE12" s="12" t="s">
        <v>169</v>
      </c>
      <c r="BF12" s="12" t="s">
        <v>169</v>
      </c>
      <c r="BG12" s="12" t="s">
        <v>169</v>
      </c>
      <c r="BH12" s="12" t="s">
        <v>169</v>
      </c>
      <c r="BI12" s="12" t="s">
        <v>169</v>
      </c>
      <c r="BJ12" s="12" t="s">
        <v>169</v>
      </c>
      <c r="BK12" s="12" t="s">
        <v>169</v>
      </c>
      <c r="BL12" s="12" t="s">
        <v>169</v>
      </c>
      <c r="BM12" s="12" t="s">
        <v>169</v>
      </c>
      <c r="BN12" s="12" t="s">
        <v>169</v>
      </c>
      <c r="BO12" s="12" t="s">
        <v>169</v>
      </c>
      <c r="BP12" s="12" t="s">
        <v>169</v>
      </c>
      <c r="BQ12" s="12" t="s">
        <v>169</v>
      </c>
      <c r="BR12" s="12" t="s">
        <v>169</v>
      </c>
      <c r="BS12" s="12" t="s">
        <v>169</v>
      </c>
      <c r="BT12" s="12" t="s">
        <v>169</v>
      </c>
      <c r="BU12" s="12" t="s">
        <v>169</v>
      </c>
      <c r="BV12" s="12" t="s">
        <v>169</v>
      </c>
      <c r="BW12" s="12" t="s">
        <v>169</v>
      </c>
      <c r="BX12" s="12" t="s">
        <v>169</v>
      </c>
      <c r="BY12" s="12" t="s">
        <v>169</v>
      </c>
      <c r="BZ12" s="12" t="s">
        <v>169</v>
      </c>
      <c r="CA12" s="12" t="s">
        <v>169</v>
      </c>
      <c r="CB12" s="12" t="s">
        <v>169</v>
      </c>
      <c r="CC12" s="12">
        <v>1.9335268998646029</v>
      </c>
      <c r="CD12" s="12" t="s">
        <v>169</v>
      </c>
      <c r="CE12" s="12">
        <v>1.9362388549578884</v>
      </c>
      <c r="CF12" s="12">
        <v>4.8897494541955684</v>
      </c>
      <c r="CG12" s="12">
        <v>3.3220231893836614</v>
      </c>
      <c r="CH12" s="12" t="s">
        <v>169</v>
      </c>
      <c r="CI12" s="12" t="s">
        <v>169</v>
      </c>
      <c r="CJ12" s="12" t="s">
        <v>169</v>
      </c>
      <c r="CK12" s="12" t="s">
        <v>169</v>
      </c>
      <c r="CL12" s="12" t="s">
        <v>169</v>
      </c>
      <c r="CM12" s="12" t="s">
        <v>169</v>
      </c>
      <c r="CN12" s="12" t="s">
        <v>169</v>
      </c>
      <c r="CO12" s="12" t="s">
        <v>169</v>
      </c>
      <c r="CP12" s="12">
        <v>1.9728199146378362</v>
      </c>
      <c r="CQ12" s="12" t="s">
        <v>169</v>
      </c>
      <c r="CR12" s="12" t="s">
        <v>169</v>
      </c>
      <c r="CS12" s="12" t="s">
        <v>169</v>
      </c>
      <c r="CT12" s="12" t="s">
        <v>169</v>
      </c>
      <c r="CU12" s="12" t="s">
        <v>169</v>
      </c>
      <c r="CV12" s="12" t="s">
        <v>169</v>
      </c>
      <c r="CW12" s="12" t="s">
        <v>169</v>
      </c>
      <c r="CX12" s="12" t="s">
        <v>169</v>
      </c>
      <c r="CY12" s="12" t="s">
        <v>169</v>
      </c>
      <c r="CZ12" s="12" t="s">
        <v>169</v>
      </c>
      <c r="DA12" s="12" t="s">
        <v>169</v>
      </c>
      <c r="DB12" s="12" t="s">
        <v>169</v>
      </c>
      <c r="DC12" s="12" t="s">
        <v>169</v>
      </c>
      <c r="DD12" s="12" t="s">
        <v>169</v>
      </c>
      <c r="DE12" s="12" t="s">
        <v>169</v>
      </c>
      <c r="DF12" s="12" t="s">
        <v>169</v>
      </c>
      <c r="DG12" s="12" t="s">
        <v>169</v>
      </c>
      <c r="DH12" s="12" t="s">
        <v>169</v>
      </c>
      <c r="DI12" s="12" t="s">
        <v>169</v>
      </c>
      <c r="DJ12" s="12" t="s">
        <v>169</v>
      </c>
      <c r="DK12" s="12" t="s">
        <v>169</v>
      </c>
      <c r="DL12" s="12" t="s">
        <v>169</v>
      </c>
      <c r="DM12" s="12" t="s">
        <v>169</v>
      </c>
      <c r="DN12" s="12" t="s">
        <v>169</v>
      </c>
      <c r="DO12" s="12" t="s">
        <v>169</v>
      </c>
      <c r="DP12" s="12" t="s">
        <v>169</v>
      </c>
      <c r="DQ12" s="12" t="s">
        <v>169</v>
      </c>
      <c r="DR12" s="12" t="s">
        <v>169</v>
      </c>
      <c r="DS12" s="12" t="s">
        <v>169</v>
      </c>
      <c r="DT12" s="12" t="s">
        <v>169</v>
      </c>
      <c r="DU12" s="12" t="s">
        <v>169</v>
      </c>
    </row>
    <row r="13" spans="1:125" x14ac:dyDescent="0.25">
      <c r="A13" s="3" t="s">
        <v>10</v>
      </c>
      <c r="B13" s="3" t="s">
        <v>119</v>
      </c>
      <c r="C13" s="3" t="s">
        <v>64</v>
      </c>
      <c r="D13" s="7">
        <v>42868</v>
      </c>
      <c r="E13" s="8">
        <v>0.54166666666666663</v>
      </c>
      <c r="F13" s="10">
        <v>4.9950000000000001</v>
      </c>
      <c r="G13" s="10">
        <v>0.03</v>
      </c>
      <c r="H13" s="12" t="s">
        <v>169</v>
      </c>
      <c r="I13" s="12" t="s">
        <v>169</v>
      </c>
      <c r="J13" s="12" t="s">
        <v>169</v>
      </c>
      <c r="K13" s="12" t="s">
        <v>169</v>
      </c>
      <c r="L13" s="12" t="s">
        <v>169</v>
      </c>
      <c r="M13" s="12" t="s">
        <v>169</v>
      </c>
      <c r="N13" s="12" t="s">
        <v>169</v>
      </c>
      <c r="O13" s="12" t="s">
        <v>169</v>
      </c>
      <c r="P13" s="12" t="s">
        <v>169</v>
      </c>
      <c r="Q13" s="12" t="s">
        <v>169</v>
      </c>
      <c r="R13" s="12" t="s">
        <v>169</v>
      </c>
      <c r="S13" s="12" t="s">
        <v>169</v>
      </c>
      <c r="T13" s="12" t="s">
        <v>169</v>
      </c>
      <c r="U13" s="12" t="s">
        <v>169</v>
      </c>
      <c r="V13" s="12" t="s">
        <v>169</v>
      </c>
      <c r="W13" s="12" t="s">
        <v>169</v>
      </c>
      <c r="X13" s="12" t="s">
        <v>169</v>
      </c>
      <c r="Y13" s="12" t="s">
        <v>169</v>
      </c>
      <c r="Z13" s="12" t="s">
        <v>169</v>
      </c>
      <c r="AA13" s="12" t="s">
        <v>169</v>
      </c>
      <c r="AB13" s="12" t="s">
        <v>169</v>
      </c>
      <c r="AC13" s="12" t="s">
        <v>169</v>
      </c>
      <c r="AD13" s="12" t="s">
        <v>169</v>
      </c>
      <c r="AE13" s="12" t="s">
        <v>169</v>
      </c>
      <c r="AF13" s="12" t="s">
        <v>169</v>
      </c>
      <c r="AG13" s="12" t="s">
        <v>169</v>
      </c>
      <c r="AH13" s="12" t="s">
        <v>169</v>
      </c>
      <c r="AI13" s="12" t="s">
        <v>169</v>
      </c>
      <c r="AJ13" s="12" t="s">
        <v>169</v>
      </c>
      <c r="AK13" s="12" t="s">
        <v>169</v>
      </c>
      <c r="AL13" s="12" t="s">
        <v>169</v>
      </c>
      <c r="AM13" s="12" t="s">
        <v>169</v>
      </c>
      <c r="AN13" s="12" t="s">
        <v>169</v>
      </c>
      <c r="AO13" s="12" t="s">
        <v>169</v>
      </c>
      <c r="AP13" s="12" t="s">
        <v>169</v>
      </c>
      <c r="AQ13" s="12" t="s">
        <v>169</v>
      </c>
      <c r="AR13" s="12" t="s">
        <v>169</v>
      </c>
      <c r="AS13" s="12" t="s">
        <v>169</v>
      </c>
      <c r="AT13" s="12" t="s">
        <v>169</v>
      </c>
      <c r="AU13" s="12" t="s">
        <v>169</v>
      </c>
      <c r="AV13" s="12" t="s">
        <v>169</v>
      </c>
      <c r="AW13" s="12" t="s">
        <v>169</v>
      </c>
      <c r="AX13" s="12" t="s">
        <v>169</v>
      </c>
      <c r="AY13" s="12" t="s">
        <v>169</v>
      </c>
      <c r="AZ13" s="12" t="s">
        <v>169</v>
      </c>
      <c r="BA13" s="12" t="s">
        <v>169</v>
      </c>
      <c r="BB13" s="12" t="s">
        <v>169</v>
      </c>
      <c r="BC13" s="12" t="s">
        <v>169</v>
      </c>
      <c r="BD13" s="12" t="s">
        <v>169</v>
      </c>
      <c r="BE13" s="12" t="s">
        <v>169</v>
      </c>
      <c r="BF13" s="12" t="s">
        <v>169</v>
      </c>
      <c r="BG13" s="12" t="s">
        <v>169</v>
      </c>
      <c r="BH13" s="12" t="s">
        <v>169</v>
      </c>
      <c r="BI13" s="12" t="s">
        <v>169</v>
      </c>
      <c r="BJ13" s="12" t="s">
        <v>169</v>
      </c>
      <c r="BK13" s="12" t="s">
        <v>169</v>
      </c>
      <c r="BL13" s="12" t="s">
        <v>169</v>
      </c>
      <c r="BM13" s="12" t="s">
        <v>169</v>
      </c>
      <c r="BN13" s="12" t="s">
        <v>169</v>
      </c>
      <c r="BO13" s="12" t="s">
        <v>169</v>
      </c>
      <c r="BP13" s="12" t="s">
        <v>169</v>
      </c>
      <c r="BQ13" s="12" t="s">
        <v>169</v>
      </c>
      <c r="BR13" s="12" t="s">
        <v>169</v>
      </c>
      <c r="BS13" s="12" t="s">
        <v>169</v>
      </c>
      <c r="BT13" s="12" t="s">
        <v>169</v>
      </c>
      <c r="BU13" s="12" t="s">
        <v>169</v>
      </c>
      <c r="BV13" s="12" t="s">
        <v>169</v>
      </c>
      <c r="BW13" s="12" t="s">
        <v>169</v>
      </c>
      <c r="BX13" s="12" t="s">
        <v>169</v>
      </c>
      <c r="BY13" s="12" t="s">
        <v>169</v>
      </c>
      <c r="BZ13" s="12" t="s">
        <v>169</v>
      </c>
      <c r="CA13" s="12" t="s">
        <v>169</v>
      </c>
      <c r="CB13" s="12" t="s">
        <v>169</v>
      </c>
      <c r="CC13" s="12" t="s">
        <v>169</v>
      </c>
      <c r="CD13" s="12" t="s">
        <v>169</v>
      </c>
      <c r="CE13" s="12" t="s">
        <v>169</v>
      </c>
      <c r="CF13" s="12" t="s">
        <v>169</v>
      </c>
      <c r="CG13" s="12" t="s">
        <v>169</v>
      </c>
      <c r="CH13" s="12" t="s">
        <v>169</v>
      </c>
      <c r="CI13" s="12" t="s">
        <v>169</v>
      </c>
      <c r="CJ13" s="12" t="s">
        <v>169</v>
      </c>
      <c r="CK13" s="12" t="s">
        <v>169</v>
      </c>
      <c r="CL13" s="12" t="s">
        <v>169</v>
      </c>
      <c r="CM13" s="12" t="s">
        <v>169</v>
      </c>
      <c r="CN13" s="12" t="s">
        <v>169</v>
      </c>
      <c r="CO13" s="12" t="s">
        <v>169</v>
      </c>
      <c r="CP13" s="12" t="s">
        <v>169</v>
      </c>
      <c r="CQ13" s="12" t="s">
        <v>169</v>
      </c>
      <c r="CR13" s="12" t="s">
        <v>169</v>
      </c>
      <c r="CS13" s="12" t="s">
        <v>169</v>
      </c>
      <c r="CT13" s="12" t="s">
        <v>169</v>
      </c>
      <c r="CU13" s="12" t="s">
        <v>169</v>
      </c>
      <c r="CV13" s="12" t="s">
        <v>169</v>
      </c>
      <c r="CW13" s="12" t="s">
        <v>169</v>
      </c>
      <c r="CX13" s="12" t="s">
        <v>169</v>
      </c>
      <c r="CY13" s="12" t="s">
        <v>169</v>
      </c>
      <c r="CZ13" s="12" t="s">
        <v>169</v>
      </c>
      <c r="DA13" s="12" t="s">
        <v>169</v>
      </c>
      <c r="DB13" s="12" t="s">
        <v>169</v>
      </c>
      <c r="DC13" s="12" t="s">
        <v>169</v>
      </c>
      <c r="DD13" s="12" t="s">
        <v>169</v>
      </c>
      <c r="DE13" s="12" t="s">
        <v>169</v>
      </c>
      <c r="DF13" s="12" t="s">
        <v>169</v>
      </c>
      <c r="DG13" s="12" t="s">
        <v>169</v>
      </c>
      <c r="DH13" s="12" t="s">
        <v>169</v>
      </c>
      <c r="DI13" s="12" t="s">
        <v>169</v>
      </c>
      <c r="DJ13" s="12" t="s">
        <v>169</v>
      </c>
      <c r="DK13" s="12" t="s">
        <v>169</v>
      </c>
      <c r="DL13" s="12" t="s">
        <v>169</v>
      </c>
      <c r="DM13" s="12" t="s">
        <v>169</v>
      </c>
      <c r="DN13" s="12" t="s">
        <v>169</v>
      </c>
      <c r="DO13" s="12" t="s">
        <v>169</v>
      </c>
      <c r="DP13" s="12" t="s">
        <v>169</v>
      </c>
      <c r="DQ13" s="12" t="s">
        <v>169</v>
      </c>
      <c r="DR13" s="12" t="s">
        <v>169</v>
      </c>
      <c r="DS13" s="12" t="s">
        <v>169</v>
      </c>
      <c r="DT13" s="12" t="s">
        <v>169</v>
      </c>
      <c r="DU13" s="12" t="s">
        <v>169</v>
      </c>
    </row>
    <row r="14" spans="1:125" x14ac:dyDescent="0.25">
      <c r="A14" s="3" t="s">
        <v>11</v>
      </c>
      <c r="B14" s="3" t="s">
        <v>120</v>
      </c>
      <c r="C14" s="3" t="s">
        <v>65</v>
      </c>
      <c r="D14" s="7">
        <v>42872</v>
      </c>
      <c r="E14" s="8">
        <v>0.39583333333333331</v>
      </c>
      <c r="F14" s="10">
        <v>6.6349999999999998</v>
      </c>
      <c r="G14" s="10">
        <v>1.84</v>
      </c>
      <c r="H14" s="12" t="s">
        <v>169</v>
      </c>
      <c r="I14" s="12" t="s">
        <v>169</v>
      </c>
      <c r="J14" s="12" t="s">
        <v>169</v>
      </c>
      <c r="K14" s="12" t="s">
        <v>169</v>
      </c>
      <c r="L14" s="12" t="s">
        <v>169</v>
      </c>
      <c r="M14" s="12" t="s">
        <v>169</v>
      </c>
      <c r="N14" s="12" t="s">
        <v>169</v>
      </c>
      <c r="O14" s="12" t="s">
        <v>169</v>
      </c>
      <c r="P14" s="12" t="s">
        <v>169</v>
      </c>
      <c r="Q14" s="12" t="s">
        <v>169</v>
      </c>
      <c r="R14" s="12" t="s">
        <v>169</v>
      </c>
      <c r="S14" s="12" t="s">
        <v>169</v>
      </c>
      <c r="T14" s="12" t="s">
        <v>169</v>
      </c>
      <c r="U14" s="12" t="s">
        <v>169</v>
      </c>
      <c r="V14" s="12" t="s">
        <v>169</v>
      </c>
      <c r="W14" s="12" t="s">
        <v>169</v>
      </c>
      <c r="X14" s="12" t="s">
        <v>169</v>
      </c>
      <c r="Y14" s="12" t="s">
        <v>169</v>
      </c>
      <c r="Z14" s="12" t="s">
        <v>169</v>
      </c>
      <c r="AA14" s="12" t="s">
        <v>169</v>
      </c>
      <c r="AB14" s="12" t="s">
        <v>169</v>
      </c>
      <c r="AC14" s="12" t="s">
        <v>169</v>
      </c>
      <c r="AD14" s="12" t="s">
        <v>169</v>
      </c>
      <c r="AE14" s="12" t="s">
        <v>169</v>
      </c>
      <c r="AF14" s="12" t="s">
        <v>169</v>
      </c>
      <c r="AG14" s="12" t="s">
        <v>169</v>
      </c>
      <c r="AH14" s="12" t="s">
        <v>169</v>
      </c>
      <c r="AI14" s="12" t="s">
        <v>169</v>
      </c>
      <c r="AJ14" s="12" t="s">
        <v>169</v>
      </c>
      <c r="AK14" s="12" t="s">
        <v>169</v>
      </c>
      <c r="AL14" s="12" t="s">
        <v>169</v>
      </c>
      <c r="AM14" s="12" t="s">
        <v>169</v>
      </c>
      <c r="AN14" s="12" t="s">
        <v>169</v>
      </c>
      <c r="AO14" s="12" t="s">
        <v>169</v>
      </c>
      <c r="AP14" s="12" t="s">
        <v>169</v>
      </c>
      <c r="AQ14" s="12" t="s">
        <v>169</v>
      </c>
      <c r="AR14" s="12" t="s">
        <v>169</v>
      </c>
      <c r="AS14" s="12" t="s">
        <v>169</v>
      </c>
      <c r="AT14" s="12" t="s">
        <v>169</v>
      </c>
      <c r="AU14" s="12" t="s">
        <v>169</v>
      </c>
      <c r="AV14" s="12" t="s">
        <v>169</v>
      </c>
      <c r="AW14" s="12" t="s">
        <v>169</v>
      </c>
      <c r="AX14" s="12" t="s">
        <v>169</v>
      </c>
      <c r="AY14" s="12" t="s">
        <v>169</v>
      </c>
      <c r="AZ14" s="12" t="s">
        <v>169</v>
      </c>
      <c r="BA14" s="12" t="s">
        <v>169</v>
      </c>
      <c r="BB14" s="12" t="s">
        <v>169</v>
      </c>
      <c r="BC14" s="12" t="s">
        <v>169</v>
      </c>
      <c r="BD14" s="12" t="s">
        <v>169</v>
      </c>
      <c r="BE14" s="12" t="s">
        <v>169</v>
      </c>
      <c r="BF14" s="12" t="s">
        <v>169</v>
      </c>
      <c r="BG14" s="12" t="s">
        <v>169</v>
      </c>
      <c r="BH14" s="12" t="s">
        <v>169</v>
      </c>
      <c r="BI14" s="12" t="s">
        <v>169</v>
      </c>
      <c r="BJ14" s="12" t="s">
        <v>169</v>
      </c>
      <c r="BK14" s="12" t="s">
        <v>169</v>
      </c>
      <c r="BL14" s="12" t="s">
        <v>169</v>
      </c>
      <c r="BM14" s="12" t="s">
        <v>169</v>
      </c>
      <c r="BN14" s="12" t="s">
        <v>169</v>
      </c>
      <c r="BO14" s="12" t="s">
        <v>169</v>
      </c>
      <c r="BP14" s="12" t="s">
        <v>169</v>
      </c>
      <c r="BQ14" s="12" t="s">
        <v>169</v>
      </c>
      <c r="BR14" s="12" t="s">
        <v>169</v>
      </c>
      <c r="BS14" s="12" t="s">
        <v>169</v>
      </c>
      <c r="BT14" s="12" t="s">
        <v>169</v>
      </c>
      <c r="BU14" s="12" t="s">
        <v>169</v>
      </c>
      <c r="BV14" s="12" t="s">
        <v>169</v>
      </c>
      <c r="BW14" s="12" t="s">
        <v>169</v>
      </c>
      <c r="BX14" s="12" t="s">
        <v>169</v>
      </c>
      <c r="BY14" s="12" t="s">
        <v>169</v>
      </c>
      <c r="BZ14" s="12" t="s">
        <v>169</v>
      </c>
      <c r="CA14" s="12" t="s">
        <v>169</v>
      </c>
      <c r="CB14" s="12" t="s">
        <v>169</v>
      </c>
      <c r="CC14" s="12" t="s">
        <v>169</v>
      </c>
      <c r="CD14" s="12" t="s">
        <v>169</v>
      </c>
      <c r="CE14" s="12" t="s">
        <v>169</v>
      </c>
      <c r="CF14" s="12" t="s">
        <v>169</v>
      </c>
      <c r="CG14" s="12">
        <v>1.156348517812172</v>
      </c>
      <c r="CH14" s="12" t="s">
        <v>169</v>
      </c>
      <c r="CI14" s="12" t="s">
        <v>169</v>
      </c>
      <c r="CJ14" s="12" t="s">
        <v>169</v>
      </c>
      <c r="CK14" s="12" t="s">
        <v>169</v>
      </c>
      <c r="CL14" s="12" t="s">
        <v>169</v>
      </c>
      <c r="CM14" s="12" t="s">
        <v>169</v>
      </c>
      <c r="CN14" s="12" t="s">
        <v>169</v>
      </c>
      <c r="CO14" s="12" t="s">
        <v>169</v>
      </c>
      <c r="CP14" s="12" t="s">
        <v>169</v>
      </c>
      <c r="CQ14" s="12" t="s">
        <v>169</v>
      </c>
      <c r="CR14" s="12" t="s">
        <v>169</v>
      </c>
      <c r="CS14" s="12" t="s">
        <v>169</v>
      </c>
      <c r="CT14" s="12" t="s">
        <v>169</v>
      </c>
      <c r="CU14" s="12" t="s">
        <v>169</v>
      </c>
      <c r="CV14" s="12" t="s">
        <v>169</v>
      </c>
      <c r="CW14" s="12" t="s">
        <v>169</v>
      </c>
      <c r="CX14" s="12" t="s">
        <v>169</v>
      </c>
      <c r="CY14" s="12" t="s">
        <v>169</v>
      </c>
      <c r="CZ14" s="12" t="s">
        <v>169</v>
      </c>
      <c r="DA14" s="12" t="s">
        <v>169</v>
      </c>
      <c r="DB14" s="12" t="s">
        <v>169</v>
      </c>
      <c r="DC14" s="12" t="s">
        <v>169</v>
      </c>
      <c r="DD14" s="12" t="s">
        <v>169</v>
      </c>
      <c r="DE14" s="12" t="s">
        <v>169</v>
      </c>
      <c r="DF14" s="12" t="s">
        <v>169</v>
      </c>
      <c r="DG14" s="12" t="s">
        <v>169</v>
      </c>
      <c r="DH14" s="12" t="s">
        <v>169</v>
      </c>
      <c r="DI14" s="12" t="s">
        <v>169</v>
      </c>
      <c r="DJ14" s="12" t="s">
        <v>169</v>
      </c>
      <c r="DK14" s="12" t="s">
        <v>169</v>
      </c>
      <c r="DL14" s="12" t="s">
        <v>169</v>
      </c>
      <c r="DM14" s="12" t="s">
        <v>169</v>
      </c>
      <c r="DN14" s="12" t="s">
        <v>169</v>
      </c>
      <c r="DO14" s="12" t="s">
        <v>169</v>
      </c>
      <c r="DP14" s="12" t="s">
        <v>169</v>
      </c>
      <c r="DQ14" s="12" t="s">
        <v>169</v>
      </c>
      <c r="DR14" s="12" t="s">
        <v>169</v>
      </c>
      <c r="DS14" s="12" t="s">
        <v>169</v>
      </c>
      <c r="DT14" s="12" t="s">
        <v>169</v>
      </c>
      <c r="DU14" s="12" t="s">
        <v>169</v>
      </c>
    </row>
    <row r="15" spans="1:125" x14ac:dyDescent="0.25">
      <c r="A15" s="3" t="s">
        <v>12</v>
      </c>
      <c r="B15" s="3" t="s">
        <v>121</v>
      </c>
      <c r="C15" s="3" t="s">
        <v>66</v>
      </c>
      <c r="D15" s="7">
        <v>42867</v>
      </c>
      <c r="E15" s="8">
        <v>0.58333333333333337</v>
      </c>
      <c r="F15" s="10">
        <v>5.3</v>
      </c>
      <c r="G15" s="10">
        <v>2.29</v>
      </c>
      <c r="H15" s="12" t="s">
        <v>169</v>
      </c>
      <c r="I15" s="12" t="s">
        <v>169</v>
      </c>
      <c r="J15" s="12" t="s">
        <v>169</v>
      </c>
      <c r="K15" s="12" t="s">
        <v>169</v>
      </c>
      <c r="L15" s="12" t="s">
        <v>169</v>
      </c>
      <c r="M15" s="12" t="s">
        <v>169</v>
      </c>
      <c r="N15" s="12" t="s">
        <v>169</v>
      </c>
      <c r="O15" s="12" t="s">
        <v>169</v>
      </c>
      <c r="P15" s="12">
        <v>0.60000000000000009</v>
      </c>
      <c r="Q15" s="12" t="s">
        <v>169</v>
      </c>
      <c r="R15" s="12" t="s">
        <v>169</v>
      </c>
      <c r="S15" s="12" t="s">
        <v>169</v>
      </c>
      <c r="T15" s="12" t="s">
        <v>169</v>
      </c>
      <c r="U15" s="12" t="s">
        <v>169</v>
      </c>
      <c r="V15" s="12" t="s">
        <v>169</v>
      </c>
      <c r="W15" s="12" t="s">
        <v>169</v>
      </c>
      <c r="X15" s="12" t="s">
        <v>169</v>
      </c>
      <c r="Y15" s="12" t="s">
        <v>169</v>
      </c>
      <c r="Z15" s="12" t="s">
        <v>169</v>
      </c>
      <c r="AA15" s="12" t="s">
        <v>169</v>
      </c>
      <c r="AB15" s="12" t="s">
        <v>169</v>
      </c>
      <c r="AC15" s="12" t="s">
        <v>169</v>
      </c>
      <c r="AD15" s="12" t="s">
        <v>169</v>
      </c>
      <c r="AE15" s="12" t="s">
        <v>169</v>
      </c>
      <c r="AF15" s="12" t="s">
        <v>169</v>
      </c>
      <c r="AG15" s="12" t="s">
        <v>169</v>
      </c>
      <c r="AH15" s="12" t="s">
        <v>169</v>
      </c>
      <c r="AI15" s="12" t="s">
        <v>169</v>
      </c>
      <c r="AJ15" s="12" t="s">
        <v>169</v>
      </c>
      <c r="AK15" s="12" t="s">
        <v>169</v>
      </c>
      <c r="AL15" s="12" t="s">
        <v>169</v>
      </c>
      <c r="AM15" s="12" t="s">
        <v>169</v>
      </c>
      <c r="AN15" s="12" t="s">
        <v>169</v>
      </c>
      <c r="AO15" s="12" t="s">
        <v>169</v>
      </c>
      <c r="AP15" s="12" t="s">
        <v>169</v>
      </c>
      <c r="AQ15" s="12" t="s">
        <v>169</v>
      </c>
      <c r="AR15" s="12" t="s">
        <v>169</v>
      </c>
      <c r="AS15" s="12" t="s">
        <v>169</v>
      </c>
      <c r="AT15" s="12" t="s">
        <v>169</v>
      </c>
      <c r="AU15" s="12" t="s">
        <v>169</v>
      </c>
      <c r="AV15" s="12" t="s">
        <v>169</v>
      </c>
      <c r="AW15" s="12" t="s">
        <v>169</v>
      </c>
      <c r="AX15" s="12" t="s">
        <v>169</v>
      </c>
      <c r="AY15" s="12" t="s">
        <v>169</v>
      </c>
      <c r="AZ15" s="12" t="s">
        <v>169</v>
      </c>
      <c r="BA15" s="12" t="s">
        <v>169</v>
      </c>
      <c r="BB15" s="12" t="s">
        <v>169</v>
      </c>
      <c r="BC15" s="12" t="s">
        <v>169</v>
      </c>
      <c r="BD15" s="12" t="s">
        <v>169</v>
      </c>
      <c r="BE15" s="12" t="s">
        <v>169</v>
      </c>
      <c r="BF15" s="12" t="s">
        <v>169</v>
      </c>
      <c r="BG15" s="12" t="s">
        <v>169</v>
      </c>
      <c r="BH15" s="12" t="s">
        <v>169</v>
      </c>
      <c r="BI15" s="12" t="s">
        <v>169</v>
      </c>
      <c r="BJ15" s="12" t="s">
        <v>169</v>
      </c>
      <c r="BK15" s="12" t="s">
        <v>169</v>
      </c>
      <c r="BL15" s="12" t="s">
        <v>169</v>
      </c>
      <c r="BM15" s="12" t="s">
        <v>169</v>
      </c>
      <c r="BN15" s="12" t="s">
        <v>169</v>
      </c>
      <c r="BO15" s="12" t="s">
        <v>169</v>
      </c>
      <c r="BP15" s="12" t="s">
        <v>169</v>
      </c>
      <c r="BQ15" s="12" t="s">
        <v>169</v>
      </c>
      <c r="BR15" s="12" t="s">
        <v>169</v>
      </c>
      <c r="BS15" s="12" t="s">
        <v>169</v>
      </c>
      <c r="BT15" s="12" t="s">
        <v>169</v>
      </c>
      <c r="BU15" s="12" t="s">
        <v>169</v>
      </c>
      <c r="BV15" s="12" t="s">
        <v>169</v>
      </c>
      <c r="BW15" s="12" t="s">
        <v>169</v>
      </c>
      <c r="BX15" s="12" t="s">
        <v>169</v>
      </c>
      <c r="BY15" s="12" t="s">
        <v>169</v>
      </c>
      <c r="BZ15" s="12" t="s">
        <v>169</v>
      </c>
      <c r="CA15" s="12" t="s">
        <v>169</v>
      </c>
      <c r="CB15" s="12" t="s">
        <v>169</v>
      </c>
      <c r="CC15" s="12" t="s">
        <v>169</v>
      </c>
      <c r="CD15" s="12" t="s">
        <v>169</v>
      </c>
      <c r="CE15" s="12">
        <v>2.0740047467078111</v>
      </c>
      <c r="CF15" s="12">
        <v>3.5649674652388041</v>
      </c>
      <c r="CG15" s="12">
        <v>7.4188662424563772</v>
      </c>
      <c r="CH15" s="12" t="s">
        <v>169</v>
      </c>
      <c r="CI15" s="12" t="s">
        <v>169</v>
      </c>
      <c r="CJ15" s="12" t="s">
        <v>169</v>
      </c>
      <c r="CK15" s="12" t="s">
        <v>169</v>
      </c>
      <c r="CL15" s="12" t="s">
        <v>169</v>
      </c>
      <c r="CM15" s="12" t="s">
        <v>169</v>
      </c>
      <c r="CN15" s="12" t="s">
        <v>169</v>
      </c>
      <c r="CO15" s="12" t="s">
        <v>169</v>
      </c>
      <c r="CP15" s="12" t="s">
        <v>169</v>
      </c>
      <c r="CQ15" s="12" t="s">
        <v>169</v>
      </c>
      <c r="CR15" s="12" t="s">
        <v>169</v>
      </c>
      <c r="CS15" s="12" t="s">
        <v>169</v>
      </c>
      <c r="CT15" s="12" t="s">
        <v>169</v>
      </c>
      <c r="CU15" s="12" t="s">
        <v>169</v>
      </c>
      <c r="CV15" s="12" t="s">
        <v>169</v>
      </c>
      <c r="CW15" s="12" t="s">
        <v>169</v>
      </c>
      <c r="CX15" s="12" t="s">
        <v>169</v>
      </c>
      <c r="CY15" s="12" t="s">
        <v>169</v>
      </c>
      <c r="CZ15" s="12" t="s">
        <v>169</v>
      </c>
      <c r="DA15" s="12" t="s">
        <v>169</v>
      </c>
      <c r="DB15" s="12" t="s">
        <v>169</v>
      </c>
      <c r="DC15" s="12" t="s">
        <v>169</v>
      </c>
      <c r="DD15" s="12" t="s">
        <v>169</v>
      </c>
      <c r="DE15" s="12" t="s">
        <v>169</v>
      </c>
      <c r="DF15" s="12" t="s">
        <v>169</v>
      </c>
      <c r="DG15" s="12" t="s">
        <v>169</v>
      </c>
      <c r="DH15" s="12" t="s">
        <v>169</v>
      </c>
      <c r="DI15" s="12" t="s">
        <v>169</v>
      </c>
      <c r="DJ15" s="12" t="s">
        <v>169</v>
      </c>
      <c r="DK15" s="12" t="s">
        <v>169</v>
      </c>
      <c r="DL15" s="12" t="s">
        <v>169</v>
      </c>
      <c r="DM15" s="12" t="s">
        <v>169</v>
      </c>
      <c r="DN15" s="12" t="s">
        <v>169</v>
      </c>
      <c r="DO15" s="12" t="s">
        <v>169</v>
      </c>
      <c r="DP15" s="12" t="s">
        <v>169</v>
      </c>
      <c r="DQ15" s="12" t="s">
        <v>169</v>
      </c>
      <c r="DR15" s="12" t="s">
        <v>169</v>
      </c>
      <c r="DS15" s="12" t="s">
        <v>169</v>
      </c>
      <c r="DT15" s="12" t="s">
        <v>169</v>
      </c>
      <c r="DU15" s="12" t="s">
        <v>169</v>
      </c>
    </row>
    <row r="16" spans="1:125" x14ac:dyDescent="0.25">
      <c r="A16" s="3" t="s">
        <v>13</v>
      </c>
      <c r="B16" s="3" t="s">
        <v>122</v>
      </c>
      <c r="C16" s="3" t="s">
        <v>67</v>
      </c>
      <c r="D16" s="7">
        <v>42865</v>
      </c>
      <c r="E16" s="8">
        <v>0.33333333333333331</v>
      </c>
      <c r="F16" s="10">
        <v>4.97</v>
      </c>
      <c r="G16" s="10">
        <v>0.21</v>
      </c>
      <c r="H16" s="12" t="s">
        <v>169</v>
      </c>
      <c r="I16" s="12" t="s">
        <v>169</v>
      </c>
      <c r="J16" s="12" t="s">
        <v>169</v>
      </c>
      <c r="K16" s="12" t="s">
        <v>169</v>
      </c>
      <c r="L16" s="12" t="s">
        <v>169</v>
      </c>
      <c r="M16" s="12" t="s">
        <v>169</v>
      </c>
      <c r="N16" s="13" t="s">
        <v>169</v>
      </c>
      <c r="O16" s="12" t="s">
        <v>169</v>
      </c>
      <c r="P16" s="12" t="s">
        <v>169</v>
      </c>
      <c r="Q16" s="13" t="s">
        <v>169</v>
      </c>
      <c r="R16" s="12" t="s">
        <v>169</v>
      </c>
      <c r="S16" s="12" t="s">
        <v>169</v>
      </c>
      <c r="T16" s="13" t="s">
        <v>169</v>
      </c>
      <c r="U16" s="12" t="s">
        <v>169</v>
      </c>
      <c r="V16" s="12" t="s">
        <v>169</v>
      </c>
      <c r="W16" s="12" t="s">
        <v>169</v>
      </c>
      <c r="X16" s="13" t="s">
        <v>169</v>
      </c>
      <c r="Y16" s="12" t="s">
        <v>169</v>
      </c>
      <c r="Z16" s="12" t="s">
        <v>169</v>
      </c>
      <c r="AA16" s="12" t="s">
        <v>169</v>
      </c>
      <c r="AB16" s="12" t="s">
        <v>169</v>
      </c>
      <c r="AC16" s="12" t="s">
        <v>169</v>
      </c>
      <c r="AD16" s="12" t="s">
        <v>169</v>
      </c>
      <c r="AE16" s="12" t="s">
        <v>169</v>
      </c>
      <c r="AF16" s="12" t="s">
        <v>169</v>
      </c>
      <c r="AG16" s="13" t="s">
        <v>169</v>
      </c>
      <c r="AH16" s="13" t="s">
        <v>169</v>
      </c>
      <c r="AI16" s="12" t="s">
        <v>169</v>
      </c>
      <c r="AJ16" s="12" t="s">
        <v>169</v>
      </c>
      <c r="AK16" s="12" t="s">
        <v>169</v>
      </c>
      <c r="AL16" s="13" t="s">
        <v>169</v>
      </c>
      <c r="AM16" s="13" t="s">
        <v>169</v>
      </c>
      <c r="AN16" s="12" t="s">
        <v>169</v>
      </c>
      <c r="AO16" s="12" t="s">
        <v>169</v>
      </c>
      <c r="AP16" s="12" t="s">
        <v>169</v>
      </c>
      <c r="AQ16" s="12" t="s">
        <v>169</v>
      </c>
      <c r="AR16" s="12" t="s">
        <v>169</v>
      </c>
      <c r="AS16" s="13" t="s">
        <v>169</v>
      </c>
      <c r="AT16" s="13" t="s">
        <v>169</v>
      </c>
      <c r="AU16" s="13" t="s">
        <v>169</v>
      </c>
      <c r="AV16" s="13" t="s">
        <v>169</v>
      </c>
      <c r="AW16" s="12" t="s">
        <v>169</v>
      </c>
      <c r="AX16" s="12" t="s">
        <v>169</v>
      </c>
      <c r="AY16" s="12" t="s">
        <v>169</v>
      </c>
      <c r="AZ16" s="12" t="s">
        <v>169</v>
      </c>
      <c r="BA16" s="12" t="s">
        <v>169</v>
      </c>
      <c r="BB16" s="12" t="s">
        <v>169</v>
      </c>
      <c r="BC16" s="12" t="s">
        <v>169</v>
      </c>
      <c r="BD16" s="12" t="s">
        <v>169</v>
      </c>
      <c r="BE16" s="13" t="s">
        <v>169</v>
      </c>
      <c r="BF16" s="13" t="s">
        <v>169</v>
      </c>
      <c r="BG16" s="12" t="s">
        <v>169</v>
      </c>
      <c r="BH16" s="12" t="s">
        <v>169</v>
      </c>
      <c r="BI16" s="13" t="s">
        <v>169</v>
      </c>
      <c r="BJ16" s="13" t="s">
        <v>169</v>
      </c>
      <c r="BK16" s="13" t="s">
        <v>169</v>
      </c>
      <c r="BL16" s="13" t="s">
        <v>169</v>
      </c>
      <c r="BM16" s="12" t="s">
        <v>169</v>
      </c>
      <c r="BN16" s="13" t="s">
        <v>169</v>
      </c>
      <c r="BO16" s="13" t="s">
        <v>169</v>
      </c>
      <c r="BP16" s="13" t="s">
        <v>169</v>
      </c>
      <c r="BQ16" s="13" t="s">
        <v>169</v>
      </c>
      <c r="BR16" s="12" t="s">
        <v>169</v>
      </c>
      <c r="BS16" s="13" t="s">
        <v>169</v>
      </c>
      <c r="BT16" s="13" t="s">
        <v>169</v>
      </c>
      <c r="BU16" s="12" t="s">
        <v>169</v>
      </c>
      <c r="BV16" s="12" t="s">
        <v>169</v>
      </c>
      <c r="BW16" s="12" t="s">
        <v>169</v>
      </c>
      <c r="BX16" s="12" t="s">
        <v>169</v>
      </c>
      <c r="BY16" s="12" t="s">
        <v>169</v>
      </c>
      <c r="BZ16" s="13" t="s">
        <v>169</v>
      </c>
      <c r="CA16" s="12" t="s">
        <v>169</v>
      </c>
      <c r="CB16" s="13" t="s">
        <v>169</v>
      </c>
      <c r="CC16" s="12" t="s">
        <v>169</v>
      </c>
      <c r="CD16" s="12" t="s">
        <v>169</v>
      </c>
      <c r="CE16" s="12" t="s">
        <v>169</v>
      </c>
      <c r="CF16" s="12" t="s">
        <v>169</v>
      </c>
      <c r="CG16" s="12">
        <v>1.8083655370881189</v>
      </c>
      <c r="CH16" s="12" t="s">
        <v>169</v>
      </c>
      <c r="CI16" s="13" t="s">
        <v>169</v>
      </c>
      <c r="CJ16" s="12" t="s">
        <v>169</v>
      </c>
      <c r="CK16" s="12" t="s">
        <v>169</v>
      </c>
      <c r="CL16" s="12" t="s">
        <v>169</v>
      </c>
      <c r="CM16" s="12" t="s">
        <v>169</v>
      </c>
      <c r="CN16" s="12" t="s">
        <v>169</v>
      </c>
      <c r="CO16" s="12" t="s">
        <v>169</v>
      </c>
      <c r="CP16" s="12" t="s">
        <v>169</v>
      </c>
      <c r="CQ16" s="12" t="s">
        <v>169</v>
      </c>
      <c r="CR16" s="12" t="s">
        <v>169</v>
      </c>
      <c r="CS16" s="12" t="s">
        <v>169</v>
      </c>
      <c r="CT16" s="12" t="s">
        <v>169</v>
      </c>
      <c r="CU16" s="13" t="s">
        <v>169</v>
      </c>
      <c r="CV16" s="12" t="s">
        <v>169</v>
      </c>
      <c r="CW16" s="13" t="s">
        <v>169</v>
      </c>
      <c r="CX16" s="12" t="s">
        <v>169</v>
      </c>
      <c r="CY16" s="13" t="s">
        <v>169</v>
      </c>
      <c r="CZ16" s="12" t="s">
        <v>169</v>
      </c>
      <c r="DA16" s="12" t="s">
        <v>169</v>
      </c>
      <c r="DB16" s="12" t="s">
        <v>169</v>
      </c>
      <c r="DC16" s="13" t="s">
        <v>169</v>
      </c>
      <c r="DD16" s="12" t="s">
        <v>169</v>
      </c>
      <c r="DE16" s="13" t="s">
        <v>169</v>
      </c>
      <c r="DF16" s="12" t="s">
        <v>169</v>
      </c>
      <c r="DG16" s="13" t="s">
        <v>169</v>
      </c>
      <c r="DH16" s="12" t="s">
        <v>169</v>
      </c>
      <c r="DI16" s="12" t="s">
        <v>169</v>
      </c>
      <c r="DJ16" s="12" t="s">
        <v>169</v>
      </c>
      <c r="DK16" s="12" t="s">
        <v>169</v>
      </c>
      <c r="DL16" s="13" t="s">
        <v>169</v>
      </c>
      <c r="DM16" s="13" t="s">
        <v>169</v>
      </c>
      <c r="DN16" s="12" t="s">
        <v>169</v>
      </c>
      <c r="DO16" s="13" t="s">
        <v>169</v>
      </c>
      <c r="DP16" s="13" t="s">
        <v>169</v>
      </c>
      <c r="DQ16" s="13" t="s">
        <v>169</v>
      </c>
      <c r="DR16" s="12" t="s">
        <v>169</v>
      </c>
      <c r="DS16" s="13" t="s">
        <v>169</v>
      </c>
      <c r="DT16" s="13" t="s">
        <v>169</v>
      </c>
      <c r="DU16" s="13" t="s">
        <v>169</v>
      </c>
    </row>
    <row r="17" spans="1:125" x14ac:dyDescent="0.25">
      <c r="A17" s="3" t="s">
        <v>14</v>
      </c>
      <c r="B17" s="3" t="s">
        <v>123</v>
      </c>
      <c r="C17" s="3" t="s">
        <v>68</v>
      </c>
      <c r="D17" s="7">
        <v>42866</v>
      </c>
      <c r="E17" s="8">
        <v>0.54166666666666663</v>
      </c>
      <c r="F17" s="10">
        <v>5.03</v>
      </c>
      <c r="G17" s="10">
        <v>0.5</v>
      </c>
      <c r="H17" s="12" t="s">
        <v>169</v>
      </c>
      <c r="I17" s="12" t="s">
        <v>169</v>
      </c>
      <c r="J17" s="12" t="s">
        <v>169</v>
      </c>
      <c r="K17" s="12" t="s">
        <v>169</v>
      </c>
      <c r="L17" s="12" t="s">
        <v>169</v>
      </c>
      <c r="M17" s="12" t="s">
        <v>169</v>
      </c>
      <c r="N17" s="13" t="s">
        <v>169</v>
      </c>
      <c r="O17" s="12" t="s">
        <v>169</v>
      </c>
      <c r="P17" s="12" t="s">
        <v>169</v>
      </c>
      <c r="Q17" s="13" t="s">
        <v>169</v>
      </c>
      <c r="R17" s="12" t="s">
        <v>169</v>
      </c>
      <c r="S17" s="12" t="s">
        <v>169</v>
      </c>
      <c r="T17" s="13" t="s">
        <v>169</v>
      </c>
      <c r="U17" s="12" t="s">
        <v>169</v>
      </c>
      <c r="V17" s="12" t="s">
        <v>169</v>
      </c>
      <c r="W17" s="12" t="s">
        <v>169</v>
      </c>
      <c r="X17" s="13" t="s">
        <v>169</v>
      </c>
      <c r="Y17" s="12" t="s">
        <v>169</v>
      </c>
      <c r="Z17" s="12" t="s">
        <v>169</v>
      </c>
      <c r="AA17" s="12" t="s">
        <v>169</v>
      </c>
      <c r="AB17" s="12" t="s">
        <v>169</v>
      </c>
      <c r="AC17" s="12" t="s">
        <v>169</v>
      </c>
      <c r="AD17" s="12" t="s">
        <v>169</v>
      </c>
      <c r="AE17" s="12" t="s">
        <v>169</v>
      </c>
      <c r="AF17" s="12" t="s">
        <v>169</v>
      </c>
      <c r="AG17" s="13" t="s">
        <v>169</v>
      </c>
      <c r="AH17" s="13" t="s">
        <v>169</v>
      </c>
      <c r="AI17" s="12" t="s">
        <v>169</v>
      </c>
      <c r="AJ17" s="12" t="s">
        <v>169</v>
      </c>
      <c r="AK17" s="12" t="s">
        <v>169</v>
      </c>
      <c r="AL17" s="13" t="s">
        <v>169</v>
      </c>
      <c r="AM17" s="13" t="s">
        <v>169</v>
      </c>
      <c r="AN17" s="12" t="s">
        <v>169</v>
      </c>
      <c r="AO17" s="12" t="s">
        <v>169</v>
      </c>
      <c r="AP17" s="12" t="s">
        <v>169</v>
      </c>
      <c r="AQ17" s="12" t="s">
        <v>169</v>
      </c>
      <c r="AR17" s="12" t="s">
        <v>169</v>
      </c>
      <c r="AS17" s="13" t="s">
        <v>169</v>
      </c>
      <c r="AT17" s="13" t="s">
        <v>169</v>
      </c>
      <c r="AU17" s="13" t="s">
        <v>169</v>
      </c>
      <c r="AV17" s="13" t="s">
        <v>169</v>
      </c>
      <c r="AW17" s="12" t="s">
        <v>169</v>
      </c>
      <c r="AX17" s="12" t="s">
        <v>169</v>
      </c>
      <c r="AY17" s="12" t="s">
        <v>169</v>
      </c>
      <c r="AZ17" s="12" t="s">
        <v>169</v>
      </c>
      <c r="BA17" s="12" t="s">
        <v>169</v>
      </c>
      <c r="BB17" s="12" t="s">
        <v>169</v>
      </c>
      <c r="BC17" s="12" t="s">
        <v>169</v>
      </c>
      <c r="BD17" s="12" t="s">
        <v>169</v>
      </c>
      <c r="BE17" s="13" t="s">
        <v>169</v>
      </c>
      <c r="BF17" s="13" t="s">
        <v>169</v>
      </c>
      <c r="BG17" s="12" t="s">
        <v>169</v>
      </c>
      <c r="BH17" s="12" t="s">
        <v>169</v>
      </c>
      <c r="BI17" s="13" t="s">
        <v>169</v>
      </c>
      <c r="BJ17" s="13" t="s">
        <v>169</v>
      </c>
      <c r="BK17" s="13" t="s">
        <v>169</v>
      </c>
      <c r="BL17" s="13" t="s">
        <v>169</v>
      </c>
      <c r="BM17" s="12" t="s">
        <v>169</v>
      </c>
      <c r="BN17" s="13" t="s">
        <v>169</v>
      </c>
      <c r="BO17" s="13" t="s">
        <v>169</v>
      </c>
      <c r="BP17" s="13" t="s">
        <v>169</v>
      </c>
      <c r="BQ17" s="13" t="s">
        <v>169</v>
      </c>
      <c r="BR17" s="12" t="s">
        <v>169</v>
      </c>
      <c r="BS17" s="13" t="s">
        <v>169</v>
      </c>
      <c r="BT17" s="13" t="s">
        <v>169</v>
      </c>
      <c r="BU17" s="12" t="s">
        <v>169</v>
      </c>
      <c r="BV17" s="12" t="s">
        <v>169</v>
      </c>
      <c r="BW17" s="12" t="s">
        <v>169</v>
      </c>
      <c r="BX17" s="12" t="s">
        <v>169</v>
      </c>
      <c r="BY17" s="12" t="s">
        <v>169</v>
      </c>
      <c r="BZ17" s="13" t="s">
        <v>169</v>
      </c>
      <c r="CA17" s="12" t="s">
        <v>169</v>
      </c>
      <c r="CB17" s="13" t="s">
        <v>169</v>
      </c>
      <c r="CC17" s="12" t="s">
        <v>169</v>
      </c>
      <c r="CD17" s="12" t="s">
        <v>169</v>
      </c>
      <c r="CE17" s="12">
        <v>1.4722667275153438</v>
      </c>
      <c r="CF17" s="12">
        <v>3.4929178195806956</v>
      </c>
      <c r="CG17" s="12">
        <v>6.674821762414374</v>
      </c>
      <c r="CH17" s="12" t="s">
        <v>169</v>
      </c>
      <c r="CI17" s="13" t="s">
        <v>169</v>
      </c>
      <c r="CJ17" s="12" t="s">
        <v>169</v>
      </c>
      <c r="CK17" s="12" t="s">
        <v>169</v>
      </c>
      <c r="CL17" s="12" t="s">
        <v>169</v>
      </c>
      <c r="CM17" s="12" t="s">
        <v>169</v>
      </c>
      <c r="CN17" s="12" t="s">
        <v>169</v>
      </c>
      <c r="CO17" s="12" t="s">
        <v>169</v>
      </c>
      <c r="CP17" s="12" t="s">
        <v>169</v>
      </c>
      <c r="CQ17" s="12" t="s">
        <v>169</v>
      </c>
      <c r="CR17" s="12" t="s">
        <v>169</v>
      </c>
      <c r="CS17" s="12" t="s">
        <v>169</v>
      </c>
      <c r="CT17" s="12" t="s">
        <v>169</v>
      </c>
      <c r="CU17" s="13" t="s">
        <v>169</v>
      </c>
      <c r="CV17" s="12" t="s">
        <v>169</v>
      </c>
      <c r="CW17" s="13" t="s">
        <v>169</v>
      </c>
      <c r="CX17" s="12" t="s">
        <v>169</v>
      </c>
      <c r="CY17" s="13" t="s">
        <v>169</v>
      </c>
      <c r="CZ17" s="12" t="s">
        <v>169</v>
      </c>
      <c r="DA17" s="12" t="s">
        <v>169</v>
      </c>
      <c r="DB17" s="12" t="s">
        <v>169</v>
      </c>
      <c r="DC17" s="13" t="s">
        <v>169</v>
      </c>
      <c r="DD17" s="12" t="s">
        <v>169</v>
      </c>
      <c r="DE17" s="13" t="s">
        <v>169</v>
      </c>
      <c r="DF17" s="12" t="s">
        <v>169</v>
      </c>
      <c r="DG17" s="13" t="s">
        <v>169</v>
      </c>
      <c r="DH17" s="12" t="s">
        <v>169</v>
      </c>
      <c r="DI17" s="12" t="s">
        <v>169</v>
      </c>
      <c r="DJ17" s="12" t="s">
        <v>169</v>
      </c>
      <c r="DK17" s="12" t="s">
        <v>169</v>
      </c>
      <c r="DL17" s="13" t="s">
        <v>169</v>
      </c>
      <c r="DM17" s="13" t="s">
        <v>169</v>
      </c>
      <c r="DN17" s="12" t="s">
        <v>169</v>
      </c>
      <c r="DO17" s="13" t="s">
        <v>169</v>
      </c>
      <c r="DP17" s="13" t="s">
        <v>169</v>
      </c>
      <c r="DQ17" s="13" t="s">
        <v>169</v>
      </c>
      <c r="DR17" s="12" t="s">
        <v>169</v>
      </c>
      <c r="DS17" s="13" t="s">
        <v>169</v>
      </c>
      <c r="DT17" s="13" t="s">
        <v>169</v>
      </c>
      <c r="DU17" s="13" t="s">
        <v>169</v>
      </c>
    </row>
    <row r="18" spans="1:125" x14ac:dyDescent="0.25">
      <c r="A18" s="3" t="s">
        <v>15</v>
      </c>
      <c r="B18" s="3" t="s">
        <v>124</v>
      </c>
      <c r="C18" s="3" t="s">
        <v>69</v>
      </c>
      <c r="D18" s="7">
        <v>42867</v>
      </c>
      <c r="E18" s="8">
        <v>0.375</v>
      </c>
      <c r="F18" s="10">
        <v>5.2</v>
      </c>
      <c r="G18" s="10">
        <v>0.11</v>
      </c>
      <c r="H18" s="12" t="s">
        <v>169</v>
      </c>
      <c r="I18" s="12" t="s">
        <v>169</v>
      </c>
      <c r="J18" s="12" t="s">
        <v>169</v>
      </c>
      <c r="K18" s="12" t="s">
        <v>169</v>
      </c>
      <c r="L18" s="12" t="s">
        <v>169</v>
      </c>
      <c r="M18" s="12" t="s">
        <v>169</v>
      </c>
      <c r="N18" s="12" t="s">
        <v>169</v>
      </c>
      <c r="O18" s="12" t="s">
        <v>169</v>
      </c>
      <c r="P18" s="12" t="s">
        <v>169</v>
      </c>
      <c r="Q18" s="12" t="s">
        <v>169</v>
      </c>
      <c r="R18" s="12" t="s">
        <v>169</v>
      </c>
      <c r="S18" s="12" t="s">
        <v>169</v>
      </c>
      <c r="T18" s="12" t="s">
        <v>169</v>
      </c>
      <c r="U18" s="12" t="s">
        <v>169</v>
      </c>
      <c r="V18" s="12" t="s">
        <v>169</v>
      </c>
      <c r="W18" s="12" t="s">
        <v>169</v>
      </c>
      <c r="X18" s="12" t="s">
        <v>169</v>
      </c>
      <c r="Y18" s="12" t="s">
        <v>169</v>
      </c>
      <c r="Z18" s="12" t="s">
        <v>169</v>
      </c>
      <c r="AA18" s="12" t="s">
        <v>169</v>
      </c>
      <c r="AB18" s="12" t="s">
        <v>169</v>
      </c>
      <c r="AC18" s="12" t="s">
        <v>169</v>
      </c>
      <c r="AD18" s="12" t="s">
        <v>169</v>
      </c>
      <c r="AE18" s="12" t="s">
        <v>169</v>
      </c>
      <c r="AF18" s="12" t="s">
        <v>169</v>
      </c>
      <c r="AG18" s="12" t="s">
        <v>169</v>
      </c>
      <c r="AH18" s="12" t="s">
        <v>169</v>
      </c>
      <c r="AI18" s="12" t="s">
        <v>169</v>
      </c>
      <c r="AJ18" s="12" t="s">
        <v>169</v>
      </c>
      <c r="AK18" s="12" t="s">
        <v>169</v>
      </c>
      <c r="AL18" s="12" t="s">
        <v>169</v>
      </c>
      <c r="AM18" s="12" t="s">
        <v>169</v>
      </c>
      <c r="AN18" s="12" t="s">
        <v>169</v>
      </c>
      <c r="AO18" s="12" t="s">
        <v>169</v>
      </c>
      <c r="AP18" s="12" t="s">
        <v>169</v>
      </c>
      <c r="AQ18" s="12" t="s">
        <v>169</v>
      </c>
      <c r="AR18" s="12" t="s">
        <v>169</v>
      </c>
      <c r="AS18" s="12" t="s">
        <v>169</v>
      </c>
      <c r="AT18" s="12" t="s">
        <v>169</v>
      </c>
      <c r="AU18" s="12" t="s">
        <v>169</v>
      </c>
      <c r="AV18" s="12" t="s">
        <v>169</v>
      </c>
      <c r="AW18" s="12" t="s">
        <v>169</v>
      </c>
      <c r="AX18" s="12" t="s">
        <v>169</v>
      </c>
      <c r="AY18" s="12" t="s">
        <v>169</v>
      </c>
      <c r="AZ18" s="12" t="s">
        <v>169</v>
      </c>
      <c r="BA18" s="12" t="s">
        <v>169</v>
      </c>
      <c r="BB18" s="12" t="s">
        <v>169</v>
      </c>
      <c r="BC18" s="12" t="s">
        <v>169</v>
      </c>
      <c r="BD18" s="12" t="s">
        <v>169</v>
      </c>
      <c r="BE18" s="12" t="s">
        <v>169</v>
      </c>
      <c r="BF18" s="12" t="s">
        <v>169</v>
      </c>
      <c r="BG18" s="12" t="s">
        <v>169</v>
      </c>
      <c r="BH18" s="12" t="s">
        <v>169</v>
      </c>
      <c r="BI18" s="12" t="s">
        <v>169</v>
      </c>
      <c r="BJ18" s="12" t="s">
        <v>169</v>
      </c>
      <c r="BK18" s="12" t="s">
        <v>169</v>
      </c>
      <c r="BL18" s="12" t="s">
        <v>169</v>
      </c>
      <c r="BM18" s="12" t="s">
        <v>169</v>
      </c>
      <c r="BN18" s="12" t="s">
        <v>169</v>
      </c>
      <c r="BO18" s="12" t="s">
        <v>169</v>
      </c>
      <c r="BP18" s="12" t="s">
        <v>169</v>
      </c>
      <c r="BQ18" s="12" t="s">
        <v>169</v>
      </c>
      <c r="BR18" s="12" t="s">
        <v>169</v>
      </c>
      <c r="BS18" s="12" t="s">
        <v>169</v>
      </c>
      <c r="BT18" s="12" t="s">
        <v>169</v>
      </c>
      <c r="BU18" s="12" t="s">
        <v>169</v>
      </c>
      <c r="BV18" s="12" t="s">
        <v>169</v>
      </c>
      <c r="BW18" s="12" t="s">
        <v>169</v>
      </c>
      <c r="BX18" s="12" t="s">
        <v>169</v>
      </c>
      <c r="BY18" s="12" t="s">
        <v>169</v>
      </c>
      <c r="BZ18" s="12" t="s">
        <v>169</v>
      </c>
      <c r="CA18" s="12" t="s">
        <v>169</v>
      </c>
      <c r="CB18" s="12" t="s">
        <v>169</v>
      </c>
      <c r="CC18" s="12" t="s">
        <v>169</v>
      </c>
      <c r="CD18" s="12" t="s">
        <v>169</v>
      </c>
      <c r="CE18" s="12" t="s">
        <v>169</v>
      </c>
      <c r="CF18" s="12" t="s">
        <v>169</v>
      </c>
      <c r="CG18" s="12" t="s">
        <v>169</v>
      </c>
      <c r="CH18" s="12" t="s">
        <v>169</v>
      </c>
      <c r="CI18" s="12" t="s">
        <v>169</v>
      </c>
      <c r="CJ18" s="12" t="s">
        <v>169</v>
      </c>
      <c r="CK18" s="12" t="s">
        <v>169</v>
      </c>
      <c r="CL18" s="12" t="s">
        <v>169</v>
      </c>
      <c r="CM18" s="12" t="s">
        <v>169</v>
      </c>
      <c r="CN18" s="12" t="s">
        <v>169</v>
      </c>
      <c r="CO18" s="12" t="s">
        <v>169</v>
      </c>
      <c r="CP18" s="12" t="s">
        <v>169</v>
      </c>
      <c r="CQ18" s="12" t="s">
        <v>169</v>
      </c>
      <c r="CR18" s="12" t="s">
        <v>169</v>
      </c>
      <c r="CS18" s="12" t="s">
        <v>169</v>
      </c>
      <c r="CT18" s="12" t="s">
        <v>169</v>
      </c>
      <c r="CU18" s="12" t="s">
        <v>169</v>
      </c>
      <c r="CV18" s="12" t="s">
        <v>169</v>
      </c>
      <c r="CW18" s="12" t="s">
        <v>169</v>
      </c>
      <c r="CX18" s="12" t="s">
        <v>169</v>
      </c>
      <c r="CY18" s="12" t="s">
        <v>169</v>
      </c>
      <c r="CZ18" s="12" t="s">
        <v>169</v>
      </c>
      <c r="DA18" s="12" t="s">
        <v>169</v>
      </c>
      <c r="DB18" s="12" t="s">
        <v>169</v>
      </c>
      <c r="DC18" s="12" t="s">
        <v>169</v>
      </c>
      <c r="DD18" s="12" t="s">
        <v>169</v>
      </c>
      <c r="DE18" s="12" t="s">
        <v>169</v>
      </c>
      <c r="DF18" s="12" t="s">
        <v>169</v>
      </c>
      <c r="DG18" s="12" t="s">
        <v>169</v>
      </c>
      <c r="DH18" s="12" t="s">
        <v>169</v>
      </c>
      <c r="DI18" s="12" t="s">
        <v>169</v>
      </c>
      <c r="DJ18" s="12" t="s">
        <v>169</v>
      </c>
      <c r="DK18" s="12" t="s">
        <v>169</v>
      </c>
      <c r="DL18" s="12" t="s">
        <v>169</v>
      </c>
      <c r="DM18" s="12" t="s">
        <v>169</v>
      </c>
      <c r="DN18" s="12" t="s">
        <v>169</v>
      </c>
      <c r="DO18" s="12" t="s">
        <v>169</v>
      </c>
      <c r="DP18" s="12" t="s">
        <v>169</v>
      </c>
      <c r="DQ18" s="12" t="s">
        <v>169</v>
      </c>
      <c r="DR18" s="12" t="s">
        <v>169</v>
      </c>
      <c r="DS18" s="12" t="s">
        <v>169</v>
      </c>
      <c r="DT18" s="12" t="s">
        <v>169</v>
      </c>
      <c r="DU18" s="12" t="s">
        <v>169</v>
      </c>
    </row>
    <row r="19" spans="1:125" x14ac:dyDescent="0.25">
      <c r="A19" s="3" t="s">
        <v>16</v>
      </c>
      <c r="B19" s="3" t="s">
        <v>125</v>
      </c>
      <c r="C19" s="3" t="s">
        <v>70</v>
      </c>
      <c r="D19" s="7">
        <v>42867</v>
      </c>
      <c r="E19" s="8">
        <v>0.58333333333333337</v>
      </c>
      <c r="F19" s="10">
        <v>5.21</v>
      </c>
      <c r="G19" s="10">
        <v>0.87</v>
      </c>
      <c r="H19" s="12" t="s">
        <v>169</v>
      </c>
      <c r="I19" s="12" t="s">
        <v>169</v>
      </c>
      <c r="J19" s="12" t="s">
        <v>169</v>
      </c>
      <c r="K19" s="12" t="s">
        <v>169</v>
      </c>
      <c r="L19" s="12" t="s">
        <v>169</v>
      </c>
      <c r="M19" s="12" t="s">
        <v>169</v>
      </c>
      <c r="N19" s="12" t="s">
        <v>169</v>
      </c>
      <c r="O19" s="12" t="s">
        <v>169</v>
      </c>
      <c r="P19" s="12">
        <v>1.3205374280230326</v>
      </c>
      <c r="Q19" s="12" t="s">
        <v>169</v>
      </c>
      <c r="R19" s="12" t="s">
        <v>169</v>
      </c>
      <c r="S19" s="12" t="s">
        <v>169</v>
      </c>
      <c r="T19" s="12" t="s">
        <v>169</v>
      </c>
      <c r="U19" s="12" t="s">
        <v>169</v>
      </c>
      <c r="V19" s="12" t="s">
        <v>169</v>
      </c>
      <c r="W19" s="12" t="s">
        <v>169</v>
      </c>
      <c r="X19" s="12" t="s">
        <v>169</v>
      </c>
      <c r="Y19" s="12" t="s">
        <v>169</v>
      </c>
      <c r="Z19" s="12" t="s">
        <v>169</v>
      </c>
      <c r="AA19" s="12" t="s">
        <v>169</v>
      </c>
      <c r="AB19" s="12" t="s">
        <v>169</v>
      </c>
      <c r="AC19" s="12" t="s">
        <v>169</v>
      </c>
      <c r="AD19" s="12" t="s">
        <v>169</v>
      </c>
      <c r="AE19" s="12" t="s">
        <v>169</v>
      </c>
      <c r="AF19" s="12" t="s">
        <v>169</v>
      </c>
      <c r="AG19" s="12" t="s">
        <v>169</v>
      </c>
      <c r="AH19" s="12" t="s">
        <v>169</v>
      </c>
      <c r="AI19" s="12" t="s">
        <v>169</v>
      </c>
      <c r="AJ19" s="12" t="s">
        <v>169</v>
      </c>
      <c r="AK19" s="12" t="s">
        <v>169</v>
      </c>
      <c r="AL19" s="12" t="s">
        <v>169</v>
      </c>
      <c r="AM19" s="12" t="s">
        <v>169</v>
      </c>
      <c r="AN19" s="12">
        <v>3.9474639047826106</v>
      </c>
      <c r="AO19" s="12" t="s">
        <v>169</v>
      </c>
      <c r="AP19" s="12" t="s">
        <v>169</v>
      </c>
      <c r="AQ19" s="12" t="s">
        <v>169</v>
      </c>
      <c r="AR19" s="12" t="s">
        <v>169</v>
      </c>
      <c r="AS19" s="12" t="s">
        <v>169</v>
      </c>
      <c r="AT19" s="12" t="s">
        <v>169</v>
      </c>
      <c r="AU19" s="12" t="s">
        <v>169</v>
      </c>
      <c r="AV19" s="12" t="s">
        <v>169</v>
      </c>
      <c r="AW19" s="12" t="s">
        <v>169</v>
      </c>
      <c r="AX19" s="12" t="s">
        <v>169</v>
      </c>
      <c r="AY19" s="12" t="s">
        <v>169</v>
      </c>
      <c r="AZ19" s="12" t="s">
        <v>169</v>
      </c>
      <c r="BA19" s="12" t="s">
        <v>169</v>
      </c>
      <c r="BB19" s="12" t="s">
        <v>169</v>
      </c>
      <c r="BC19" s="12" t="s">
        <v>169</v>
      </c>
      <c r="BD19" s="12" t="s">
        <v>169</v>
      </c>
      <c r="BE19" s="12" t="s">
        <v>169</v>
      </c>
      <c r="BF19" s="12" t="s">
        <v>169</v>
      </c>
      <c r="BG19" s="12" t="s">
        <v>169</v>
      </c>
      <c r="BH19" s="12" t="s">
        <v>169</v>
      </c>
      <c r="BI19" s="12" t="s">
        <v>169</v>
      </c>
      <c r="BJ19" s="12" t="s">
        <v>169</v>
      </c>
      <c r="BK19" s="12" t="s">
        <v>169</v>
      </c>
      <c r="BL19" s="12" t="s">
        <v>169</v>
      </c>
      <c r="BM19" s="12" t="s">
        <v>169</v>
      </c>
      <c r="BN19" s="12" t="s">
        <v>169</v>
      </c>
      <c r="BO19" s="12" t="s">
        <v>169</v>
      </c>
      <c r="BP19" s="12" t="s">
        <v>169</v>
      </c>
      <c r="BQ19" s="12" t="s">
        <v>169</v>
      </c>
      <c r="BR19" s="12" t="s">
        <v>169</v>
      </c>
      <c r="BS19" s="12" t="s">
        <v>169</v>
      </c>
      <c r="BT19" s="12" t="s">
        <v>169</v>
      </c>
      <c r="BU19" s="12" t="s">
        <v>169</v>
      </c>
      <c r="BV19" s="12" t="s">
        <v>169</v>
      </c>
      <c r="BW19" s="12" t="s">
        <v>169</v>
      </c>
      <c r="BX19" s="12" t="s">
        <v>169</v>
      </c>
      <c r="BY19" s="12" t="s">
        <v>169</v>
      </c>
      <c r="BZ19" s="12" t="s">
        <v>169</v>
      </c>
      <c r="CA19" s="12" t="s">
        <v>169</v>
      </c>
      <c r="CB19" s="12" t="s">
        <v>169</v>
      </c>
      <c r="CC19" s="12">
        <v>1.5591298847158426</v>
      </c>
      <c r="CD19" s="12" t="s">
        <v>169</v>
      </c>
      <c r="CE19" s="12" t="s">
        <v>169</v>
      </c>
      <c r="CF19" s="12" t="s">
        <v>169</v>
      </c>
      <c r="CG19" s="12" t="s">
        <v>169</v>
      </c>
      <c r="CH19" s="12" t="s">
        <v>169</v>
      </c>
      <c r="CI19" s="12" t="s">
        <v>169</v>
      </c>
      <c r="CJ19" s="12" t="s">
        <v>169</v>
      </c>
      <c r="CK19" s="12">
        <v>13.04914601801835</v>
      </c>
      <c r="CL19" s="12" t="s">
        <v>169</v>
      </c>
      <c r="CM19" s="12" t="s">
        <v>169</v>
      </c>
      <c r="CN19" s="12" t="s">
        <v>169</v>
      </c>
      <c r="CO19" s="12" t="s">
        <v>169</v>
      </c>
      <c r="CP19" s="12" t="s">
        <v>169</v>
      </c>
      <c r="CQ19" s="12" t="s">
        <v>169</v>
      </c>
      <c r="CR19" s="12" t="s">
        <v>169</v>
      </c>
      <c r="CS19" s="12" t="s">
        <v>169</v>
      </c>
      <c r="CT19" s="12" t="s">
        <v>169</v>
      </c>
      <c r="CU19" s="12" t="s">
        <v>169</v>
      </c>
      <c r="CV19" s="12" t="s">
        <v>169</v>
      </c>
      <c r="CW19" s="12" t="s">
        <v>169</v>
      </c>
      <c r="CX19" s="12" t="s">
        <v>169</v>
      </c>
      <c r="CY19" s="12" t="s">
        <v>169</v>
      </c>
      <c r="CZ19" s="12" t="s">
        <v>169</v>
      </c>
      <c r="DA19" s="12" t="s">
        <v>169</v>
      </c>
      <c r="DB19" s="12" t="s">
        <v>169</v>
      </c>
      <c r="DC19" s="12" t="s">
        <v>169</v>
      </c>
      <c r="DD19" s="12" t="s">
        <v>169</v>
      </c>
      <c r="DE19" s="12" t="s">
        <v>169</v>
      </c>
      <c r="DF19" s="12" t="s">
        <v>169</v>
      </c>
      <c r="DG19" s="12" t="s">
        <v>169</v>
      </c>
      <c r="DH19" s="12" t="s">
        <v>169</v>
      </c>
      <c r="DI19" s="12" t="s">
        <v>169</v>
      </c>
      <c r="DJ19" s="12" t="s">
        <v>169</v>
      </c>
      <c r="DK19" s="12" t="s">
        <v>169</v>
      </c>
      <c r="DL19" s="12" t="s">
        <v>169</v>
      </c>
      <c r="DM19" s="12" t="s">
        <v>169</v>
      </c>
      <c r="DN19" s="12" t="s">
        <v>169</v>
      </c>
      <c r="DO19" s="12" t="s">
        <v>169</v>
      </c>
      <c r="DP19" s="12" t="s">
        <v>169</v>
      </c>
      <c r="DQ19" s="12" t="s">
        <v>169</v>
      </c>
      <c r="DR19" s="12" t="s">
        <v>169</v>
      </c>
      <c r="DS19" s="12" t="s">
        <v>169</v>
      </c>
      <c r="DT19" s="12" t="s">
        <v>169</v>
      </c>
      <c r="DU19" s="12" t="s">
        <v>169</v>
      </c>
    </row>
    <row r="20" spans="1:125" x14ac:dyDescent="0.25">
      <c r="A20" s="3" t="s">
        <v>17</v>
      </c>
      <c r="B20" s="3" t="s">
        <v>126</v>
      </c>
      <c r="C20" s="3" t="s">
        <v>71</v>
      </c>
      <c r="D20" s="7">
        <v>42871</v>
      </c>
      <c r="E20" s="8">
        <v>0.41666666666666669</v>
      </c>
      <c r="F20" s="10">
        <v>4.9950000000000001</v>
      </c>
      <c r="G20" s="10">
        <v>0.62</v>
      </c>
      <c r="H20" s="12" t="s">
        <v>169</v>
      </c>
      <c r="I20" s="12" t="s">
        <v>169</v>
      </c>
      <c r="J20" s="12" t="s">
        <v>169</v>
      </c>
      <c r="K20" s="12" t="s">
        <v>169</v>
      </c>
      <c r="L20" s="12" t="s">
        <v>169</v>
      </c>
      <c r="M20" s="12" t="s">
        <v>169</v>
      </c>
      <c r="N20" s="12" t="s">
        <v>169</v>
      </c>
      <c r="O20" s="12" t="s">
        <v>169</v>
      </c>
      <c r="P20" s="12">
        <v>0.69269269269269262</v>
      </c>
      <c r="Q20" s="12" t="s">
        <v>169</v>
      </c>
      <c r="R20" s="12" t="s">
        <v>169</v>
      </c>
      <c r="S20" s="12" t="s">
        <v>169</v>
      </c>
      <c r="T20" s="12" t="s">
        <v>169</v>
      </c>
      <c r="U20" s="12" t="s">
        <v>169</v>
      </c>
      <c r="V20" s="12" t="s">
        <v>169</v>
      </c>
      <c r="W20" s="12" t="s">
        <v>169</v>
      </c>
      <c r="X20" s="12" t="s">
        <v>169</v>
      </c>
      <c r="Y20" s="12" t="s">
        <v>169</v>
      </c>
      <c r="Z20" s="12" t="s">
        <v>169</v>
      </c>
      <c r="AA20" s="12" t="s">
        <v>169</v>
      </c>
      <c r="AB20" s="12" t="s">
        <v>169</v>
      </c>
      <c r="AC20" s="12" t="s">
        <v>169</v>
      </c>
      <c r="AD20" s="12" t="s">
        <v>169</v>
      </c>
      <c r="AE20" s="12" t="s">
        <v>169</v>
      </c>
      <c r="AF20" s="12" t="s">
        <v>169</v>
      </c>
      <c r="AG20" s="12" t="s">
        <v>169</v>
      </c>
      <c r="AH20" s="12" t="s">
        <v>169</v>
      </c>
      <c r="AI20" s="12" t="s">
        <v>169</v>
      </c>
      <c r="AJ20" s="12" t="s">
        <v>169</v>
      </c>
      <c r="AK20" s="12" t="s">
        <v>169</v>
      </c>
      <c r="AL20" s="12" t="s">
        <v>169</v>
      </c>
      <c r="AM20" s="12" t="s">
        <v>169</v>
      </c>
      <c r="AN20" s="12" t="s">
        <v>169</v>
      </c>
      <c r="AO20" s="12" t="s">
        <v>169</v>
      </c>
      <c r="AP20" s="12" t="s">
        <v>169</v>
      </c>
      <c r="AQ20" s="12" t="s">
        <v>169</v>
      </c>
      <c r="AR20" s="12" t="s">
        <v>169</v>
      </c>
      <c r="AS20" s="12" t="s">
        <v>169</v>
      </c>
      <c r="AT20" s="12" t="s">
        <v>169</v>
      </c>
      <c r="AU20" s="12" t="s">
        <v>169</v>
      </c>
      <c r="AV20" s="12" t="s">
        <v>169</v>
      </c>
      <c r="AW20" s="12" t="s">
        <v>169</v>
      </c>
      <c r="AX20" s="12" t="s">
        <v>169</v>
      </c>
      <c r="AY20" s="12" t="s">
        <v>169</v>
      </c>
      <c r="AZ20" s="12" t="s">
        <v>169</v>
      </c>
      <c r="BA20" s="12" t="s">
        <v>169</v>
      </c>
      <c r="BB20" s="12" t="s">
        <v>169</v>
      </c>
      <c r="BC20" s="12" t="s">
        <v>169</v>
      </c>
      <c r="BD20" s="12" t="s">
        <v>169</v>
      </c>
      <c r="BE20" s="12" t="s">
        <v>169</v>
      </c>
      <c r="BF20" s="12" t="s">
        <v>169</v>
      </c>
      <c r="BG20" s="12" t="s">
        <v>169</v>
      </c>
      <c r="BH20" s="12" t="s">
        <v>169</v>
      </c>
      <c r="BI20" s="12" t="s">
        <v>169</v>
      </c>
      <c r="BJ20" s="12" t="s">
        <v>169</v>
      </c>
      <c r="BK20" s="12" t="s">
        <v>169</v>
      </c>
      <c r="BL20" s="12" t="s">
        <v>169</v>
      </c>
      <c r="BM20" s="12" t="s">
        <v>169</v>
      </c>
      <c r="BN20" s="12" t="s">
        <v>169</v>
      </c>
      <c r="BO20" s="12" t="s">
        <v>169</v>
      </c>
      <c r="BP20" s="12" t="s">
        <v>169</v>
      </c>
      <c r="BQ20" s="12" t="s">
        <v>169</v>
      </c>
      <c r="BR20" s="12" t="s">
        <v>169</v>
      </c>
      <c r="BS20" s="12" t="s">
        <v>169</v>
      </c>
      <c r="BT20" s="12" t="s">
        <v>169</v>
      </c>
      <c r="BU20" s="12" t="s">
        <v>169</v>
      </c>
      <c r="BV20" s="12" t="s">
        <v>169</v>
      </c>
      <c r="BW20" s="12" t="s">
        <v>169</v>
      </c>
      <c r="BX20" s="12" t="s">
        <v>169</v>
      </c>
      <c r="BY20" s="12" t="s">
        <v>169</v>
      </c>
      <c r="BZ20" s="12" t="s">
        <v>169</v>
      </c>
      <c r="CA20" s="12" t="s">
        <v>169</v>
      </c>
      <c r="CB20" s="12" t="s">
        <v>169</v>
      </c>
      <c r="CC20" s="12" t="s">
        <v>169</v>
      </c>
      <c r="CD20" s="12" t="s">
        <v>169</v>
      </c>
      <c r="CE20" s="12" t="s">
        <v>169</v>
      </c>
      <c r="CF20" s="12">
        <v>0.95315166336647039</v>
      </c>
      <c r="CG20" s="12">
        <v>1.3798820360815653</v>
      </c>
      <c r="CH20" s="12" t="s">
        <v>169</v>
      </c>
      <c r="CI20" s="12" t="s">
        <v>169</v>
      </c>
      <c r="CJ20" s="12" t="s">
        <v>169</v>
      </c>
      <c r="CK20" s="12" t="s">
        <v>169</v>
      </c>
      <c r="CL20" s="12" t="s">
        <v>169</v>
      </c>
      <c r="CM20" s="12" t="s">
        <v>169</v>
      </c>
      <c r="CN20" s="12" t="s">
        <v>169</v>
      </c>
      <c r="CO20" s="12" t="s">
        <v>169</v>
      </c>
      <c r="CP20" s="12" t="s">
        <v>169</v>
      </c>
      <c r="CQ20" s="12" t="s">
        <v>169</v>
      </c>
      <c r="CR20" s="12" t="s">
        <v>169</v>
      </c>
      <c r="CS20" s="12" t="s">
        <v>169</v>
      </c>
      <c r="CT20" s="12" t="s">
        <v>169</v>
      </c>
      <c r="CU20" s="12" t="s">
        <v>169</v>
      </c>
      <c r="CV20" s="12" t="s">
        <v>169</v>
      </c>
      <c r="CW20" s="12" t="s">
        <v>169</v>
      </c>
      <c r="CX20" s="12" t="s">
        <v>169</v>
      </c>
      <c r="CY20" s="12" t="s">
        <v>169</v>
      </c>
      <c r="CZ20" s="12" t="s">
        <v>169</v>
      </c>
      <c r="DA20" s="12" t="s">
        <v>169</v>
      </c>
      <c r="DB20" s="12" t="s">
        <v>169</v>
      </c>
      <c r="DC20" s="12" t="s">
        <v>169</v>
      </c>
      <c r="DD20" s="12" t="s">
        <v>169</v>
      </c>
      <c r="DE20" s="12" t="s">
        <v>169</v>
      </c>
      <c r="DF20" s="12" t="s">
        <v>169</v>
      </c>
      <c r="DG20" s="12" t="s">
        <v>169</v>
      </c>
      <c r="DH20" s="12" t="s">
        <v>169</v>
      </c>
      <c r="DI20" s="12" t="s">
        <v>169</v>
      </c>
      <c r="DJ20" s="12" t="s">
        <v>169</v>
      </c>
      <c r="DK20" s="12" t="s">
        <v>169</v>
      </c>
      <c r="DL20" s="12" t="s">
        <v>169</v>
      </c>
      <c r="DM20" s="12" t="s">
        <v>169</v>
      </c>
      <c r="DN20" s="12" t="s">
        <v>169</v>
      </c>
      <c r="DO20" s="12" t="s">
        <v>169</v>
      </c>
      <c r="DP20" s="12" t="s">
        <v>169</v>
      </c>
      <c r="DQ20" s="12" t="s">
        <v>169</v>
      </c>
      <c r="DR20" s="12" t="s">
        <v>169</v>
      </c>
      <c r="DS20" s="12" t="s">
        <v>169</v>
      </c>
      <c r="DT20" s="12" t="s">
        <v>169</v>
      </c>
      <c r="DU20" s="12" t="s">
        <v>169</v>
      </c>
    </row>
    <row r="21" spans="1:125" x14ac:dyDescent="0.25">
      <c r="A21" s="3" t="s">
        <v>18</v>
      </c>
      <c r="B21" s="3" t="s">
        <v>127</v>
      </c>
      <c r="C21" s="3" t="s">
        <v>72</v>
      </c>
      <c r="D21" s="7">
        <v>42871</v>
      </c>
      <c r="E21" s="8">
        <v>0.58333333333333337</v>
      </c>
      <c r="F21" s="10">
        <v>5</v>
      </c>
      <c r="G21" s="10">
        <v>0.26</v>
      </c>
      <c r="H21" s="12" t="s">
        <v>169</v>
      </c>
      <c r="I21" s="12" t="s">
        <v>169</v>
      </c>
      <c r="J21" s="12" t="s">
        <v>169</v>
      </c>
      <c r="K21" s="12" t="s">
        <v>169</v>
      </c>
      <c r="L21" s="12" t="s">
        <v>169</v>
      </c>
      <c r="M21" s="12" t="s">
        <v>169</v>
      </c>
      <c r="N21" s="12" t="s">
        <v>169</v>
      </c>
      <c r="O21" s="12" t="s">
        <v>169</v>
      </c>
      <c r="P21" s="12" t="s">
        <v>169</v>
      </c>
      <c r="Q21" s="12" t="s">
        <v>169</v>
      </c>
      <c r="R21" s="12" t="s">
        <v>169</v>
      </c>
      <c r="S21" s="12" t="s">
        <v>169</v>
      </c>
      <c r="T21" s="12" t="s">
        <v>169</v>
      </c>
      <c r="U21" s="12" t="s">
        <v>169</v>
      </c>
      <c r="V21" s="12" t="s">
        <v>169</v>
      </c>
      <c r="W21" s="12" t="s">
        <v>169</v>
      </c>
      <c r="X21" s="12" t="s">
        <v>169</v>
      </c>
      <c r="Y21" s="12" t="s">
        <v>169</v>
      </c>
      <c r="Z21" s="12" t="s">
        <v>169</v>
      </c>
      <c r="AA21" s="12" t="s">
        <v>169</v>
      </c>
      <c r="AB21" s="12" t="s">
        <v>169</v>
      </c>
      <c r="AC21" s="12" t="s">
        <v>169</v>
      </c>
      <c r="AD21" s="12" t="s">
        <v>169</v>
      </c>
      <c r="AE21" s="12" t="s">
        <v>169</v>
      </c>
      <c r="AF21" s="12" t="s">
        <v>169</v>
      </c>
      <c r="AG21" s="12" t="s">
        <v>169</v>
      </c>
      <c r="AH21" s="12" t="s">
        <v>169</v>
      </c>
      <c r="AI21" s="12" t="s">
        <v>169</v>
      </c>
      <c r="AJ21" s="12" t="s">
        <v>169</v>
      </c>
      <c r="AK21" s="12" t="s">
        <v>169</v>
      </c>
      <c r="AL21" s="12" t="s">
        <v>169</v>
      </c>
      <c r="AM21" s="12" t="s">
        <v>169</v>
      </c>
      <c r="AN21" s="12" t="s">
        <v>169</v>
      </c>
      <c r="AO21" s="12" t="s">
        <v>169</v>
      </c>
      <c r="AP21" s="12" t="s">
        <v>169</v>
      </c>
      <c r="AQ21" s="12" t="s">
        <v>169</v>
      </c>
      <c r="AR21" s="12" t="s">
        <v>169</v>
      </c>
      <c r="AS21" s="12" t="s">
        <v>169</v>
      </c>
      <c r="AT21" s="12" t="s">
        <v>169</v>
      </c>
      <c r="AU21" s="12" t="s">
        <v>169</v>
      </c>
      <c r="AV21" s="12" t="s">
        <v>169</v>
      </c>
      <c r="AW21" s="12" t="s">
        <v>169</v>
      </c>
      <c r="AX21" s="12" t="s">
        <v>169</v>
      </c>
      <c r="AY21" s="12" t="s">
        <v>169</v>
      </c>
      <c r="AZ21" s="12" t="s">
        <v>169</v>
      </c>
      <c r="BA21" s="12" t="s">
        <v>169</v>
      </c>
      <c r="BB21" s="12" t="s">
        <v>169</v>
      </c>
      <c r="BC21" s="12" t="s">
        <v>169</v>
      </c>
      <c r="BD21" s="12" t="s">
        <v>169</v>
      </c>
      <c r="BE21" s="12" t="s">
        <v>169</v>
      </c>
      <c r="BF21" s="12" t="s">
        <v>169</v>
      </c>
      <c r="BG21" s="12" t="s">
        <v>169</v>
      </c>
      <c r="BH21" s="12" t="s">
        <v>169</v>
      </c>
      <c r="BI21" s="12" t="s">
        <v>169</v>
      </c>
      <c r="BJ21" s="12" t="s">
        <v>169</v>
      </c>
      <c r="BK21" s="12" t="s">
        <v>169</v>
      </c>
      <c r="BL21" s="12" t="s">
        <v>169</v>
      </c>
      <c r="BM21" s="12" t="s">
        <v>169</v>
      </c>
      <c r="BN21" s="12" t="s">
        <v>169</v>
      </c>
      <c r="BO21" s="12" t="s">
        <v>169</v>
      </c>
      <c r="BP21" s="12" t="s">
        <v>169</v>
      </c>
      <c r="BQ21" s="12" t="s">
        <v>169</v>
      </c>
      <c r="BR21" s="12" t="s">
        <v>169</v>
      </c>
      <c r="BS21" s="12" t="s">
        <v>169</v>
      </c>
      <c r="BT21" s="12" t="s">
        <v>169</v>
      </c>
      <c r="BU21" s="12" t="s">
        <v>169</v>
      </c>
      <c r="BV21" s="12" t="s">
        <v>169</v>
      </c>
      <c r="BW21" s="12" t="s">
        <v>169</v>
      </c>
      <c r="BX21" s="12" t="s">
        <v>169</v>
      </c>
      <c r="BY21" s="12" t="s">
        <v>169</v>
      </c>
      <c r="BZ21" s="12" t="s">
        <v>169</v>
      </c>
      <c r="CA21" s="12" t="s">
        <v>169</v>
      </c>
      <c r="CB21" s="12" t="s">
        <v>169</v>
      </c>
      <c r="CC21" s="12" t="s">
        <v>169</v>
      </c>
      <c r="CD21" s="12" t="s">
        <v>169</v>
      </c>
      <c r="CE21" s="12" t="s">
        <v>169</v>
      </c>
      <c r="CF21" s="12" t="s">
        <v>169</v>
      </c>
      <c r="CG21" s="12">
        <v>2.041401932158764</v>
      </c>
      <c r="CH21" s="12" t="s">
        <v>169</v>
      </c>
      <c r="CI21" s="12" t="s">
        <v>169</v>
      </c>
      <c r="CJ21" s="12" t="s">
        <v>169</v>
      </c>
      <c r="CK21" s="12" t="s">
        <v>169</v>
      </c>
      <c r="CL21" s="12" t="s">
        <v>169</v>
      </c>
      <c r="CM21" s="12" t="s">
        <v>169</v>
      </c>
      <c r="CN21" s="12" t="s">
        <v>169</v>
      </c>
      <c r="CO21" s="12" t="s">
        <v>169</v>
      </c>
      <c r="CP21" s="12" t="s">
        <v>169</v>
      </c>
      <c r="CQ21" s="12" t="s">
        <v>169</v>
      </c>
      <c r="CR21" s="12" t="s">
        <v>169</v>
      </c>
      <c r="CS21" s="12" t="s">
        <v>169</v>
      </c>
      <c r="CT21" s="12" t="s">
        <v>169</v>
      </c>
      <c r="CU21" s="12" t="s">
        <v>169</v>
      </c>
      <c r="CV21" s="12" t="s">
        <v>169</v>
      </c>
      <c r="CW21" s="12" t="s">
        <v>169</v>
      </c>
      <c r="CX21" s="12" t="s">
        <v>169</v>
      </c>
      <c r="CY21" s="12" t="s">
        <v>169</v>
      </c>
      <c r="CZ21" s="12" t="s">
        <v>169</v>
      </c>
      <c r="DA21" s="12" t="s">
        <v>169</v>
      </c>
      <c r="DB21" s="12" t="s">
        <v>169</v>
      </c>
      <c r="DC21" s="12" t="s">
        <v>169</v>
      </c>
      <c r="DD21" s="12" t="s">
        <v>169</v>
      </c>
      <c r="DE21" s="12" t="s">
        <v>169</v>
      </c>
      <c r="DF21" s="12" t="s">
        <v>169</v>
      </c>
      <c r="DG21" s="12" t="s">
        <v>169</v>
      </c>
      <c r="DH21" s="12" t="s">
        <v>169</v>
      </c>
      <c r="DI21" s="12" t="s">
        <v>169</v>
      </c>
      <c r="DJ21" s="12" t="s">
        <v>169</v>
      </c>
      <c r="DK21" s="12" t="s">
        <v>169</v>
      </c>
      <c r="DL21" s="12" t="s">
        <v>169</v>
      </c>
      <c r="DM21" s="12" t="s">
        <v>169</v>
      </c>
      <c r="DN21" s="12" t="s">
        <v>169</v>
      </c>
      <c r="DO21" s="12" t="s">
        <v>169</v>
      </c>
      <c r="DP21" s="12" t="s">
        <v>169</v>
      </c>
      <c r="DQ21" s="12" t="s">
        <v>169</v>
      </c>
      <c r="DR21" s="12" t="s">
        <v>169</v>
      </c>
      <c r="DS21" s="12" t="s">
        <v>169</v>
      </c>
      <c r="DT21" s="12" t="s">
        <v>169</v>
      </c>
      <c r="DU21" s="12" t="s">
        <v>169</v>
      </c>
    </row>
    <row r="22" spans="1:125" x14ac:dyDescent="0.25">
      <c r="A22" s="3" t="s">
        <v>19</v>
      </c>
      <c r="B22" s="3" t="s">
        <v>128</v>
      </c>
      <c r="C22" s="3" t="s">
        <v>73</v>
      </c>
      <c r="D22" s="7">
        <v>42866</v>
      </c>
      <c r="E22" s="8">
        <v>0.58333333333333337</v>
      </c>
      <c r="F22" s="10">
        <v>5.0750000000000002</v>
      </c>
      <c r="G22" s="10">
        <v>0.51</v>
      </c>
      <c r="H22" s="12" t="s">
        <v>169</v>
      </c>
      <c r="I22" s="12" t="s">
        <v>169</v>
      </c>
      <c r="J22" s="12" t="s">
        <v>169</v>
      </c>
      <c r="K22" s="12" t="s">
        <v>169</v>
      </c>
      <c r="L22" s="12" t="s">
        <v>169</v>
      </c>
      <c r="M22" s="12" t="s">
        <v>169</v>
      </c>
      <c r="N22" s="12" t="s">
        <v>169</v>
      </c>
      <c r="O22" s="12" t="s">
        <v>169</v>
      </c>
      <c r="P22" s="12" t="s">
        <v>169</v>
      </c>
      <c r="Q22" s="12" t="s">
        <v>169</v>
      </c>
      <c r="R22" s="12" t="s">
        <v>169</v>
      </c>
      <c r="S22" s="12" t="s">
        <v>169</v>
      </c>
      <c r="T22" s="12" t="s">
        <v>169</v>
      </c>
      <c r="U22" s="12" t="s">
        <v>169</v>
      </c>
      <c r="V22" s="12" t="s">
        <v>169</v>
      </c>
      <c r="W22" s="12" t="s">
        <v>169</v>
      </c>
      <c r="X22" s="12" t="s">
        <v>169</v>
      </c>
      <c r="Y22" s="12" t="s">
        <v>169</v>
      </c>
      <c r="Z22" s="12" t="s">
        <v>169</v>
      </c>
      <c r="AA22" s="12" t="s">
        <v>169</v>
      </c>
      <c r="AB22" s="12" t="s">
        <v>169</v>
      </c>
      <c r="AC22" s="12" t="s">
        <v>169</v>
      </c>
      <c r="AD22" s="12" t="s">
        <v>169</v>
      </c>
      <c r="AE22" s="12" t="s">
        <v>169</v>
      </c>
      <c r="AF22" s="12" t="s">
        <v>169</v>
      </c>
      <c r="AG22" s="12" t="s">
        <v>169</v>
      </c>
      <c r="AH22" s="12" t="s">
        <v>169</v>
      </c>
      <c r="AI22" s="12" t="s">
        <v>169</v>
      </c>
      <c r="AJ22" s="12" t="s">
        <v>169</v>
      </c>
      <c r="AK22" s="12" t="s">
        <v>169</v>
      </c>
      <c r="AL22" s="12" t="s">
        <v>169</v>
      </c>
      <c r="AM22" s="12" t="s">
        <v>169</v>
      </c>
      <c r="AN22" s="12" t="s">
        <v>169</v>
      </c>
      <c r="AO22" s="12" t="s">
        <v>169</v>
      </c>
      <c r="AP22" s="12" t="s">
        <v>169</v>
      </c>
      <c r="AQ22" s="12" t="s">
        <v>169</v>
      </c>
      <c r="AR22" s="12" t="s">
        <v>169</v>
      </c>
      <c r="AS22" s="12" t="s">
        <v>169</v>
      </c>
      <c r="AT22" s="12" t="s">
        <v>169</v>
      </c>
      <c r="AU22" s="12" t="s">
        <v>169</v>
      </c>
      <c r="AV22" s="12" t="s">
        <v>169</v>
      </c>
      <c r="AW22" s="12" t="s">
        <v>169</v>
      </c>
      <c r="AX22" s="12" t="s">
        <v>169</v>
      </c>
      <c r="AY22" s="12" t="s">
        <v>169</v>
      </c>
      <c r="AZ22" s="12" t="s">
        <v>169</v>
      </c>
      <c r="BA22" s="12" t="s">
        <v>169</v>
      </c>
      <c r="BB22" s="12" t="s">
        <v>169</v>
      </c>
      <c r="BC22" s="12" t="s">
        <v>169</v>
      </c>
      <c r="BD22" s="12" t="s">
        <v>169</v>
      </c>
      <c r="BE22" s="12" t="s">
        <v>169</v>
      </c>
      <c r="BF22" s="12" t="s">
        <v>169</v>
      </c>
      <c r="BG22" s="12" t="s">
        <v>169</v>
      </c>
      <c r="BH22" s="12" t="s">
        <v>169</v>
      </c>
      <c r="BI22" s="12" t="s">
        <v>169</v>
      </c>
      <c r="BJ22" s="12" t="s">
        <v>169</v>
      </c>
      <c r="BK22" s="12" t="s">
        <v>169</v>
      </c>
      <c r="BL22" s="12" t="s">
        <v>169</v>
      </c>
      <c r="BM22" s="12" t="s">
        <v>169</v>
      </c>
      <c r="BN22" s="12" t="s">
        <v>169</v>
      </c>
      <c r="BO22" s="12" t="s">
        <v>169</v>
      </c>
      <c r="BP22" s="12" t="s">
        <v>169</v>
      </c>
      <c r="BQ22" s="12" t="s">
        <v>169</v>
      </c>
      <c r="BR22" s="12" t="s">
        <v>169</v>
      </c>
      <c r="BS22" s="12" t="s">
        <v>169</v>
      </c>
      <c r="BT22" s="12" t="s">
        <v>169</v>
      </c>
      <c r="BU22" s="12" t="s">
        <v>169</v>
      </c>
      <c r="BV22" s="12" t="s">
        <v>169</v>
      </c>
      <c r="BW22" s="12" t="s">
        <v>169</v>
      </c>
      <c r="BX22" s="12" t="s">
        <v>169</v>
      </c>
      <c r="BY22" s="12" t="s">
        <v>169</v>
      </c>
      <c r="BZ22" s="12" t="s">
        <v>169</v>
      </c>
      <c r="CA22" s="12" t="s">
        <v>169</v>
      </c>
      <c r="CB22" s="12" t="s">
        <v>169</v>
      </c>
      <c r="CC22" s="12" t="s">
        <v>169</v>
      </c>
      <c r="CD22" s="12" t="s">
        <v>169</v>
      </c>
      <c r="CE22" s="12" t="s">
        <v>169</v>
      </c>
      <c r="CF22" s="12">
        <v>1.2204838389484491</v>
      </c>
      <c r="CG22" s="12">
        <v>1.7563240637888788</v>
      </c>
      <c r="CH22" s="12" t="s">
        <v>169</v>
      </c>
      <c r="CI22" s="12" t="s">
        <v>169</v>
      </c>
      <c r="CJ22" s="12" t="s">
        <v>169</v>
      </c>
      <c r="CK22" s="12" t="s">
        <v>169</v>
      </c>
      <c r="CL22" s="12" t="s">
        <v>169</v>
      </c>
      <c r="CM22" s="12" t="s">
        <v>169</v>
      </c>
      <c r="CN22" s="12" t="s">
        <v>169</v>
      </c>
      <c r="CO22" s="12" t="s">
        <v>169</v>
      </c>
      <c r="CP22" s="12" t="s">
        <v>169</v>
      </c>
      <c r="CQ22" s="12" t="s">
        <v>169</v>
      </c>
      <c r="CR22" s="12" t="s">
        <v>169</v>
      </c>
      <c r="CS22" s="12" t="s">
        <v>169</v>
      </c>
      <c r="CT22" s="12" t="s">
        <v>169</v>
      </c>
      <c r="CU22" s="12" t="s">
        <v>169</v>
      </c>
      <c r="CV22" s="12" t="s">
        <v>169</v>
      </c>
      <c r="CW22" s="12" t="s">
        <v>169</v>
      </c>
      <c r="CX22" s="12" t="s">
        <v>169</v>
      </c>
      <c r="CY22" s="12" t="s">
        <v>169</v>
      </c>
      <c r="CZ22" s="12" t="s">
        <v>169</v>
      </c>
      <c r="DA22" s="12" t="s">
        <v>169</v>
      </c>
      <c r="DB22" s="12" t="s">
        <v>169</v>
      </c>
      <c r="DC22" s="12" t="s">
        <v>169</v>
      </c>
      <c r="DD22" s="12" t="s">
        <v>169</v>
      </c>
      <c r="DE22" s="12" t="s">
        <v>169</v>
      </c>
      <c r="DF22" s="12" t="s">
        <v>169</v>
      </c>
      <c r="DG22" s="12" t="s">
        <v>169</v>
      </c>
      <c r="DH22" s="12" t="s">
        <v>169</v>
      </c>
      <c r="DI22" s="12" t="s">
        <v>169</v>
      </c>
      <c r="DJ22" s="12" t="s">
        <v>169</v>
      </c>
      <c r="DK22" s="12" t="s">
        <v>169</v>
      </c>
      <c r="DL22" s="12" t="s">
        <v>169</v>
      </c>
      <c r="DM22" s="12" t="s">
        <v>169</v>
      </c>
      <c r="DN22" s="12" t="s">
        <v>169</v>
      </c>
      <c r="DO22" s="12" t="s">
        <v>169</v>
      </c>
      <c r="DP22" s="12" t="s">
        <v>169</v>
      </c>
      <c r="DQ22" s="12" t="s">
        <v>169</v>
      </c>
      <c r="DR22" s="12" t="s">
        <v>169</v>
      </c>
      <c r="DS22" s="12" t="s">
        <v>169</v>
      </c>
      <c r="DT22" s="12" t="s">
        <v>169</v>
      </c>
      <c r="DU22" s="12" t="s">
        <v>169</v>
      </c>
    </row>
    <row r="23" spans="1:125" x14ac:dyDescent="0.25">
      <c r="A23" s="3" t="s">
        <v>20</v>
      </c>
      <c r="B23" s="3" t="s">
        <v>129</v>
      </c>
      <c r="C23" s="3" t="s">
        <v>74</v>
      </c>
      <c r="D23" s="7">
        <v>42864</v>
      </c>
      <c r="E23" s="8">
        <v>0.53125</v>
      </c>
      <c r="F23" s="10">
        <v>5.0599999999999996</v>
      </c>
      <c r="G23" s="10">
        <v>1.62</v>
      </c>
      <c r="H23" s="12" t="s">
        <v>169</v>
      </c>
      <c r="I23" s="12" t="s">
        <v>169</v>
      </c>
      <c r="J23" s="12" t="s">
        <v>169</v>
      </c>
      <c r="K23" s="12" t="s">
        <v>169</v>
      </c>
      <c r="L23" s="12" t="s">
        <v>169</v>
      </c>
      <c r="M23" s="12" t="s">
        <v>169</v>
      </c>
      <c r="N23" s="12" t="s">
        <v>169</v>
      </c>
      <c r="O23" s="12" t="s">
        <v>169</v>
      </c>
      <c r="P23" s="12">
        <v>0.74308300395256932</v>
      </c>
      <c r="Q23" s="12" t="s">
        <v>169</v>
      </c>
      <c r="R23" s="12" t="s">
        <v>169</v>
      </c>
      <c r="S23" s="12" t="s">
        <v>169</v>
      </c>
      <c r="T23" s="12" t="s">
        <v>169</v>
      </c>
      <c r="U23" s="12" t="s">
        <v>169</v>
      </c>
      <c r="V23" s="12" t="s">
        <v>169</v>
      </c>
      <c r="W23" s="12" t="s">
        <v>169</v>
      </c>
      <c r="X23" s="12" t="s">
        <v>169</v>
      </c>
      <c r="Y23" s="12" t="s">
        <v>169</v>
      </c>
      <c r="Z23" s="12" t="s">
        <v>169</v>
      </c>
      <c r="AA23" s="12" t="s">
        <v>169</v>
      </c>
      <c r="AB23" s="12" t="s">
        <v>169</v>
      </c>
      <c r="AC23" s="12" t="s">
        <v>169</v>
      </c>
      <c r="AD23" s="12" t="s">
        <v>169</v>
      </c>
      <c r="AE23" s="12" t="s">
        <v>169</v>
      </c>
      <c r="AF23" s="12" t="s">
        <v>169</v>
      </c>
      <c r="AG23" s="12" t="s">
        <v>169</v>
      </c>
      <c r="AH23" s="12" t="s">
        <v>169</v>
      </c>
      <c r="AI23" s="12" t="s">
        <v>169</v>
      </c>
      <c r="AJ23" s="12" t="s">
        <v>169</v>
      </c>
      <c r="AK23" s="12" t="s">
        <v>169</v>
      </c>
      <c r="AL23" s="12" t="s">
        <v>169</v>
      </c>
      <c r="AM23" s="12" t="s">
        <v>169</v>
      </c>
      <c r="AN23" s="12" t="s">
        <v>169</v>
      </c>
      <c r="AO23" s="12" t="s">
        <v>169</v>
      </c>
      <c r="AP23" s="12" t="s">
        <v>169</v>
      </c>
      <c r="AQ23" s="12" t="s">
        <v>169</v>
      </c>
      <c r="AR23" s="12" t="s">
        <v>169</v>
      </c>
      <c r="AS23" s="12" t="s">
        <v>169</v>
      </c>
      <c r="AT23" s="12" t="s">
        <v>169</v>
      </c>
      <c r="AU23" s="12" t="s">
        <v>169</v>
      </c>
      <c r="AV23" s="12" t="s">
        <v>169</v>
      </c>
      <c r="AW23" s="12" t="s">
        <v>169</v>
      </c>
      <c r="AX23" s="12" t="s">
        <v>169</v>
      </c>
      <c r="AY23" s="12" t="s">
        <v>169</v>
      </c>
      <c r="AZ23" s="12" t="s">
        <v>169</v>
      </c>
      <c r="BA23" s="12" t="s">
        <v>169</v>
      </c>
      <c r="BB23" s="12" t="s">
        <v>169</v>
      </c>
      <c r="BC23" s="12" t="s">
        <v>169</v>
      </c>
      <c r="BD23" s="12" t="s">
        <v>169</v>
      </c>
      <c r="BE23" s="12" t="s">
        <v>169</v>
      </c>
      <c r="BF23" s="12" t="s">
        <v>169</v>
      </c>
      <c r="BG23" s="12" t="s">
        <v>169</v>
      </c>
      <c r="BH23" s="12" t="s">
        <v>169</v>
      </c>
      <c r="BI23" s="12" t="s">
        <v>169</v>
      </c>
      <c r="BJ23" s="12" t="s">
        <v>169</v>
      </c>
      <c r="BK23" s="12" t="s">
        <v>169</v>
      </c>
      <c r="BL23" s="12" t="s">
        <v>169</v>
      </c>
      <c r="BM23" s="12" t="s">
        <v>169</v>
      </c>
      <c r="BN23" s="12" t="s">
        <v>169</v>
      </c>
      <c r="BO23" s="12" t="s">
        <v>169</v>
      </c>
      <c r="BP23" s="12" t="s">
        <v>169</v>
      </c>
      <c r="BQ23" s="12" t="s">
        <v>169</v>
      </c>
      <c r="BR23" s="12" t="s">
        <v>169</v>
      </c>
      <c r="BS23" s="12" t="s">
        <v>169</v>
      </c>
      <c r="BT23" s="12" t="s">
        <v>169</v>
      </c>
      <c r="BU23" s="12" t="s">
        <v>169</v>
      </c>
      <c r="BV23" s="12" t="s">
        <v>169</v>
      </c>
      <c r="BW23" s="12" t="s">
        <v>169</v>
      </c>
      <c r="BX23" s="12" t="s">
        <v>169</v>
      </c>
      <c r="BY23" s="12" t="s">
        <v>169</v>
      </c>
      <c r="BZ23" s="12" t="s">
        <v>169</v>
      </c>
      <c r="CA23" s="12" t="s">
        <v>169</v>
      </c>
      <c r="CB23" s="12" t="s">
        <v>169</v>
      </c>
      <c r="CC23" s="12" t="s">
        <v>169</v>
      </c>
      <c r="CD23" s="12" t="s">
        <v>169</v>
      </c>
      <c r="CE23" s="12" t="s">
        <v>169</v>
      </c>
      <c r="CF23" s="12" t="s">
        <v>169</v>
      </c>
      <c r="CG23" s="12" t="s">
        <v>169</v>
      </c>
      <c r="CH23" s="12" t="s">
        <v>169</v>
      </c>
      <c r="CI23" s="12" t="s">
        <v>169</v>
      </c>
      <c r="CJ23" s="12" t="s">
        <v>169</v>
      </c>
      <c r="CK23" s="12" t="s">
        <v>169</v>
      </c>
      <c r="CL23" s="12" t="s">
        <v>169</v>
      </c>
      <c r="CM23" s="12" t="s">
        <v>169</v>
      </c>
      <c r="CN23" s="12" t="s">
        <v>169</v>
      </c>
      <c r="CO23" s="12" t="s">
        <v>169</v>
      </c>
      <c r="CP23" s="12" t="s">
        <v>169</v>
      </c>
      <c r="CQ23" s="12" t="s">
        <v>169</v>
      </c>
      <c r="CR23" s="12" t="s">
        <v>169</v>
      </c>
      <c r="CS23" s="12" t="s">
        <v>169</v>
      </c>
      <c r="CT23" s="12" t="s">
        <v>169</v>
      </c>
      <c r="CU23" s="12" t="s">
        <v>169</v>
      </c>
      <c r="CV23" s="12" t="s">
        <v>169</v>
      </c>
      <c r="CW23" s="12" t="s">
        <v>169</v>
      </c>
      <c r="CX23" s="12" t="s">
        <v>169</v>
      </c>
      <c r="CY23" s="12" t="s">
        <v>169</v>
      </c>
      <c r="CZ23" s="12" t="s">
        <v>169</v>
      </c>
      <c r="DA23" s="12" t="s">
        <v>169</v>
      </c>
      <c r="DB23" s="12" t="s">
        <v>169</v>
      </c>
      <c r="DC23" s="12" t="s">
        <v>169</v>
      </c>
      <c r="DD23" s="12" t="s">
        <v>169</v>
      </c>
      <c r="DE23" s="12" t="s">
        <v>169</v>
      </c>
      <c r="DF23" s="12" t="s">
        <v>169</v>
      </c>
      <c r="DG23" s="12" t="s">
        <v>169</v>
      </c>
      <c r="DH23" s="12" t="s">
        <v>169</v>
      </c>
      <c r="DI23" s="12" t="s">
        <v>169</v>
      </c>
      <c r="DJ23" s="12" t="s">
        <v>169</v>
      </c>
      <c r="DK23" s="12" t="s">
        <v>169</v>
      </c>
      <c r="DL23" s="12" t="s">
        <v>169</v>
      </c>
      <c r="DM23" s="12" t="s">
        <v>169</v>
      </c>
      <c r="DN23" s="12" t="s">
        <v>169</v>
      </c>
      <c r="DO23" s="12" t="s">
        <v>169</v>
      </c>
      <c r="DP23" s="12" t="s">
        <v>169</v>
      </c>
      <c r="DQ23" s="12" t="s">
        <v>169</v>
      </c>
      <c r="DR23" s="12" t="s">
        <v>169</v>
      </c>
      <c r="DS23" s="12" t="s">
        <v>169</v>
      </c>
      <c r="DT23" s="12" t="s">
        <v>169</v>
      </c>
      <c r="DU23" s="12" t="s">
        <v>169</v>
      </c>
    </row>
    <row r="24" spans="1:125" x14ac:dyDescent="0.25">
      <c r="A24" s="3" t="s">
        <v>21</v>
      </c>
      <c r="B24" s="3" t="s">
        <v>130</v>
      </c>
      <c r="C24" s="3" t="s">
        <v>75</v>
      </c>
      <c r="D24" s="7">
        <v>42862</v>
      </c>
      <c r="E24" s="8">
        <v>0.44791666666666669</v>
      </c>
      <c r="F24" s="10">
        <v>5.05</v>
      </c>
      <c r="G24" s="10">
        <v>1.43</v>
      </c>
      <c r="H24" s="12" t="s">
        <v>169</v>
      </c>
      <c r="I24" s="12" t="s">
        <v>169</v>
      </c>
      <c r="J24" s="12" t="s">
        <v>169</v>
      </c>
      <c r="K24" s="12" t="s">
        <v>169</v>
      </c>
      <c r="L24" s="12" t="s">
        <v>169</v>
      </c>
      <c r="M24" s="12" t="s">
        <v>169</v>
      </c>
      <c r="N24" s="12" t="s">
        <v>169</v>
      </c>
      <c r="O24" s="12" t="s">
        <v>169</v>
      </c>
      <c r="P24" s="12">
        <v>0.8039603960396039</v>
      </c>
      <c r="Q24" s="12" t="s">
        <v>169</v>
      </c>
      <c r="R24" s="12" t="s">
        <v>169</v>
      </c>
      <c r="S24" s="12" t="s">
        <v>169</v>
      </c>
      <c r="T24" s="12" t="s">
        <v>169</v>
      </c>
      <c r="U24" s="12" t="s">
        <v>169</v>
      </c>
      <c r="V24" s="12" t="s">
        <v>169</v>
      </c>
      <c r="W24" s="12" t="s">
        <v>169</v>
      </c>
      <c r="X24" s="12" t="s">
        <v>169</v>
      </c>
      <c r="Y24" s="12" t="s">
        <v>169</v>
      </c>
      <c r="Z24" s="12" t="s">
        <v>169</v>
      </c>
      <c r="AA24" s="12" t="s">
        <v>169</v>
      </c>
      <c r="AB24" s="12" t="s">
        <v>169</v>
      </c>
      <c r="AC24" s="12" t="s">
        <v>169</v>
      </c>
      <c r="AD24" s="12" t="s">
        <v>169</v>
      </c>
      <c r="AE24" s="12" t="s">
        <v>169</v>
      </c>
      <c r="AF24" s="12" t="s">
        <v>169</v>
      </c>
      <c r="AG24" s="12" t="s">
        <v>169</v>
      </c>
      <c r="AH24" s="12" t="s">
        <v>169</v>
      </c>
      <c r="AI24" s="12" t="s">
        <v>169</v>
      </c>
      <c r="AJ24" s="12" t="s">
        <v>169</v>
      </c>
      <c r="AK24" s="12" t="s">
        <v>169</v>
      </c>
      <c r="AL24" s="12" t="s">
        <v>169</v>
      </c>
      <c r="AM24" s="12" t="s">
        <v>169</v>
      </c>
      <c r="AN24" s="12" t="s">
        <v>169</v>
      </c>
      <c r="AO24" s="12" t="s">
        <v>169</v>
      </c>
      <c r="AP24" s="12" t="s">
        <v>169</v>
      </c>
      <c r="AQ24" s="12" t="s">
        <v>169</v>
      </c>
      <c r="AR24" s="12" t="s">
        <v>169</v>
      </c>
      <c r="AS24" s="12" t="s">
        <v>169</v>
      </c>
      <c r="AT24" s="12" t="s">
        <v>169</v>
      </c>
      <c r="AU24" s="12" t="s">
        <v>169</v>
      </c>
      <c r="AV24" s="12" t="s">
        <v>169</v>
      </c>
      <c r="AW24" s="12" t="s">
        <v>169</v>
      </c>
      <c r="AX24" s="12" t="s">
        <v>169</v>
      </c>
      <c r="AY24" s="12" t="s">
        <v>169</v>
      </c>
      <c r="AZ24" s="12" t="s">
        <v>169</v>
      </c>
      <c r="BA24" s="12" t="s">
        <v>169</v>
      </c>
      <c r="BB24" s="12" t="s">
        <v>169</v>
      </c>
      <c r="BC24" s="12" t="s">
        <v>169</v>
      </c>
      <c r="BD24" s="12" t="s">
        <v>169</v>
      </c>
      <c r="BE24" s="12" t="s">
        <v>169</v>
      </c>
      <c r="BF24" s="12" t="s">
        <v>169</v>
      </c>
      <c r="BG24" s="12" t="s">
        <v>169</v>
      </c>
      <c r="BH24" s="12" t="s">
        <v>169</v>
      </c>
      <c r="BI24" s="12" t="s">
        <v>169</v>
      </c>
      <c r="BJ24" s="12" t="s">
        <v>169</v>
      </c>
      <c r="BK24" s="12" t="s">
        <v>169</v>
      </c>
      <c r="BL24" s="12" t="s">
        <v>169</v>
      </c>
      <c r="BM24" s="12" t="s">
        <v>169</v>
      </c>
      <c r="BN24" s="12" t="s">
        <v>169</v>
      </c>
      <c r="BO24" s="12" t="s">
        <v>169</v>
      </c>
      <c r="BP24" s="12" t="s">
        <v>169</v>
      </c>
      <c r="BQ24" s="12" t="s">
        <v>169</v>
      </c>
      <c r="BR24" s="12" t="s">
        <v>169</v>
      </c>
      <c r="BS24" s="12" t="s">
        <v>169</v>
      </c>
      <c r="BT24" s="12" t="s">
        <v>169</v>
      </c>
      <c r="BU24" s="12" t="s">
        <v>169</v>
      </c>
      <c r="BV24" s="12" t="s">
        <v>169</v>
      </c>
      <c r="BW24" s="12" t="s">
        <v>169</v>
      </c>
      <c r="BX24" s="12" t="s">
        <v>169</v>
      </c>
      <c r="BY24" s="12" t="s">
        <v>169</v>
      </c>
      <c r="BZ24" s="12" t="s">
        <v>169</v>
      </c>
      <c r="CA24" s="12" t="s">
        <v>169</v>
      </c>
      <c r="CB24" s="12" t="s">
        <v>169</v>
      </c>
      <c r="CC24" s="12" t="s">
        <v>169</v>
      </c>
      <c r="CD24" s="12">
        <v>3.2118811881188125</v>
      </c>
      <c r="CE24" s="12" t="s">
        <v>169</v>
      </c>
      <c r="CF24" s="12" t="s">
        <v>169</v>
      </c>
      <c r="CG24" s="12">
        <v>5.0064524858393264</v>
      </c>
      <c r="CH24" s="12" t="s">
        <v>169</v>
      </c>
      <c r="CI24" s="12" t="s">
        <v>169</v>
      </c>
      <c r="CJ24" s="12" t="s">
        <v>169</v>
      </c>
      <c r="CK24" s="12" t="s">
        <v>169</v>
      </c>
      <c r="CL24" s="12" t="s">
        <v>169</v>
      </c>
      <c r="CM24" s="12" t="s">
        <v>169</v>
      </c>
      <c r="CN24" s="12" t="s">
        <v>169</v>
      </c>
      <c r="CO24" s="12" t="s">
        <v>169</v>
      </c>
      <c r="CP24" s="12" t="s">
        <v>169</v>
      </c>
      <c r="CQ24" s="12" t="s">
        <v>169</v>
      </c>
      <c r="CR24" s="12" t="s">
        <v>169</v>
      </c>
      <c r="CS24" s="12" t="s">
        <v>169</v>
      </c>
      <c r="CT24" s="12" t="s">
        <v>169</v>
      </c>
      <c r="CU24" s="12" t="s">
        <v>169</v>
      </c>
      <c r="CV24" s="12" t="s">
        <v>169</v>
      </c>
      <c r="CW24" s="12" t="s">
        <v>169</v>
      </c>
      <c r="CX24" s="12" t="s">
        <v>169</v>
      </c>
      <c r="CY24" s="12" t="s">
        <v>169</v>
      </c>
      <c r="CZ24" s="12" t="s">
        <v>169</v>
      </c>
      <c r="DA24" s="12" t="s">
        <v>169</v>
      </c>
      <c r="DB24" s="12" t="s">
        <v>169</v>
      </c>
      <c r="DC24" s="12" t="s">
        <v>169</v>
      </c>
      <c r="DD24" s="12" t="s">
        <v>169</v>
      </c>
      <c r="DE24" s="12" t="s">
        <v>169</v>
      </c>
      <c r="DF24" s="12" t="s">
        <v>169</v>
      </c>
      <c r="DG24" s="12" t="s">
        <v>169</v>
      </c>
      <c r="DH24" s="12" t="s">
        <v>169</v>
      </c>
      <c r="DI24" s="12" t="s">
        <v>169</v>
      </c>
      <c r="DJ24" s="12" t="s">
        <v>169</v>
      </c>
      <c r="DK24" s="12" t="s">
        <v>169</v>
      </c>
      <c r="DL24" s="12" t="s">
        <v>169</v>
      </c>
      <c r="DM24" s="12" t="s">
        <v>169</v>
      </c>
      <c r="DN24" s="12" t="s">
        <v>169</v>
      </c>
      <c r="DO24" s="12" t="s">
        <v>169</v>
      </c>
      <c r="DP24" s="12" t="s">
        <v>169</v>
      </c>
      <c r="DQ24" s="12" t="s">
        <v>169</v>
      </c>
      <c r="DR24" s="12" t="s">
        <v>169</v>
      </c>
      <c r="DS24" s="12" t="s">
        <v>169</v>
      </c>
      <c r="DT24" s="12" t="s">
        <v>169</v>
      </c>
      <c r="DU24" s="12" t="s">
        <v>169</v>
      </c>
    </row>
    <row r="25" spans="1:125" x14ac:dyDescent="0.25">
      <c r="A25" s="3" t="s">
        <v>22</v>
      </c>
      <c r="B25" s="3" t="s">
        <v>131</v>
      </c>
      <c r="C25" s="3" t="s">
        <v>76</v>
      </c>
      <c r="D25" s="7">
        <v>42860</v>
      </c>
      <c r="E25" s="8">
        <v>0.4826388888888889</v>
      </c>
      <c r="F25" s="10">
        <v>5.0199999999999996</v>
      </c>
      <c r="G25" s="10">
        <v>1.58</v>
      </c>
      <c r="H25" s="12" t="s">
        <v>169</v>
      </c>
      <c r="I25" s="12" t="s">
        <v>169</v>
      </c>
      <c r="J25" s="12" t="s">
        <v>169</v>
      </c>
      <c r="K25" s="12" t="s">
        <v>169</v>
      </c>
      <c r="L25" s="12" t="s">
        <v>169</v>
      </c>
      <c r="M25" s="12" t="s">
        <v>169</v>
      </c>
      <c r="N25" s="12" t="s">
        <v>169</v>
      </c>
      <c r="O25" s="12" t="s">
        <v>169</v>
      </c>
      <c r="P25" s="12" t="s">
        <v>169</v>
      </c>
      <c r="Q25" s="12" t="s">
        <v>169</v>
      </c>
      <c r="R25" s="12" t="s">
        <v>169</v>
      </c>
      <c r="S25" s="12" t="s">
        <v>169</v>
      </c>
      <c r="T25" s="12" t="s">
        <v>169</v>
      </c>
      <c r="U25" s="12" t="s">
        <v>169</v>
      </c>
      <c r="V25" s="12" t="s">
        <v>169</v>
      </c>
      <c r="W25" s="12" t="s">
        <v>169</v>
      </c>
      <c r="X25" s="12" t="s">
        <v>169</v>
      </c>
      <c r="Y25" s="12" t="s">
        <v>169</v>
      </c>
      <c r="Z25" s="12" t="s">
        <v>169</v>
      </c>
      <c r="AA25" s="12" t="s">
        <v>169</v>
      </c>
      <c r="AB25" s="12" t="s">
        <v>169</v>
      </c>
      <c r="AC25" s="12" t="s">
        <v>169</v>
      </c>
      <c r="AD25" s="12" t="s">
        <v>169</v>
      </c>
      <c r="AE25" s="12" t="s">
        <v>169</v>
      </c>
      <c r="AF25" s="12" t="s">
        <v>169</v>
      </c>
      <c r="AG25" s="12" t="s">
        <v>169</v>
      </c>
      <c r="AH25" s="12" t="s">
        <v>169</v>
      </c>
      <c r="AI25" s="12" t="s">
        <v>169</v>
      </c>
      <c r="AJ25" s="12" t="s">
        <v>169</v>
      </c>
      <c r="AK25" s="12" t="s">
        <v>169</v>
      </c>
      <c r="AL25" s="12" t="s">
        <v>169</v>
      </c>
      <c r="AM25" s="12" t="s">
        <v>169</v>
      </c>
      <c r="AN25" s="12" t="s">
        <v>169</v>
      </c>
      <c r="AO25" s="12" t="s">
        <v>169</v>
      </c>
      <c r="AP25" s="12" t="s">
        <v>169</v>
      </c>
      <c r="AQ25" s="12" t="s">
        <v>169</v>
      </c>
      <c r="AR25" s="12" t="s">
        <v>169</v>
      </c>
      <c r="AS25" s="12" t="s">
        <v>169</v>
      </c>
      <c r="AT25" s="12" t="s">
        <v>169</v>
      </c>
      <c r="AU25" s="12" t="s">
        <v>169</v>
      </c>
      <c r="AV25" s="12" t="s">
        <v>169</v>
      </c>
      <c r="AW25" s="12" t="s">
        <v>169</v>
      </c>
      <c r="AX25" s="12" t="s">
        <v>169</v>
      </c>
      <c r="AY25" s="12" t="s">
        <v>169</v>
      </c>
      <c r="AZ25" s="12" t="s">
        <v>169</v>
      </c>
      <c r="BA25" s="12" t="s">
        <v>169</v>
      </c>
      <c r="BB25" s="12" t="s">
        <v>169</v>
      </c>
      <c r="BC25" s="12" t="s">
        <v>169</v>
      </c>
      <c r="BD25" s="12" t="s">
        <v>169</v>
      </c>
      <c r="BE25" s="12" t="s">
        <v>169</v>
      </c>
      <c r="BF25" s="12" t="s">
        <v>169</v>
      </c>
      <c r="BG25" s="12" t="s">
        <v>169</v>
      </c>
      <c r="BH25" s="12" t="s">
        <v>169</v>
      </c>
      <c r="BI25" s="12" t="s">
        <v>169</v>
      </c>
      <c r="BJ25" s="12" t="s">
        <v>169</v>
      </c>
      <c r="BK25" s="12" t="s">
        <v>169</v>
      </c>
      <c r="BL25" s="12" t="s">
        <v>169</v>
      </c>
      <c r="BM25" s="12" t="s">
        <v>169</v>
      </c>
      <c r="BN25" s="12" t="s">
        <v>169</v>
      </c>
      <c r="BO25" s="12" t="s">
        <v>169</v>
      </c>
      <c r="BP25" s="12" t="s">
        <v>169</v>
      </c>
      <c r="BQ25" s="12" t="s">
        <v>169</v>
      </c>
      <c r="BR25" s="12" t="s">
        <v>169</v>
      </c>
      <c r="BS25" s="12" t="s">
        <v>169</v>
      </c>
      <c r="BT25" s="12" t="s">
        <v>169</v>
      </c>
      <c r="BU25" s="12" t="s">
        <v>169</v>
      </c>
      <c r="BV25" s="12" t="s">
        <v>169</v>
      </c>
      <c r="BW25" s="12" t="s">
        <v>169</v>
      </c>
      <c r="BX25" s="12" t="s">
        <v>169</v>
      </c>
      <c r="BY25" s="12" t="s">
        <v>169</v>
      </c>
      <c r="BZ25" s="12" t="s">
        <v>169</v>
      </c>
      <c r="CA25" s="12" t="s">
        <v>169</v>
      </c>
      <c r="CB25" s="12" t="s">
        <v>169</v>
      </c>
      <c r="CC25" s="12" t="s">
        <v>169</v>
      </c>
      <c r="CD25" s="12" t="s">
        <v>169</v>
      </c>
      <c r="CE25" s="12" t="s">
        <v>169</v>
      </c>
      <c r="CF25" s="12">
        <v>1.2978662232777411</v>
      </c>
      <c r="CG25" s="12" t="s">
        <v>169</v>
      </c>
      <c r="CH25" s="12" t="s">
        <v>169</v>
      </c>
      <c r="CI25" s="12" t="s">
        <v>169</v>
      </c>
      <c r="CJ25" s="12" t="s">
        <v>169</v>
      </c>
      <c r="CK25" s="12" t="s">
        <v>169</v>
      </c>
      <c r="CL25" s="12" t="s">
        <v>169</v>
      </c>
      <c r="CM25" s="12" t="s">
        <v>169</v>
      </c>
      <c r="CN25" s="12" t="s">
        <v>169</v>
      </c>
      <c r="CO25" s="12" t="s">
        <v>169</v>
      </c>
      <c r="CP25" s="12" t="s">
        <v>169</v>
      </c>
      <c r="CQ25" s="12" t="s">
        <v>169</v>
      </c>
      <c r="CR25" s="12" t="s">
        <v>169</v>
      </c>
      <c r="CS25" s="12" t="s">
        <v>169</v>
      </c>
      <c r="CT25" s="12" t="s">
        <v>169</v>
      </c>
      <c r="CU25" s="12" t="s">
        <v>169</v>
      </c>
      <c r="CV25" s="12" t="s">
        <v>169</v>
      </c>
      <c r="CW25" s="12" t="s">
        <v>169</v>
      </c>
      <c r="CX25" s="12" t="s">
        <v>169</v>
      </c>
      <c r="CY25" s="12" t="s">
        <v>169</v>
      </c>
      <c r="CZ25" s="12" t="s">
        <v>169</v>
      </c>
      <c r="DA25" s="12" t="s">
        <v>169</v>
      </c>
      <c r="DB25" s="12" t="s">
        <v>169</v>
      </c>
      <c r="DC25" s="12" t="s">
        <v>169</v>
      </c>
      <c r="DD25" s="12" t="s">
        <v>169</v>
      </c>
      <c r="DE25" s="12" t="s">
        <v>169</v>
      </c>
      <c r="DF25" s="12" t="s">
        <v>169</v>
      </c>
      <c r="DG25" s="12" t="s">
        <v>169</v>
      </c>
      <c r="DH25" s="12" t="s">
        <v>169</v>
      </c>
      <c r="DI25" s="12" t="s">
        <v>169</v>
      </c>
      <c r="DJ25" s="12" t="s">
        <v>169</v>
      </c>
      <c r="DK25" s="12" t="s">
        <v>169</v>
      </c>
      <c r="DL25" s="12" t="s">
        <v>169</v>
      </c>
      <c r="DM25" s="12" t="s">
        <v>169</v>
      </c>
      <c r="DN25" s="12" t="s">
        <v>169</v>
      </c>
      <c r="DO25" s="12" t="s">
        <v>169</v>
      </c>
      <c r="DP25" s="12" t="s">
        <v>169</v>
      </c>
      <c r="DQ25" s="12" t="s">
        <v>169</v>
      </c>
      <c r="DR25" s="12" t="s">
        <v>169</v>
      </c>
      <c r="DS25" s="12" t="s">
        <v>169</v>
      </c>
      <c r="DT25" s="12" t="s">
        <v>169</v>
      </c>
      <c r="DU25" s="12" t="s">
        <v>169</v>
      </c>
    </row>
    <row r="26" spans="1:125" x14ac:dyDescent="0.25">
      <c r="A26" s="3" t="s">
        <v>23</v>
      </c>
      <c r="B26" s="3" t="s">
        <v>132</v>
      </c>
      <c r="C26" s="3" t="s">
        <v>77</v>
      </c>
      <c r="D26" s="7">
        <v>42858</v>
      </c>
      <c r="E26" s="8">
        <v>0.35416666666666669</v>
      </c>
      <c r="F26" s="10">
        <v>5.0350000000000001</v>
      </c>
      <c r="G26" s="10">
        <v>0.81</v>
      </c>
      <c r="H26" s="12" t="s">
        <v>169</v>
      </c>
      <c r="I26" s="12" t="s">
        <v>169</v>
      </c>
      <c r="J26" s="12" t="s">
        <v>169</v>
      </c>
      <c r="K26" s="12" t="s">
        <v>169</v>
      </c>
      <c r="L26" s="12" t="s">
        <v>169</v>
      </c>
      <c r="M26" s="12" t="s">
        <v>169</v>
      </c>
      <c r="N26" s="12" t="s">
        <v>169</v>
      </c>
      <c r="O26" s="12" t="s">
        <v>169</v>
      </c>
      <c r="P26" s="12">
        <v>1.2869910625620653</v>
      </c>
      <c r="Q26" s="12">
        <v>6.2363455809334649</v>
      </c>
      <c r="R26" s="12" t="s">
        <v>169</v>
      </c>
      <c r="S26" s="12" t="s">
        <v>169</v>
      </c>
      <c r="T26" s="12" t="s">
        <v>169</v>
      </c>
      <c r="U26" s="12" t="s">
        <v>169</v>
      </c>
      <c r="V26" s="12" t="s">
        <v>169</v>
      </c>
      <c r="W26" s="12" t="s">
        <v>169</v>
      </c>
      <c r="X26" s="12" t="s">
        <v>169</v>
      </c>
      <c r="Y26" s="12" t="s">
        <v>169</v>
      </c>
      <c r="Z26" s="12" t="s">
        <v>169</v>
      </c>
      <c r="AA26" s="12" t="s">
        <v>169</v>
      </c>
      <c r="AB26" s="12" t="s">
        <v>169</v>
      </c>
      <c r="AC26" s="12" t="s">
        <v>169</v>
      </c>
      <c r="AD26" s="12" t="s">
        <v>169</v>
      </c>
      <c r="AE26" s="12" t="s">
        <v>169</v>
      </c>
      <c r="AF26" s="12" t="s">
        <v>169</v>
      </c>
      <c r="AG26" s="12" t="s">
        <v>169</v>
      </c>
      <c r="AH26" s="12" t="s">
        <v>169</v>
      </c>
      <c r="AI26" s="12" t="s">
        <v>169</v>
      </c>
      <c r="AJ26" s="12" t="s">
        <v>169</v>
      </c>
      <c r="AK26" s="12" t="s">
        <v>169</v>
      </c>
      <c r="AL26" s="12" t="s">
        <v>169</v>
      </c>
      <c r="AM26" s="12" t="s">
        <v>169</v>
      </c>
      <c r="AN26" s="12" t="s">
        <v>169</v>
      </c>
      <c r="AO26" s="12" t="s">
        <v>169</v>
      </c>
      <c r="AP26" s="12">
        <v>1.9</v>
      </c>
      <c r="AQ26" s="12" t="s">
        <v>169</v>
      </c>
      <c r="AR26" s="12" t="s">
        <v>169</v>
      </c>
      <c r="AS26" s="12" t="s">
        <v>169</v>
      </c>
      <c r="AT26" s="12" t="s">
        <v>169</v>
      </c>
      <c r="AU26" s="12" t="s">
        <v>169</v>
      </c>
      <c r="AV26" s="12" t="s">
        <v>169</v>
      </c>
      <c r="AW26" s="12" t="s">
        <v>169</v>
      </c>
      <c r="AX26" s="12" t="s">
        <v>169</v>
      </c>
      <c r="AY26" s="12" t="s">
        <v>169</v>
      </c>
      <c r="AZ26" s="12" t="s">
        <v>169</v>
      </c>
      <c r="BA26" s="12" t="s">
        <v>169</v>
      </c>
      <c r="BB26" s="12" t="s">
        <v>169</v>
      </c>
      <c r="BC26" s="12" t="s">
        <v>169</v>
      </c>
      <c r="BD26" s="12" t="s">
        <v>169</v>
      </c>
      <c r="BE26" s="12" t="s">
        <v>169</v>
      </c>
      <c r="BF26" s="12" t="s">
        <v>169</v>
      </c>
      <c r="BG26" s="12" t="s">
        <v>169</v>
      </c>
      <c r="BH26" s="12" t="s">
        <v>169</v>
      </c>
      <c r="BI26" s="12" t="s">
        <v>169</v>
      </c>
      <c r="BJ26" s="12" t="s">
        <v>169</v>
      </c>
      <c r="BK26" s="12" t="s">
        <v>169</v>
      </c>
      <c r="BL26" s="12" t="s">
        <v>169</v>
      </c>
      <c r="BM26" s="12" t="s">
        <v>169</v>
      </c>
      <c r="BN26" s="12" t="s">
        <v>169</v>
      </c>
      <c r="BO26" s="12" t="s">
        <v>169</v>
      </c>
      <c r="BP26" s="12" t="s">
        <v>169</v>
      </c>
      <c r="BQ26" s="12" t="s">
        <v>169</v>
      </c>
      <c r="BR26" s="12" t="s">
        <v>169</v>
      </c>
      <c r="BS26" s="12" t="s">
        <v>169</v>
      </c>
      <c r="BT26" s="12" t="s">
        <v>169</v>
      </c>
      <c r="BU26" s="12" t="s">
        <v>169</v>
      </c>
      <c r="BV26" s="12" t="s">
        <v>169</v>
      </c>
      <c r="BW26" s="12" t="s">
        <v>169</v>
      </c>
      <c r="BX26" s="12" t="s">
        <v>169</v>
      </c>
      <c r="BY26" s="12" t="s">
        <v>169</v>
      </c>
      <c r="BZ26" s="12" t="s">
        <v>169</v>
      </c>
      <c r="CA26" s="12" t="s">
        <v>169</v>
      </c>
      <c r="CB26" s="12" t="s">
        <v>169</v>
      </c>
      <c r="CC26" s="12">
        <v>2.2709471137926074</v>
      </c>
      <c r="CD26" s="12" t="s">
        <v>169</v>
      </c>
      <c r="CE26" s="12">
        <v>2.1657472788464429</v>
      </c>
      <c r="CF26" s="12">
        <v>12.172717025129256</v>
      </c>
      <c r="CG26" s="12">
        <v>4.5831810248387681</v>
      </c>
      <c r="CH26" s="12" t="s">
        <v>169</v>
      </c>
      <c r="CI26" s="12" t="s">
        <v>169</v>
      </c>
      <c r="CJ26" s="12" t="s">
        <v>169</v>
      </c>
      <c r="CK26" s="12" t="s">
        <v>169</v>
      </c>
      <c r="CL26" s="12" t="s">
        <v>169</v>
      </c>
      <c r="CM26" s="12" t="s">
        <v>169</v>
      </c>
      <c r="CN26" s="12" t="s">
        <v>169</v>
      </c>
      <c r="CO26" s="12" t="s">
        <v>169</v>
      </c>
      <c r="CP26" s="12" t="s">
        <v>169</v>
      </c>
      <c r="CQ26" s="12" t="s">
        <v>169</v>
      </c>
      <c r="CR26" s="12" t="s">
        <v>169</v>
      </c>
      <c r="CS26" s="12" t="s">
        <v>169</v>
      </c>
      <c r="CT26" s="12" t="s">
        <v>169</v>
      </c>
      <c r="CU26" s="12" t="s">
        <v>169</v>
      </c>
      <c r="CV26" s="12" t="s">
        <v>169</v>
      </c>
      <c r="CW26" s="12" t="s">
        <v>169</v>
      </c>
      <c r="CX26" s="12" t="s">
        <v>169</v>
      </c>
      <c r="CY26" s="12" t="s">
        <v>169</v>
      </c>
      <c r="CZ26" s="12" t="s">
        <v>169</v>
      </c>
      <c r="DA26" s="12" t="s">
        <v>169</v>
      </c>
      <c r="DB26" s="12" t="s">
        <v>169</v>
      </c>
      <c r="DC26" s="12" t="s">
        <v>169</v>
      </c>
      <c r="DD26" s="12" t="s">
        <v>169</v>
      </c>
      <c r="DE26" s="12" t="s">
        <v>169</v>
      </c>
      <c r="DF26" s="12" t="s">
        <v>169</v>
      </c>
      <c r="DG26" s="12" t="s">
        <v>169</v>
      </c>
      <c r="DH26" s="12" t="s">
        <v>169</v>
      </c>
      <c r="DI26" s="12" t="s">
        <v>169</v>
      </c>
      <c r="DJ26" s="12" t="s">
        <v>169</v>
      </c>
      <c r="DK26" s="12" t="s">
        <v>169</v>
      </c>
      <c r="DL26" s="12" t="s">
        <v>169</v>
      </c>
      <c r="DM26" s="12" t="s">
        <v>169</v>
      </c>
      <c r="DN26" s="12" t="s">
        <v>169</v>
      </c>
      <c r="DO26" s="12" t="s">
        <v>169</v>
      </c>
      <c r="DP26" s="12" t="s">
        <v>169</v>
      </c>
      <c r="DQ26" s="12" t="s">
        <v>169</v>
      </c>
      <c r="DR26" s="12" t="s">
        <v>169</v>
      </c>
      <c r="DS26" s="12" t="s">
        <v>169</v>
      </c>
      <c r="DT26" s="12" t="s">
        <v>169</v>
      </c>
      <c r="DU26" s="12" t="s">
        <v>169</v>
      </c>
    </row>
    <row r="27" spans="1:125" x14ac:dyDescent="0.25">
      <c r="A27" s="3" t="s">
        <v>24</v>
      </c>
      <c r="B27" s="3" t="s">
        <v>133</v>
      </c>
      <c r="C27" s="3" t="s">
        <v>78</v>
      </c>
      <c r="D27" s="7">
        <v>42858</v>
      </c>
      <c r="E27" s="8">
        <v>0.55208333333333337</v>
      </c>
      <c r="F27" s="10">
        <v>5.0149999999999997</v>
      </c>
      <c r="G27" s="10">
        <v>0.46</v>
      </c>
      <c r="H27" s="12" t="s">
        <v>169</v>
      </c>
      <c r="I27" s="12" t="s">
        <v>169</v>
      </c>
      <c r="J27" s="12" t="s">
        <v>169</v>
      </c>
      <c r="K27" s="12" t="s">
        <v>169</v>
      </c>
      <c r="L27" s="12" t="s">
        <v>169</v>
      </c>
      <c r="M27" s="12" t="s">
        <v>169</v>
      </c>
      <c r="N27" s="12">
        <v>6.5084745762711869</v>
      </c>
      <c r="O27" s="12" t="s">
        <v>169</v>
      </c>
      <c r="P27" s="12">
        <v>14.094756197892163</v>
      </c>
      <c r="Q27" s="12">
        <v>44.996571463370692</v>
      </c>
      <c r="R27" s="12" t="s">
        <v>169</v>
      </c>
      <c r="S27" s="12" t="s">
        <v>169</v>
      </c>
      <c r="T27" s="12" t="s">
        <v>169</v>
      </c>
      <c r="U27" s="12" t="s">
        <v>169</v>
      </c>
      <c r="V27" s="12" t="s">
        <v>169</v>
      </c>
      <c r="W27" s="12" t="s">
        <v>169</v>
      </c>
      <c r="X27" s="12" t="s">
        <v>169</v>
      </c>
      <c r="Y27" s="12">
        <v>3.6729810568295123</v>
      </c>
      <c r="Z27" s="12" t="s">
        <v>169</v>
      </c>
      <c r="AA27" s="12" t="s">
        <v>169</v>
      </c>
      <c r="AB27" s="12" t="s">
        <v>169</v>
      </c>
      <c r="AC27" s="12" t="s">
        <v>169</v>
      </c>
      <c r="AD27" s="12" t="s">
        <v>169</v>
      </c>
      <c r="AE27" s="12">
        <v>2.2629948407321518</v>
      </c>
      <c r="AF27" s="12" t="s">
        <v>169</v>
      </c>
      <c r="AG27" s="12" t="s">
        <v>169</v>
      </c>
      <c r="AH27" s="12" t="s">
        <v>169</v>
      </c>
      <c r="AI27" s="12">
        <v>12.830626344091487</v>
      </c>
      <c r="AJ27" s="12" t="s">
        <v>169</v>
      </c>
      <c r="AK27" s="12" t="s">
        <v>169</v>
      </c>
      <c r="AL27" s="12" t="s">
        <v>169</v>
      </c>
      <c r="AM27" s="12" t="s">
        <v>169</v>
      </c>
      <c r="AN27" s="12" t="s">
        <v>169</v>
      </c>
      <c r="AO27" s="12" t="s">
        <v>169</v>
      </c>
      <c r="AP27" s="12" t="s">
        <v>169</v>
      </c>
      <c r="AQ27" s="12" t="s">
        <v>169</v>
      </c>
      <c r="AR27" s="12" t="s">
        <v>169</v>
      </c>
      <c r="AS27" s="12" t="s">
        <v>169</v>
      </c>
      <c r="AT27" s="12" t="s">
        <v>169</v>
      </c>
      <c r="AU27" s="12" t="s">
        <v>169</v>
      </c>
      <c r="AV27" s="12" t="s">
        <v>169</v>
      </c>
      <c r="AW27" s="12">
        <v>10.568498292504247</v>
      </c>
      <c r="AX27" s="12" t="s">
        <v>169</v>
      </c>
      <c r="AY27" s="12" t="s">
        <v>169</v>
      </c>
      <c r="AZ27" s="12" t="s">
        <v>169</v>
      </c>
      <c r="BA27" s="12" t="s">
        <v>169</v>
      </c>
      <c r="BB27" s="12" t="s">
        <v>169</v>
      </c>
      <c r="BC27" s="12" t="s">
        <v>169</v>
      </c>
      <c r="BD27" s="12" t="s">
        <v>169</v>
      </c>
      <c r="BE27" s="12" t="s">
        <v>169</v>
      </c>
      <c r="BF27" s="12">
        <v>13.371884346959124</v>
      </c>
      <c r="BG27" s="12" t="s">
        <v>169</v>
      </c>
      <c r="BH27" s="12" t="s">
        <v>169</v>
      </c>
      <c r="BI27" s="12" t="s">
        <v>169</v>
      </c>
      <c r="BJ27" s="12" t="s">
        <v>169</v>
      </c>
      <c r="BK27" s="12" t="s">
        <v>169</v>
      </c>
      <c r="BL27" s="12" t="s">
        <v>169</v>
      </c>
      <c r="BM27" s="12" t="s">
        <v>169</v>
      </c>
      <c r="BN27" s="12" t="s">
        <v>169</v>
      </c>
      <c r="BO27" s="12" t="s">
        <v>169</v>
      </c>
      <c r="BP27" s="12" t="s">
        <v>169</v>
      </c>
      <c r="BQ27" s="12" t="s">
        <v>169</v>
      </c>
      <c r="BR27" s="12" t="s">
        <v>169</v>
      </c>
      <c r="BS27" s="12" t="s">
        <v>169</v>
      </c>
      <c r="BT27" s="12" t="s">
        <v>169</v>
      </c>
      <c r="BU27" s="12" t="s">
        <v>169</v>
      </c>
      <c r="BV27" s="12" t="s">
        <v>169</v>
      </c>
      <c r="BW27" s="12" t="s">
        <v>169</v>
      </c>
      <c r="BX27" s="12" t="s">
        <v>169</v>
      </c>
      <c r="BY27" s="12" t="s">
        <v>169</v>
      </c>
      <c r="BZ27" s="12">
        <v>15.365902293120639</v>
      </c>
      <c r="CA27" s="12" t="s">
        <v>169</v>
      </c>
      <c r="CB27" s="12">
        <v>12.658584076682114</v>
      </c>
      <c r="CC27" s="12">
        <v>3.3771473452081322</v>
      </c>
      <c r="CD27" s="12">
        <v>26.545694335319684</v>
      </c>
      <c r="CE27" s="12">
        <v>6.0581177693492325</v>
      </c>
      <c r="CF27" s="12">
        <v>32.107817934781693</v>
      </c>
      <c r="CG27" s="12">
        <v>10.190626027817947</v>
      </c>
      <c r="CH27" s="12" t="s">
        <v>169</v>
      </c>
      <c r="CI27" s="12" t="s">
        <v>169</v>
      </c>
      <c r="CJ27" s="12" t="s">
        <v>169</v>
      </c>
      <c r="CK27" s="12">
        <v>9.1567724363104706</v>
      </c>
      <c r="CL27" s="12" t="s">
        <v>169</v>
      </c>
      <c r="CM27" s="12" t="s">
        <v>169</v>
      </c>
      <c r="CN27" s="12" t="s">
        <v>169</v>
      </c>
      <c r="CO27" s="12" t="s">
        <v>169</v>
      </c>
      <c r="CP27" s="12" t="s">
        <v>169</v>
      </c>
      <c r="CQ27" s="12" t="s">
        <v>169</v>
      </c>
      <c r="CR27" s="12" t="s">
        <v>169</v>
      </c>
      <c r="CS27" s="12" t="s">
        <v>169</v>
      </c>
      <c r="CT27" s="12" t="s">
        <v>169</v>
      </c>
      <c r="CU27" s="12" t="s">
        <v>169</v>
      </c>
      <c r="CV27" s="12" t="s">
        <v>169</v>
      </c>
      <c r="CW27" s="12" t="s">
        <v>169</v>
      </c>
      <c r="CX27" s="12" t="s">
        <v>169</v>
      </c>
      <c r="CY27" s="12" t="s">
        <v>169</v>
      </c>
      <c r="CZ27" s="12" t="s">
        <v>169</v>
      </c>
      <c r="DA27" s="12" t="s">
        <v>169</v>
      </c>
      <c r="DB27" s="12" t="s">
        <v>169</v>
      </c>
      <c r="DC27" s="12" t="s">
        <v>169</v>
      </c>
      <c r="DD27" s="12" t="s">
        <v>169</v>
      </c>
      <c r="DE27" s="12" t="s">
        <v>169</v>
      </c>
      <c r="DF27" s="12" t="s">
        <v>169</v>
      </c>
      <c r="DG27" s="12">
        <v>3.6872159612188793</v>
      </c>
      <c r="DH27" s="12" t="s">
        <v>169</v>
      </c>
      <c r="DI27" s="12" t="s">
        <v>169</v>
      </c>
      <c r="DJ27" s="12" t="s">
        <v>169</v>
      </c>
      <c r="DK27" s="12" t="s">
        <v>169</v>
      </c>
      <c r="DL27" s="12" t="s">
        <v>169</v>
      </c>
      <c r="DM27" s="12" t="s">
        <v>169</v>
      </c>
      <c r="DN27" s="12" t="s">
        <v>169</v>
      </c>
      <c r="DO27" s="12" t="s">
        <v>169</v>
      </c>
      <c r="DP27" s="12" t="s">
        <v>169</v>
      </c>
      <c r="DQ27" s="12" t="s">
        <v>169</v>
      </c>
      <c r="DR27" s="12" t="s">
        <v>169</v>
      </c>
      <c r="DS27" s="12" t="s">
        <v>169</v>
      </c>
      <c r="DT27" s="12" t="s">
        <v>169</v>
      </c>
      <c r="DU27" s="12" t="s">
        <v>169</v>
      </c>
    </row>
    <row r="28" spans="1:125" x14ac:dyDescent="0.25">
      <c r="A28" s="3" t="s">
        <v>25</v>
      </c>
      <c r="B28" s="3" t="s">
        <v>134</v>
      </c>
      <c r="C28" s="3" t="s">
        <v>79</v>
      </c>
      <c r="D28" s="7">
        <v>42860</v>
      </c>
      <c r="E28" s="8">
        <v>0.64583333333333337</v>
      </c>
      <c r="F28" s="10">
        <v>5.0049999999999999</v>
      </c>
      <c r="G28" s="10">
        <v>0.37</v>
      </c>
      <c r="H28" s="12" t="s">
        <v>169</v>
      </c>
      <c r="I28" s="12" t="s">
        <v>169</v>
      </c>
      <c r="J28" s="12" t="s">
        <v>169</v>
      </c>
      <c r="K28" s="12" t="s">
        <v>169</v>
      </c>
      <c r="L28" s="12" t="s">
        <v>169</v>
      </c>
      <c r="M28" s="12" t="s">
        <v>169</v>
      </c>
      <c r="N28" s="12" t="s">
        <v>169</v>
      </c>
      <c r="O28" s="12" t="s">
        <v>169</v>
      </c>
      <c r="P28" s="12" t="s">
        <v>169</v>
      </c>
      <c r="Q28" s="12" t="s">
        <v>169</v>
      </c>
      <c r="R28" s="12" t="s">
        <v>169</v>
      </c>
      <c r="S28" s="12" t="s">
        <v>169</v>
      </c>
      <c r="T28" s="12" t="s">
        <v>169</v>
      </c>
      <c r="U28" s="12" t="s">
        <v>169</v>
      </c>
      <c r="V28" s="12" t="s">
        <v>169</v>
      </c>
      <c r="W28" s="12" t="s">
        <v>169</v>
      </c>
      <c r="X28" s="12" t="s">
        <v>169</v>
      </c>
      <c r="Y28" s="12" t="s">
        <v>169</v>
      </c>
      <c r="Z28" s="12" t="s">
        <v>169</v>
      </c>
      <c r="AA28" s="12" t="s">
        <v>169</v>
      </c>
      <c r="AB28" s="12" t="s">
        <v>169</v>
      </c>
      <c r="AC28" s="12" t="s">
        <v>169</v>
      </c>
      <c r="AD28" s="12" t="s">
        <v>169</v>
      </c>
      <c r="AE28" s="12" t="s">
        <v>169</v>
      </c>
      <c r="AF28" s="12" t="s">
        <v>169</v>
      </c>
      <c r="AG28" s="12" t="s">
        <v>169</v>
      </c>
      <c r="AH28" s="12" t="s">
        <v>169</v>
      </c>
      <c r="AI28" s="12" t="s">
        <v>169</v>
      </c>
      <c r="AJ28" s="12" t="s">
        <v>169</v>
      </c>
      <c r="AK28" s="12" t="s">
        <v>169</v>
      </c>
      <c r="AL28" s="12" t="s">
        <v>169</v>
      </c>
      <c r="AM28" s="12" t="s">
        <v>169</v>
      </c>
      <c r="AN28" s="12" t="s">
        <v>169</v>
      </c>
      <c r="AO28" s="12" t="s">
        <v>169</v>
      </c>
      <c r="AP28" s="12" t="s">
        <v>169</v>
      </c>
      <c r="AQ28" s="12" t="s">
        <v>169</v>
      </c>
      <c r="AR28" s="12" t="s">
        <v>169</v>
      </c>
      <c r="AS28" s="12" t="s">
        <v>169</v>
      </c>
      <c r="AT28" s="12" t="s">
        <v>169</v>
      </c>
      <c r="AU28" s="12" t="s">
        <v>169</v>
      </c>
      <c r="AV28" s="12" t="s">
        <v>169</v>
      </c>
      <c r="AW28" s="12" t="s">
        <v>169</v>
      </c>
      <c r="AX28" s="12" t="s">
        <v>169</v>
      </c>
      <c r="AY28" s="12" t="s">
        <v>169</v>
      </c>
      <c r="AZ28" s="12" t="s">
        <v>169</v>
      </c>
      <c r="BA28" s="12" t="s">
        <v>169</v>
      </c>
      <c r="BB28" s="12" t="s">
        <v>169</v>
      </c>
      <c r="BC28" s="12" t="s">
        <v>169</v>
      </c>
      <c r="BD28" s="12" t="s">
        <v>169</v>
      </c>
      <c r="BE28" s="12" t="s">
        <v>169</v>
      </c>
      <c r="BF28" s="12" t="s">
        <v>169</v>
      </c>
      <c r="BG28" s="12" t="s">
        <v>169</v>
      </c>
      <c r="BH28" s="12" t="s">
        <v>169</v>
      </c>
      <c r="BI28" s="12" t="s">
        <v>169</v>
      </c>
      <c r="BJ28" s="12" t="s">
        <v>169</v>
      </c>
      <c r="BK28" s="12" t="s">
        <v>169</v>
      </c>
      <c r="BL28" s="12" t="s">
        <v>169</v>
      </c>
      <c r="BM28" s="12" t="s">
        <v>169</v>
      </c>
      <c r="BN28" s="12" t="s">
        <v>169</v>
      </c>
      <c r="BO28" s="12" t="s">
        <v>169</v>
      </c>
      <c r="BP28" s="12" t="s">
        <v>169</v>
      </c>
      <c r="BQ28" s="12" t="s">
        <v>169</v>
      </c>
      <c r="BR28" s="12" t="s">
        <v>169</v>
      </c>
      <c r="BS28" s="12" t="s">
        <v>169</v>
      </c>
      <c r="BT28" s="12" t="s">
        <v>169</v>
      </c>
      <c r="BU28" s="12" t="s">
        <v>169</v>
      </c>
      <c r="BV28" s="12" t="s">
        <v>169</v>
      </c>
      <c r="BW28" s="12" t="s">
        <v>169</v>
      </c>
      <c r="BX28" s="12" t="s">
        <v>169</v>
      </c>
      <c r="BY28" s="12" t="s">
        <v>169</v>
      </c>
      <c r="BZ28" s="12" t="s">
        <v>169</v>
      </c>
      <c r="CA28" s="12" t="s">
        <v>169</v>
      </c>
      <c r="CB28" s="12" t="s">
        <v>169</v>
      </c>
      <c r="CC28" s="12" t="s">
        <v>169</v>
      </c>
      <c r="CD28" s="12">
        <v>2.2857142857142856</v>
      </c>
      <c r="CE28" s="12" t="s">
        <v>169</v>
      </c>
      <c r="CF28" s="12">
        <v>4.192428433811509</v>
      </c>
      <c r="CG28" s="12">
        <v>1.946351478032168</v>
      </c>
      <c r="CH28" s="12" t="s">
        <v>169</v>
      </c>
      <c r="CI28" s="12" t="s">
        <v>169</v>
      </c>
      <c r="CJ28" s="12" t="s">
        <v>169</v>
      </c>
      <c r="CK28" s="12" t="s">
        <v>169</v>
      </c>
      <c r="CL28" s="12" t="s">
        <v>169</v>
      </c>
      <c r="CM28" s="12" t="s">
        <v>169</v>
      </c>
      <c r="CN28" s="12" t="s">
        <v>169</v>
      </c>
      <c r="CO28" s="12" t="s">
        <v>169</v>
      </c>
      <c r="CP28" s="12" t="s">
        <v>169</v>
      </c>
      <c r="CQ28" s="12" t="s">
        <v>169</v>
      </c>
      <c r="CR28" s="12" t="s">
        <v>169</v>
      </c>
      <c r="CS28" s="12" t="s">
        <v>169</v>
      </c>
      <c r="CT28" s="12" t="s">
        <v>169</v>
      </c>
      <c r="CU28" s="12" t="s">
        <v>169</v>
      </c>
      <c r="CV28" s="12" t="s">
        <v>169</v>
      </c>
      <c r="CW28" s="12" t="s">
        <v>169</v>
      </c>
      <c r="CX28" s="12" t="s">
        <v>169</v>
      </c>
      <c r="CY28" s="12" t="s">
        <v>169</v>
      </c>
      <c r="CZ28" s="12" t="s">
        <v>169</v>
      </c>
      <c r="DA28" s="12" t="s">
        <v>169</v>
      </c>
      <c r="DB28" s="12" t="s">
        <v>169</v>
      </c>
      <c r="DC28" s="12" t="s">
        <v>169</v>
      </c>
      <c r="DD28" s="12" t="s">
        <v>169</v>
      </c>
      <c r="DE28" s="12" t="s">
        <v>169</v>
      </c>
      <c r="DF28" s="12" t="s">
        <v>169</v>
      </c>
      <c r="DG28" s="12" t="s">
        <v>169</v>
      </c>
      <c r="DH28" s="12" t="s">
        <v>169</v>
      </c>
      <c r="DI28" s="12" t="s">
        <v>169</v>
      </c>
      <c r="DJ28" s="12" t="s">
        <v>169</v>
      </c>
      <c r="DK28" s="12" t="s">
        <v>169</v>
      </c>
      <c r="DL28" s="12" t="s">
        <v>169</v>
      </c>
      <c r="DM28" s="12" t="s">
        <v>169</v>
      </c>
      <c r="DN28" s="12" t="s">
        <v>169</v>
      </c>
      <c r="DO28" s="12" t="s">
        <v>169</v>
      </c>
      <c r="DP28" s="12" t="s">
        <v>169</v>
      </c>
      <c r="DQ28" s="12" t="s">
        <v>169</v>
      </c>
      <c r="DR28" s="12" t="s">
        <v>169</v>
      </c>
      <c r="DS28" s="12" t="s">
        <v>169</v>
      </c>
      <c r="DT28" s="12" t="s">
        <v>169</v>
      </c>
      <c r="DU28" s="12" t="s">
        <v>169</v>
      </c>
    </row>
    <row r="29" spans="1:125" x14ac:dyDescent="0.25">
      <c r="A29" s="3" t="s">
        <v>26</v>
      </c>
      <c r="B29" s="3" t="s">
        <v>135</v>
      </c>
      <c r="C29" s="3" t="s">
        <v>80</v>
      </c>
      <c r="D29" s="7">
        <v>42860</v>
      </c>
      <c r="E29" s="8">
        <v>0.45833333333333331</v>
      </c>
      <c r="F29" s="10">
        <v>5.0250000000000004</v>
      </c>
      <c r="G29" s="10">
        <v>3.83</v>
      </c>
      <c r="H29" s="12" t="s">
        <v>169</v>
      </c>
      <c r="I29" s="12" t="s">
        <v>169</v>
      </c>
      <c r="J29" s="12" t="s">
        <v>169</v>
      </c>
      <c r="K29" s="12" t="s">
        <v>169</v>
      </c>
      <c r="L29" s="12" t="s">
        <v>169</v>
      </c>
      <c r="M29" s="12" t="s">
        <v>169</v>
      </c>
      <c r="N29" s="12" t="s">
        <v>169</v>
      </c>
      <c r="O29" s="12" t="s">
        <v>169</v>
      </c>
      <c r="P29" s="12" t="s">
        <v>169</v>
      </c>
      <c r="Q29" s="12" t="s">
        <v>169</v>
      </c>
      <c r="R29" s="12" t="s">
        <v>169</v>
      </c>
      <c r="S29" s="12" t="s">
        <v>169</v>
      </c>
      <c r="T29" s="12" t="s">
        <v>169</v>
      </c>
      <c r="U29" s="12" t="s">
        <v>169</v>
      </c>
      <c r="V29" s="12" t="s">
        <v>169</v>
      </c>
      <c r="W29" s="12" t="s">
        <v>169</v>
      </c>
      <c r="X29" s="12" t="s">
        <v>169</v>
      </c>
      <c r="Y29" s="12" t="s">
        <v>169</v>
      </c>
      <c r="Z29" s="12" t="s">
        <v>169</v>
      </c>
      <c r="AA29" s="12" t="s">
        <v>169</v>
      </c>
      <c r="AB29" s="12" t="s">
        <v>169</v>
      </c>
      <c r="AC29" s="12" t="s">
        <v>169</v>
      </c>
      <c r="AD29" s="12" t="s">
        <v>169</v>
      </c>
      <c r="AE29" s="12" t="s">
        <v>169</v>
      </c>
      <c r="AF29" s="12" t="s">
        <v>169</v>
      </c>
      <c r="AG29" s="12" t="s">
        <v>169</v>
      </c>
      <c r="AH29" s="12" t="s">
        <v>169</v>
      </c>
      <c r="AI29" s="12" t="s">
        <v>169</v>
      </c>
      <c r="AJ29" s="12" t="s">
        <v>169</v>
      </c>
      <c r="AK29" s="12" t="s">
        <v>169</v>
      </c>
      <c r="AL29" s="12" t="s">
        <v>169</v>
      </c>
      <c r="AM29" s="12" t="s">
        <v>169</v>
      </c>
      <c r="AN29" s="12" t="s">
        <v>169</v>
      </c>
      <c r="AO29" s="12" t="s">
        <v>169</v>
      </c>
      <c r="AP29" s="12">
        <v>7.6855721393034813</v>
      </c>
      <c r="AQ29" s="12" t="s">
        <v>169</v>
      </c>
      <c r="AR29" s="12" t="s">
        <v>169</v>
      </c>
      <c r="AS29" s="12" t="s">
        <v>169</v>
      </c>
      <c r="AT29" s="12" t="s">
        <v>169</v>
      </c>
      <c r="AU29" s="12" t="s">
        <v>169</v>
      </c>
      <c r="AV29" s="12" t="s">
        <v>169</v>
      </c>
      <c r="AW29" s="12" t="s">
        <v>169</v>
      </c>
      <c r="AX29" s="12" t="s">
        <v>169</v>
      </c>
      <c r="AY29" s="12" t="s">
        <v>169</v>
      </c>
      <c r="AZ29" s="12" t="s">
        <v>169</v>
      </c>
      <c r="BA29" s="12" t="s">
        <v>169</v>
      </c>
      <c r="BB29" s="12" t="s">
        <v>169</v>
      </c>
      <c r="BC29" s="12" t="s">
        <v>169</v>
      </c>
      <c r="BD29" s="12" t="s">
        <v>169</v>
      </c>
      <c r="BE29" s="12" t="s">
        <v>169</v>
      </c>
      <c r="BF29" s="12" t="s">
        <v>169</v>
      </c>
      <c r="BG29" s="12" t="s">
        <v>169</v>
      </c>
      <c r="BH29" s="12" t="s">
        <v>169</v>
      </c>
      <c r="BI29" s="12" t="s">
        <v>169</v>
      </c>
      <c r="BJ29" s="12" t="s">
        <v>169</v>
      </c>
      <c r="BK29" s="12" t="s">
        <v>169</v>
      </c>
      <c r="BL29" s="12" t="s">
        <v>169</v>
      </c>
      <c r="BM29" s="12" t="s">
        <v>169</v>
      </c>
      <c r="BN29" s="12" t="s">
        <v>169</v>
      </c>
      <c r="BO29" s="12" t="s">
        <v>169</v>
      </c>
      <c r="BP29" s="12" t="s">
        <v>169</v>
      </c>
      <c r="BQ29" s="12" t="s">
        <v>169</v>
      </c>
      <c r="BR29" s="12" t="s">
        <v>169</v>
      </c>
      <c r="BS29" s="12" t="s">
        <v>169</v>
      </c>
      <c r="BT29" s="12" t="s">
        <v>169</v>
      </c>
      <c r="BU29" s="12" t="s">
        <v>169</v>
      </c>
      <c r="BV29" s="12" t="s">
        <v>169</v>
      </c>
      <c r="BW29" s="12" t="s">
        <v>169</v>
      </c>
      <c r="BX29" s="12" t="s">
        <v>169</v>
      </c>
      <c r="BY29" s="12" t="s">
        <v>169</v>
      </c>
      <c r="BZ29" s="12" t="s">
        <v>169</v>
      </c>
      <c r="CA29" s="12" t="s">
        <v>169</v>
      </c>
      <c r="CB29" s="12" t="s">
        <v>169</v>
      </c>
      <c r="CC29" s="12" t="s">
        <v>169</v>
      </c>
      <c r="CD29" s="12" t="s">
        <v>169</v>
      </c>
      <c r="CE29" s="12" t="s">
        <v>169</v>
      </c>
      <c r="CF29" s="12">
        <v>1.5690866251849351</v>
      </c>
      <c r="CG29" s="12">
        <v>1.5814162089214725</v>
      </c>
      <c r="CH29" s="12" t="s">
        <v>169</v>
      </c>
      <c r="CI29" s="12" t="s">
        <v>169</v>
      </c>
      <c r="CJ29" s="12" t="s">
        <v>169</v>
      </c>
      <c r="CK29" s="12" t="s">
        <v>169</v>
      </c>
      <c r="CL29" s="12" t="s">
        <v>169</v>
      </c>
      <c r="CM29" s="12" t="s">
        <v>169</v>
      </c>
      <c r="CN29" s="12" t="s">
        <v>169</v>
      </c>
      <c r="CO29" s="12" t="s">
        <v>169</v>
      </c>
      <c r="CP29" s="12" t="s">
        <v>169</v>
      </c>
      <c r="CQ29" s="12" t="s">
        <v>169</v>
      </c>
      <c r="CR29" s="12" t="s">
        <v>169</v>
      </c>
      <c r="CS29" s="12" t="s">
        <v>169</v>
      </c>
      <c r="CT29" s="12" t="s">
        <v>169</v>
      </c>
      <c r="CU29" s="12" t="s">
        <v>169</v>
      </c>
      <c r="CV29" s="12" t="s">
        <v>169</v>
      </c>
      <c r="CW29" s="12" t="s">
        <v>169</v>
      </c>
      <c r="CX29" s="12" t="s">
        <v>169</v>
      </c>
      <c r="CY29" s="12" t="s">
        <v>169</v>
      </c>
      <c r="CZ29" s="12" t="s">
        <v>169</v>
      </c>
      <c r="DA29" s="12" t="s">
        <v>169</v>
      </c>
      <c r="DB29" s="12" t="s">
        <v>169</v>
      </c>
      <c r="DC29" s="12" t="s">
        <v>169</v>
      </c>
      <c r="DD29" s="12" t="s">
        <v>169</v>
      </c>
      <c r="DE29" s="12" t="s">
        <v>169</v>
      </c>
      <c r="DF29" s="12" t="s">
        <v>169</v>
      </c>
      <c r="DG29" s="12" t="s">
        <v>169</v>
      </c>
      <c r="DH29" s="12" t="s">
        <v>169</v>
      </c>
      <c r="DI29" s="12" t="s">
        <v>169</v>
      </c>
      <c r="DJ29" s="12" t="s">
        <v>169</v>
      </c>
      <c r="DK29" s="12" t="s">
        <v>169</v>
      </c>
      <c r="DL29" s="12" t="s">
        <v>169</v>
      </c>
      <c r="DM29" s="12" t="s">
        <v>169</v>
      </c>
      <c r="DN29" s="12" t="s">
        <v>169</v>
      </c>
      <c r="DO29" s="12" t="s">
        <v>169</v>
      </c>
      <c r="DP29" s="12" t="s">
        <v>169</v>
      </c>
      <c r="DQ29" s="12" t="s">
        <v>169</v>
      </c>
      <c r="DR29" s="12" t="s">
        <v>169</v>
      </c>
      <c r="DS29" s="12" t="s">
        <v>169</v>
      </c>
      <c r="DT29" s="12" t="s">
        <v>169</v>
      </c>
      <c r="DU29" s="12" t="s">
        <v>169</v>
      </c>
    </row>
    <row r="30" spans="1:125" x14ac:dyDescent="0.25">
      <c r="A30" s="3" t="s">
        <v>27</v>
      </c>
      <c r="B30" s="3" t="s">
        <v>136</v>
      </c>
      <c r="C30" s="3" t="s">
        <v>81</v>
      </c>
      <c r="D30" s="7">
        <v>42862</v>
      </c>
      <c r="E30" s="8">
        <v>0.4375</v>
      </c>
      <c r="F30" s="10">
        <v>5.01</v>
      </c>
      <c r="G30" s="10">
        <v>0.89</v>
      </c>
      <c r="H30" s="12" t="s">
        <v>169</v>
      </c>
      <c r="I30" s="12" t="s">
        <v>169</v>
      </c>
      <c r="J30" s="12" t="s">
        <v>169</v>
      </c>
      <c r="K30" s="12" t="s">
        <v>169</v>
      </c>
      <c r="L30" s="12" t="s">
        <v>169</v>
      </c>
      <c r="M30" s="12" t="s">
        <v>169</v>
      </c>
      <c r="N30" s="12" t="s">
        <v>169</v>
      </c>
      <c r="O30" s="12" t="s">
        <v>169</v>
      </c>
      <c r="P30" s="12" t="s">
        <v>169</v>
      </c>
      <c r="Q30" s="12" t="s">
        <v>169</v>
      </c>
      <c r="R30" s="12" t="s">
        <v>169</v>
      </c>
      <c r="S30" s="12" t="s">
        <v>169</v>
      </c>
      <c r="T30" s="12" t="s">
        <v>169</v>
      </c>
      <c r="U30" s="12" t="s">
        <v>169</v>
      </c>
      <c r="V30" s="12" t="s">
        <v>169</v>
      </c>
      <c r="W30" s="12" t="s">
        <v>169</v>
      </c>
      <c r="X30" s="12" t="s">
        <v>169</v>
      </c>
      <c r="Y30" s="12" t="s">
        <v>169</v>
      </c>
      <c r="Z30" s="12" t="s">
        <v>169</v>
      </c>
      <c r="AA30" s="12" t="s">
        <v>169</v>
      </c>
      <c r="AB30" s="12" t="s">
        <v>169</v>
      </c>
      <c r="AC30" s="12" t="s">
        <v>169</v>
      </c>
      <c r="AD30" s="12" t="s">
        <v>169</v>
      </c>
      <c r="AE30" s="12" t="s">
        <v>169</v>
      </c>
      <c r="AF30" s="12" t="s">
        <v>169</v>
      </c>
      <c r="AG30" s="12" t="s">
        <v>169</v>
      </c>
      <c r="AH30" s="12" t="s">
        <v>169</v>
      </c>
      <c r="AI30" s="12" t="s">
        <v>169</v>
      </c>
      <c r="AJ30" s="12" t="s">
        <v>169</v>
      </c>
      <c r="AK30" s="12" t="s">
        <v>169</v>
      </c>
      <c r="AL30" s="12" t="s">
        <v>169</v>
      </c>
      <c r="AM30" s="12" t="s">
        <v>169</v>
      </c>
      <c r="AN30" s="12" t="s">
        <v>169</v>
      </c>
      <c r="AO30" s="12" t="s">
        <v>169</v>
      </c>
      <c r="AP30" s="12" t="s">
        <v>169</v>
      </c>
      <c r="AQ30" s="12" t="s">
        <v>169</v>
      </c>
      <c r="AR30" s="12" t="s">
        <v>169</v>
      </c>
      <c r="AS30" s="12" t="s">
        <v>169</v>
      </c>
      <c r="AT30" s="12" t="s">
        <v>169</v>
      </c>
      <c r="AU30" s="12" t="s">
        <v>169</v>
      </c>
      <c r="AV30" s="12" t="s">
        <v>169</v>
      </c>
      <c r="AW30" s="12" t="s">
        <v>169</v>
      </c>
      <c r="AX30" s="12" t="s">
        <v>169</v>
      </c>
      <c r="AY30" s="12" t="s">
        <v>169</v>
      </c>
      <c r="AZ30" s="12" t="s">
        <v>169</v>
      </c>
      <c r="BA30" s="12" t="s">
        <v>169</v>
      </c>
      <c r="BB30" s="12" t="s">
        <v>169</v>
      </c>
      <c r="BC30" s="12" t="s">
        <v>169</v>
      </c>
      <c r="BD30" s="12" t="s">
        <v>169</v>
      </c>
      <c r="BE30" s="12" t="s">
        <v>169</v>
      </c>
      <c r="BF30" s="12" t="s">
        <v>169</v>
      </c>
      <c r="BG30" s="12" t="s">
        <v>169</v>
      </c>
      <c r="BH30" s="12" t="s">
        <v>169</v>
      </c>
      <c r="BI30" s="12" t="s">
        <v>169</v>
      </c>
      <c r="BJ30" s="12" t="s">
        <v>169</v>
      </c>
      <c r="BK30" s="12" t="s">
        <v>169</v>
      </c>
      <c r="BL30" s="12" t="s">
        <v>169</v>
      </c>
      <c r="BM30" s="12" t="s">
        <v>169</v>
      </c>
      <c r="BN30" s="12" t="s">
        <v>169</v>
      </c>
      <c r="BO30" s="12" t="s">
        <v>169</v>
      </c>
      <c r="BP30" s="12" t="s">
        <v>169</v>
      </c>
      <c r="BQ30" s="12" t="s">
        <v>169</v>
      </c>
      <c r="BR30" s="12" t="s">
        <v>169</v>
      </c>
      <c r="BS30" s="12" t="s">
        <v>169</v>
      </c>
      <c r="BT30" s="12" t="s">
        <v>169</v>
      </c>
      <c r="BU30" s="12" t="s">
        <v>169</v>
      </c>
      <c r="BV30" s="12" t="s">
        <v>169</v>
      </c>
      <c r="BW30" s="12" t="s">
        <v>169</v>
      </c>
      <c r="BX30" s="12" t="s">
        <v>169</v>
      </c>
      <c r="BY30" s="12" t="s">
        <v>169</v>
      </c>
      <c r="BZ30" s="12" t="s">
        <v>169</v>
      </c>
      <c r="CA30" s="12" t="s">
        <v>169</v>
      </c>
      <c r="CB30" s="12" t="s">
        <v>169</v>
      </c>
      <c r="CC30" s="12" t="s">
        <v>169</v>
      </c>
      <c r="CD30" s="12" t="s">
        <v>169</v>
      </c>
      <c r="CE30" s="12" t="s">
        <v>169</v>
      </c>
      <c r="CF30" s="12">
        <v>1.4405423350351219</v>
      </c>
      <c r="CG30" s="12">
        <v>4.1319875238506594</v>
      </c>
      <c r="CH30" s="12" t="s">
        <v>169</v>
      </c>
      <c r="CI30" s="12" t="s">
        <v>169</v>
      </c>
      <c r="CJ30" s="12" t="s">
        <v>169</v>
      </c>
      <c r="CK30" s="12" t="s">
        <v>169</v>
      </c>
      <c r="CL30" s="12" t="s">
        <v>169</v>
      </c>
      <c r="CM30" s="12" t="s">
        <v>169</v>
      </c>
      <c r="CN30" s="12" t="s">
        <v>169</v>
      </c>
      <c r="CO30" s="12" t="s">
        <v>169</v>
      </c>
      <c r="CP30" s="12" t="s">
        <v>169</v>
      </c>
      <c r="CQ30" s="12" t="s">
        <v>169</v>
      </c>
      <c r="CR30" s="12" t="s">
        <v>169</v>
      </c>
      <c r="CS30" s="12" t="s">
        <v>169</v>
      </c>
      <c r="CT30" s="12" t="s">
        <v>169</v>
      </c>
      <c r="CU30" s="12" t="s">
        <v>169</v>
      </c>
      <c r="CV30" s="12" t="s">
        <v>169</v>
      </c>
      <c r="CW30" s="12" t="s">
        <v>169</v>
      </c>
      <c r="CX30" s="12" t="s">
        <v>169</v>
      </c>
      <c r="CY30" s="12" t="s">
        <v>169</v>
      </c>
      <c r="CZ30" s="12" t="s">
        <v>169</v>
      </c>
      <c r="DA30" s="12" t="s">
        <v>169</v>
      </c>
      <c r="DB30" s="12" t="s">
        <v>169</v>
      </c>
      <c r="DC30" s="12" t="s">
        <v>169</v>
      </c>
      <c r="DD30" s="12" t="s">
        <v>169</v>
      </c>
      <c r="DE30" s="12" t="s">
        <v>169</v>
      </c>
      <c r="DF30" s="12" t="s">
        <v>169</v>
      </c>
      <c r="DG30" s="12" t="s">
        <v>169</v>
      </c>
      <c r="DH30" s="12" t="s">
        <v>169</v>
      </c>
      <c r="DI30" s="12" t="s">
        <v>169</v>
      </c>
      <c r="DJ30" s="12" t="s">
        <v>169</v>
      </c>
      <c r="DK30" s="12" t="s">
        <v>169</v>
      </c>
      <c r="DL30" s="12" t="s">
        <v>169</v>
      </c>
      <c r="DM30" s="12" t="s">
        <v>169</v>
      </c>
      <c r="DN30" s="12" t="s">
        <v>169</v>
      </c>
      <c r="DO30" s="12" t="s">
        <v>169</v>
      </c>
      <c r="DP30" s="12" t="s">
        <v>169</v>
      </c>
      <c r="DQ30" s="12" t="s">
        <v>169</v>
      </c>
      <c r="DR30" s="12" t="s">
        <v>169</v>
      </c>
      <c r="DS30" s="12" t="s">
        <v>169</v>
      </c>
      <c r="DT30" s="12" t="s">
        <v>169</v>
      </c>
      <c r="DU30" s="12" t="s">
        <v>169</v>
      </c>
    </row>
    <row r="31" spans="1:125" x14ac:dyDescent="0.25">
      <c r="A31" s="3" t="s">
        <v>28</v>
      </c>
      <c r="B31" s="3" t="s">
        <v>137</v>
      </c>
      <c r="C31" s="3" t="s">
        <v>82</v>
      </c>
      <c r="D31" s="7">
        <v>42865</v>
      </c>
      <c r="E31" s="8">
        <v>0.375</v>
      </c>
      <c r="F31" s="10">
        <v>5.03</v>
      </c>
      <c r="G31" s="10">
        <v>1.83</v>
      </c>
      <c r="H31" s="12" t="s">
        <v>169</v>
      </c>
      <c r="I31" s="12" t="s">
        <v>169</v>
      </c>
      <c r="J31" s="12" t="s">
        <v>169</v>
      </c>
      <c r="K31" s="12" t="s">
        <v>169</v>
      </c>
      <c r="L31" s="12" t="s">
        <v>169</v>
      </c>
      <c r="M31" s="12" t="s">
        <v>169</v>
      </c>
      <c r="N31" s="13" t="s">
        <v>169</v>
      </c>
      <c r="O31" s="12" t="s">
        <v>169</v>
      </c>
      <c r="P31" s="12" t="s">
        <v>169</v>
      </c>
      <c r="Q31" s="13" t="s">
        <v>169</v>
      </c>
      <c r="R31" s="12" t="s">
        <v>169</v>
      </c>
      <c r="S31" s="12" t="s">
        <v>169</v>
      </c>
      <c r="T31" s="13" t="s">
        <v>169</v>
      </c>
      <c r="U31" s="12" t="s">
        <v>169</v>
      </c>
      <c r="V31" s="12" t="s">
        <v>169</v>
      </c>
      <c r="W31" s="12" t="s">
        <v>169</v>
      </c>
      <c r="X31" s="13" t="s">
        <v>169</v>
      </c>
      <c r="Y31" s="12" t="s">
        <v>169</v>
      </c>
      <c r="Z31" s="12" t="s">
        <v>169</v>
      </c>
      <c r="AA31" s="12" t="s">
        <v>169</v>
      </c>
      <c r="AB31" s="12" t="s">
        <v>169</v>
      </c>
      <c r="AC31" s="12" t="s">
        <v>169</v>
      </c>
      <c r="AD31" s="12" t="s">
        <v>169</v>
      </c>
      <c r="AE31" s="12" t="s">
        <v>169</v>
      </c>
      <c r="AF31" s="12" t="s">
        <v>169</v>
      </c>
      <c r="AG31" s="13" t="s">
        <v>169</v>
      </c>
      <c r="AH31" s="13" t="s">
        <v>169</v>
      </c>
      <c r="AI31" s="12" t="s">
        <v>169</v>
      </c>
      <c r="AJ31" s="12" t="s">
        <v>169</v>
      </c>
      <c r="AK31" s="12" t="s">
        <v>169</v>
      </c>
      <c r="AL31" s="13" t="s">
        <v>169</v>
      </c>
      <c r="AM31" s="13" t="s">
        <v>169</v>
      </c>
      <c r="AN31" s="12" t="s">
        <v>169</v>
      </c>
      <c r="AO31" s="12" t="s">
        <v>169</v>
      </c>
      <c r="AP31" s="12" t="s">
        <v>169</v>
      </c>
      <c r="AQ31" s="12" t="s">
        <v>169</v>
      </c>
      <c r="AR31" s="12" t="s">
        <v>169</v>
      </c>
      <c r="AS31" s="13" t="s">
        <v>169</v>
      </c>
      <c r="AT31" s="13" t="s">
        <v>169</v>
      </c>
      <c r="AU31" s="13" t="s">
        <v>169</v>
      </c>
      <c r="AV31" s="13" t="s">
        <v>169</v>
      </c>
      <c r="AW31" s="12" t="s">
        <v>169</v>
      </c>
      <c r="AX31" s="12" t="s">
        <v>169</v>
      </c>
      <c r="AY31" s="12" t="s">
        <v>169</v>
      </c>
      <c r="AZ31" s="12" t="s">
        <v>169</v>
      </c>
      <c r="BA31" s="12" t="s">
        <v>169</v>
      </c>
      <c r="BB31" s="12" t="s">
        <v>169</v>
      </c>
      <c r="BC31" s="12">
        <v>5.2065957397240554</v>
      </c>
      <c r="BD31" s="12" t="s">
        <v>169</v>
      </c>
      <c r="BE31" s="13" t="s">
        <v>169</v>
      </c>
      <c r="BF31" s="13" t="s">
        <v>169</v>
      </c>
      <c r="BG31" s="12" t="s">
        <v>169</v>
      </c>
      <c r="BH31" s="12" t="s">
        <v>169</v>
      </c>
      <c r="BI31" s="13" t="s">
        <v>169</v>
      </c>
      <c r="BJ31" s="13" t="s">
        <v>169</v>
      </c>
      <c r="BK31" s="13" t="s">
        <v>169</v>
      </c>
      <c r="BL31" s="13" t="s">
        <v>169</v>
      </c>
      <c r="BM31" s="12" t="s">
        <v>169</v>
      </c>
      <c r="BN31" s="13" t="s">
        <v>169</v>
      </c>
      <c r="BO31" s="13" t="s">
        <v>169</v>
      </c>
      <c r="BP31" s="13" t="s">
        <v>169</v>
      </c>
      <c r="BQ31" s="13" t="s">
        <v>169</v>
      </c>
      <c r="BR31" s="12" t="s">
        <v>169</v>
      </c>
      <c r="BS31" s="13" t="s">
        <v>169</v>
      </c>
      <c r="BT31" s="13" t="s">
        <v>169</v>
      </c>
      <c r="BU31" s="12" t="s">
        <v>169</v>
      </c>
      <c r="BV31" s="12" t="s">
        <v>169</v>
      </c>
      <c r="BW31" s="12" t="s">
        <v>169</v>
      </c>
      <c r="BX31" s="12" t="s">
        <v>169</v>
      </c>
      <c r="BY31" s="12" t="s">
        <v>169</v>
      </c>
      <c r="BZ31" s="13" t="s">
        <v>169</v>
      </c>
      <c r="CA31" s="12" t="s">
        <v>169</v>
      </c>
      <c r="CB31" s="13" t="s">
        <v>169</v>
      </c>
      <c r="CC31" s="12" t="s">
        <v>169</v>
      </c>
      <c r="CD31" s="12" t="s">
        <v>169</v>
      </c>
      <c r="CE31" s="12">
        <v>2.0611320650494074</v>
      </c>
      <c r="CF31" s="12">
        <v>8.5572901671627832</v>
      </c>
      <c r="CG31" s="12">
        <v>7.4855313982693028</v>
      </c>
      <c r="CH31" s="12" t="s">
        <v>169</v>
      </c>
      <c r="CI31" s="13" t="s">
        <v>169</v>
      </c>
      <c r="CJ31" s="12" t="s">
        <v>169</v>
      </c>
      <c r="CK31" s="12" t="s">
        <v>169</v>
      </c>
      <c r="CL31" s="12" t="s">
        <v>169</v>
      </c>
      <c r="CM31" s="12" t="s">
        <v>169</v>
      </c>
      <c r="CN31" s="12" t="s">
        <v>169</v>
      </c>
      <c r="CO31" s="12" t="s">
        <v>169</v>
      </c>
      <c r="CP31" s="12" t="s">
        <v>169</v>
      </c>
      <c r="CQ31" s="12" t="s">
        <v>169</v>
      </c>
      <c r="CR31" s="12" t="s">
        <v>169</v>
      </c>
      <c r="CS31" s="12" t="s">
        <v>169</v>
      </c>
      <c r="CT31" s="12" t="s">
        <v>169</v>
      </c>
      <c r="CU31" s="13" t="s">
        <v>169</v>
      </c>
      <c r="CV31" s="12" t="s">
        <v>169</v>
      </c>
      <c r="CW31" s="13" t="s">
        <v>169</v>
      </c>
      <c r="CX31" s="12" t="s">
        <v>169</v>
      </c>
      <c r="CY31" s="13" t="s">
        <v>169</v>
      </c>
      <c r="CZ31" s="12" t="s">
        <v>169</v>
      </c>
      <c r="DA31" s="12" t="s">
        <v>169</v>
      </c>
      <c r="DB31" s="12" t="s">
        <v>169</v>
      </c>
      <c r="DC31" s="13" t="s">
        <v>169</v>
      </c>
      <c r="DD31" s="12" t="s">
        <v>169</v>
      </c>
      <c r="DE31" s="13" t="s">
        <v>169</v>
      </c>
      <c r="DF31" s="12" t="s">
        <v>169</v>
      </c>
      <c r="DG31" s="13" t="s">
        <v>169</v>
      </c>
      <c r="DH31" s="12" t="s">
        <v>169</v>
      </c>
      <c r="DI31" s="12" t="s">
        <v>169</v>
      </c>
      <c r="DJ31" s="12" t="s">
        <v>169</v>
      </c>
      <c r="DK31" s="12" t="s">
        <v>169</v>
      </c>
      <c r="DL31" s="13" t="s">
        <v>169</v>
      </c>
      <c r="DM31" s="13" t="s">
        <v>169</v>
      </c>
      <c r="DN31" s="12" t="s">
        <v>169</v>
      </c>
      <c r="DO31" s="13" t="s">
        <v>169</v>
      </c>
      <c r="DP31" s="13" t="s">
        <v>169</v>
      </c>
      <c r="DQ31" s="13" t="s">
        <v>169</v>
      </c>
      <c r="DR31" s="12" t="s">
        <v>169</v>
      </c>
      <c r="DS31" s="13" t="s">
        <v>169</v>
      </c>
      <c r="DT31" s="13" t="s">
        <v>169</v>
      </c>
      <c r="DU31" s="13" t="s">
        <v>169</v>
      </c>
    </row>
    <row r="32" spans="1:125" x14ac:dyDescent="0.25">
      <c r="A32" s="3" t="s">
        <v>29</v>
      </c>
      <c r="B32" s="3" t="s">
        <v>138</v>
      </c>
      <c r="C32" s="3" t="s">
        <v>83</v>
      </c>
      <c r="D32" s="7">
        <v>42858</v>
      </c>
      <c r="E32" s="8">
        <v>0.64583333333333337</v>
      </c>
      <c r="F32" s="10">
        <v>5.01</v>
      </c>
      <c r="G32" s="10">
        <v>0.49</v>
      </c>
      <c r="H32" s="12" t="s">
        <v>169</v>
      </c>
      <c r="I32" s="12" t="s">
        <v>169</v>
      </c>
      <c r="J32" s="12" t="s">
        <v>169</v>
      </c>
      <c r="K32" s="12" t="s">
        <v>169</v>
      </c>
      <c r="L32" s="12" t="s">
        <v>169</v>
      </c>
      <c r="M32" s="12" t="s">
        <v>169</v>
      </c>
      <c r="N32" s="12" t="s">
        <v>169</v>
      </c>
      <c r="O32" s="12" t="s">
        <v>169</v>
      </c>
      <c r="P32" s="12" t="s">
        <v>169</v>
      </c>
      <c r="Q32" s="12" t="s">
        <v>169</v>
      </c>
      <c r="R32" s="12" t="s">
        <v>169</v>
      </c>
      <c r="S32" s="12" t="s">
        <v>169</v>
      </c>
      <c r="T32" s="12" t="s">
        <v>169</v>
      </c>
      <c r="U32" s="12" t="s">
        <v>169</v>
      </c>
      <c r="V32" s="12" t="s">
        <v>169</v>
      </c>
      <c r="W32" s="12" t="s">
        <v>169</v>
      </c>
      <c r="X32" s="12" t="s">
        <v>169</v>
      </c>
      <c r="Y32" s="12" t="s">
        <v>169</v>
      </c>
      <c r="Z32" s="12" t="s">
        <v>169</v>
      </c>
      <c r="AA32" s="12" t="s">
        <v>169</v>
      </c>
      <c r="AB32" s="12" t="s">
        <v>169</v>
      </c>
      <c r="AC32" s="12" t="s">
        <v>169</v>
      </c>
      <c r="AD32" s="12" t="s">
        <v>169</v>
      </c>
      <c r="AE32" s="12" t="s">
        <v>169</v>
      </c>
      <c r="AF32" s="12" t="s">
        <v>169</v>
      </c>
      <c r="AG32" s="12" t="s">
        <v>169</v>
      </c>
      <c r="AH32" s="12" t="s">
        <v>169</v>
      </c>
      <c r="AI32" s="12" t="s">
        <v>169</v>
      </c>
      <c r="AJ32" s="12" t="s">
        <v>169</v>
      </c>
      <c r="AK32" s="12" t="s">
        <v>169</v>
      </c>
      <c r="AL32" s="12" t="s">
        <v>169</v>
      </c>
      <c r="AM32" s="12" t="s">
        <v>169</v>
      </c>
      <c r="AN32" s="12" t="s">
        <v>169</v>
      </c>
      <c r="AO32" s="12" t="s">
        <v>169</v>
      </c>
      <c r="AP32" s="12" t="s">
        <v>169</v>
      </c>
      <c r="AQ32" s="12" t="s">
        <v>169</v>
      </c>
      <c r="AR32" s="12" t="s">
        <v>169</v>
      </c>
      <c r="AS32" s="12" t="s">
        <v>169</v>
      </c>
      <c r="AT32" s="12" t="s">
        <v>169</v>
      </c>
      <c r="AU32" s="12" t="s">
        <v>169</v>
      </c>
      <c r="AV32" s="12" t="s">
        <v>169</v>
      </c>
      <c r="AW32" s="12" t="s">
        <v>169</v>
      </c>
      <c r="AX32" s="12" t="s">
        <v>169</v>
      </c>
      <c r="AY32" s="12" t="s">
        <v>169</v>
      </c>
      <c r="AZ32" s="12" t="s">
        <v>169</v>
      </c>
      <c r="BA32" s="12" t="s">
        <v>169</v>
      </c>
      <c r="BB32" s="12" t="s">
        <v>169</v>
      </c>
      <c r="BC32" s="12" t="s">
        <v>169</v>
      </c>
      <c r="BD32" s="12" t="s">
        <v>169</v>
      </c>
      <c r="BE32" s="12" t="s">
        <v>169</v>
      </c>
      <c r="BF32" s="12" t="s">
        <v>169</v>
      </c>
      <c r="BG32" s="12" t="s">
        <v>169</v>
      </c>
      <c r="BH32" s="12" t="s">
        <v>169</v>
      </c>
      <c r="BI32" s="12" t="s">
        <v>169</v>
      </c>
      <c r="BJ32" s="12" t="s">
        <v>169</v>
      </c>
      <c r="BK32" s="12" t="s">
        <v>169</v>
      </c>
      <c r="BL32" s="12" t="s">
        <v>169</v>
      </c>
      <c r="BM32" s="12" t="s">
        <v>169</v>
      </c>
      <c r="BN32" s="12" t="s">
        <v>169</v>
      </c>
      <c r="BO32" s="12" t="s">
        <v>169</v>
      </c>
      <c r="BP32" s="12" t="s">
        <v>169</v>
      </c>
      <c r="BQ32" s="12" t="s">
        <v>169</v>
      </c>
      <c r="BR32" s="12" t="s">
        <v>169</v>
      </c>
      <c r="BS32" s="12" t="s">
        <v>169</v>
      </c>
      <c r="BT32" s="12" t="s">
        <v>169</v>
      </c>
      <c r="BU32" s="12" t="s">
        <v>169</v>
      </c>
      <c r="BV32" s="12" t="s">
        <v>169</v>
      </c>
      <c r="BW32" s="12" t="s">
        <v>169</v>
      </c>
      <c r="BX32" s="12" t="s">
        <v>169</v>
      </c>
      <c r="BY32" s="12" t="s">
        <v>169</v>
      </c>
      <c r="BZ32" s="12" t="s">
        <v>169</v>
      </c>
      <c r="CA32" s="12" t="s">
        <v>169</v>
      </c>
      <c r="CB32" s="12" t="s">
        <v>169</v>
      </c>
      <c r="CC32" s="12" t="s">
        <v>169</v>
      </c>
      <c r="CD32" s="12" t="s">
        <v>169</v>
      </c>
      <c r="CE32" s="12" t="s">
        <v>169</v>
      </c>
      <c r="CF32" s="12" t="s">
        <v>169</v>
      </c>
      <c r="CG32" s="12" t="s">
        <v>169</v>
      </c>
      <c r="CH32" s="12" t="s">
        <v>169</v>
      </c>
      <c r="CI32" s="12" t="s">
        <v>169</v>
      </c>
      <c r="CJ32" s="12" t="s">
        <v>169</v>
      </c>
      <c r="CK32" s="12" t="s">
        <v>169</v>
      </c>
      <c r="CL32" s="12" t="s">
        <v>169</v>
      </c>
      <c r="CM32" s="12" t="s">
        <v>169</v>
      </c>
      <c r="CN32" s="12" t="s">
        <v>169</v>
      </c>
      <c r="CO32" s="12" t="s">
        <v>169</v>
      </c>
      <c r="CP32" s="12" t="s">
        <v>169</v>
      </c>
      <c r="CQ32" s="12" t="s">
        <v>169</v>
      </c>
      <c r="CR32" s="12" t="s">
        <v>169</v>
      </c>
      <c r="CS32" s="12" t="s">
        <v>169</v>
      </c>
      <c r="CT32" s="12" t="s">
        <v>169</v>
      </c>
      <c r="CU32" s="12" t="s">
        <v>169</v>
      </c>
      <c r="CV32" s="12" t="s">
        <v>169</v>
      </c>
      <c r="CW32" s="12" t="s">
        <v>169</v>
      </c>
      <c r="CX32" s="12" t="s">
        <v>169</v>
      </c>
      <c r="CY32" s="12" t="s">
        <v>169</v>
      </c>
      <c r="CZ32" s="12" t="s">
        <v>169</v>
      </c>
      <c r="DA32" s="12" t="s">
        <v>169</v>
      </c>
      <c r="DB32" s="12" t="s">
        <v>169</v>
      </c>
      <c r="DC32" s="12" t="s">
        <v>169</v>
      </c>
      <c r="DD32" s="12" t="s">
        <v>169</v>
      </c>
      <c r="DE32" s="12" t="s">
        <v>169</v>
      </c>
      <c r="DF32" s="12" t="s">
        <v>169</v>
      </c>
      <c r="DG32" s="12" t="s">
        <v>169</v>
      </c>
      <c r="DH32" s="12" t="s">
        <v>169</v>
      </c>
      <c r="DI32" s="12" t="s">
        <v>169</v>
      </c>
      <c r="DJ32" s="12" t="s">
        <v>169</v>
      </c>
      <c r="DK32" s="12" t="s">
        <v>169</v>
      </c>
      <c r="DL32" s="12" t="s">
        <v>169</v>
      </c>
      <c r="DM32" s="12" t="s">
        <v>169</v>
      </c>
      <c r="DN32" s="12" t="s">
        <v>169</v>
      </c>
      <c r="DO32" s="12" t="s">
        <v>169</v>
      </c>
      <c r="DP32" s="12" t="s">
        <v>169</v>
      </c>
      <c r="DQ32" s="12" t="s">
        <v>169</v>
      </c>
      <c r="DR32" s="12" t="s">
        <v>169</v>
      </c>
      <c r="DS32" s="12" t="s">
        <v>169</v>
      </c>
      <c r="DT32" s="12" t="s">
        <v>169</v>
      </c>
      <c r="DU32" s="12" t="s">
        <v>169</v>
      </c>
    </row>
    <row r="33" spans="1:125" x14ac:dyDescent="0.25">
      <c r="A33" s="3" t="s">
        <v>30</v>
      </c>
      <c r="B33" s="3" t="s">
        <v>139</v>
      </c>
      <c r="C33" s="3" t="s">
        <v>84</v>
      </c>
      <c r="D33" s="7">
        <v>42859</v>
      </c>
      <c r="E33" s="8">
        <v>0.45833333333333331</v>
      </c>
      <c r="F33" s="10">
        <v>5.01</v>
      </c>
      <c r="G33" s="10">
        <v>1.02</v>
      </c>
      <c r="H33" s="12" t="s">
        <v>169</v>
      </c>
      <c r="I33" s="12" t="s">
        <v>169</v>
      </c>
      <c r="J33" s="12" t="s">
        <v>169</v>
      </c>
      <c r="K33" s="12" t="s">
        <v>169</v>
      </c>
      <c r="L33" s="12" t="s">
        <v>169</v>
      </c>
      <c r="M33" s="12" t="s">
        <v>169</v>
      </c>
      <c r="N33" s="12" t="s">
        <v>169</v>
      </c>
      <c r="O33" s="12" t="s">
        <v>169</v>
      </c>
      <c r="P33" s="12">
        <v>1.217564870259481</v>
      </c>
      <c r="Q33" s="12" t="s">
        <v>169</v>
      </c>
      <c r="R33" s="12" t="s">
        <v>169</v>
      </c>
      <c r="S33" s="12" t="s">
        <v>169</v>
      </c>
      <c r="T33" s="12" t="s">
        <v>169</v>
      </c>
      <c r="U33" s="12" t="s">
        <v>169</v>
      </c>
      <c r="V33" s="12" t="s">
        <v>169</v>
      </c>
      <c r="W33" s="12" t="s">
        <v>169</v>
      </c>
      <c r="X33" s="12" t="s">
        <v>169</v>
      </c>
      <c r="Y33" s="12" t="s">
        <v>169</v>
      </c>
      <c r="Z33" s="12" t="s">
        <v>169</v>
      </c>
      <c r="AA33" s="12" t="s">
        <v>169</v>
      </c>
      <c r="AB33" s="12" t="s">
        <v>169</v>
      </c>
      <c r="AC33" s="12" t="s">
        <v>169</v>
      </c>
      <c r="AD33" s="12" t="s">
        <v>169</v>
      </c>
      <c r="AE33" s="12" t="s">
        <v>169</v>
      </c>
      <c r="AF33" s="12" t="s">
        <v>169</v>
      </c>
      <c r="AG33" s="12" t="s">
        <v>169</v>
      </c>
      <c r="AH33" s="12" t="s">
        <v>169</v>
      </c>
      <c r="AI33" s="12" t="s">
        <v>169</v>
      </c>
      <c r="AJ33" s="12" t="s">
        <v>169</v>
      </c>
      <c r="AK33" s="12" t="s">
        <v>169</v>
      </c>
      <c r="AL33" s="12" t="s">
        <v>169</v>
      </c>
      <c r="AM33" s="12" t="s">
        <v>169</v>
      </c>
      <c r="AN33" s="12" t="s">
        <v>169</v>
      </c>
      <c r="AO33" s="12" t="s">
        <v>169</v>
      </c>
      <c r="AP33" s="12" t="s">
        <v>169</v>
      </c>
      <c r="AQ33" s="12" t="s">
        <v>169</v>
      </c>
      <c r="AR33" s="12" t="s">
        <v>169</v>
      </c>
      <c r="AS33" s="12" t="s">
        <v>169</v>
      </c>
      <c r="AT33" s="12" t="s">
        <v>169</v>
      </c>
      <c r="AU33" s="12" t="s">
        <v>169</v>
      </c>
      <c r="AV33" s="12" t="s">
        <v>169</v>
      </c>
      <c r="AW33" s="12" t="s">
        <v>169</v>
      </c>
      <c r="AX33" s="12" t="s">
        <v>169</v>
      </c>
      <c r="AY33" s="12" t="s">
        <v>169</v>
      </c>
      <c r="AZ33" s="12" t="s">
        <v>169</v>
      </c>
      <c r="BA33" s="12" t="s">
        <v>169</v>
      </c>
      <c r="BB33" s="12" t="s">
        <v>169</v>
      </c>
      <c r="BC33" s="12" t="s">
        <v>169</v>
      </c>
      <c r="BD33" s="12" t="s">
        <v>169</v>
      </c>
      <c r="BE33" s="12" t="s">
        <v>169</v>
      </c>
      <c r="BF33" s="12" t="s">
        <v>169</v>
      </c>
      <c r="BG33" s="12" t="s">
        <v>169</v>
      </c>
      <c r="BH33" s="12" t="s">
        <v>169</v>
      </c>
      <c r="BI33" s="12" t="s">
        <v>169</v>
      </c>
      <c r="BJ33" s="12" t="s">
        <v>169</v>
      </c>
      <c r="BK33" s="12" t="s">
        <v>169</v>
      </c>
      <c r="BL33" s="12" t="s">
        <v>169</v>
      </c>
      <c r="BM33" s="12" t="s">
        <v>169</v>
      </c>
      <c r="BN33" s="12" t="s">
        <v>169</v>
      </c>
      <c r="BO33" s="12" t="s">
        <v>169</v>
      </c>
      <c r="BP33" s="12" t="s">
        <v>169</v>
      </c>
      <c r="BQ33" s="12" t="s">
        <v>169</v>
      </c>
      <c r="BR33" s="12" t="s">
        <v>169</v>
      </c>
      <c r="BS33" s="12" t="s">
        <v>169</v>
      </c>
      <c r="BT33" s="12" t="s">
        <v>169</v>
      </c>
      <c r="BU33" s="12" t="s">
        <v>169</v>
      </c>
      <c r="BV33" s="12" t="s">
        <v>169</v>
      </c>
      <c r="BW33" s="12" t="s">
        <v>169</v>
      </c>
      <c r="BX33" s="12" t="s">
        <v>169</v>
      </c>
      <c r="BY33" s="12" t="s">
        <v>169</v>
      </c>
      <c r="BZ33" s="12" t="s">
        <v>169</v>
      </c>
      <c r="CA33" s="12" t="s">
        <v>169</v>
      </c>
      <c r="CB33" s="12" t="s">
        <v>169</v>
      </c>
      <c r="CC33" s="12" t="s">
        <v>169</v>
      </c>
      <c r="CD33" s="12" t="s">
        <v>169</v>
      </c>
      <c r="CE33" s="12">
        <v>1.8376176344863515</v>
      </c>
      <c r="CF33" s="12">
        <v>3.8663058180797565</v>
      </c>
      <c r="CG33" s="12">
        <v>3.0743427950894215</v>
      </c>
      <c r="CH33" s="12" t="s">
        <v>169</v>
      </c>
      <c r="CI33" s="12" t="s">
        <v>169</v>
      </c>
      <c r="CJ33" s="12" t="s">
        <v>169</v>
      </c>
      <c r="CK33" s="12">
        <v>2.3233532934131738</v>
      </c>
      <c r="CL33" s="12" t="s">
        <v>169</v>
      </c>
      <c r="CM33" s="12" t="s">
        <v>169</v>
      </c>
      <c r="CN33" s="12" t="s">
        <v>169</v>
      </c>
      <c r="CO33" s="12" t="s">
        <v>169</v>
      </c>
      <c r="CP33" s="12" t="s">
        <v>169</v>
      </c>
      <c r="CQ33" s="12" t="s">
        <v>169</v>
      </c>
      <c r="CR33" s="12" t="s">
        <v>169</v>
      </c>
      <c r="CS33" s="12" t="s">
        <v>169</v>
      </c>
      <c r="CT33" s="12" t="s">
        <v>169</v>
      </c>
      <c r="CU33" s="12" t="s">
        <v>169</v>
      </c>
      <c r="CV33" s="12" t="s">
        <v>169</v>
      </c>
      <c r="CW33" s="12" t="s">
        <v>169</v>
      </c>
      <c r="CX33" s="12" t="s">
        <v>169</v>
      </c>
      <c r="CY33" s="12" t="s">
        <v>169</v>
      </c>
      <c r="CZ33" s="12" t="s">
        <v>169</v>
      </c>
      <c r="DA33" s="12" t="s">
        <v>169</v>
      </c>
      <c r="DB33" s="12" t="s">
        <v>169</v>
      </c>
      <c r="DC33" s="12" t="s">
        <v>169</v>
      </c>
      <c r="DD33" s="12" t="s">
        <v>169</v>
      </c>
      <c r="DE33" s="12" t="s">
        <v>169</v>
      </c>
      <c r="DF33" s="12" t="s">
        <v>169</v>
      </c>
      <c r="DG33" s="12" t="s">
        <v>169</v>
      </c>
      <c r="DH33" s="12" t="s">
        <v>169</v>
      </c>
      <c r="DI33" s="12" t="s">
        <v>169</v>
      </c>
      <c r="DJ33" s="12" t="s">
        <v>169</v>
      </c>
      <c r="DK33" s="12" t="s">
        <v>169</v>
      </c>
      <c r="DL33" s="12" t="s">
        <v>169</v>
      </c>
      <c r="DM33" s="12" t="s">
        <v>169</v>
      </c>
      <c r="DN33" s="12" t="s">
        <v>169</v>
      </c>
      <c r="DO33" s="12" t="s">
        <v>169</v>
      </c>
      <c r="DP33" s="12" t="s">
        <v>169</v>
      </c>
      <c r="DQ33" s="12" t="s">
        <v>169</v>
      </c>
      <c r="DR33" s="12" t="s">
        <v>169</v>
      </c>
      <c r="DS33" s="12" t="s">
        <v>169</v>
      </c>
      <c r="DT33" s="12" t="s">
        <v>169</v>
      </c>
      <c r="DU33" s="12" t="s">
        <v>169</v>
      </c>
    </row>
    <row r="34" spans="1:125" x14ac:dyDescent="0.25">
      <c r="A34" s="3" t="s">
        <v>31</v>
      </c>
      <c r="B34" s="3" t="s">
        <v>140</v>
      </c>
      <c r="C34" s="3" t="s">
        <v>85</v>
      </c>
      <c r="D34" s="7">
        <v>42857</v>
      </c>
      <c r="E34" s="8">
        <v>0.64583333333333337</v>
      </c>
      <c r="F34" s="10">
        <v>5.0250000000000004</v>
      </c>
      <c r="G34" s="10">
        <v>2.37</v>
      </c>
      <c r="H34" s="12" t="s">
        <v>169</v>
      </c>
      <c r="I34" s="12" t="s">
        <v>169</v>
      </c>
      <c r="J34" s="12" t="s">
        <v>169</v>
      </c>
      <c r="K34" s="12" t="s">
        <v>169</v>
      </c>
      <c r="L34" s="12" t="s">
        <v>169</v>
      </c>
      <c r="M34" s="12" t="s">
        <v>169</v>
      </c>
      <c r="N34" s="12" t="s">
        <v>169</v>
      </c>
      <c r="O34" s="12" t="s">
        <v>169</v>
      </c>
      <c r="P34" s="12">
        <v>0.66069651741293522</v>
      </c>
      <c r="Q34" s="12" t="s">
        <v>169</v>
      </c>
      <c r="R34" s="12" t="s">
        <v>169</v>
      </c>
      <c r="S34" s="12" t="s">
        <v>169</v>
      </c>
      <c r="T34" s="12" t="s">
        <v>169</v>
      </c>
      <c r="U34" s="12" t="s">
        <v>169</v>
      </c>
      <c r="V34" s="12" t="s">
        <v>169</v>
      </c>
      <c r="W34" s="12" t="s">
        <v>169</v>
      </c>
      <c r="X34" s="12" t="s">
        <v>169</v>
      </c>
      <c r="Y34" s="12" t="s">
        <v>169</v>
      </c>
      <c r="Z34" s="12" t="s">
        <v>169</v>
      </c>
      <c r="AA34" s="12" t="s">
        <v>169</v>
      </c>
      <c r="AB34" s="12" t="s">
        <v>169</v>
      </c>
      <c r="AC34" s="12" t="s">
        <v>169</v>
      </c>
      <c r="AD34" s="12" t="s">
        <v>169</v>
      </c>
      <c r="AE34" s="12" t="s">
        <v>169</v>
      </c>
      <c r="AF34" s="12" t="s">
        <v>169</v>
      </c>
      <c r="AG34" s="12" t="s">
        <v>169</v>
      </c>
      <c r="AH34" s="12" t="s">
        <v>169</v>
      </c>
      <c r="AI34" s="12" t="s">
        <v>169</v>
      </c>
      <c r="AJ34" s="12" t="s">
        <v>169</v>
      </c>
      <c r="AK34" s="12" t="s">
        <v>169</v>
      </c>
      <c r="AL34" s="12" t="s">
        <v>169</v>
      </c>
      <c r="AM34" s="12" t="s">
        <v>169</v>
      </c>
      <c r="AN34" s="12">
        <v>4.3552559110477604</v>
      </c>
      <c r="AO34" s="12" t="s">
        <v>169</v>
      </c>
      <c r="AP34" s="12" t="s">
        <v>169</v>
      </c>
      <c r="AQ34" s="12" t="s">
        <v>169</v>
      </c>
      <c r="AR34" s="12" t="s">
        <v>169</v>
      </c>
      <c r="AS34" s="12" t="s">
        <v>169</v>
      </c>
      <c r="AT34" s="12" t="s">
        <v>169</v>
      </c>
      <c r="AU34" s="12" t="s">
        <v>169</v>
      </c>
      <c r="AV34" s="12" t="s">
        <v>169</v>
      </c>
      <c r="AW34" s="12" t="s">
        <v>169</v>
      </c>
      <c r="AX34" s="12" t="s">
        <v>169</v>
      </c>
      <c r="AY34" s="12" t="s">
        <v>169</v>
      </c>
      <c r="AZ34" s="12" t="s">
        <v>169</v>
      </c>
      <c r="BA34" s="12" t="s">
        <v>169</v>
      </c>
      <c r="BB34" s="12" t="s">
        <v>169</v>
      </c>
      <c r="BC34" s="12" t="s">
        <v>169</v>
      </c>
      <c r="BD34" s="12" t="s">
        <v>169</v>
      </c>
      <c r="BE34" s="12" t="s">
        <v>169</v>
      </c>
      <c r="BF34" s="12" t="s">
        <v>169</v>
      </c>
      <c r="BG34" s="12" t="s">
        <v>169</v>
      </c>
      <c r="BH34" s="12" t="s">
        <v>169</v>
      </c>
      <c r="BI34" s="12" t="s">
        <v>169</v>
      </c>
      <c r="BJ34" s="12" t="s">
        <v>169</v>
      </c>
      <c r="BK34" s="12" t="s">
        <v>169</v>
      </c>
      <c r="BL34" s="12" t="s">
        <v>169</v>
      </c>
      <c r="BM34" s="12" t="s">
        <v>169</v>
      </c>
      <c r="BN34" s="12" t="s">
        <v>169</v>
      </c>
      <c r="BO34" s="12" t="s">
        <v>169</v>
      </c>
      <c r="BP34" s="12" t="s">
        <v>169</v>
      </c>
      <c r="BQ34" s="12" t="s">
        <v>169</v>
      </c>
      <c r="BR34" s="12" t="s">
        <v>169</v>
      </c>
      <c r="BS34" s="12" t="s">
        <v>169</v>
      </c>
      <c r="BT34" s="12" t="s">
        <v>169</v>
      </c>
      <c r="BU34" s="12" t="s">
        <v>169</v>
      </c>
      <c r="BV34" s="12" t="s">
        <v>169</v>
      </c>
      <c r="BW34" s="12" t="s">
        <v>169</v>
      </c>
      <c r="BX34" s="12" t="s">
        <v>169</v>
      </c>
      <c r="BY34" s="12" t="s">
        <v>169</v>
      </c>
      <c r="BZ34" s="12" t="s">
        <v>169</v>
      </c>
      <c r="CA34" s="12" t="s">
        <v>169</v>
      </c>
      <c r="CB34" s="12" t="s">
        <v>169</v>
      </c>
      <c r="CC34" s="12" t="s">
        <v>169</v>
      </c>
      <c r="CD34" s="12" t="s">
        <v>169</v>
      </c>
      <c r="CE34" s="12">
        <v>1.7103682166209511</v>
      </c>
      <c r="CF34" s="12">
        <v>4.2291593676352237</v>
      </c>
      <c r="CG34" s="12">
        <v>4.1047304853915616</v>
      </c>
      <c r="CH34" s="12" t="s">
        <v>169</v>
      </c>
      <c r="CI34" s="12" t="s">
        <v>169</v>
      </c>
      <c r="CJ34" s="12" t="s">
        <v>169</v>
      </c>
      <c r="CK34" s="12" t="s">
        <v>169</v>
      </c>
      <c r="CL34" s="12" t="s">
        <v>169</v>
      </c>
      <c r="CM34" s="12" t="s">
        <v>169</v>
      </c>
      <c r="CN34" s="12" t="s">
        <v>169</v>
      </c>
      <c r="CO34" s="12" t="s">
        <v>169</v>
      </c>
      <c r="CP34" s="12" t="s">
        <v>169</v>
      </c>
      <c r="CQ34" s="12" t="s">
        <v>169</v>
      </c>
      <c r="CR34" s="12" t="s">
        <v>169</v>
      </c>
      <c r="CS34" s="12" t="s">
        <v>169</v>
      </c>
      <c r="CT34" s="12" t="s">
        <v>169</v>
      </c>
      <c r="CU34" s="12" t="s">
        <v>169</v>
      </c>
      <c r="CV34" s="12" t="s">
        <v>169</v>
      </c>
      <c r="CW34" s="12" t="s">
        <v>169</v>
      </c>
      <c r="CX34" s="12" t="s">
        <v>169</v>
      </c>
      <c r="CY34" s="12" t="s">
        <v>169</v>
      </c>
      <c r="CZ34" s="12" t="s">
        <v>169</v>
      </c>
      <c r="DA34" s="12" t="s">
        <v>169</v>
      </c>
      <c r="DB34" s="12" t="s">
        <v>169</v>
      </c>
      <c r="DC34" s="12" t="s">
        <v>169</v>
      </c>
      <c r="DD34" s="12" t="s">
        <v>169</v>
      </c>
      <c r="DE34" s="12" t="s">
        <v>169</v>
      </c>
      <c r="DF34" s="12" t="s">
        <v>169</v>
      </c>
      <c r="DG34" s="12" t="s">
        <v>169</v>
      </c>
      <c r="DH34" s="12" t="s">
        <v>169</v>
      </c>
      <c r="DI34" s="12" t="s">
        <v>169</v>
      </c>
      <c r="DJ34" s="12" t="s">
        <v>169</v>
      </c>
      <c r="DK34" s="12" t="s">
        <v>169</v>
      </c>
      <c r="DL34" s="12" t="s">
        <v>169</v>
      </c>
      <c r="DM34" s="12" t="s">
        <v>169</v>
      </c>
      <c r="DN34" s="12" t="s">
        <v>169</v>
      </c>
      <c r="DO34" s="12" t="s">
        <v>169</v>
      </c>
      <c r="DP34" s="12" t="s">
        <v>169</v>
      </c>
      <c r="DQ34" s="12" t="s">
        <v>169</v>
      </c>
      <c r="DR34" s="12" t="s">
        <v>169</v>
      </c>
      <c r="DS34" s="12" t="s">
        <v>169</v>
      </c>
      <c r="DT34" s="12" t="s">
        <v>169</v>
      </c>
      <c r="DU34" s="12" t="s">
        <v>169</v>
      </c>
    </row>
    <row r="35" spans="1:125" x14ac:dyDescent="0.25">
      <c r="A35" s="3" t="s">
        <v>32</v>
      </c>
      <c r="B35" s="3" t="s">
        <v>141</v>
      </c>
      <c r="C35" s="3" t="s">
        <v>86</v>
      </c>
      <c r="D35" s="7">
        <v>42867</v>
      </c>
      <c r="E35" s="8">
        <v>0.375</v>
      </c>
      <c r="F35" s="10">
        <v>5.13</v>
      </c>
      <c r="G35" s="10">
        <v>0.43</v>
      </c>
      <c r="H35" s="12" t="s">
        <v>169</v>
      </c>
      <c r="I35" s="12" t="s">
        <v>169</v>
      </c>
      <c r="J35" s="12" t="s">
        <v>169</v>
      </c>
      <c r="K35" s="12" t="s">
        <v>169</v>
      </c>
      <c r="L35" s="12" t="s">
        <v>169</v>
      </c>
      <c r="M35" s="12" t="s">
        <v>169</v>
      </c>
      <c r="N35" s="12" t="s">
        <v>169</v>
      </c>
      <c r="O35" s="12" t="s">
        <v>169</v>
      </c>
      <c r="P35" s="12" t="s">
        <v>169</v>
      </c>
      <c r="Q35" s="12" t="s">
        <v>169</v>
      </c>
      <c r="R35" s="12" t="s">
        <v>169</v>
      </c>
      <c r="S35" s="12" t="s">
        <v>169</v>
      </c>
      <c r="T35" s="12" t="s">
        <v>169</v>
      </c>
      <c r="U35" s="12" t="s">
        <v>169</v>
      </c>
      <c r="V35" s="12" t="s">
        <v>169</v>
      </c>
      <c r="W35" s="12" t="s">
        <v>169</v>
      </c>
      <c r="X35" s="12" t="s">
        <v>169</v>
      </c>
      <c r="Y35" s="12" t="s">
        <v>169</v>
      </c>
      <c r="Z35" s="12" t="s">
        <v>169</v>
      </c>
      <c r="AA35" s="12" t="s">
        <v>169</v>
      </c>
      <c r="AB35" s="12" t="s">
        <v>169</v>
      </c>
      <c r="AC35" s="12" t="s">
        <v>169</v>
      </c>
      <c r="AD35" s="12" t="s">
        <v>169</v>
      </c>
      <c r="AE35" s="12" t="s">
        <v>169</v>
      </c>
      <c r="AF35" s="12" t="s">
        <v>169</v>
      </c>
      <c r="AG35" s="12" t="s">
        <v>169</v>
      </c>
      <c r="AH35" s="12" t="s">
        <v>169</v>
      </c>
      <c r="AI35" s="12" t="s">
        <v>169</v>
      </c>
      <c r="AJ35" s="12" t="s">
        <v>169</v>
      </c>
      <c r="AK35" s="12" t="s">
        <v>169</v>
      </c>
      <c r="AL35" s="12" t="s">
        <v>169</v>
      </c>
      <c r="AM35" s="12" t="s">
        <v>169</v>
      </c>
      <c r="AN35" s="12" t="s">
        <v>169</v>
      </c>
      <c r="AO35" s="12" t="s">
        <v>169</v>
      </c>
      <c r="AP35" s="12" t="s">
        <v>169</v>
      </c>
      <c r="AQ35" s="12" t="s">
        <v>169</v>
      </c>
      <c r="AR35" s="12" t="s">
        <v>169</v>
      </c>
      <c r="AS35" s="12" t="s">
        <v>169</v>
      </c>
      <c r="AT35" s="12" t="s">
        <v>169</v>
      </c>
      <c r="AU35" s="12" t="s">
        <v>169</v>
      </c>
      <c r="AV35" s="12" t="s">
        <v>169</v>
      </c>
      <c r="AW35" s="12" t="s">
        <v>169</v>
      </c>
      <c r="AX35" s="12" t="s">
        <v>169</v>
      </c>
      <c r="AY35" s="12" t="s">
        <v>169</v>
      </c>
      <c r="AZ35" s="12" t="s">
        <v>169</v>
      </c>
      <c r="BA35" s="12" t="s">
        <v>169</v>
      </c>
      <c r="BB35" s="12" t="s">
        <v>169</v>
      </c>
      <c r="BC35" s="12" t="s">
        <v>169</v>
      </c>
      <c r="BD35" s="12" t="s">
        <v>169</v>
      </c>
      <c r="BE35" s="12" t="s">
        <v>169</v>
      </c>
      <c r="BF35" s="12" t="s">
        <v>169</v>
      </c>
      <c r="BG35" s="12" t="s">
        <v>169</v>
      </c>
      <c r="BH35" s="12" t="s">
        <v>169</v>
      </c>
      <c r="BI35" s="12" t="s">
        <v>169</v>
      </c>
      <c r="BJ35" s="12" t="s">
        <v>169</v>
      </c>
      <c r="BK35" s="12" t="s">
        <v>169</v>
      </c>
      <c r="BL35" s="12" t="s">
        <v>169</v>
      </c>
      <c r="BM35" s="12" t="s">
        <v>169</v>
      </c>
      <c r="BN35" s="12" t="s">
        <v>169</v>
      </c>
      <c r="BO35" s="12" t="s">
        <v>169</v>
      </c>
      <c r="BP35" s="12" t="s">
        <v>169</v>
      </c>
      <c r="BQ35" s="12" t="s">
        <v>169</v>
      </c>
      <c r="BR35" s="12" t="s">
        <v>169</v>
      </c>
      <c r="BS35" s="12" t="s">
        <v>169</v>
      </c>
      <c r="BT35" s="12" t="s">
        <v>169</v>
      </c>
      <c r="BU35" s="12" t="s">
        <v>169</v>
      </c>
      <c r="BV35" s="12" t="s">
        <v>169</v>
      </c>
      <c r="BW35" s="12" t="s">
        <v>169</v>
      </c>
      <c r="BX35" s="12" t="s">
        <v>169</v>
      </c>
      <c r="BY35" s="12" t="s">
        <v>169</v>
      </c>
      <c r="BZ35" s="12" t="s">
        <v>169</v>
      </c>
      <c r="CA35" s="12" t="s">
        <v>169</v>
      </c>
      <c r="CB35" s="12" t="s">
        <v>169</v>
      </c>
      <c r="CC35" s="12" t="s">
        <v>169</v>
      </c>
      <c r="CD35" s="12" t="s">
        <v>169</v>
      </c>
      <c r="CE35" s="12">
        <v>2.6549707602339181</v>
      </c>
      <c r="CF35" s="12">
        <v>3.7096966327911467</v>
      </c>
      <c r="CG35" s="12">
        <v>10.167652486707563</v>
      </c>
      <c r="CH35" s="12" t="s">
        <v>169</v>
      </c>
      <c r="CI35" s="12" t="s">
        <v>169</v>
      </c>
      <c r="CJ35" s="12" t="s">
        <v>169</v>
      </c>
      <c r="CK35" s="12" t="s">
        <v>169</v>
      </c>
      <c r="CL35" s="12" t="s">
        <v>169</v>
      </c>
      <c r="CM35" s="12" t="s">
        <v>169</v>
      </c>
      <c r="CN35" s="12" t="s">
        <v>169</v>
      </c>
      <c r="CO35" s="12" t="s">
        <v>169</v>
      </c>
      <c r="CP35" s="12" t="s">
        <v>169</v>
      </c>
      <c r="CQ35" s="12" t="s">
        <v>169</v>
      </c>
      <c r="CR35" s="12" t="s">
        <v>169</v>
      </c>
      <c r="CS35" s="12" t="s">
        <v>169</v>
      </c>
      <c r="CT35" s="12" t="s">
        <v>169</v>
      </c>
      <c r="CU35" s="12" t="s">
        <v>169</v>
      </c>
      <c r="CV35" s="12" t="s">
        <v>169</v>
      </c>
      <c r="CW35" s="12" t="s">
        <v>169</v>
      </c>
      <c r="CX35" s="12" t="s">
        <v>169</v>
      </c>
      <c r="CY35" s="12" t="s">
        <v>169</v>
      </c>
      <c r="CZ35" s="12" t="s">
        <v>169</v>
      </c>
      <c r="DA35" s="12" t="s">
        <v>169</v>
      </c>
      <c r="DB35" s="12" t="s">
        <v>169</v>
      </c>
      <c r="DC35" s="12" t="s">
        <v>169</v>
      </c>
      <c r="DD35" s="12" t="s">
        <v>169</v>
      </c>
      <c r="DE35" s="12" t="s">
        <v>169</v>
      </c>
      <c r="DF35" s="12" t="s">
        <v>169</v>
      </c>
      <c r="DG35" s="12" t="s">
        <v>169</v>
      </c>
      <c r="DH35" s="12" t="s">
        <v>169</v>
      </c>
      <c r="DI35" s="12" t="s">
        <v>169</v>
      </c>
      <c r="DJ35" s="12" t="s">
        <v>169</v>
      </c>
      <c r="DK35" s="12" t="s">
        <v>169</v>
      </c>
      <c r="DL35" s="12" t="s">
        <v>169</v>
      </c>
      <c r="DM35" s="12" t="s">
        <v>169</v>
      </c>
      <c r="DN35" s="12" t="s">
        <v>169</v>
      </c>
      <c r="DO35" s="12" t="s">
        <v>169</v>
      </c>
      <c r="DP35" s="12" t="s">
        <v>169</v>
      </c>
      <c r="DQ35" s="12" t="s">
        <v>169</v>
      </c>
      <c r="DR35" s="12" t="s">
        <v>169</v>
      </c>
      <c r="DS35" s="12" t="s">
        <v>169</v>
      </c>
      <c r="DT35" s="12" t="s">
        <v>169</v>
      </c>
      <c r="DU35" s="12" t="s">
        <v>169</v>
      </c>
    </row>
    <row r="36" spans="1:125" x14ac:dyDescent="0.25">
      <c r="A36" s="3" t="s">
        <v>33</v>
      </c>
      <c r="B36" s="3" t="s">
        <v>142</v>
      </c>
      <c r="C36" s="3" t="s">
        <v>87</v>
      </c>
      <c r="D36" s="7">
        <v>42868</v>
      </c>
      <c r="E36" s="8">
        <v>0.375</v>
      </c>
      <c r="F36" s="10">
        <v>5.01</v>
      </c>
      <c r="G36" s="10">
        <v>1.1399999999999999</v>
      </c>
      <c r="H36" s="12" t="s">
        <v>169</v>
      </c>
      <c r="I36" s="12" t="s">
        <v>169</v>
      </c>
      <c r="J36" s="12" t="s">
        <v>169</v>
      </c>
      <c r="K36" s="12" t="s">
        <v>169</v>
      </c>
      <c r="L36" s="12" t="s">
        <v>169</v>
      </c>
      <c r="M36" s="12" t="s">
        <v>169</v>
      </c>
      <c r="N36" s="13" t="s">
        <v>169</v>
      </c>
      <c r="O36" s="12" t="s">
        <v>169</v>
      </c>
      <c r="P36" s="12">
        <v>3.1536926147704594</v>
      </c>
      <c r="Q36" s="13" t="s">
        <v>169</v>
      </c>
      <c r="R36" s="12" t="s">
        <v>169</v>
      </c>
      <c r="S36" s="12" t="s">
        <v>169</v>
      </c>
      <c r="T36" s="13" t="s">
        <v>169</v>
      </c>
      <c r="U36" s="12" t="s">
        <v>169</v>
      </c>
      <c r="V36" s="12" t="s">
        <v>169</v>
      </c>
      <c r="W36" s="12" t="s">
        <v>169</v>
      </c>
      <c r="X36" s="13" t="s">
        <v>169</v>
      </c>
      <c r="Y36" s="12" t="s">
        <v>169</v>
      </c>
      <c r="Z36" s="12" t="s">
        <v>169</v>
      </c>
      <c r="AA36" s="12" t="s">
        <v>169</v>
      </c>
      <c r="AB36" s="12" t="s">
        <v>169</v>
      </c>
      <c r="AC36" s="12" t="s">
        <v>169</v>
      </c>
      <c r="AD36" s="12" t="s">
        <v>169</v>
      </c>
      <c r="AE36" s="12" t="s">
        <v>169</v>
      </c>
      <c r="AF36" s="12" t="s">
        <v>169</v>
      </c>
      <c r="AG36" s="13" t="s">
        <v>169</v>
      </c>
      <c r="AH36" s="13" t="s">
        <v>169</v>
      </c>
      <c r="AI36" s="12" t="s">
        <v>169</v>
      </c>
      <c r="AJ36" s="12" t="s">
        <v>169</v>
      </c>
      <c r="AK36" s="12" t="s">
        <v>169</v>
      </c>
      <c r="AL36" s="13" t="s">
        <v>169</v>
      </c>
      <c r="AM36" s="13" t="s">
        <v>169</v>
      </c>
      <c r="AN36" s="12">
        <v>6.112731637119162</v>
      </c>
      <c r="AO36" s="12" t="s">
        <v>169</v>
      </c>
      <c r="AP36" s="12" t="s">
        <v>169</v>
      </c>
      <c r="AQ36" s="12" t="s">
        <v>169</v>
      </c>
      <c r="AR36" s="12" t="s">
        <v>169</v>
      </c>
      <c r="AS36" s="13" t="s">
        <v>169</v>
      </c>
      <c r="AT36" s="13" t="s">
        <v>169</v>
      </c>
      <c r="AU36" s="13" t="s">
        <v>169</v>
      </c>
      <c r="AV36" s="13" t="s">
        <v>169</v>
      </c>
      <c r="AW36" s="12" t="s">
        <v>169</v>
      </c>
      <c r="AX36" s="12" t="s">
        <v>169</v>
      </c>
      <c r="AY36" s="12" t="s">
        <v>169</v>
      </c>
      <c r="AZ36" s="12" t="s">
        <v>169</v>
      </c>
      <c r="BA36" s="12" t="s">
        <v>169</v>
      </c>
      <c r="BB36" s="12" t="s">
        <v>169</v>
      </c>
      <c r="BC36" s="12" t="s">
        <v>169</v>
      </c>
      <c r="BD36" s="12" t="s">
        <v>169</v>
      </c>
      <c r="BE36" s="13" t="s">
        <v>169</v>
      </c>
      <c r="BF36" s="13" t="s">
        <v>169</v>
      </c>
      <c r="BG36" s="12" t="s">
        <v>169</v>
      </c>
      <c r="BH36" s="12" t="s">
        <v>169</v>
      </c>
      <c r="BI36" s="13" t="s">
        <v>169</v>
      </c>
      <c r="BJ36" s="13" t="s">
        <v>169</v>
      </c>
      <c r="BK36" s="13" t="s">
        <v>169</v>
      </c>
      <c r="BL36" s="13" t="s">
        <v>169</v>
      </c>
      <c r="BM36" s="12" t="s">
        <v>169</v>
      </c>
      <c r="BN36" s="13" t="s">
        <v>169</v>
      </c>
      <c r="BO36" s="13" t="s">
        <v>169</v>
      </c>
      <c r="BP36" s="13" t="s">
        <v>169</v>
      </c>
      <c r="BQ36" s="13" t="s">
        <v>169</v>
      </c>
      <c r="BR36" s="12" t="s">
        <v>169</v>
      </c>
      <c r="BS36" s="13" t="s">
        <v>169</v>
      </c>
      <c r="BT36" s="13" t="s">
        <v>169</v>
      </c>
      <c r="BU36" s="12" t="s">
        <v>169</v>
      </c>
      <c r="BV36" s="12" t="s">
        <v>169</v>
      </c>
      <c r="BW36" s="12" t="s">
        <v>169</v>
      </c>
      <c r="BX36" s="12" t="s">
        <v>169</v>
      </c>
      <c r="BY36" s="12" t="s">
        <v>169</v>
      </c>
      <c r="BZ36" s="13" t="s">
        <v>169</v>
      </c>
      <c r="CA36" s="12" t="s">
        <v>169</v>
      </c>
      <c r="CB36" s="13" t="s">
        <v>169</v>
      </c>
      <c r="CC36" s="12">
        <v>3.4943831047152898</v>
      </c>
      <c r="CD36" s="12" t="s">
        <v>169</v>
      </c>
      <c r="CE36" s="12" t="s">
        <v>169</v>
      </c>
      <c r="CF36" s="12">
        <v>1.2743988281980518</v>
      </c>
      <c r="CG36" s="12">
        <v>2.8301104916839024</v>
      </c>
      <c r="CH36" s="12" t="s">
        <v>169</v>
      </c>
      <c r="CI36" s="13" t="s">
        <v>169</v>
      </c>
      <c r="CJ36" s="12" t="s">
        <v>169</v>
      </c>
      <c r="CK36" s="12" t="s">
        <v>169</v>
      </c>
      <c r="CL36" s="12" t="s">
        <v>169</v>
      </c>
      <c r="CM36" s="12" t="s">
        <v>169</v>
      </c>
      <c r="CN36" s="12" t="s">
        <v>169</v>
      </c>
      <c r="CO36" s="12" t="s">
        <v>169</v>
      </c>
      <c r="CP36" s="12" t="s">
        <v>169</v>
      </c>
      <c r="CQ36" s="12" t="s">
        <v>169</v>
      </c>
      <c r="CR36" s="12" t="s">
        <v>169</v>
      </c>
      <c r="CS36" s="12" t="s">
        <v>169</v>
      </c>
      <c r="CT36" s="12" t="s">
        <v>169</v>
      </c>
      <c r="CU36" s="13" t="s">
        <v>169</v>
      </c>
      <c r="CV36" s="12" t="s">
        <v>169</v>
      </c>
      <c r="CW36" s="13" t="s">
        <v>169</v>
      </c>
      <c r="CX36" s="12" t="s">
        <v>169</v>
      </c>
      <c r="CY36" s="13" t="s">
        <v>169</v>
      </c>
      <c r="CZ36" s="12" t="s">
        <v>169</v>
      </c>
      <c r="DA36" s="12" t="s">
        <v>169</v>
      </c>
      <c r="DB36" s="12" t="s">
        <v>169</v>
      </c>
      <c r="DC36" s="13" t="s">
        <v>169</v>
      </c>
      <c r="DD36" s="12" t="s">
        <v>169</v>
      </c>
      <c r="DE36" s="13" t="s">
        <v>169</v>
      </c>
      <c r="DF36" s="12" t="s">
        <v>169</v>
      </c>
      <c r="DG36" s="13" t="s">
        <v>169</v>
      </c>
      <c r="DH36" s="12" t="s">
        <v>169</v>
      </c>
      <c r="DI36" s="12" t="s">
        <v>169</v>
      </c>
      <c r="DJ36" s="12" t="s">
        <v>169</v>
      </c>
      <c r="DK36" s="12" t="s">
        <v>169</v>
      </c>
      <c r="DL36" s="13" t="s">
        <v>169</v>
      </c>
      <c r="DM36" s="13" t="s">
        <v>169</v>
      </c>
      <c r="DN36" s="12" t="s">
        <v>169</v>
      </c>
      <c r="DO36" s="13" t="s">
        <v>169</v>
      </c>
      <c r="DP36" s="13" t="s">
        <v>169</v>
      </c>
      <c r="DQ36" s="13" t="s">
        <v>169</v>
      </c>
      <c r="DR36" s="12" t="s">
        <v>169</v>
      </c>
      <c r="DS36" s="13" t="s">
        <v>169</v>
      </c>
      <c r="DT36" s="13" t="s">
        <v>169</v>
      </c>
      <c r="DU36" s="13" t="s">
        <v>169</v>
      </c>
    </row>
    <row r="37" spans="1:125" x14ac:dyDescent="0.25">
      <c r="A37" s="3" t="s">
        <v>34</v>
      </c>
      <c r="B37" s="3" t="s">
        <v>143</v>
      </c>
      <c r="C37" s="3" t="s">
        <v>88</v>
      </c>
      <c r="D37" s="7">
        <v>42872</v>
      </c>
      <c r="E37" s="8">
        <v>0.41666666666666669</v>
      </c>
      <c r="F37" s="10">
        <v>5.05</v>
      </c>
      <c r="G37" s="10">
        <v>0.22</v>
      </c>
      <c r="H37" s="12" t="s">
        <v>169</v>
      </c>
      <c r="I37" s="12" t="s">
        <v>169</v>
      </c>
      <c r="J37" s="12" t="s">
        <v>169</v>
      </c>
      <c r="K37" s="12" t="s">
        <v>169</v>
      </c>
      <c r="L37" s="12" t="s">
        <v>169</v>
      </c>
      <c r="M37" s="12" t="s">
        <v>169</v>
      </c>
      <c r="N37" s="12" t="s">
        <v>169</v>
      </c>
      <c r="O37" s="12" t="s">
        <v>169</v>
      </c>
      <c r="P37" s="12">
        <v>0.60990099009900989</v>
      </c>
      <c r="Q37" s="12" t="s">
        <v>169</v>
      </c>
      <c r="R37" s="12" t="s">
        <v>169</v>
      </c>
      <c r="S37" s="12" t="s">
        <v>169</v>
      </c>
      <c r="T37" s="12" t="s">
        <v>169</v>
      </c>
      <c r="U37" s="12" t="s">
        <v>169</v>
      </c>
      <c r="V37" s="12" t="s">
        <v>169</v>
      </c>
      <c r="W37" s="12" t="s">
        <v>169</v>
      </c>
      <c r="X37" s="12" t="s">
        <v>169</v>
      </c>
      <c r="Y37" s="12" t="s">
        <v>169</v>
      </c>
      <c r="Z37" s="12" t="s">
        <v>169</v>
      </c>
      <c r="AA37" s="12" t="s">
        <v>169</v>
      </c>
      <c r="AB37" s="12" t="s">
        <v>169</v>
      </c>
      <c r="AC37" s="12" t="s">
        <v>169</v>
      </c>
      <c r="AD37" s="12" t="s">
        <v>169</v>
      </c>
      <c r="AE37" s="12" t="s">
        <v>169</v>
      </c>
      <c r="AF37" s="12" t="s">
        <v>169</v>
      </c>
      <c r="AG37" s="12" t="s">
        <v>169</v>
      </c>
      <c r="AH37" s="12" t="s">
        <v>169</v>
      </c>
      <c r="AI37" s="12" t="s">
        <v>169</v>
      </c>
      <c r="AJ37" s="12" t="s">
        <v>169</v>
      </c>
      <c r="AK37" s="12" t="s">
        <v>169</v>
      </c>
      <c r="AL37" s="12" t="s">
        <v>169</v>
      </c>
      <c r="AM37" s="12" t="s">
        <v>169</v>
      </c>
      <c r="AN37" s="12" t="s">
        <v>169</v>
      </c>
      <c r="AO37" s="12" t="s">
        <v>169</v>
      </c>
      <c r="AP37" s="12" t="s">
        <v>169</v>
      </c>
      <c r="AQ37" s="12" t="s">
        <v>169</v>
      </c>
      <c r="AR37" s="12" t="s">
        <v>169</v>
      </c>
      <c r="AS37" s="12" t="s">
        <v>169</v>
      </c>
      <c r="AT37" s="12" t="s">
        <v>169</v>
      </c>
      <c r="AU37" s="12" t="s">
        <v>169</v>
      </c>
      <c r="AV37" s="12" t="s">
        <v>169</v>
      </c>
      <c r="AW37" s="12" t="s">
        <v>169</v>
      </c>
      <c r="AX37" s="12" t="s">
        <v>169</v>
      </c>
      <c r="AY37" s="12" t="s">
        <v>169</v>
      </c>
      <c r="AZ37" s="12" t="s">
        <v>169</v>
      </c>
      <c r="BA37" s="12" t="s">
        <v>169</v>
      </c>
      <c r="BB37" s="12" t="s">
        <v>169</v>
      </c>
      <c r="BC37" s="12" t="s">
        <v>169</v>
      </c>
      <c r="BD37" s="12" t="s">
        <v>169</v>
      </c>
      <c r="BE37" s="12" t="s">
        <v>169</v>
      </c>
      <c r="BF37" s="12" t="s">
        <v>169</v>
      </c>
      <c r="BG37" s="12" t="s">
        <v>169</v>
      </c>
      <c r="BH37" s="12" t="s">
        <v>169</v>
      </c>
      <c r="BI37" s="12" t="s">
        <v>169</v>
      </c>
      <c r="BJ37" s="12" t="s">
        <v>169</v>
      </c>
      <c r="BK37" s="12" t="s">
        <v>169</v>
      </c>
      <c r="BL37" s="12" t="s">
        <v>169</v>
      </c>
      <c r="BM37" s="12" t="s">
        <v>169</v>
      </c>
      <c r="BN37" s="12" t="s">
        <v>169</v>
      </c>
      <c r="BO37" s="12" t="s">
        <v>169</v>
      </c>
      <c r="BP37" s="12" t="s">
        <v>169</v>
      </c>
      <c r="BQ37" s="12" t="s">
        <v>169</v>
      </c>
      <c r="BR37" s="12" t="s">
        <v>169</v>
      </c>
      <c r="BS37" s="12" t="s">
        <v>169</v>
      </c>
      <c r="BT37" s="12" t="s">
        <v>169</v>
      </c>
      <c r="BU37" s="12" t="s">
        <v>169</v>
      </c>
      <c r="BV37" s="12" t="s">
        <v>169</v>
      </c>
      <c r="BW37" s="12" t="s">
        <v>169</v>
      </c>
      <c r="BX37" s="12" t="s">
        <v>169</v>
      </c>
      <c r="BY37" s="12" t="s">
        <v>169</v>
      </c>
      <c r="BZ37" s="12" t="s">
        <v>169</v>
      </c>
      <c r="CA37" s="12" t="s">
        <v>169</v>
      </c>
      <c r="CB37" s="12" t="s">
        <v>169</v>
      </c>
      <c r="CC37" s="12" t="s">
        <v>169</v>
      </c>
      <c r="CD37" s="12" t="s">
        <v>169</v>
      </c>
      <c r="CE37" s="12">
        <v>1.407280974956705</v>
      </c>
      <c r="CF37" s="12">
        <v>2.0538922635127088</v>
      </c>
      <c r="CG37" s="12">
        <v>2.9475272439506579</v>
      </c>
      <c r="CH37" s="12" t="s">
        <v>169</v>
      </c>
      <c r="CI37" s="12" t="s">
        <v>169</v>
      </c>
      <c r="CJ37" s="12" t="s">
        <v>169</v>
      </c>
      <c r="CK37" s="12" t="s">
        <v>169</v>
      </c>
      <c r="CL37" s="12" t="s">
        <v>169</v>
      </c>
      <c r="CM37" s="12" t="s">
        <v>169</v>
      </c>
      <c r="CN37" s="12" t="s">
        <v>169</v>
      </c>
      <c r="CO37" s="12" t="s">
        <v>169</v>
      </c>
      <c r="CP37" s="12" t="s">
        <v>169</v>
      </c>
      <c r="CQ37" s="12" t="s">
        <v>169</v>
      </c>
      <c r="CR37" s="12" t="s">
        <v>169</v>
      </c>
      <c r="CS37" s="12" t="s">
        <v>169</v>
      </c>
      <c r="CT37" s="12" t="s">
        <v>169</v>
      </c>
      <c r="CU37" s="12" t="s">
        <v>169</v>
      </c>
      <c r="CV37" s="12" t="s">
        <v>169</v>
      </c>
      <c r="CW37" s="12" t="s">
        <v>169</v>
      </c>
      <c r="CX37" s="12" t="s">
        <v>169</v>
      </c>
      <c r="CY37" s="12" t="s">
        <v>169</v>
      </c>
      <c r="CZ37" s="12" t="s">
        <v>169</v>
      </c>
      <c r="DA37" s="12" t="s">
        <v>169</v>
      </c>
      <c r="DB37" s="12" t="s">
        <v>169</v>
      </c>
      <c r="DC37" s="12" t="s">
        <v>169</v>
      </c>
      <c r="DD37" s="12" t="s">
        <v>169</v>
      </c>
      <c r="DE37" s="12" t="s">
        <v>169</v>
      </c>
      <c r="DF37" s="12" t="s">
        <v>169</v>
      </c>
      <c r="DG37" s="12" t="s">
        <v>169</v>
      </c>
      <c r="DH37" s="12" t="s">
        <v>169</v>
      </c>
      <c r="DI37" s="12" t="s">
        <v>169</v>
      </c>
      <c r="DJ37" s="12" t="s">
        <v>169</v>
      </c>
      <c r="DK37" s="12" t="s">
        <v>169</v>
      </c>
      <c r="DL37" s="12" t="s">
        <v>169</v>
      </c>
      <c r="DM37" s="12" t="s">
        <v>169</v>
      </c>
      <c r="DN37" s="12" t="s">
        <v>169</v>
      </c>
      <c r="DO37" s="12" t="s">
        <v>169</v>
      </c>
      <c r="DP37" s="12" t="s">
        <v>169</v>
      </c>
      <c r="DQ37" s="12" t="s">
        <v>169</v>
      </c>
      <c r="DR37" s="12" t="s">
        <v>169</v>
      </c>
      <c r="DS37" s="12" t="s">
        <v>169</v>
      </c>
      <c r="DT37" s="12" t="s">
        <v>169</v>
      </c>
      <c r="DU37" s="12" t="s">
        <v>169</v>
      </c>
    </row>
    <row r="38" spans="1:125" x14ac:dyDescent="0.25">
      <c r="A38" s="3" t="s">
        <v>35</v>
      </c>
      <c r="B38" s="3" t="s">
        <v>144</v>
      </c>
      <c r="C38" s="3" t="s">
        <v>89</v>
      </c>
      <c r="D38" s="7">
        <v>42871</v>
      </c>
      <c r="E38" s="8">
        <v>0.54166666666666663</v>
      </c>
      <c r="F38" s="10">
        <v>5.01</v>
      </c>
      <c r="G38" s="10">
        <v>0.69</v>
      </c>
      <c r="H38" s="12" t="s">
        <v>169</v>
      </c>
      <c r="I38" s="12" t="s">
        <v>169</v>
      </c>
      <c r="J38" s="12" t="s">
        <v>169</v>
      </c>
      <c r="K38" s="12" t="s">
        <v>169</v>
      </c>
      <c r="L38" s="12" t="s">
        <v>169</v>
      </c>
      <c r="M38" s="12" t="s">
        <v>169</v>
      </c>
      <c r="N38" s="12" t="s">
        <v>169</v>
      </c>
      <c r="O38" s="12" t="s">
        <v>169</v>
      </c>
      <c r="P38" s="12" t="s">
        <v>169</v>
      </c>
      <c r="Q38" s="12" t="s">
        <v>169</v>
      </c>
      <c r="R38" s="12" t="s">
        <v>169</v>
      </c>
      <c r="S38" s="12" t="s">
        <v>169</v>
      </c>
      <c r="T38" s="12" t="s">
        <v>169</v>
      </c>
      <c r="U38" s="12" t="s">
        <v>169</v>
      </c>
      <c r="V38" s="12" t="s">
        <v>169</v>
      </c>
      <c r="W38" s="12" t="s">
        <v>169</v>
      </c>
      <c r="X38" s="12" t="s">
        <v>169</v>
      </c>
      <c r="Y38" s="12" t="s">
        <v>169</v>
      </c>
      <c r="Z38" s="12" t="s">
        <v>169</v>
      </c>
      <c r="AA38" s="12" t="s">
        <v>169</v>
      </c>
      <c r="AB38" s="12" t="s">
        <v>169</v>
      </c>
      <c r="AC38" s="12" t="s">
        <v>169</v>
      </c>
      <c r="AD38" s="12" t="s">
        <v>169</v>
      </c>
      <c r="AE38" s="12" t="s">
        <v>169</v>
      </c>
      <c r="AF38" s="12" t="s">
        <v>169</v>
      </c>
      <c r="AG38" s="12" t="s">
        <v>169</v>
      </c>
      <c r="AH38" s="12" t="s">
        <v>169</v>
      </c>
      <c r="AI38" s="12" t="s">
        <v>169</v>
      </c>
      <c r="AJ38" s="12" t="s">
        <v>169</v>
      </c>
      <c r="AK38" s="12" t="s">
        <v>169</v>
      </c>
      <c r="AL38" s="12" t="s">
        <v>169</v>
      </c>
      <c r="AM38" s="12" t="s">
        <v>169</v>
      </c>
      <c r="AN38" s="12" t="s">
        <v>169</v>
      </c>
      <c r="AO38" s="12" t="s">
        <v>169</v>
      </c>
      <c r="AP38" s="12" t="s">
        <v>169</v>
      </c>
      <c r="AQ38" s="12" t="s">
        <v>169</v>
      </c>
      <c r="AR38" s="12" t="s">
        <v>169</v>
      </c>
      <c r="AS38" s="12" t="s">
        <v>169</v>
      </c>
      <c r="AT38" s="12" t="s">
        <v>169</v>
      </c>
      <c r="AU38" s="12" t="s">
        <v>169</v>
      </c>
      <c r="AV38" s="12" t="s">
        <v>169</v>
      </c>
      <c r="AW38" s="12" t="s">
        <v>169</v>
      </c>
      <c r="AX38" s="12" t="s">
        <v>169</v>
      </c>
      <c r="AY38" s="12" t="s">
        <v>169</v>
      </c>
      <c r="AZ38" s="12" t="s">
        <v>169</v>
      </c>
      <c r="BA38" s="12" t="s">
        <v>169</v>
      </c>
      <c r="BB38" s="12" t="s">
        <v>169</v>
      </c>
      <c r="BC38" s="12" t="s">
        <v>169</v>
      </c>
      <c r="BD38" s="12" t="s">
        <v>169</v>
      </c>
      <c r="BE38" s="12" t="s">
        <v>169</v>
      </c>
      <c r="BF38" s="12" t="s">
        <v>169</v>
      </c>
      <c r="BG38" s="12" t="s">
        <v>169</v>
      </c>
      <c r="BH38" s="12" t="s">
        <v>169</v>
      </c>
      <c r="BI38" s="12" t="s">
        <v>169</v>
      </c>
      <c r="BJ38" s="12" t="s">
        <v>169</v>
      </c>
      <c r="BK38" s="12" t="s">
        <v>169</v>
      </c>
      <c r="BL38" s="12" t="s">
        <v>169</v>
      </c>
      <c r="BM38" s="12" t="s">
        <v>169</v>
      </c>
      <c r="BN38" s="12" t="s">
        <v>169</v>
      </c>
      <c r="BO38" s="12" t="s">
        <v>169</v>
      </c>
      <c r="BP38" s="12" t="s">
        <v>169</v>
      </c>
      <c r="BQ38" s="12" t="s">
        <v>169</v>
      </c>
      <c r="BR38" s="12" t="s">
        <v>169</v>
      </c>
      <c r="BS38" s="12" t="s">
        <v>169</v>
      </c>
      <c r="BT38" s="12" t="s">
        <v>169</v>
      </c>
      <c r="BU38" s="12" t="s">
        <v>169</v>
      </c>
      <c r="BV38" s="12" t="s">
        <v>169</v>
      </c>
      <c r="BW38" s="12" t="s">
        <v>169</v>
      </c>
      <c r="BX38" s="12" t="s">
        <v>169</v>
      </c>
      <c r="BY38" s="12" t="s">
        <v>169</v>
      </c>
      <c r="BZ38" s="12" t="s">
        <v>169</v>
      </c>
      <c r="CA38" s="12" t="s">
        <v>169</v>
      </c>
      <c r="CB38" s="12" t="s">
        <v>169</v>
      </c>
      <c r="CC38" s="12" t="s">
        <v>169</v>
      </c>
      <c r="CD38" s="12" t="s">
        <v>169</v>
      </c>
      <c r="CE38" s="12" t="s">
        <v>169</v>
      </c>
      <c r="CF38" s="12">
        <v>1.2689590797337804</v>
      </c>
      <c r="CG38" s="12">
        <v>1.5298727506572416</v>
      </c>
      <c r="CH38" s="12" t="s">
        <v>169</v>
      </c>
      <c r="CI38" s="12" t="s">
        <v>169</v>
      </c>
      <c r="CJ38" s="12" t="s">
        <v>169</v>
      </c>
      <c r="CK38" s="12" t="s">
        <v>169</v>
      </c>
      <c r="CL38" s="12" t="s">
        <v>169</v>
      </c>
      <c r="CM38" s="12" t="s">
        <v>169</v>
      </c>
      <c r="CN38" s="12" t="s">
        <v>169</v>
      </c>
      <c r="CO38" s="12" t="s">
        <v>169</v>
      </c>
      <c r="CP38" s="12" t="s">
        <v>169</v>
      </c>
      <c r="CQ38" s="12" t="s">
        <v>169</v>
      </c>
      <c r="CR38" s="12" t="s">
        <v>169</v>
      </c>
      <c r="CS38" s="12" t="s">
        <v>169</v>
      </c>
      <c r="CT38" s="12" t="s">
        <v>169</v>
      </c>
      <c r="CU38" s="12" t="s">
        <v>169</v>
      </c>
      <c r="CV38" s="12" t="s">
        <v>169</v>
      </c>
      <c r="CW38" s="12" t="s">
        <v>169</v>
      </c>
      <c r="CX38" s="12" t="s">
        <v>169</v>
      </c>
      <c r="CY38" s="12" t="s">
        <v>169</v>
      </c>
      <c r="CZ38" s="12" t="s">
        <v>169</v>
      </c>
      <c r="DA38" s="12" t="s">
        <v>169</v>
      </c>
      <c r="DB38" s="12" t="s">
        <v>169</v>
      </c>
      <c r="DC38" s="12" t="s">
        <v>169</v>
      </c>
      <c r="DD38" s="12" t="s">
        <v>169</v>
      </c>
      <c r="DE38" s="12" t="s">
        <v>169</v>
      </c>
      <c r="DF38" s="12" t="s">
        <v>169</v>
      </c>
      <c r="DG38" s="12" t="s">
        <v>169</v>
      </c>
      <c r="DH38" s="12" t="s">
        <v>169</v>
      </c>
      <c r="DI38" s="12" t="s">
        <v>169</v>
      </c>
      <c r="DJ38" s="12" t="s">
        <v>169</v>
      </c>
      <c r="DK38" s="12" t="s">
        <v>169</v>
      </c>
      <c r="DL38" s="12" t="s">
        <v>169</v>
      </c>
      <c r="DM38" s="12" t="s">
        <v>169</v>
      </c>
      <c r="DN38" s="12" t="s">
        <v>169</v>
      </c>
      <c r="DO38" s="12" t="s">
        <v>169</v>
      </c>
      <c r="DP38" s="12" t="s">
        <v>169</v>
      </c>
      <c r="DQ38" s="12" t="s">
        <v>169</v>
      </c>
      <c r="DR38" s="12" t="s">
        <v>169</v>
      </c>
      <c r="DS38" s="12" t="s">
        <v>169</v>
      </c>
      <c r="DT38" s="12" t="s">
        <v>169</v>
      </c>
      <c r="DU38" s="12" t="s">
        <v>169</v>
      </c>
    </row>
    <row r="39" spans="1:125" x14ac:dyDescent="0.25">
      <c r="A39" s="3" t="s">
        <v>36</v>
      </c>
      <c r="B39" s="3" t="s">
        <v>145</v>
      </c>
      <c r="C39" s="3" t="s">
        <v>90</v>
      </c>
      <c r="D39" s="7">
        <v>42869</v>
      </c>
      <c r="E39" s="8">
        <v>0.58333333333333337</v>
      </c>
      <c r="F39" s="10">
        <v>5.37</v>
      </c>
      <c r="G39" s="10">
        <v>0.04</v>
      </c>
      <c r="H39" s="12" t="s">
        <v>169</v>
      </c>
      <c r="I39" s="12" t="s">
        <v>169</v>
      </c>
      <c r="J39" s="12" t="s">
        <v>169</v>
      </c>
      <c r="K39" s="12" t="s">
        <v>169</v>
      </c>
      <c r="L39" s="12" t="s">
        <v>169</v>
      </c>
      <c r="M39" s="12" t="s">
        <v>169</v>
      </c>
      <c r="N39" s="12" t="s">
        <v>169</v>
      </c>
      <c r="O39" s="12" t="s">
        <v>169</v>
      </c>
      <c r="P39" s="12">
        <v>0.55493482309124764</v>
      </c>
      <c r="Q39" s="12" t="s">
        <v>169</v>
      </c>
      <c r="R39" s="12" t="s">
        <v>169</v>
      </c>
      <c r="S39" s="12" t="s">
        <v>169</v>
      </c>
      <c r="T39" s="12" t="s">
        <v>169</v>
      </c>
      <c r="U39" s="12" t="s">
        <v>169</v>
      </c>
      <c r="V39" s="12" t="s">
        <v>169</v>
      </c>
      <c r="W39" s="12" t="s">
        <v>169</v>
      </c>
      <c r="X39" s="12" t="s">
        <v>169</v>
      </c>
      <c r="Y39" s="12" t="s">
        <v>169</v>
      </c>
      <c r="Z39" s="12" t="s">
        <v>169</v>
      </c>
      <c r="AA39" s="12" t="s">
        <v>169</v>
      </c>
      <c r="AB39" s="12" t="s">
        <v>169</v>
      </c>
      <c r="AC39" s="12" t="s">
        <v>169</v>
      </c>
      <c r="AD39" s="12" t="s">
        <v>169</v>
      </c>
      <c r="AE39" s="12" t="s">
        <v>169</v>
      </c>
      <c r="AF39" s="12" t="s">
        <v>169</v>
      </c>
      <c r="AG39" s="12" t="s">
        <v>169</v>
      </c>
      <c r="AH39" s="12" t="s">
        <v>169</v>
      </c>
      <c r="AI39" s="12" t="s">
        <v>169</v>
      </c>
      <c r="AJ39" s="12" t="s">
        <v>169</v>
      </c>
      <c r="AK39" s="12" t="s">
        <v>169</v>
      </c>
      <c r="AL39" s="12" t="s">
        <v>169</v>
      </c>
      <c r="AM39" s="12" t="s">
        <v>169</v>
      </c>
      <c r="AN39" s="12">
        <v>3.7035465924717879</v>
      </c>
      <c r="AO39" s="12" t="s">
        <v>169</v>
      </c>
      <c r="AP39" s="12" t="s">
        <v>169</v>
      </c>
      <c r="AQ39" s="12" t="s">
        <v>169</v>
      </c>
      <c r="AR39" s="12" t="s">
        <v>169</v>
      </c>
      <c r="AS39" s="12" t="s">
        <v>169</v>
      </c>
      <c r="AT39" s="12" t="s">
        <v>169</v>
      </c>
      <c r="AU39" s="12" t="s">
        <v>169</v>
      </c>
      <c r="AV39" s="12" t="s">
        <v>169</v>
      </c>
      <c r="AW39" s="12" t="s">
        <v>169</v>
      </c>
      <c r="AX39" s="12" t="s">
        <v>169</v>
      </c>
      <c r="AY39" s="12" t="s">
        <v>169</v>
      </c>
      <c r="AZ39" s="12" t="s">
        <v>169</v>
      </c>
      <c r="BA39" s="12" t="s">
        <v>169</v>
      </c>
      <c r="BB39" s="12" t="s">
        <v>169</v>
      </c>
      <c r="BC39" s="12" t="s">
        <v>169</v>
      </c>
      <c r="BD39" s="12" t="s">
        <v>169</v>
      </c>
      <c r="BE39" s="12" t="s">
        <v>169</v>
      </c>
      <c r="BF39" s="12" t="s">
        <v>169</v>
      </c>
      <c r="BG39" s="12" t="s">
        <v>169</v>
      </c>
      <c r="BH39" s="12" t="s">
        <v>169</v>
      </c>
      <c r="BI39" s="12" t="s">
        <v>169</v>
      </c>
      <c r="BJ39" s="12" t="s">
        <v>169</v>
      </c>
      <c r="BK39" s="12" t="s">
        <v>169</v>
      </c>
      <c r="BL39" s="12" t="s">
        <v>169</v>
      </c>
      <c r="BM39" s="12" t="s">
        <v>169</v>
      </c>
      <c r="BN39" s="12" t="s">
        <v>169</v>
      </c>
      <c r="BO39" s="12" t="s">
        <v>169</v>
      </c>
      <c r="BP39" s="12" t="s">
        <v>169</v>
      </c>
      <c r="BQ39" s="12" t="s">
        <v>169</v>
      </c>
      <c r="BR39" s="12" t="s">
        <v>169</v>
      </c>
      <c r="BS39" s="12" t="s">
        <v>169</v>
      </c>
      <c r="BT39" s="12" t="s">
        <v>169</v>
      </c>
      <c r="BU39" s="12" t="s">
        <v>169</v>
      </c>
      <c r="BV39" s="12" t="s">
        <v>169</v>
      </c>
      <c r="BW39" s="12" t="s">
        <v>169</v>
      </c>
      <c r="BX39" s="12" t="s">
        <v>169</v>
      </c>
      <c r="BY39" s="12" t="s">
        <v>169</v>
      </c>
      <c r="BZ39" s="12" t="s">
        <v>169</v>
      </c>
      <c r="CA39" s="12" t="s">
        <v>169</v>
      </c>
      <c r="CB39" s="12" t="s">
        <v>169</v>
      </c>
      <c r="CC39" s="12" t="s">
        <v>169</v>
      </c>
      <c r="CD39" s="12" t="s">
        <v>169</v>
      </c>
      <c r="CE39" s="12" t="s">
        <v>169</v>
      </c>
      <c r="CF39" s="12">
        <v>0.9803858143480223</v>
      </c>
      <c r="CG39" s="12">
        <v>1.4446124588565104</v>
      </c>
      <c r="CH39" s="12" t="s">
        <v>169</v>
      </c>
      <c r="CI39" s="12" t="s">
        <v>169</v>
      </c>
      <c r="CJ39" s="12" t="s">
        <v>169</v>
      </c>
      <c r="CK39" s="12" t="s">
        <v>169</v>
      </c>
      <c r="CL39" s="12" t="s">
        <v>169</v>
      </c>
      <c r="CM39" s="12" t="s">
        <v>169</v>
      </c>
      <c r="CN39" s="12" t="s">
        <v>169</v>
      </c>
      <c r="CO39" s="12" t="s">
        <v>169</v>
      </c>
      <c r="CP39" s="12">
        <v>2.1396315464465365</v>
      </c>
      <c r="CQ39" s="12" t="s">
        <v>169</v>
      </c>
      <c r="CR39" s="12" t="s">
        <v>169</v>
      </c>
      <c r="CS39" s="12" t="s">
        <v>169</v>
      </c>
      <c r="CT39" s="12" t="s">
        <v>169</v>
      </c>
      <c r="CU39" s="12" t="s">
        <v>169</v>
      </c>
      <c r="CV39" s="12" t="s">
        <v>169</v>
      </c>
      <c r="CW39" s="12" t="s">
        <v>169</v>
      </c>
      <c r="CX39" s="12" t="s">
        <v>169</v>
      </c>
      <c r="CY39" s="12" t="s">
        <v>169</v>
      </c>
      <c r="CZ39" s="12" t="s">
        <v>169</v>
      </c>
      <c r="DA39" s="12" t="s">
        <v>169</v>
      </c>
      <c r="DB39" s="12" t="s">
        <v>169</v>
      </c>
      <c r="DC39" s="12" t="s">
        <v>169</v>
      </c>
      <c r="DD39" s="12" t="s">
        <v>169</v>
      </c>
      <c r="DE39" s="12" t="s">
        <v>169</v>
      </c>
      <c r="DF39" s="12" t="s">
        <v>169</v>
      </c>
      <c r="DG39" s="12" t="s">
        <v>169</v>
      </c>
      <c r="DH39" s="12" t="s">
        <v>169</v>
      </c>
      <c r="DI39" s="12" t="s">
        <v>169</v>
      </c>
      <c r="DJ39" s="12" t="s">
        <v>169</v>
      </c>
      <c r="DK39" s="12" t="s">
        <v>169</v>
      </c>
      <c r="DL39" s="12" t="s">
        <v>169</v>
      </c>
      <c r="DM39" s="12" t="s">
        <v>169</v>
      </c>
      <c r="DN39" s="12" t="s">
        <v>169</v>
      </c>
      <c r="DO39" s="12" t="s">
        <v>169</v>
      </c>
      <c r="DP39" s="12" t="s">
        <v>169</v>
      </c>
      <c r="DQ39" s="12" t="s">
        <v>169</v>
      </c>
      <c r="DR39" s="12" t="s">
        <v>169</v>
      </c>
      <c r="DS39" s="12" t="s">
        <v>169</v>
      </c>
      <c r="DT39" s="12" t="s">
        <v>169</v>
      </c>
      <c r="DU39" s="12" t="s">
        <v>169</v>
      </c>
    </row>
    <row r="40" spans="1:125" x14ac:dyDescent="0.25">
      <c r="A40" s="3" t="s">
        <v>37</v>
      </c>
      <c r="B40" s="3" t="s">
        <v>146</v>
      </c>
      <c r="C40" s="3" t="s">
        <v>91</v>
      </c>
      <c r="D40" s="7">
        <v>42871</v>
      </c>
      <c r="E40" s="8">
        <v>0.41666666666666669</v>
      </c>
      <c r="F40" s="10">
        <v>5.0149999999999997</v>
      </c>
      <c r="G40" s="10">
        <v>0.2</v>
      </c>
      <c r="H40" s="12" t="s">
        <v>169</v>
      </c>
      <c r="I40" s="12" t="s">
        <v>169</v>
      </c>
      <c r="J40" s="12" t="s">
        <v>169</v>
      </c>
      <c r="K40" s="12" t="s">
        <v>169</v>
      </c>
      <c r="L40" s="12" t="s">
        <v>169</v>
      </c>
      <c r="M40" s="12" t="s">
        <v>169</v>
      </c>
      <c r="N40" s="12" t="s">
        <v>169</v>
      </c>
      <c r="O40" s="12" t="s">
        <v>169</v>
      </c>
      <c r="P40" s="12">
        <v>0.66600199401794613</v>
      </c>
      <c r="Q40" s="12" t="s">
        <v>169</v>
      </c>
      <c r="R40" s="12" t="s">
        <v>169</v>
      </c>
      <c r="S40" s="12" t="s">
        <v>169</v>
      </c>
      <c r="T40" s="12" t="s">
        <v>169</v>
      </c>
      <c r="U40" s="12" t="s">
        <v>169</v>
      </c>
      <c r="V40" s="12" t="s">
        <v>169</v>
      </c>
      <c r="W40" s="12" t="s">
        <v>169</v>
      </c>
      <c r="X40" s="12" t="s">
        <v>169</v>
      </c>
      <c r="Y40" s="12" t="s">
        <v>169</v>
      </c>
      <c r="Z40" s="12" t="s">
        <v>169</v>
      </c>
      <c r="AA40" s="12" t="s">
        <v>169</v>
      </c>
      <c r="AB40" s="12" t="s">
        <v>169</v>
      </c>
      <c r="AC40" s="12" t="s">
        <v>169</v>
      </c>
      <c r="AD40" s="12" t="s">
        <v>169</v>
      </c>
      <c r="AE40" s="12" t="s">
        <v>169</v>
      </c>
      <c r="AF40" s="12" t="s">
        <v>169</v>
      </c>
      <c r="AG40" s="12" t="s">
        <v>169</v>
      </c>
      <c r="AH40" s="12" t="s">
        <v>169</v>
      </c>
      <c r="AI40" s="12" t="s">
        <v>169</v>
      </c>
      <c r="AJ40" s="12" t="s">
        <v>169</v>
      </c>
      <c r="AK40" s="12" t="s">
        <v>169</v>
      </c>
      <c r="AL40" s="12" t="s">
        <v>169</v>
      </c>
      <c r="AM40" s="12" t="s">
        <v>169</v>
      </c>
      <c r="AN40" s="12">
        <v>1.1919992157318766</v>
      </c>
      <c r="AO40" s="12" t="s">
        <v>169</v>
      </c>
      <c r="AP40" s="12" t="s">
        <v>169</v>
      </c>
      <c r="AQ40" s="12" t="s">
        <v>169</v>
      </c>
      <c r="AR40" s="12" t="s">
        <v>169</v>
      </c>
      <c r="AS40" s="12" t="s">
        <v>169</v>
      </c>
      <c r="AT40" s="12" t="s">
        <v>169</v>
      </c>
      <c r="AU40" s="12" t="s">
        <v>169</v>
      </c>
      <c r="AV40" s="12" t="s">
        <v>169</v>
      </c>
      <c r="AW40" s="12" t="s">
        <v>169</v>
      </c>
      <c r="AX40" s="12" t="s">
        <v>169</v>
      </c>
      <c r="AY40" s="12" t="s">
        <v>169</v>
      </c>
      <c r="AZ40" s="12" t="s">
        <v>169</v>
      </c>
      <c r="BA40" s="12" t="s">
        <v>169</v>
      </c>
      <c r="BB40" s="12" t="s">
        <v>169</v>
      </c>
      <c r="BC40" s="12" t="s">
        <v>169</v>
      </c>
      <c r="BD40" s="12" t="s">
        <v>169</v>
      </c>
      <c r="BE40" s="12" t="s">
        <v>169</v>
      </c>
      <c r="BF40" s="12" t="s">
        <v>169</v>
      </c>
      <c r="BG40" s="12" t="s">
        <v>169</v>
      </c>
      <c r="BH40" s="12" t="s">
        <v>169</v>
      </c>
      <c r="BI40" s="12" t="s">
        <v>169</v>
      </c>
      <c r="BJ40" s="12" t="s">
        <v>169</v>
      </c>
      <c r="BK40" s="12" t="s">
        <v>169</v>
      </c>
      <c r="BL40" s="12" t="s">
        <v>169</v>
      </c>
      <c r="BM40" s="12" t="s">
        <v>169</v>
      </c>
      <c r="BN40" s="12" t="s">
        <v>169</v>
      </c>
      <c r="BO40" s="12" t="s">
        <v>169</v>
      </c>
      <c r="BP40" s="12" t="s">
        <v>169</v>
      </c>
      <c r="BQ40" s="12" t="s">
        <v>169</v>
      </c>
      <c r="BR40" s="12" t="s">
        <v>169</v>
      </c>
      <c r="BS40" s="12" t="s">
        <v>169</v>
      </c>
      <c r="BT40" s="12" t="s">
        <v>169</v>
      </c>
      <c r="BU40" s="12" t="s">
        <v>169</v>
      </c>
      <c r="BV40" s="12" t="s">
        <v>169</v>
      </c>
      <c r="BW40" s="12" t="s">
        <v>169</v>
      </c>
      <c r="BX40" s="12" t="s">
        <v>169</v>
      </c>
      <c r="BY40" s="12" t="s">
        <v>169</v>
      </c>
      <c r="BZ40" s="12" t="s">
        <v>169</v>
      </c>
      <c r="CA40" s="12" t="s">
        <v>169</v>
      </c>
      <c r="CB40" s="12" t="s">
        <v>169</v>
      </c>
      <c r="CC40" s="12" t="s">
        <v>169</v>
      </c>
      <c r="CD40" s="12" t="s">
        <v>169</v>
      </c>
      <c r="CE40" s="12" t="s">
        <v>169</v>
      </c>
      <c r="CF40" s="12">
        <v>1.9668768913362951</v>
      </c>
      <c r="CG40" s="12">
        <v>2.9437076055906961</v>
      </c>
      <c r="CH40" s="12" t="s">
        <v>169</v>
      </c>
      <c r="CI40" s="12" t="s">
        <v>169</v>
      </c>
      <c r="CJ40" s="12" t="s">
        <v>169</v>
      </c>
      <c r="CK40" s="12" t="s">
        <v>169</v>
      </c>
      <c r="CL40" s="12" t="s">
        <v>169</v>
      </c>
      <c r="CM40" s="12" t="s">
        <v>169</v>
      </c>
      <c r="CN40" s="12" t="s">
        <v>169</v>
      </c>
      <c r="CO40" s="12" t="s">
        <v>169</v>
      </c>
      <c r="CP40" s="12" t="s">
        <v>169</v>
      </c>
      <c r="CQ40" s="12" t="s">
        <v>169</v>
      </c>
      <c r="CR40" s="12" t="s">
        <v>169</v>
      </c>
      <c r="CS40" s="12" t="s">
        <v>169</v>
      </c>
      <c r="CT40" s="12" t="s">
        <v>169</v>
      </c>
      <c r="CU40" s="12" t="s">
        <v>169</v>
      </c>
      <c r="CV40" s="12" t="s">
        <v>169</v>
      </c>
      <c r="CW40" s="12" t="s">
        <v>169</v>
      </c>
      <c r="CX40" s="12" t="s">
        <v>169</v>
      </c>
      <c r="CY40" s="12" t="s">
        <v>169</v>
      </c>
      <c r="CZ40" s="12" t="s">
        <v>169</v>
      </c>
      <c r="DA40" s="12" t="s">
        <v>169</v>
      </c>
      <c r="DB40" s="12" t="s">
        <v>169</v>
      </c>
      <c r="DC40" s="12" t="s">
        <v>169</v>
      </c>
      <c r="DD40" s="12" t="s">
        <v>169</v>
      </c>
      <c r="DE40" s="12" t="s">
        <v>169</v>
      </c>
      <c r="DF40" s="12" t="s">
        <v>169</v>
      </c>
      <c r="DG40" s="12" t="s">
        <v>169</v>
      </c>
      <c r="DH40" s="12" t="s">
        <v>169</v>
      </c>
      <c r="DI40" s="12" t="s">
        <v>169</v>
      </c>
      <c r="DJ40" s="12" t="s">
        <v>169</v>
      </c>
      <c r="DK40" s="12" t="s">
        <v>169</v>
      </c>
      <c r="DL40" s="12" t="s">
        <v>169</v>
      </c>
      <c r="DM40" s="12" t="s">
        <v>169</v>
      </c>
      <c r="DN40" s="12" t="s">
        <v>169</v>
      </c>
      <c r="DO40" s="12" t="s">
        <v>169</v>
      </c>
      <c r="DP40" s="12" t="s">
        <v>169</v>
      </c>
      <c r="DQ40" s="12" t="s">
        <v>169</v>
      </c>
      <c r="DR40" s="12" t="s">
        <v>169</v>
      </c>
      <c r="DS40" s="12" t="s">
        <v>169</v>
      </c>
      <c r="DT40" s="12" t="s">
        <v>169</v>
      </c>
      <c r="DU40" s="12" t="s">
        <v>169</v>
      </c>
    </row>
    <row r="41" spans="1:125" x14ac:dyDescent="0.25">
      <c r="A41" s="3" t="s">
        <v>38</v>
      </c>
      <c r="B41" s="3" t="s">
        <v>147</v>
      </c>
      <c r="C41" s="3" t="s">
        <v>92</v>
      </c>
      <c r="D41" s="7">
        <v>42870</v>
      </c>
      <c r="E41" s="8">
        <v>0.41666666666666669</v>
      </c>
      <c r="F41" s="10">
        <v>5.49</v>
      </c>
      <c r="G41" s="10">
        <v>0.7</v>
      </c>
      <c r="H41" s="12" t="s">
        <v>169</v>
      </c>
      <c r="I41" s="12" t="s">
        <v>169</v>
      </c>
      <c r="J41" s="12" t="s">
        <v>169</v>
      </c>
      <c r="K41" s="12" t="s">
        <v>169</v>
      </c>
      <c r="L41" s="12" t="s">
        <v>169</v>
      </c>
      <c r="M41" s="12" t="s">
        <v>169</v>
      </c>
      <c r="N41" s="12" t="s">
        <v>169</v>
      </c>
      <c r="O41" s="12" t="s">
        <v>169</v>
      </c>
      <c r="P41" s="12">
        <v>0.58652094717668479</v>
      </c>
      <c r="Q41" s="12" t="s">
        <v>169</v>
      </c>
      <c r="R41" s="12" t="s">
        <v>169</v>
      </c>
      <c r="S41" s="12" t="s">
        <v>169</v>
      </c>
      <c r="T41" s="12" t="s">
        <v>169</v>
      </c>
      <c r="U41" s="12" t="s">
        <v>169</v>
      </c>
      <c r="V41" s="12" t="s">
        <v>169</v>
      </c>
      <c r="W41" s="12" t="s">
        <v>169</v>
      </c>
      <c r="X41" s="12" t="s">
        <v>169</v>
      </c>
      <c r="Y41" s="12" t="s">
        <v>169</v>
      </c>
      <c r="Z41" s="12" t="s">
        <v>169</v>
      </c>
      <c r="AA41" s="12" t="s">
        <v>169</v>
      </c>
      <c r="AB41" s="12" t="s">
        <v>169</v>
      </c>
      <c r="AC41" s="12" t="s">
        <v>169</v>
      </c>
      <c r="AD41" s="12" t="s">
        <v>169</v>
      </c>
      <c r="AE41" s="12" t="s">
        <v>169</v>
      </c>
      <c r="AF41" s="12" t="s">
        <v>169</v>
      </c>
      <c r="AG41" s="12" t="s">
        <v>169</v>
      </c>
      <c r="AH41" s="12" t="s">
        <v>169</v>
      </c>
      <c r="AI41" s="12" t="s">
        <v>169</v>
      </c>
      <c r="AJ41" s="12" t="s">
        <v>169</v>
      </c>
      <c r="AK41" s="12" t="s">
        <v>169</v>
      </c>
      <c r="AL41" s="12" t="s">
        <v>169</v>
      </c>
      <c r="AM41" s="12" t="s">
        <v>169</v>
      </c>
      <c r="AN41" s="12" t="s">
        <v>169</v>
      </c>
      <c r="AO41" s="12" t="s">
        <v>169</v>
      </c>
      <c r="AP41" s="12" t="s">
        <v>169</v>
      </c>
      <c r="AQ41" s="12" t="s">
        <v>169</v>
      </c>
      <c r="AR41" s="12" t="s">
        <v>169</v>
      </c>
      <c r="AS41" s="12" t="s">
        <v>169</v>
      </c>
      <c r="AT41" s="12" t="s">
        <v>169</v>
      </c>
      <c r="AU41" s="12" t="s">
        <v>169</v>
      </c>
      <c r="AV41" s="12" t="s">
        <v>169</v>
      </c>
      <c r="AW41" s="12" t="s">
        <v>169</v>
      </c>
      <c r="AX41" s="12" t="s">
        <v>169</v>
      </c>
      <c r="AY41" s="12" t="s">
        <v>169</v>
      </c>
      <c r="AZ41" s="12" t="s">
        <v>169</v>
      </c>
      <c r="BA41" s="12" t="s">
        <v>169</v>
      </c>
      <c r="BB41" s="12" t="s">
        <v>169</v>
      </c>
      <c r="BC41" s="12" t="s">
        <v>169</v>
      </c>
      <c r="BD41" s="12" t="s">
        <v>169</v>
      </c>
      <c r="BE41" s="12" t="s">
        <v>169</v>
      </c>
      <c r="BF41" s="12" t="s">
        <v>169</v>
      </c>
      <c r="BG41" s="12" t="s">
        <v>169</v>
      </c>
      <c r="BH41" s="12" t="s">
        <v>169</v>
      </c>
      <c r="BI41" s="12" t="s">
        <v>169</v>
      </c>
      <c r="BJ41" s="12" t="s">
        <v>169</v>
      </c>
      <c r="BK41" s="12" t="s">
        <v>169</v>
      </c>
      <c r="BL41" s="12" t="s">
        <v>169</v>
      </c>
      <c r="BM41" s="12" t="s">
        <v>169</v>
      </c>
      <c r="BN41" s="12" t="s">
        <v>169</v>
      </c>
      <c r="BO41" s="12" t="s">
        <v>169</v>
      </c>
      <c r="BP41" s="12" t="s">
        <v>169</v>
      </c>
      <c r="BQ41" s="12" t="s">
        <v>169</v>
      </c>
      <c r="BR41" s="12" t="s">
        <v>169</v>
      </c>
      <c r="BS41" s="12" t="s">
        <v>169</v>
      </c>
      <c r="BT41" s="12" t="s">
        <v>169</v>
      </c>
      <c r="BU41" s="12" t="s">
        <v>169</v>
      </c>
      <c r="BV41" s="12" t="s">
        <v>169</v>
      </c>
      <c r="BW41" s="12" t="s">
        <v>169</v>
      </c>
      <c r="BX41" s="12" t="s">
        <v>169</v>
      </c>
      <c r="BY41" s="12" t="s">
        <v>169</v>
      </c>
      <c r="BZ41" s="12" t="s">
        <v>169</v>
      </c>
      <c r="CA41" s="12" t="s">
        <v>169</v>
      </c>
      <c r="CB41" s="12" t="s">
        <v>169</v>
      </c>
      <c r="CC41" s="12" t="s">
        <v>169</v>
      </c>
      <c r="CD41" s="12" t="s">
        <v>169</v>
      </c>
      <c r="CE41" s="12" t="s">
        <v>169</v>
      </c>
      <c r="CF41" s="12" t="s">
        <v>169</v>
      </c>
      <c r="CG41" s="12" t="s">
        <v>169</v>
      </c>
      <c r="CH41" s="12" t="s">
        <v>169</v>
      </c>
      <c r="CI41" s="12" t="s">
        <v>169</v>
      </c>
      <c r="CJ41" s="12" t="s">
        <v>169</v>
      </c>
      <c r="CK41" s="12" t="s">
        <v>169</v>
      </c>
      <c r="CL41" s="12" t="s">
        <v>169</v>
      </c>
      <c r="CM41" s="12" t="s">
        <v>169</v>
      </c>
      <c r="CN41" s="12" t="s">
        <v>169</v>
      </c>
      <c r="CO41" s="12" t="s">
        <v>169</v>
      </c>
      <c r="CP41" s="12">
        <v>2.3491424692418357</v>
      </c>
      <c r="CQ41" s="12" t="s">
        <v>169</v>
      </c>
      <c r="CR41" s="12" t="s">
        <v>169</v>
      </c>
      <c r="CS41" s="12" t="s">
        <v>169</v>
      </c>
      <c r="CT41" s="12" t="s">
        <v>169</v>
      </c>
      <c r="CU41" s="12" t="s">
        <v>169</v>
      </c>
      <c r="CV41" s="12" t="s">
        <v>169</v>
      </c>
      <c r="CW41" s="12" t="s">
        <v>169</v>
      </c>
      <c r="CX41" s="12" t="s">
        <v>169</v>
      </c>
      <c r="CY41" s="12" t="s">
        <v>169</v>
      </c>
      <c r="CZ41" s="12" t="s">
        <v>169</v>
      </c>
      <c r="DA41" s="12" t="s">
        <v>169</v>
      </c>
      <c r="DB41" s="12" t="s">
        <v>169</v>
      </c>
      <c r="DC41" s="12" t="s">
        <v>169</v>
      </c>
      <c r="DD41" s="12" t="s">
        <v>169</v>
      </c>
      <c r="DE41" s="12" t="s">
        <v>169</v>
      </c>
      <c r="DF41" s="12" t="s">
        <v>169</v>
      </c>
      <c r="DG41" s="12" t="s">
        <v>169</v>
      </c>
      <c r="DH41" s="12" t="s">
        <v>169</v>
      </c>
      <c r="DI41" s="12" t="s">
        <v>169</v>
      </c>
      <c r="DJ41" s="12" t="s">
        <v>169</v>
      </c>
      <c r="DK41" s="12" t="s">
        <v>169</v>
      </c>
      <c r="DL41" s="12" t="s">
        <v>169</v>
      </c>
      <c r="DM41" s="12" t="s">
        <v>169</v>
      </c>
      <c r="DN41" s="12" t="s">
        <v>169</v>
      </c>
      <c r="DO41" s="12" t="s">
        <v>169</v>
      </c>
      <c r="DP41" s="12" t="s">
        <v>169</v>
      </c>
      <c r="DQ41" s="12" t="s">
        <v>169</v>
      </c>
      <c r="DR41" s="12" t="s">
        <v>169</v>
      </c>
      <c r="DS41" s="12" t="s">
        <v>169</v>
      </c>
      <c r="DT41" s="12" t="s">
        <v>169</v>
      </c>
      <c r="DU41" s="12" t="s">
        <v>169</v>
      </c>
    </row>
    <row r="42" spans="1:125" x14ac:dyDescent="0.25">
      <c r="A42" s="3" t="s">
        <v>39</v>
      </c>
      <c r="B42" s="3" t="s">
        <v>148</v>
      </c>
      <c r="C42" s="3" t="s">
        <v>93</v>
      </c>
      <c r="D42" s="7">
        <v>42868</v>
      </c>
      <c r="E42" s="8">
        <v>0.58333333333333337</v>
      </c>
      <c r="F42" s="10">
        <v>5.21</v>
      </c>
      <c r="G42" s="10">
        <v>1</v>
      </c>
      <c r="H42" s="12" t="s">
        <v>169</v>
      </c>
      <c r="I42" s="12" t="s">
        <v>169</v>
      </c>
      <c r="J42" s="12" t="s">
        <v>169</v>
      </c>
      <c r="K42" s="12" t="s">
        <v>169</v>
      </c>
      <c r="L42" s="12" t="s">
        <v>169</v>
      </c>
      <c r="M42" s="12" t="s">
        <v>169</v>
      </c>
      <c r="N42" s="12" t="s">
        <v>169</v>
      </c>
      <c r="O42" s="12" t="s">
        <v>169</v>
      </c>
      <c r="P42" s="12" t="s">
        <v>169</v>
      </c>
      <c r="Q42" s="12" t="s">
        <v>169</v>
      </c>
      <c r="R42" s="12" t="s">
        <v>169</v>
      </c>
      <c r="S42" s="12" t="s">
        <v>169</v>
      </c>
      <c r="T42" s="12" t="s">
        <v>169</v>
      </c>
      <c r="U42" s="12" t="s">
        <v>169</v>
      </c>
      <c r="V42" s="12" t="s">
        <v>169</v>
      </c>
      <c r="W42" s="12" t="s">
        <v>169</v>
      </c>
      <c r="X42" s="12" t="s">
        <v>169</v>
      </c>
      <c r="Y42" s="12" t="s">
        <v>169</v>
      </c>
      <c r="Z42" s="12" t="s">
        <v>169</v>
      </c>
      <c r="AA42" s="12" t="s">
        <v>169</v>
      </c>
      <c r="AB42" s="12" t="s">
        <v>169</v>
      </c>
      <c r="AC42" s="12" t="s">
        <v>169</v>
      </c>
      <c r="AD42" s="12" t="s">
        <v>169</v>
      </c>
      <c r="AE42" s="12" t="s">
        <v>169</v>
      </c>
      <c r="AF42" s="12" t="s">
        <v>169</v>
      </c>
      <c r="AG42" s="12" t="s">
        <v>169</v>
      </c>
      <c r="AH42" s="12" t="s">
        <v>169</v>
      </c>
      <c r="AI42" s="12" t="s">
        <v>169</v>
      </c>
      <c r="AJ42" s="12" t="s">
        <v>169</v>
      </c>
      <c r="AK42" s="12" t="s">
        <v>169</v>
      </c>
      <c r="AL42" s="12" t="s">
        <v>169</v>
      </c>
      <c r="AM42" s="12" t="s">
        <v>169</v>
      </c>
      <c r="AN42" s="12">
        <v>1.6267214312868483</v>
      </c>
      <c r="AO42" s="12" t="s">
        <v>169</v>
      </c>
      <c r="AP42" s="12" t="s">
        <v>169</v>
      </c>
      <c r="AQ42" s="12" t="s">
        <v>169</v>
      </c>
      <c r="AR42" s="12" t="s">
        <v>169</v>
      </c>
      <c r="AS42" s="12" t="s">
        <v>169</v>
      </c>
      <c r="AT42" s="12" t="s">
        <v>169</v>
      </c>
      <c r="AU42" s="12" t="s">
        <v>169</v>
      </c>
      <c r="AV42" s="12" t="s">
        <v>169</v>
      </c>
      <c r="AW42" s="12" t="s">
        <v>169</v>
      </c>
      <c r="AX42" s="12" t="s">
        <v>169</v>
      </c>
      <c r="AY42" s="12" t="s">
        <v>169</v>
      </c>
      <c r="AZ42" s="12" t="s">
        <v>169</v>
      </c>
      <c r="BA42" s="12" t="s">
        <v>169</v>
      </c>
      <c r="BB42" s="12" t="s">
        <v>169</v>
      </c>
      <c r="BC42" s="12" t="s">
        <v>169</v>
      </c>
      <c r="BD42" s="12" t="s">
        <v>169</v>
      </c>
      <c r="BE42" s="12" t="s">
        <v>169</v>
      </c>
      <c r="BF42" s="12" t="s">
        <v>169</v>
      </c>
      <c r="BG42" s="12" t="s">
        <v>169</v>
      </c>
      <c r="BH42" s="12" t="s">
        <v>169</v>
      </c>
      <c r="BI42" s="12" t="s">
        <v>169</v>
      </c>
      <c r="BJ42" s="12" t="s">
        <v>169</v>
      </c>
      <c r="BK42" s="12" t="s">
        <v>169</v>
      </c>
      <c r="BL42" s="12" t="s">
        <v>169</v>
      </c>
      <c r="BM42" s="12" t="s">
        <v>169</v>
      </c>
      <c r="BN42" s="12" t="s">
        <v>169</v>
      </c>
      <c r="BO42" s="12" t="s">
        <v>169</v>
      </c>
      <c r="BP42" s="12" t="s">
        <v>169</v>
      </c>
      <c r="BQ42" s="12" t="s">
        <v>169</v>
      </c>
      <c r="BR42" s="12" t="s">
        <v>169</v>
      </c>
      <c r="BS42" s="12" t="s">
        <v>169</v>
      </c>
      <c r="BT42" s="12" t="s">
        <v>169</v>
      </c>
      <c r="BU42" s="12" t="s">
        <v>169</v>
      </c>
      <c r="BV42" s="12" t="s">
        <v>169</v>
      </c>
      <c r="BW42" s="12" t="s">
        <v>169</v>
      </c>
      <c r="BX42" s="12" t="s">
        <v>169</v>
      </c>
      <c r="BY42" s="12" t="s">
        <v>169</v>
      </c>
      <c r="BZ42" s="12" t="s">
        <v>169</v>
      </c>
      <c r="CA42" s="12" t="s">
        <v>169</v>
      </c>
      <c r="CB42" s="12" t="s">
        <v>169</v>
      </c>
      <c r="CC42" s="12">
        <v>23.00622143325662</v>
      </c>
      <c r="CD42" s="12" t="s">
        <v>169</v>
      </c>
      <c r="CE42" s="12">
        <v>0.98272552783109413</v>
      </c>
      <c r="CF42" s="12">
        <v>1.9302223795956353</v>
      </c>
      <c r="CG42" s="12">
        <v>2.4642121879152938</v>
      </c>
      <c r="CH42" s="12" t="s">
        <v>169</v>
      </c>
      <c r="CI42" s="12" t="s">
        <v>169</v>
      </c>
      <c r="CJ42" s="12" t="s">
        <v>169</v>
      </c>
      <c r="CK42" s="12" t="s">
        <v>169</v>
      </c>
      <c r="CL42" s="12" t="s">
        <v>169</v>
      </c>
      <c r="CM42" s="12" t="s">
        <v>169</v>
      </c>
      <c r="CN42" s="12" t="s">
        <v>169</v>
      </c>
      <c r="CO42" s="12" t="s">
        <v>169</v>
      </c>
      <c r="CP42" s="12" t="s">
        <v>169</v>
      </c>
      <c r="CQ42" s="12" t="s">
        <v>169</v>
      </c>
      <c r="CR42" s="12" t="s">
        <v>169</v>
      </c>
      <c r="CS42" s="12" t="s">
        <v>169</v>
      </c>
      <c r="CT42" s="12" t="s">
        <v>169</v>
      </c>
      <c r="CU42" s="12" t="s">
        <v>169</v>
      </c>
      <c r="CV42" s="12" t="s">
        <v>169</v>
      </c>
      <c r="CW42" s="12" t="s">
        <v>169</v>
      </c>
      <c r="CX42" s="12" t="s">
        <v>169</v>
      </c>
      <c r="CY42" s="12" t="s">
        <v>169</v>
      </c>
      <c r="CZ42" s="12" t="s">
        <v>169</v>
      </c>
      <c r="DA42" s="12" t="s">
        <v>169</v>
      </c>
      <c r="DB42" s="12" t="s">
        <v>169</v>
      </c>
      <c r="DC42" s="12" t="s">
        <v>169</v>
      </c>
      <c r="DD42" s="12" t="s">
        <v>169</v>
      </c>
      <c r="DE42" s="12" t="s">
        <v>169</v>
      </c>
      <c r="DF42" s="12" t="s">
        <v>169</v>
      </c>
      <c r="DG42" s="12" t="s">
        <v>169</v>
      </c>
      <c r="DH42" s="12" t="s">
        <v>169</v>
      </c>
      <c r="DI42" s="12" t="s">
        <v>169</v>
      </c>
      <c r="DJ42" s="12" t="s">
        <v>169</v>
      </c>
      <c r="DK42" s="12" t="s">
        <v>169</v>
      </c>
      <c r="DL42" s="12" t="s">
        <v>169</v>
      </c>
      <c r="DM42" s="12" t="s">
        <v>169</v>
      </c>
      <c r="DN42" s="12" t="s">
        <v>169</v>
      </c>
      <c r="DO42" s="12" t="s">
        <v>169</v>
      </c>
      <c r="DP42" s="12" t="s">
        <v>169</v>
      </c>
      <c r="DQ42" s="12" t="s">
        <v>169</v>
      </c>
      <c r="DR42" s="12" t="s">
        <v>169</v>
      </c>
      <c r="DS42" s="12" t="s">
        <v>169</v>
      </c>
      <c r="DT42" s="12" t="s">
        <v>169</v>
      </c>
      <c r="DU42" s="12" t="s">
        <v>169</v>
      </c>
    </row>
    <row r="43" spans="1:125" x14ac:dyDescent="0.25">
      <c r="A43" s="3" t="s">
        <v>40</v>
      </c>
      <c r="B43" s="3" t="s">
        <v>149</v>
      </c>
      <c r="C43" s="3" t="s">
        <v>94</v>
      </c>
      <c r="D43" s="7">
        <v>42865</v>
      </c>
      <c r="E43" s="8">
        <v>0.54166666666666663</v>
      </c>
      <c r="F43" s="10">
        <v>5.15</v>
      </c>
      <c r="G43" s="10">
        <v>0.61</v>
      </c>
      <c r="H43" s="12" t="s">
        <v>169</v>
      </c>
      <c r="I43" s="12" t="s">
        <v>169</v>
      </c>
      <c r="J43" s="12" t="s">
        <v>169</v>
      </c>
      <c r="K43" s="12" t="s">
        <v>169</v>
      </c>
      <c r="L43" s="12" t="s">
        <v>169</v>
      </c>
      <c r="M43" s="12" t="s">
        <v>169</v>
      </c>
      <c r="N43" s="13" t="s">
        <v>169</v>
      </c>
      <c r="O43" s="12" t="s">
        <v>169</v>
      </c>
      <c r="P43" s="12" t="s">
        <v>169</v>
      </c>
      <c r="Q43" s="13" t="s">
        <v>169</v>
      </c>
      <c r="R43" s="12" t="s">
        <v>169</v>
      </c>
      <c r="S43" s="12" t="s">
        <v>169</v>
      </c>
      <c r="T43" s="13" t="s">
        <v>169</v>
      </c>
      <c r="U43" s="12" t="s">
        <v>169</v>
      </c>
      <c r="V43" s="12" t="s">
        <v>169</v>
      </c>
      <c r="W43" s="12" t="s">
        <v>169</v>
      </c>
      <c r="X43" s="13" t="s">
        <v>169</v>
      </c>
      <c r="Y43" s="12" t="s">
        <v>169</v>
      </c>
      <c r="Z43" s="12" t="s">
        <v>169</v>
      </c>
      <c r="AA43" s="12" t="s">
        <v>169</v>
      </c>
      <c r="AB43" s="12" t="s">
        <v>169</v>
      </c>
      <c r="AC43" s="12" t="s">
        <v>169</v>
      </c>
      <c r="AD43" s="12" t="s">
        <v>169</v>
      </c>
      <c r="AE43" s="12" t="s">
        <v>169</v>
      </c>
      <c r="AF43" s="12" t="s">
        <v>169</v>
      </c>
      <c r="AG43" s="13" t="s">
        <v>169</v>
      </c>
      <c r="AH43" s="13" t="s">
        <v>169</v>
      </c>
      <c r="AI43" s="12" t="s">
        <v>169</v>
      </c>
      <c r="AJ43" s="12" t="s">
        <v>169</v>
      </c>
      <c r="AK43" s="12" t="s">
        <v>169</v>
      </c>
      <c r="AL43" s="13" t="s">
        <v>169</v>
      </c>
      <c r="AM43" s="13" t="s">
        <v>169</v>
      </c>
      <c r="AN43" s="12" t="s">
        <v>169</v>
      </c>
      <c r="AO43" s="12" t="s">
        <v>169</v>
      </c>
      <c r="AP43" s="12" t="s">
        <v>169</v>
      </c>
      <c r="AQ43" s="12" t="s">
        <v>169</v>
      </c>
      <c r="AR43" s="12" t="s">
        <v>169</v>
      </c>
      <c r="AS43" s="13" t="s">
        <v>169</v>
      </c>
      <c r="AT43" s="13" t="s">
        <v>169</v>
      </c>
      <c r="AU43" s="13" t="s">
        <v>169</v>
      </c>
      <c r="AV43" s="13" t="s">
        <v>169</v>
      </c>
      <c r="AW43" s="12" t="s">
        <v>169</v>
      </c>
      <c r="AX43" s="12" t="s">
        <v>169</v>
      </c>
      <c r="AY43" s="12" t="s">
        <v>169</v>
      </c>
      <c r="AZ43" s="12" t="s">
        <v>169</v>
      </c>
      <c r="BA43" s="12" t="s">
        <v>169</v>
      </c>
      <c r="BB43" s="12" t="s">
        <v>169</v>
      </c>
      <c r="BC43" s="12" t="s">
        <v>169</v>
      </c>
      <c r="BD43" s="12" t="s">
        <v>169</v>
      </c>
      <c r="BE43" s="13" t="s">
        <v>169</v>
      </c>
      <c r="BF43" s="13" t="s">
        <v>169</v>
      </c>
      <c r="BG43" s="12" t="s">
        <v>169</v>
      </c>
      <c r="BH43" s="12" t="s">
        <v>169</v>
      </c>
      <c r="BI43" s="13" t="s">
        <v>169</v>
      </c>
      <c r="BJ43" s="13" t="s">
        <v>169</v>
      </c>
      <c r="BK43" s="13" t="s">
        <v>169</v>
      </c>
      <c r="BL43" s="13" t="s">
        <v>169</v>
      </c>
      <c r="BM43" s="12" t="s">
        <v>169</v>
      </c>
      <c r="BN43" s="13" t="s">
        <v>169</v>
      </c>
      <c r="BO43" s="13" t="s">
        <v>169</v>
      </c>
      <c r="BP43" s="13" t="s">
        <v>169</v>
      </c>
      <c r="BQ43" s="13" t="s">
        <v>169</v>
      </c>
      <c r="BR43" s="12" t="s">
        <v>169</v>
      </c>
      <c r="BS43" s="13" t="s">
        <v>169</v>
      </c>
      <c r="BT43" s="13" t="s">
        <v>169</v>
      </c>
      <c r="BU43" s="12" t="s">
        <v>169</v>
      </c>
      <c r="BV43" s="12" t="s">
        <v>169</v>
      </c>
      <c r="BW43" s="12" t="s">
        <v>169</v>
      </c>
      <c r="BX43" s="12" t="s">
        <v>169</v>
      </c>
      <c r="BY43" s="12" t="s">
        <v>169</v>
      </c>
      <c r="BZ43" s="13" t="s">
        <v>169</v>
      </c>
      <c r="CA43" s="12" t="s">
        <v>169</v>
      </c>
      <c r="CB43" s="13" t="s">
        <v>169</v>
      </c>
      <c r="CC43" s="12" t="s">
        <v>169</v>
      </c>
      <c r="CD43" s="12" t="s">
        <v>169</v>
      </c>
      <c r="CE43" s="12" t="s">
        <v>169</v>
      </c>
      <c r="CF43" s="12" t="s">
        <v>169</v>
      </c>
      <c r="CG43" s="12" t="s">
        <v>169</v>
      </c>
      <c r="CH43" s="12" t="s">
        <v>169</v>
      </c>
      <c r="CI43" s="13" t="s">
        <v>169</v>
      </c>
      <c r="CJ43" s="12" t="s">
        <v>169</v>
      </c>
      <c r="CK43" s="12" t="s">
        <v>169</v>
      </c>
      <c r="CL43" s="12" t="s">
        <v>169</v>
      </c>
      <c r="CM43" s="12" t="s">
        <v>169</v>
      </c>
      <c r="CN43" s="12" t="s">
        <v>169</v>
      </c>
      <c r="CO43" s="12" t="s">
        <v>169</v>
      </c>
      <c r="CP43" s="12" t="s">
        <v>169</v>
      </c>
      <c r="CQ43" s="12" t="s">
        <v>169</v>
      </c>
      <c r="CR43" s="12" t="s">
        <v>169</v>
      </c>
      <c r="CS43" s="12" t="s">
        <v>169</v>
      </c>
      <c r="CT43" s="12" t="s">
        <v>169</v>
      </c>
      <c r="CU43" s="13" t="s">
        <v>169</v>
      </c>
      <c r="CV43" s="12" t="s">
        <v>169</v>
      </c>
      <c r="CW43" s="13" t="s">
        <v>169</v>
      </c>
      <c r="CX43" s="12" t="s">
        <v>169</v>
      </c>
      <c r="CY43" s="13" t="s">
        <v>169</v>
      </c>
      <c r="CZ43" s="12" t="s">
        <v>169</v>
      </c>
      <c r="DA43" s="12" t="s">
        <v>169</v>
      </c>
      <c r="DB43" s="12" t="s">
        <v>169</v>
      </c>
      <c r="DC43" s="13" t="s">
        <v>169</v>
      </c>
      <c r="DD43" s="12" t="s">
        <v>169</v>
      </c>
      <c r="DE43" s="13" t="s">
        <v>169</v>
      </c>
      <c r="DF43" s="12" t="s">
        <v>169</v>
      </c>
      <c r="DG43" s="13" t="s">
        <v>169</v>
      </c>
      <c r="DH43" s="12" t="s">
        <v>169</v>
      </c>
      <c r="DI43" s="12" t="s">
        <v>169</v>
      </c>
      <c r="DJ43" s="12" t="s">
        <v>169</v>
      </c>
      <c r="DK43" s="12" t="s">
        <v>169</v>
      </c>
      <c r="DL43" s="13" t="s">
        <v>169</v>
      </c>
      <c r="DM43" s="13" t="s">
        <v>169</v>
      </c>
      <c r="DN43" s="12" t="s">
        <v>169</v>
      </c>
      <c r="DO43" s="13" t="s">
        <v>169</v>
      </c>
      <c r="DP43" s="13" t="s">
        <v>169</v>
      </c>
      <c r="DQ43" s="13" t="s">
        <v>169</v>
      </c>
      <c r="DR43" s="12" t="s">
        <v>169</v>
      </c>
      <c r="DS43" s="13" t="s">
        <v>169</v>
      </c>
      <c r="DT43" s="13" t="s">
        <v>169</v>
      </c>
      <c r="DU43" s="13" t="s">
        <v>169</v>
      </c>
    </row>
    <row r="44" spans="1:125" x14ac:dyDescent="0.25">
      <c r="A44" s="3" t="s">
        <v>41</v>
      </c>
      <c r="B44" s="3" t="s">
        <v>150</v>
      </c>
      <c r="C44" s="3" t="s">
        <v>95</v>
      </c>
      <c r="D44" s="7">
        <v>42866</v>
      </c>
      <c r="E44" s="8">
        <v>0.375</v>
      </c>
      <c r="F44" s="10">
        <v>5.1100000000000003</v>
      </c>
      <c r="G44" s="10">
        <v>1.1100000000000001</v>
      </c>
      <c r="H44" s="12" t="s">
        <v>169</v>
      </c>
      <c r="I44" s="12" t="s">
        <v>169</v>
      </c>
      <c r="J44" s="12" t="s">
        <v>169</v>
      </c>
      <c r="K44" s="12" t="s">
        <v>169</v>
      </c>
      <c r="L44" s="12" t="s">
        <v>169</v>
      </c>
      <c r="M44" s="12" t="s">
        <v>169</v>
      </c>
      <c r="N44" s="12" t="s">
        <v>169</v>
      </c>
      <c r="O44" s="12" t="s">
        <v>169</v>
      </c>
      <c r="P44" s="12">
        <v>0.94324853228962813</v>
      </c>
      <c r="Q44" s="12" t="s">
        <v>169</v>
      </c>
      <c r="R44" s="12" t="s">
        <v>169</v>
      </c>
      <c r="S44" s="12" t="s">
        <v>169</v>
      </c>
      <c r="T44" s="12" t="s">
        <v>169</v>
      </c>
      <c r="U44" s="12" t="s">
        <v>169</v>
      </c>
      <c r="V44" s="12" t="s">
        <v>169</v>
      </c>
      <c r="W44" s="12" t="s">
        <v>169</v>
      </c>
      <c r="X44" s="12" t="s">
        <v>169</v>
      </c>
      <c r="Y44" s="12" t="s">
        <v>169</v>
      </c>
      <c r="Z44" s="12" t="s">
        <v>169</v>
      </c>
      <c r="AA44" s="12" t="s">
        <v>169</v>
      </c>
      <c r="AB44" s="12" t="s">
        <v>169</v>
      </c>
      <c r="AC44" s="12" t="s">
        <v>169</v>
      </c>
      <c r="AD44" s="12" t="s">
        <v>169</v>
      </c>
      <c r="AE44" s="12" t="s">
        <v>169</v>
      </c>
      <c r="AF44" s="12" t="s">
        <v>169</v>
      </c>
      <c r="AG44" s="12" t="s">
        <v>169</v>
      </c>
      <c r="AH44" s="12" t="s">
        <v>169</v>
      </c>
      <c r="AI44" s="12" t="s">
        <v>169</v>
      </c>
      <c r="AJ44" s="12" t="s">
        <v>169</v>
      </c>
      <c r="AK44" s="12" t="s">
        <v>169</v>
      </c>
      <c r="AL44" s="12" t="s">
        <v>169</v>
      </c>
      <c r="AM44" s="12" t="s">
        <v>169</v>
      </c>
      <c r="AN44" s="12" t="s">
        <v>169</v>
      </c>
      <c r="AO44" s="12" t="s">
        <v>169</v>
      </c>
      <c r="AP44" s="12" t="s">
        <v>169</v>
      </c>
      <c r="AQ44" s="12" t="s">
        <v>169</v>
      </c>
      <c r="AR44" s="12" t="s">
        <v>169</v>
      </c>
      <c r="AS44" s="12" t="s">
        <v>169</v>
      </c>
      <c r="AT44" s="12" t="s">
        <v>169</v>
      </c>
      <c r="AU44" s="12" t="s">
        <v>169</v>
      </c>
      <c r="AV44" s="12" t="s">
        <v>169</v>
      </c>
      <c r="AW44" s="12" t="s">
        <v>169</v>
      </c>
      <c r="AX44" s="12" t="s">
        <v>169</v>
      </c>
      <c r="AY44" s="12" t="s">
        <v>169</v>
      </c>
      <c r="AZ44" s="12" t="s">
        <v>169</v>
      </c>
      <c r="BA44" s="12" t="s">
        <v>169</v>
      </c>
      <c r="BB44" s="12" t="s">
        <v>169</v>
      </c>
      <c r="BC44" s="12" t="s">
        <v>169</v>
      </c>
      <c r="BD44" s="12" t="s">
        <v>169</v>
      </c>
      <c r="BE44" s="12" t="s">
        <v>169</v>
      </c>
      <c r="BF44" s="12" t="s">
        <v>169</v>
      </c>
      <c r="BG44" s="12" t="s">
        <v>169</v>
      </c>
      <c r="BH44" s="12" t="s">
        <v>169</v>
      </c>
      <c r="BI44" s="12" t="s">
        <v>169</v>
      </c>
      <c r="BJ44" s="12" t="s">
        <v>169</v>
      </c>
      <c r="BK44" s="12" t="s">
        <v>169</v>
      </c>
      <c r="BL44" s="12" t="s">
        <v>169</v>
      </c>
      <c r="BM44" s="12" t="s">
        <v>169</v>
      </c>
      <c r="BN44" s="12" t="s">
        <v>169</v>
      </c>
      <c r="BO44" s="12" t="s">
        <v>169</v>
      </c>
      <c r="BP44" s="12" t="s">
        <v>169</v>
      </c>
      <c r="BQ44" s="12" t="s">
        <v>169</v>
      </c>
      <c r="BR44" s="12" t="s">
        <v>169</v>
      </c>
      <c r="BS44" s="12" t="s">
        <v>169</v>
      </c>
      <c r="BT44" s="12" t="s">
        <v>169</v>
      </c>
      <c r="BU44" s="12" t="s">
        <v>169</v>
      </c>
      <c r="BV44" s="12" t="s">
        <v>169</v>
      </c>
      <c r="BW44" s="12" t="s">
        <v>169</v>
      </c>
      <c r="BX44" s="12" t="s">
        <v>169</v>
      </c>
      <c r="BY44" s="12" t="s">
        <v>169</v>
      </c>
      <c r="BZ44" s="12" t="s">
        <v>169</v>
      </c>
      <c r="CA44" s="12" t="s">
        <v>169</v>
      </c>
      <c r="CB44" s="12" t="s">
        <v>169</v>
      </c>
      <c r="CC44" s="12">
        <v>1.4596787309155421</v>
      </c>
      <c r="CD44" s="12" t="s">
        <v>169</v>
      </c>
      <c r="CE44" s="12" t="s">
        <v>169</v>
      </c>
      <c r="CF44" s="12">
        <v>1.0242077722874363</v>
      </c>
      <c r="CG44" s="12">
        <v>0.89114305718393727</v>
      </c>
      <c r="CH44" s="12" t="s">
        <v>169</v>
      </c>
      <c r="CI44" s="12" t="s">
        <v>169</v>
      </c>
      <c r="CJ44" s="12" t="s">
        <v>169</v>
      </c>
      <c r="CK44" s="12" t="s">
        <v>169</v>
      </c>
      <c r="CL44" s="12" t="s">
        <v>169</v>
      </c>
      <c r="CM44" s="12" t="s">
        <v>169</v>
      </c>
      <c r="CN44" s="12" t="s">
        <v>169</v>
      </c>
      <c r="CO44" s="12" t="s">
        <v>169</v>
      </c>
      <c r="CP44" s="12" t="s">
        <v>169</v>
      </c>
      <c r="CQ44" s="12" t="s">
        <v>169</v>
      </c>
      <c r="CR44" s="12" t="s">
        <v>169</v>
      </c>
      <c r="CS44" s="12" t="s">
        <v>169</v>
      </c>
      <c r="CT44" s="12" t="s">
        <v>169</v>
      </c>
      <c r="CU44" s="12" t="s">
        <v>169</v>
      </c>
      <c r="CV44" s="12" t="s">
        <v>169</v>
      </c>
      <c r="CW44" s="12" t="s">
        <v>169</v>
      </c>
      <c r="CX44" s="12" t="s">
        <v>169</v>
      </c>
      <c r="CY44" s="12" t="s">
        <v>169</v>
      </c>
      <c r="CZ44" s="12" t="s">
        <v>169</v>
      </c>
      <c r="DA44" s="12" t="s">
        <v>169</v>
      </c>
      <c r="DB44" s="12" t="s">
        <v>169</v>
      </c>
      <c r="DC44" s="12" t="s">
        <v>169</v>
      </c>
      <c r="DD44" s="12" t="s">
        <v>169</v>
      </c>
      <c r="DE44" s="12" t="s">
        <v>169</v>
      </c>
      <c r="DF44" s="12" t="s">
        <v>169</v>
      </c>
      <c r="DG44" s="12" t="s">
        <v>169</v>
      </c>
      <c r="DH44" s="12" t="s">
        <v>169</v>
      </c>
      <c r="DI44" s="12" t="s">
        <v>169</v>
      </c>
      <c r="DJ44" s="12" t="s">
        <v>169</v>
      </c>
      <c r="DK44" s="12" t="s">
        <v>169</v>
      </c>
      <c r="DL44" s="12" t="s">
        <v>169</v>
      </c>
      <c r="DM44" s="12" t="s">
        <v>169</v>
      </c>
      <c r="DN44" s="12" t="s">
        <v>169</v>
      </c>
      <c r="DO44" s="12" t="s">
        <v>169</v>
      </c>
      <c r="DP44" s="12" t="s">
        <v>169</v>
      </c>
      <c r="DQ44" s="12" t="s">
        <v>169</v>
      </c>
      <c r="DR44" s="12" t="s">
        <v>169</v>
      </c>
      <c r="DS44" s="12" t="s">
        <v>169</v>
      </c>
      <c r="DT44" s="12" t="s">
        <v>169</v>
      </c>
      <c r="DU44" s="12" t="s">
        <v>169</v>
      </c>
    </row>
    <row r="45" spans="1:125" x14ac:dyDescent="0.25">
      <c r="A45" s="3" t="s">
        <v>42</v>
      </c>
      <c r="B45" s="3" t="s">
        <v>151</v>
      </c>
      <c r="C45" s="3" t="s">
        <v>96</v>
      </c>
      <c r="D45" s="7">
        <v>42867</v>
      </c>
      <c r="E45" s="8">
        <v>0.41666666666666669</v>
      </c>
      <c r="F45" s="10">
        <v>5.0049999999999999</v>
      </c>
      <c r="G45" s="10">
        <v>7.0000000000000007E-2</v>
      </c>
      <c r="H45" s="12" t="s">
        <v>169</v>
      </c>
      <c r="I45" s="12" t="s">
        <v>169</v>
      </c>
      <c r="J45" s="12" t="s">
        <v>169</v>
      </c>
      <c r="K45" s="12" t="s">
        <v>169</v>
      </c>
      <c r="L45" s="12" t="s">
        <v>169</v>
      </c>
      <c r="M45" s="12" t="s">
        <v>169</v>
      </c>
      <c r="N45" s="12" t="s">
        <v>169</v>
      </c>
      <c r="O45" s="12" t="s">
        <v>169</v>
      </c>
      <c r="P45" s="12" t="s">
        <v>169</v>
      </c>
      <c r="Q45" s="12" t="s">
        <v>169</v>
      </c>
      <c r="R45" s="12" t="s">
        <v>169</v>
      </c>
      <c r="S45" s="12" t="s">
        <v>169</v>
      </c>
      <c r="T45" s="12" t="s">
        <v>169</v>
      </c>
      <c r="U45" s="12" t="s">
        <v>169</v>
      </c>
      <c r="V45" s="12" t="s">
        <v>169</v>
      </c>
      <c r="W45" s="12" t="s">
        <v>169</v>
      </c>
      <c r="X45" s="12" t="s">
        <v>169</v>
      </c>
      <c r="Y45" s="12" t="s">
        <v>169</v>
      </c>
      <c r="Z45" s="12" t="s">
        <v>169</v>
      </c>
      <c r="AA45" s="12" t="s">
        <v>169</v>
      </c>
      <c r="AB45" s="12" t="s">
        <v>169</v>
      </c>
      <c r="AC45" s="12" t="s">
        <v>169</v>
      </c>
      <c r="AD45" s="12" t="s">
        <v>169</v>
      </c>
      <c r="AE45" s="12" t="s">
        <v>169</v>
      </c>
      <c r="AF45" s="12" t="s">
        <v>169</v>
      </c>
      <c r="AG45" s="12" t="s">
        <v>169</v>
      </c>
      <c r="AH45" s="12" t="s">
        <v>169</v>
      </c>
      <c r="AI45" s="12" t="s">
        <v>169</v>
      </c>
      <c r="AJ45" s="12" t="s">
        <v>169</v>
      </c>
      <c r="AK45" s="12" t="s">
        <v>169</v>
      </c>
      <c r="AL45" s="12" t="s">
        <v>169</v>
      </c>
      <c r="AM45" s="12" t="s">
        <v>169</v>
      </c>
      <c r="AN45" s="12" t="s">
        <v>169</v>
      </c>
      <c r="AO45" s="12" t="s">
        <v>169</v>
      </c>
      <c r="AP45" s="12" t="s">
        <v>169</v>
      </c>
      <c r="AQ45" s="12" t="s">
        <v>169</v>
      </c>
      <c r="AR45" s="12" t="s">
        <v>169</v>
      </c>
      <c r="AS45" s="12" t="s">
        <v>169</v>
      </c>
      <c r="AT45" s="12" t="s">
        <v>169</v>
      </c>
      <c r="AU45" s="12" t="s">
        <v>169</v>
      </c>
      <c r="AV45" s="12" t="s">
        <v>169</v>
      </c>
      <c r="AW45" s="12" t="s">
        <v>169</v>
      </c>
      <c r="AX45" s="12" t="s">
        <v>169</v>
      </c>
      <c r="AY45" s="12" t="s">
        <v>169</v>
      </c>
      <c r="AZ45" s="12" t="s">
        <v>169</v>
      </c>
      <c r="BA45" s="12" t="s">
        <v>169</v>
      </c>
      <c r="BB45" s="12" t="s">
        <v>169</v>
      </c>
      <c r="BC45" s="12" t="s">
        <v>169</v>
      </c>
      <c r="BD45" s="12" t="s">
        <v>169</v>
      </c>
      <c r="BE45" s="12" t="s">
        <v>169</v>
      </c>
      <c r="BF45" s="12" t="s">
        <v>169</v>
      </c>
      <c r="BG45" s="12" t="s">
        <v>169</v>
      </c>
      <c r="BH45" s="12" t="s">
        <v>169</v>
      </c>
      <c r="BI45" s="12" t="s">
        <v>169</v>
      </c>
      <c r="BJ45" s="12" t="s">
        <v>169</v>
      </c>
      <c r="BK45" s="12" t="s">
        <v>169</v>
      </c>
      <c r="BL45" s="12" t="s">
        <v>169</v>
      </c>
      <c r="BM45" s="12" t="s">
        <v>169</v>
      </c>
      <c r="BN45" s="12" t="s">
        <v>169</v>
      </c>
      <c r="BO45" s="12" t="s">
        <v>169</v>
      </c>
      <c r="BP45" s="12" t="s">
        <v>169</v>
      </c>
      <c r="BQ45" s="12" t="s">
        <v>169</v>
      </c>
      <c r="BR45" s="12" t="s">
        <v>169</v>
      </c>
      <c r="BS45" s="12" t="s">
        <v>169</v>
      </c>
      <c r="BT45" s="12" t="s">
        <v>169</v>
      </c>
      <c r="BU45" s="12" t="s">
        <v>169</v>
      </c>
      <c r="BV45" s="12" t="s">
        <v>169</v>
      </c>
      <c r="BW45" s="12" t="s">
        <v>169</v>
      </c>
      <c r="BX45" s="12" t="s">
        <v>169</v>
      </c>
      <c r="BY45" s="12" t="s">
        <v>169</v>
      </c>
      <c r="BZ45" s="12" t="s">
        <v>169</v>
      </c>
      <c r="CA45" s="12" t="s">
        <v>169</v>
      </c>
      <c r="CB45" s="12" t="s">
        <v>169</v>
      </c>
      <c r="CC45" s="12" t="s">
        <v>169</v>
      </c>
      <c r="CD45" s="12" t="s">
        <v>169</v>
      </c>
      <c r="CE45" s="12" t="s">
        <v>169</v>
      </c>
      <c r="CF45" s="12">
        <v>1.8531131817963915</v>
      </c>
      <c r="CG45" s="12">
        <v>1.1336657745573706</v>
      </c>
      <c r="CH45" s="12" t="s">
        <v>169</v>
      </c>
      <c r="CI45" s="12" t="s">
        <v>169</v>
      </c>
      <c r="CJ45" s="12" t="s">
        <v>169</v>
      </c>
      <c r="CK45" s="12" t="s">
        <v>169</v>
      </c>
      <c r="CL45" s="12" t="s">
        <v>169</v>
      </c>
      <c r="CM45" s="12" t="s">
        <v>169</v>
      </c>
      <c r="CN45" s="12" t="s">
        <v>169</v>
      </c>
      <c r="CO45" s="12" t="s">
        <v>169</v>
      </c>
      <c r="CP45" s="12" t="s">
        <v>169</v>
      </c>
      <c r="CQ45" s="12" t="s">
        <v>169</v>
      </c>
      <c r="CR45" s="12" t="s">
        <v>169</v>
      </c>
      <c r="CS45" s="12" t="s">
        <v>169</v>
      </c>
      <c r="CT45" s="12" t="s">
        <v>169</v>
      </c>
      <c r="CU45" s="12" t="s">
        <v>169</v>
      </c>
      <c r="CV45" s="12" t="s">
        <v>169</v>
      </c>
      <c r="CW45" s="12" t="s">
        <v>169</v>
      </c>
      <c r="CX45" s="12" t="s">
        <v>169</v>
      </c>
      <c r="CY45" s="12" t="s">
        <v>169</v>
      </c>
      <c r="CZ45" s="12" t="s">
        <v>169</v>
      </c>
      <c r="DA45" s="12" t="s">
        <v>169</v>
      </c>
      <c r="DB45" s="12" t="s">
        <v>169</v>
      </c>
      <c r="DC45" s="12" t="s">
        <v>169</v>
      </c>
      <c r="DD45" s="12" t="s">
        <v>169</v>
      </c>
      <c r="DE45" s="12" t="s">
        <v>169</v>
      </c>
      <c r="DF45" s="12" t="s">
        <v>169</v>
      </c>
      <c r="DG45" s="12" t="s">
        <v>169</v>
      </c>
      <c r="DH45" s="12" t="s">
        <v>169</v>
      </c>
      <c r="DI45" s="12" t="s">
        <v>169</v>
      </c>
      <c r="DJ45" s="12" t="s">
        <v>169</v>
      </c>
      <c r="DK45" s="12" t="s">
        <v>169</v>
      </c>
      <c r="DL45" s="12" t="s">
        <v>169</v>
      </c>
      <c r="DM45" s="12" t="s">
        <v>169</v>
      </c>
      <c r="DN45" s="12" t="s">
        <v>169</v>
      </c>
      <c r="DO45" s="12" t="s">
        <v>169</v>
      </c>
      <c r="DP45" s="12" t="s">
        <v>169</v>
      </c>
      <c r="DQ45" s="12" t="s">
        <v>169</v>
      </c>
      <c r="DR45" s="12" t="s">
        <v>169</v>
      </c>
      <c r="DS45" s="12" t="s">
        <v>169</v>
      </c>
      <c r="DT45" s="12" t="s">
        <v>169</v>
      </c>
      <c r="DU45" s="12" t="s">
        <v>169</v>
      </c>
    </row>
    <row r="46" spans="1:125" x14ac:dyDescent="0.25">
      <c r="A46" s="3" t="s">
        <v>43</v>
      </c>
      <c r="B46" s="3" t="s">
        <v>152</v>
      </c>
      <c r="C46" s="3" t="s">
        <v>97</v>
      </c>
      <c r="D46" s="7">
        <v>42864</v>
      </c>
      <c r="E46" s="8">
        <v>0.72916666666666663</v>
      </c>
      <c r="F46" s="10">
        <v>4.9850000000000003</v>
      </c>
      <c r="G46" s="10">
        <v>0.91</v>
      </c>
      <c r="H46" s="12" t="s">
        <v>169</v>
      </c>
      <c r="I46" s="12" t="s">
        <v>169</v>
      </c>
      <c r="J46" s="12" t="s">
        <v>169</v>
      </c>
      <c r="K46" s="12" t="s">
        <v>169</v>
      </c>
      <c r="L46" s="12" t="s">
        <v>169</v>
      </c>
      <c r="M46" s="12" t="s">
        <v>169</v>
      </c>
      <c r="N46" s="12" t="s">
        <v>169</v>
      </c>
      <c r="O46" s="12" t="s">
        <v>169</v>
      </c>
      <c r="P46" s="12" t="s">
        <v>169</v>
      </c>
      <c r="Q46" s="12" t="s">
        <v>169</v>
      </c>
      <c r="R46" s="12" t="s">
        <v>169</v>
      </c>
      <c r="S46" s="12" t="s">
        <v>169</v>
      </c>
      <c r="T46" s="12" t="s">
        <v>169</v>
      </c>
      <c r="U46" s="12" t="s">
        <v>169</v>
      </c>
      <c r="V46" s="12" t="s">
        <v>169</v>
      </c>
      <c r="W46" s="12" t="s">
        <v>169</v>
      </c>
      <c r="X46" s="12" t="s">
        <v>169</v>
      </c>
      <c r="Y46" s="12" t="s">
        <v>169</v>
      </c>
      <c r="Z46" s="12" t="s">
        <v>169</v>
      </c>
      <c r="AA46" s="12" t="s">
        <v>169</v>
      </c>
      <c r="AB46" s="12" t="s">
        <v>169</v>
      </c>
      <c r="AC46" s="12" t="s">
        <v>169</v>
      </c>
      <c r="AD46" s="12" t="s">
        <v>169</v>
      </c>
      <c r="AE46" s="12" t="s">
        <v>169</v>
      </c>
      <c r="AF46" s="12" t="s">
        <v>169</v>
      </c>
      <c r="AG46" s="12" t="s">
        <v>169</v>
      </c>
      <c r="AH46" s="12" t="s">
        <v>169</v>
      </c>
      <c r="AI46" s="12" t="s">
        <v>169</v>
      </c>
      <c r="AJ46" s="12" t="s">
        <v>169</v>
      </c>
      <c r="AK46" s="12" t="s">
        <v>169</v>
      </c>
      <c r="AL46" s="12" t="s">
        <v>169</v>
      </c>
      <c r="AM46" s="12" t="s">
        <v>169</v>
      </c>
      <c r="AN46" s="12" t="s">
        <v>169</v>
      </c>
      <c r="AO46" s="12" t="s">
        <v>169</v>
      </c>
      <c r="AP46" s="12" t="s">
        <v>169</v>
      </c>
      <c r="AQ46" s="12" t="s">
        <v>169</v>
      </c>
      <c r="AR46" s="12" t="s">
        <v>169</v>
      </c>
      <c r="AS46" s="12" t="s">
        <v>169</v>
      </c>
      <c r="AT46" s="12" t="s">
        <v>169</v>
      </c>
      <c r="AU46" s="12" t="s">
        <v>169</v>
      </c>
      <c r="AV46" s="12" t="s">
        <v>169</v>
      </c>
      <c r="AW46" s="12" t="s">
        <v>169</v>
      </c>
      <c r="AX46" s="12" t="s">
        <v>169</v>
      </c>
      <c r="AY46" s="12" t="s">
        <v>169</v>
      </c>
      <c r="AZ46" s="12" t="s">
        <v>169</v>
      </c>
      <c r="BA46" s="12" t="s">
        <v>169</v>
      </c>
      <c r="BB46" s="12" t="s">
        <v>169</v>
      </c>
      <c r="BC46" s="12" t="s">
        <v>169</v>
      </c>
      <c r="BD46" s="12" t="s">
        <v>169</v>
      </c>
      <c r="BE46" s="12" t="s">
        <v>169</v>
      </c>
      <c r="BF46" s="12" t="s">
        <v>169</v>
      </c>
      <c r="BG46" s="12" t="s">
        <v>169</v>
      </c>
      <c r="BH46" s="12" t="s">
        <v>169</v>
      </c>
      <c r="BI46" s="12" t="s">
        <v>169</v>
      </c>
      <c r="BJ46" s="12" t="s">
        <v>169</v>
      </c>
      <c r="BK46" s="12" t="s">
        <v>169</v>
      </c>
      <c r="BL46" s="12" t="s">
        <v>169</v>
      </c>
      <c r="BM46" s="12" t="s">
        <v>169</v>
      </c>
      <c r="BN46" s="12" t="s">
        <v>169</v>
      </c>
      <c r="BO46" s="12" t="s">
        <v>169</v>
      </c>
      <c r="BP46" s="12" t="s">
        <v>169</v>
      </c>
      <c r="BQ46" s="12" t="s">
        <v>169</v>
      </c>
      <c r="BR46" s="12" t="s">
        <v>169</v>
      </c>
      <c r="BS46" s="12" t="s">
        <v>169</v>
      </c>
      <c r="BT46" s="12" t="s">
        <v>169</v>
      </c>
      <c r="BU46" s="12" t="s">
        <v>169</v>
      </c>
      <c r="BV46" s="12" t="s">
        <v>169</v>
      </c>
      <c r="BW46" s="12" t="s">
        <v>169</v>
      </c>
      <c r="BX46" s="12" t="s">
        <v>169</v>
      </c>
      <c r="BY46" s="12" t="s">
        <v>169</v>
      </c>
      <c r="BZ46" s="12" t="s">
        <v>169</v>
      </c>
      <c r="CA46" s="12" t="s">
        <v>169</v>
      </c>
      <c r="CB46" s="12" t="s">
        <v>169</v>
      </c>
      <c r="CC46" s="12" t="s">
        <v>169</v>
      </c>
      <c r="CD46" s="12" t="s">
        <v>169</v>
      </c>
      <c r="CE46" s="12" t="s">
        <v>169</v>
      </c>
      <c r="CF46" s="12">
        <v>1.0721346757888504</v>
      </c>
      <c r="CG46" s="12">
        <v>1.8619079016834785</v>
      </c>
      <c r="CH46" s="12" t="s">
        <v>169</v>
      </c>
      <c r="CI46" s="12" t="s">
        <v>169</v>
      </c>
      <c r="CJ46" s="12" t="s">
        <v>169</v>
      </c>
      <c r="CK46" s="12" t="s">
        <v>169</v>
      </c>
      <c r="CL46" s="12" t="s">
        <v>169</v>
      </c>
      <c r="CM46" s="12" t="s">
        <v>169</v>
      </c>
      <c r="CN46" s="12" t="s">
        <v>169</v>
      </c>
      <c r="CO46" s="12" t="s">
        <v>169</v>
      </c>
      <c r="CP46" s="12" t="s">
        <v>169</v>
      </c>
      <c r="CQ46" s="12" t="s">
        <v>169</v>
      </c>
      <c r="CR46" s="12" t="s">
        <v>169</v>
      </c>
      <c r="CS46" s="12" t="s">
        <v>169</v>
      </c>
      <c r="CT46" s="12" t="s">
        <v>169</v>
      </c>
      <c r="CU46" s="12" t="s">
        <v>169</v>
      </c>
      <c r="CV46" s="12" t="s">
        <v>169</v>
      </c>
      <c r="CW46" s="12" t="s">
        <v>169</v>
      </c>
      <c r="CX46" s="12" t="s">
        <v>169</v>
      </c>
      <c r="CY46" s="12" t="s">
        <v>169</v>
      </c>
      <c r="CZ46" s="12" t="s">
        <v>169</v>
      </c>
      <c r="DA46" s="12" t="s">
        <v>169</v>
      </c>
      <c r="DB46" s="12" t="s">
        <v>169</v>
      </c>
      <c r="DC46" s="12" t="s">
        <v>169</v>
      </c>
      <c r="DD46" s="12" t="s">
        <v>169</v>
      </c>
      <c r="DE46" s="12" t="s">
        <v>169</v>
      </c>
      <c r="DF46" s="12" t="s">
        <v>169</v>
      </c>
      <c r="DG46" s="12" t="s">
        <v>169</v>
      </c>
      <c r="DH46" s="12" t="s">
        <v>169</v>
      </c>
      <c r="DI46" s="12" t="s">
        <v>169</v>
      </c>
      <c r="DJ46" s="12" t="s">
        <v>169</v>
      </c>
      <c r="DK46" s="12" t="s">
        <v>169</v>
      </c>
      <c r="DL46" s="12" t="s">
        <v>169</v>
      </c>
      <c r="DM46" s="12" t="s">
        <v>169</v>
      </c>
      <c r="DN46" s="12" t="s">
        <v>169</v>
      </c>
      <c r="DO46" s="12" t="s">
        <v>169</v>
      </c>
      <c r="DP46" s="12" t="s">
        <v>169</v>
      </c>
      <c r="DQ46" s="12" t="s">
        <v>169</v>
      </c>
      <c r="DR46" s="12" t="s">
        <v>169</v>
      </c>
      <c r="DS46" s="12" t="s">
        <v>169</v>
      </c>
      <c r="DT46" s="12" t="s">
        <v>169</v>
      </c>
      <c r="DU46" s="12" t="s">
        <v>169</v>
      </c>
    </row>
    <row r="47" spans="1:125" x14ac:dyDescent="0.25">
      <c r="A47" s="3" t="s">
        <v>44</v>
      </c>
      <c r="B47" s="3" t="s">
        <v>153</v>
      </c>
      <c r="C47" s="3" t="s">
        <v>98</v>
      </c>
      <c r="D47" s="7">
        <v>42867</v>
      </c>
      <c r="E47" s="8">
        <v>0.70833333333333337</v>
      </c>
      <c r="F47" s="10">
        <v>5.0949999999999998</v>
      </c>
      <c r="G47" s="10">
        <v>0.22</v>
      </c>
      <c r="H47" s="12" t="s">
        <v>169</v>
      </c>
      <c r="I47" s="12" t="s">
        <v>169</v>
      </c>
      <c r="J47" s="12" t="s">
        <v>169</v>
      </c>
      <c r="K47" s="12" t="s">
        <v>169</v>
      </c>
      <c r="L47" s="12" t="s">
        <v>169</v>
      </c>
      <c r="M47" s="12" t="s">
        <v>169</v>
      </c>
      <c r="N47" s="12" t="s">
        <v>169</v>
      </c>
      <c r="O47" s="12" t="s">
        <v>169</v>
      </c>
      <c r="P47" s="12" t="s">
        <v>169</v>
      </c>
      <c r="Q47" s="12" t="s">
        <v>169</v>
      </c>
      <c r="R47" s="12" t="s">
        <v>169</v>
      </c>
      <c r="S47" s="12" t="s">
        <v>169</v>
      </c>
      <c r="T47" s="12" t="s">
        <v>169</v>
      </c>
      <c r="U47" s="12" t="s">
        <v>169</v>
      </c>
      <c r="V47" s="12" t="s">
        <v>169</v>
      </c>
      <c r="W47" s="12" t="s">
        <v>169</v>
      </c>
      <c r="X47" s="12" t="s">
        <v>169</v>
      </c>
      <c r="Y47" s="12" t="s">
        <v>169</v>
      </c>
      <c r="Z47" s="12" t="s">
        <v>169</v>
      </c>
      <c r="AA47" s="12" t="s">
        <v>169</v>
      </c>
      <c r="AB47" s="12" t="s">
        <v>169</v>
      </c>
      <c r="AC47" s="12" t="s">
        <v>169</v>
      </c>
      <c r="AD47" s="12" t="s">
        <v>169</v>
      </c>
      <c r="AE47" s="12" t="s">
        <v>169</v>
      </c>
      <c r="AF47" s="12" t="s">
        <v>169</v>
      </c>
      <c r="AG47" s="12" t="s">
        <v>169</v>
      </c>
      <c r="AH47" s="12" t="s">
        <v>169</v>
      </c>
      <c r="AI47" s="12" t="s">
        <v>169</v>
      </c>
      <c r="AJ47" s="12" t="s">
        <v>169</v>
      </c>
      <c r="AK47" s="12" t="s">
        <v>169</v>
      </c>
      <c r="AL47" s="12" t="s">
        <v>169</v>
      </c>
      <c r="AM47" s="12" t="s">
        <v>169</v>
      </c>
      <c r="AN47" s="12" t="s">
        <v>169</v>
      </c>
      <c r="AO47" s="12" t="s">
        <v>169</v>
      </c>
      <c r="AP47" s="12" t="s">
        <v>169</v>
      </c>
      <c r="AQ47" s="12" t="s">
        <v>169</v>
      </c>
      <c r="AR47" s="12" t="s">
        <v>169</v>
      </c>
      <c r="AS47" s="12" t="s">
        <v>169</v>
      </c>
      <c r="AT47" s="12" t="s">
        <v>169</v>
      </c>
      <c r="AU47" s="12" t="s">
        <v>169</v>
      </c>
      <c r="AV47" s="12" t="s">
        <v>169</v>
      </c>
      <c r="AW47" s="12" t="s">
        <v>169</v>
      </c>
      <c r="AX47" s="12" t="s">
        <v>169</v>
      </c>
      <c r="AY47" s="12" t="s">
        <v>169</v>
      </c>
      <c r="AZ47" s="12" t="s">
        <v>169</v>
      </c>
      <c r="BA47" s="12" t="s">
        <v>169</v>
      </c>
      <c r="BB47" s="12" t="s">
        <v>169</v>
      </c>
      <c r="BC47" s="12" t="s">
        <v>169</v>
      </c>
      <c r="BD47" s="12" t="s">
        <v>169</v>
      </c>
      <c r="BE47" s="12" t="s">
        <v>169</v>
      </c>
      <c r="BF47" s="12" t="s">
        <v>169</v>
      </c>
      <c r="BG47" s="12" t="s">
        <v>169</v>
      </c>
      <c r="BH47" s="12" t="s">
        <v>169</v>
      </c>
      <c r="BI47" s="12" t="s">
        <v>169</v>
      </c>
      <c r="BJ47" s="12" t="s">
        <v>169</v>
      </c>
      <c r="BK47" s="12" t="s">
        <v>169</v>
      </c>
      <c r="BL47" s="12" t="s">
        <v>169</v>
      </c>
      <c r="BM47" s="12" t="s">
        <v>169</v>
      </c>
      <c r="BN47" s="12" t="s">
        <v>169</v>
      </c>
      <c r="BO47" s="12" t="s">
        <v>169</v>
      </c>
      <c r="BP47" s="12" t="s">
        <v>169</v>
      </c>
      <c r="BQ47" s="12" t="s">
        <v>169</v>
      </c>
      <c r="BR47" s="12" t="s">
        <v>169</v>
      </c>
      <c r="BS47" s="12" t="s">
        <v>169</v>
      </c>
      <c r="BT47" s="12" t="s">
        <v>169</v>
      </c>
      <c r="BU47" s="12" t="s">
        <v>169</v>
      </c>
      <c r="BV47" s="12" t="s">
        <v>169</v>
      </c>
      <c r="BW47" s="12" t="s">
        <v>169</v>
      </c>
      <c r="BX47" s="12" t="s">
        <v>169</v>
      </c>
      <c r="BY47" s="12" t="s">
        <v>169</v>
      </c>
      <c r="BZ47" s="12" t="s">
        <v>169</v>
      </c>
      <c r="CA47" s="12" t="s">
        <v>169</v>
      </c>
      <c r="CB47" s="12" t="s">
        <v>169</v>
      </c>
      <c r="CC47" s="12" t="s">
        <v>169</v>
      </c>
      <c r="CD47" s="12" t="s">
        <v>169</v>
      </c>
      <c r="CE47" s="12" t="s">
        <v>169</v>
      </c>
      <c r="CF47" s="12" t="s">
        <v>169</v>
      </c>
      <c r="CG47" s="12" t="s">
        <v>169</v>
      </c>
      <c r="CH47" s="12" t="s">
        <v>169</v>
      </c>
      <c r="CI47" s="12" t="s">
        <v>169</v>
      </c>
      <c r="CJ47" s="12" t="s">
        <v>169</v>
      </c>
      <c r="CK47" s="12" t="s">
        <v>169</v>
      </c>
      <c r="CL47" s="12" t="s">
        <v>169</v>
      </c>
      <c r="CM47" s="12" t="s">
        <v>169</v>
      </c>
      <c r="CN47" s="12" t="s">
        <v>169</v>
      </c>
      <c r="CO47" s="12" t="s">
        <v>169</v>
      </c>
      <c r="CP47" s="12" t="s">
        <v>169</v>
      </c>
      <c r="CQ47" s="12" t="s">
        <v>169</v>
      </c>
      <c r="CR47" s="12" t="s">
        <v>169</v>
      </c>
      <c r="CS47" s="12" t="s">
        <v>169</v>
      </c>
      <c r="CT47" s="12" t="s">
        <v>169</v>
      </c>
      <c r="CU47" s="12" t="s">
        <v>169</v>
      </c>
      <c r="CV47" s="12" t="s">
        <v>169</v>
      </c>
      <c r="CW47" s="12" t="s">
        <v>169</v>
      </c>
      <c r="CX47" s="12" t="s">
        <v>169</v>
      </c>
      <c r="CY47" s="12" t="s">
        <v>169</v>
      </c>
      <c r="CZ47" s="12" t="s">
        <v>169</v>
      </c>
      <c r="DA47" s="12" t="s">
        <v>169</v>
      </c>
      <c r="DB47" s="12" t="s">
        <v>169</v>
      </c>
      <c r="DC47" s="12" t="s">
        <v>169</v>
      </c>
      <c r="DD47" s="12" t="s">
        <v>169</v>
      </c>
      <c r="DE47" s="12" t="s">
        <v>169</v>
      </c>
      <c r="DF47" s="12" t="s">
        <v>169</v>
      </c>
      <c r="DG47" s="12" t="s">
        <v>169</v>
      </c>
      <c r="DH47" s="12" t="s">
        <v>169</v>
      </c>
      <c r="DI47" s="12" t="s">
        <v>169</v>
      </c>
      <c r="DJ47" s="12" t="s">
        <v>169</v>
      </c>
      <c r="DK47" s="12" t="s">
        <v>169</v>
      </c>
      <c r="DL47" s="12" t="s">
        <v>169</v>
      </c>
      <c r="DM47" s="12" t="s">
        <v>169</v>
      </c>
      <c r="DN47" s="12" t="s">
        <v>169</v>
      </c>
      <c r="DO47" s="12" t="s">
        <v>169</v>
      </c>
      <c r="DP47" s="12" t="s">
        <v>169</v>
      </c>
      <c r="DQ47" s="12" t="s">
        <v>169</v>
      </c>
      <c r="DR47" s="12" t="s">
        <v>169</v>
      </c>
      <c r="DS47" s="12" t="s">
        <v>169</v>
      </c>
      <c r="DT47" s="12" t="s">
        <v>169</v>
      </c>
      <c r="DU47" s="12" t="s">
        <v>169</v>
      </c>
    </row>
    <row r="48" spans="1:125" x14ac:dyDescent="0.25">
      <c r="A48" s="3" t="s">
        <v>45</v>
      </c>
      <c r="B48" s="3" t="s">
        <v>154</v>
      </c>
      <c r="C48" s="3" t="s">
        <v>99</v>
      </c>
      <c r="D48" s="7">
        <v>42866</v>
      </c>
      <c r="E48" s="8">
        <v>0.41666666666666669</v>
      </c>
      <c r="F48" s="10">
        <v>5.08</v>
      </c>
      <c r="G48" s="10">
        <v>0.19</v>
      </c>
      <c r="H48" s="12" t="s">
        <v>169</v>
      </c>
      <c r="I48" s="12" t="s">
        <v>169</v>
      </c>
      <c r="J48" s="12" t="s">
        <v>169</v>
      </c>
      <c r="K48" s="12" t="s">
        <v>169</v>
      </c>
      <c r="L48" s="12" t="s">
        <v>169</v>
      </c>
      <c r="M48" s="12" t="s">
        <v>169</v>
      </c>
      <c r="N48" s="12" t="s">
        <v>169</v>
      </c>
      <c r="O48" s="12" t="s">
        <v>169</v>
      </c>
      <c r="P48" s="12">
        <v>0.61811023622047234</v>
      </c>
      <c r="Q48" s="12" t="s">
        <v>169</v>
      </c>
      <c r="R48" s="12" t="s">
        <v>169</v>
      </c>
      <c r="S48" s="12" t="s">
        <v>169</v>
      </c>
      <c r="T48" s="12" t="s">
        <v>169</v>
      </c>
      <c r="U48" s="12" t="s">
        <v>169</v>
      </c>
      <c r="V48" s="12" t="s">
        <v>169</v>
      </c>
      <c r="W48" s="12" t="s">
        <v>169</v>
      </c>
      <c r="X48" s="12" t="s">
        <v>169</v>
      </c>
      <c r="Y48" s="12" t="s">
        <v>169</v>
      </c>
      <c r="Z48" s="12" t="s">
        <v>169</v>
      </c>
      <c r="AA48" s="12" t="s">
        <v>169</v>
      </c>
      <c r="AB48" s="12" t="s">
        <v>169</v>
      </c>
      <c r="AC48" s="12" t="s">
        <v>169</v>
      </c>
      <c r="AD48" s="12" t="s">
        <v>169</v>
      </c>
      <c r="AE48" s="12" t="s">
        <v>169</v>
      </c>
      <c r="AF48" s="12" t="s">
        <v>169</v>
      </c>
      <c r="AG48" s="12" t="s">
        <v>169</v>
      </c>
      <c r="AH48" s="12" t="s">
        <v>169</v>
      </c>
      <c r="AI48" s="12" t="s">
        <v>169</v>
      </c>
      <c r="AJ48" s="12" t="s">
        <v>169</v>
      </c>
      <c r="AK48" s="12" t="s">
        <v>169</v>
      </c>
      <c r="AL48" s="12" t="s">
        <v>169</v>
      </c>
      <c r="AM48" s="12" t="s">
        <v>169</v>
      </c>
      <c r="AN48" s="12" t="s">
        <v>169</v>
      </c>
      <c r="AO48" s="12" t="s">
        <v>169</v>
      </c>
      <c r="AP48" s="12" t="s">
        <v>169</v>
      </c>
      <c r="AQ48" s="12" t="s">
        <v>169</v>
      </c>
      <c r="AR48" s="12" t="s">
        <v>169</v>
      </c>
      <c r="AS48" s="12" t="s">
        <v>169</v>
      </c>
      <c r="AT48" s="12" t="s">
        <v>169</v>
      </c>
      <c r="AU48" s="12" t="s">
        <v>169</v>
      </c>
      <c r="AV48" s="12" t="s">
        <v>169</v>
      </c>
      <c r="AW48" s="12" t="s">
        <v>169</v>
      </c>
      <c r="AX48" s="12" t="s">
        <v>169</v>
      </c>
      <c r="AY48" s="12" t="s">
        <v>169</v>
      </c>
      <c r="AZ48" s="12" t="s">
        <v>169</v>
      </c>
      <c r="BA48" s="12" t="s">
        <v>169</v>
      </c>
      <c r="BB48" s="12" t="s">
        <v>169</v>
      </c>
      <c r="BC48" s="12" t="s">
        <v>169</v>
      </c>
      <c r="BD48" s="12" t="s">
        <v>169</v>
      </c>
      <c r="BE48" s="12" t="s">
        <v>169</v>
      </c>
      <c r="BF48" s="12" t="s">
        <v>169</v>
      </c>
      <c r="BG48" s="12" t="s">
        <v>169</v>
      </c>
      <c r="BH48" s="12" t="s">
        <v>169</v>
      </c>
      <c r="BI48" s="12" t="s">
        <v>169</v>
      </c>
      <c r="BJ48" s="12" t="s">
        <v>169</v>
      </c>
      <c r="BK48" s="12" t="s">
        <v>169</v>
      </c>
      <c r="BL48" s="12" t="s">
        <v>169</v>
      </c>
      <c r="BM48" s="12" t="s">
        <v>169</v>
      </c>
      <c r="BN48" s="12" t="s">
        <v>169</v>
      </c>
      <c r="BO48" s="12" t="s">
        <v>169</v>
      </c>
      <c r="BP48" s="12" t="s">
        <v>169</v>
      </c>
      <c r="BQ48" s="12" t="s">
        <v>169</v>
      </c>
      <c r="BR48" s="12" t="s">
        <v>169</v>
      </c>
      <c r="BS48" s="12" t="s">
        <v>169</v>
      </c>
      <c r="BT48" s="12" t="s">
        <v>169</v>
      </c>
      <c r="BU48" s="12" t="s">
        <v>169</v>
      </c>
      <c r="BV48" s="12" t="s">
        <v>169</v>
      </c>
      <c r="BW48" s="12" t="s">
        <v>169</v>
      </c>
      <c r="BX48" s="12" t="s">
        <v>169</v>
      </c>
      <c r="BY48" s="12" t="s">
        <v>169</v>
      </c>
      <c r="BZ48" s="12" t="s">
        <v>169</v>
      </c>
      <c r="CA48" s="12" t="s">
        <v>169</v>
      </c>
      <c r="CB48" s="12" t="s">
        <v>169</v>
      </c>
      <c r="CC48" s="12" t="s">
        <v>169</v>
      </c>
      <c r="CD48" s="12" t="s">
        <v>169</v>
      </c>
      <c r="CE48" s="12" t="s">
        <v>169</v>
      </c>
      <c r="CF48" s="12" t="s">
        <v>169</v>
      </c>
      <c r="CG48" s="12" t="s">
        <v>169</v>
      </c>
      <c r="CH48" s="12" t="s">
        <v>169</v>
      </c>
      <c r="CI48" s="12" t="s">
        <v>169</v>
      </c>
      <c r="CJ48" s="12" t="s">
        <v>169</v>
      </c>
      <c r="CK48" s="12">
        <v>3.6417322834645667</v>
      </c>
      <c r="CL48" s="12" t="s">
        <v>169</v>
      </c>
      <c r="CM48" s="12" t="s">
        <v>169</v>
      </c>
      <c r="CN48" s="12" t="s">
        <v>169</v>
      </c>
      <c r="CO48" s="12" t="s">
        <v>169</v>
      </c>
      <c r="CP48" s="12" t="s">
        <v>169</v>
      </c>
      <c r="CQ48" s="12" t="s">
        <v>169</v>
      </c>
      <c r="CR48" s="12" t="s">
        <v>169</v>
      </c>
      <c r="CS48" s="12" t="s">
        <v>169</v>
      </c>
      <c r="CT48" s="12" t="s">
        <v>169</v>
      </c>
      <c r="CU48" s="12" t="s">
        <v>169</v>
      </c>
      <c r="CV48" s="12" t="s">
        <v>169</v>
      </c>
      <c r="CW48" s="12" t="s">
        <v>169</v>
      </c>
      <c r="CX48" s="12" t="s">
        <v>169</v>
      </c>
      <c r="CY48" s="12" t="s">
        <v>169</v>
      </c>
      <c r="CZ48" s="12" t="s">
        <v>169</v>
      </c>
      <c r="DA48" s="12" t="s">
        <v>169</v>
      </c>
      <c r="DB48" s="12" t="s">
        <v>169</v>
      </c>
      <c r="DC48" s="12" t="s">
        <v>169</v>
      </c>
      <c r="DD48" s="12" t="s">
        <v>169</v>
      </c>
      <c r="DE48" s="12" t="s">
        <v>169</v>
      </c>
      <c r="DF48" s="12" t="s">
        <v>169</v>
      </c>
      <c r="DG48" s="12" t="s">
        <v>169</v>
      </c>
      <c r="DH48" s="12" t="s">
        <v>169</v>
      </c>
      <c r="DI48" s="12" t="s">
        <v>169</v>
      </c>
      <c r="DJ48" s="12" t="s">
        <v>169</v>
      </c>
      <c r="DK48" s="12" t="s">
        <v>169</v>
      </c>
      <c r="DL48" s="12" t="s">
        <v>169</v>
      </c>
      <c r="DM48" s="12" t="s">
        <v>169</v>
      </c>
      <c r="DN48" s="12" t="s">
        <v>169</v>
      </c>
      <c r="DO48" s="12" t="s">
        <v>169</v>
      </c>
      <c r="DP48" s="12" t="s">
        <v>169</v>
      </c>
      <c r="DQ48" s="12" t="s">
        <v>169</v>
      </c>
      <c r="DR48" s="12" t="s">
        <v>169</v>
      </c>
      <c r="DS48" s="12" t="s">
        <v>169</v>
      </c>
      <c r="DT48" s="12" t="s">
        <v>169</v>
      </c>
      <c r="DU48" s="12" t="s">
        <v>169</v>
      </c>
    </row>
    <row r="49" spans="1:125" x14ac:dyDescent="0.25">
      <c r="A49" s="3" t="s">
        <v>46</v>
      </c>
      <c r="B49" s="3" t="s">
        <v>155</v>
      </c>
      <c r="C49" s="3" t="s">
        <v>100</v>
      </c>
      <c r="D49" s="7">
        <v>42866</v>
      </c>
      <c r="E49" s="8">
        <v>0.625</v>
      </c>
      <c r="F49" s="10">
        <v>5.21</v>
      </c>
      <c r="G49" s="10">
        <v>0.12</v>
      </c>
      <c r="H49" s="12" t="s">
        <v>169</v>
      </c>
      <c r="I49" s="12" t="s">
        <v>169</v>
      </c>
      <c r="J49" s="12" t="s">
        <v>169</v>
      </c>
      <c r="K49" s="12" t="s">
        <v>169</v>
      </c>
      <c r="L49" s="12" t="s">
        <v>169</v>
      </c>
      <c r="M49" s="12" t="s">
        <v>169</v>
      </c>
      <c r="N49" s="12" t="s">
        <v>169</v>
      </c>
      <c r="O49" s="12" t="s">
        <v>169</v>
      </c>
      <c r="P49" s="12" t="s">
        <v>169</v>
      </c>
      <c r="Q49" s="12" t="s">
        <v>169</v>
      </c>
      <c r="R49" s="12" t="s">
        <v>169</v>
      </c>
      <c r="S49" s="12" t="s">
        <v>169</v>
      </c>
      <c r="T49" s="12" t="s">
        <v>169</v>
      </c>
      <c r="U49" s="12" t="s">
        <v>169</v>
      </c>
      <c r="V49" s="12" t="s">
        <v>169</v>
      </c>
      <c r="W49" s="12" t="s">
        <v>169</v>
      </c>
      <c r="X49" s="12" t="s">
        <v>169</v>
      </c>
      <c r="Y49" s="12" t="s">
        <v>169</v>
      </c>
      <c r="Z49" s="12" t="s">
        <v>169</v>
      </c>
      <c r="AA49" s="12" t="s">
        <v>169</v>
      </c>
      <c r="AB49" s="12" t="s">
        <v>169</v>
      </c>
      <c r="AC49" s="12" t="s">
        <v>169</v>
      </c>
      <c r="AD49" s="12" t="s">
        <v>169</v>
      </c>
      <c r="AE49" s="12" t="s">
        <v>169</v>
      </c>
      <c r="AF49" s="12" t="s">
        <v>169</v>
      </c>
      <c r="AG49" s="12" t="s">
        <v>169</v>
      </c>
      <c r="AH49" s="12" t="s">
        <v>169</v>
      </c>
      <c r="AI49" s="12" t="s">
        <v>169</v>
      </c>
      <c r="AJ49" s="12" t="s">
        <v>169</v>
      </c>
      <c r="AK49" s="12" t="s">
        <v>169</v>
      </c>
      <c r="AL49" s="12" t="s">
        <v>169</v>
      </c>
      <c r="AM49" s="12" t="s">
        <v>169</v>
      </c>
      <c r="AN49" s="12" t="s">
        <v>169</v>
      </c>
      <c r="AO49" s="12" t="s">
        <v>169</v>
      </c>
      <c r="AP49" s="12" t="s">
        <v>169</v>
      </c>
      <c r="AQ49" s="12" t="s">
        <v>169</v>
      </c>
      <c r="AR49" s="12" t="s">
        <v>169</v>
      </c>
      <c r="AS49" s="12" t="s">
        <v>169</v>
      </c>
      <c r="AT49" s="12" t="s">
        <v>169</v>
      </c>
      <c r="AU49" s="12" t="s">
        <v>169</v>
      </c>
      <c r="AV49" s="12" t="s">
        <v>169</v>
      </c>
      <c r="AW49" s="12" t="s">
        <v>169</v>
      </c>
      <c r="AX49" s="12" t="s">
        <v>169</v>
      </c>
      <c r="AY49" s="12" t="s">
        <v>169</v>
      </c>
      <c r="AZ49" s="12" t="s">
        <v>169</v>
      </c>
      <c r="BA49" s="12" t="s">
        <v>169</v>
      </c>
      <c r="BB49" s="12" t="s">
        <v>169</v>
      </c>
      <c r="BC49" s="12" t="s">
        <v>169</v>
      </c>
      <c r="BD49" s="12" t="s">
        <v>169</v>
      </c>
      <c r="BE49" s="12" t="s">
        <v>169</v>
      </c>
      <c r="BF49" s="12" t="s">
        <v>169</v>
      </c>
      <c r="BG49" s="12" t="s">
        <v>169</v>
      </c>
      <c r="BH49" s="12" t="s">
        <v>169</v>
      </c>
      <c r="BI49" s="12" t="s">
        <v>169</v>
      </c>
      <c r="BJ49" s="12" t="s">
        <v>169</v>
      </c>
      <c r="BK49" s="12" t="s">
        <v>169</v>
      </c>
      <c r="BL49" s="12" t="s">
        <v>169</v>
      </c>
      <c r="BM49" s="12" t="s">
        <v>169</v>
      </c>
      <c r="BN49" s="12" t="s">
        <v>169</v>
      </c>
      <c r="BO49" s="12" t="s">
        <v>169</v>
      </c>
      <c r="BP49" s="12" t="s">
        <v>169</v>
      </c>
      <c r="BQ49" s="12" t="s">
        <v>169</v>
      </c>
      <c r="BR49" s="12" t="s">
        <v>169</v>
      </c>
      <c r="BS49" s="12" t="s">
        <v>169</v>
      </c>
      <c r="BT49" s="12" t="s">
        <v>169</v>
      </c>
      <c r="BU49" s="12" t="s">
        <v>169</v>
      </c>
      <c r="BV49" s="12" t="s">
        <v>169</v>
      </c>
      <c r="BW49" s="12" t="s">
        <v>169</v>
      </c>
      <c r="BX49" s="12" t="s">
        <v>169</v>
      </c>
      <c r="BY49" s="12" t="s">
        <v>169</v>
      </c>
      <c r="BZ49" s="12" t="s">
        <v>169</v>
      </c>
      <c r="CA49" s="12" t="s">
        <v>169</v>
      </c>
      <c r="CB49" s="12" t="s">
        <v>169</v>
      </c>
      <c r="CC49" s="12" t="s">
        <v>169</v>
      </c>
      <c r="CD49" s="12" t="s">
        <v>169</v>
      </c>
      <c r="CE49" s="12" t="s">
        <v>169</v>
      </c>
      <c r="CF49" s="12">
        <v>1.0477468810220922</v>
      </c>
      <c r="CG49" s="12" t="s">
        <v>169</v>
      </c>
      <c r="CH49" s="12" t="s">
        <v>169</v>
      </c>
      <c r="CI49" s="12" t="s">
        <v>169</v>
      </c>
      <c r="CJ49" s="12" t="s">
        <v>169</v>
      </c>
      <c r="CK49" s="12" t="s">
        <v>169</v>
      </c>
      <c r="CL49" s="12" t="s">
        <v>169</v>
      </c>
      <c r="CM49" s="12" t="s">
        <v>169</v>
      </c>
      <c r="CN49" s="12" t="s">
        <v>169</v>
      </c>
      <c r="CO49" s="12" t="s">
        <v>169</v>
      </c>
      <c r="CP49" s="12" t="s">
        <v>169</v>
      </c>
      <c r="CQ49" s="12" t="s">
        <v>169</v>
      </c>
      <c r="CR49" s="12" t="s">
        <v>169</v>
      </c>
      <c r="CS49" s="12" t="s">
        <v>169</v>
      </c>
      <c r="CT49" s="12" t="s">
        <v>169</v>
      </c>
      <c r="CU49" s="12" t="s">
        <v>169</v>
      </c>
      <c r="CV49" s="12" t="s">
        <v>169</v>
      </c>
      <c r="CW49" s="12" t="s">
        <v>169</v>
      </c>
      <c r="CX49" s="12" t="s">
        <v>169</v>
      </c>
      <c r="CY49" s="12" t="s">
        <v>169</v>
      </c>
      <c r="CZ49" s="12" t="s">
        <v>169</v>
      </c>
      <c r="DA49" s="12" t="s">
        <v>169</v>
      </c>
      <c r="DB49" s="12" t="s">
        <v>169</v>
      </c>
      <c r="DC49" s="12" t="s">
        <v>169</v>
      </c>
      <c r="DD49" s="12" t="s">
        <v>169</v>
      </c>
      <c r="DE49" s="12" t="s">
        <v>169</v>
      </c>
      <c r="DF49" s="12" t="s">
        <v>169</v>
      </c>
      <c r="DG49" s="12" t="s">
        <v>169</v>
      </c>
      <c r="DH49" s="12" t="s">
        <v>169</v>
      </c>
      <c r="DI49" s="12" t="s">
        <v>169</v>
      </c>
      <c r="DJ49" s="12" t="s">
        <v>169</v>
      </c>
      <c r="DK49" s="12" t="s">
        <v>169</v>
      </c>
      <c r="DL49" s="12" t="s">
        <v>169</v>
      </c>
      <c r="DM49" s="12" t="s">
        <v>169</v>
      </c>
      <c r="DN49" s="12" t="s">
        <v>169</v>
      </c>
      <c r="DO49" s="12" t="s">
        <v>169</v>
      </c>
      <c r="DP49" s="12" t="s">
        <v>169</v>
      </c>
      <c r="DQ49" s="12" t="s">
        <v>169</v>
      </c>
      <c r="DR49" s="12" t="s">
        <v>169</v>
      </c>
      <c r="DS49" s="12" t="s">
        <v>169</v>
      </c>
      <c r="DT49" s="12" t="s">
        <v>169</v>
      </c>
      <c r="DU49" s="12" t="s">
        <v>169</v>
      </c>
    </row>
    <row r="50" spans="1:125" x14ac:dyDescent="0.25">
      <c r="A50" s="3" t="s">
        <v>47</v>
      </c>
      <c r="B50" s="3" t="s">
        <v>156</v>
      </c>
      <c r="C50" s="3" t="s">
        <v>101</v>
      </c>
      <c r="D50" s="7">
        <v>42868</v>
      </c>
      <c r="E50" s="8">
        <v>0.54166666666666663</v>
      </c>
      <c r="F50" s="10">
        <v>5.125</v>
      </c>
      <c r="G50" s="10">
        <v>1.2</v>
      </c>
      <c r="H50" s="12" t="s">
        <v>169</v>
      </c>
      <c r="I50" s="12" t="s">
        <v>169</v>
      </c>
      <c r="J50" s="12" t="s">
        <v>169</v>
      </c>
      <c r="K50" s="12" t="s">
        <v>169</v>
      </c>
      <c r="L50" s="12" t="s">
        <v>169</v>
      </c>
      <c r="M50" s="12" t="s">
        <v>169</v>
      </c>
      <c r="N50" s="12" t="s">
        <v>169</v>
      </c>
      <c r="O50" s="12" t="s">
        <v>169</v>
      </c>
      <c r="P50" s="12" t="s">
        <v>169</v>
      </c>
      <c r="Q50" s="12" t="s">
        <v>169</v>
      </c>
      <c r="R50" s="12" t="s">
        <v>169</v>
      </c>
      <c r="S50" s="12" t="s">
        <v>169</v>
      </c>
      <c r="T50" s="12" t="s">
        <v>169</v>
      </c>
      <c r="U50" s="12" t="s">
        <v>169</v>
      </c>
      <c r="V50" s="12" t="s">
        <v>169</v>
      </c>
      <c r="W50" s="12" t="s">
        <v>169</v>
      </c>
      <c r="X50" s="12" t="s">
        <v>169</v>
      </c>
      <c r="Y50" s="12" t="s">
        <v>169</v>
      </c>
      <c r="Z50" s="12" t="s">
        <v>169</v>
      </c>
      <c r="AA50" s="12" t="s">
        <v>169</v>
      </c>
      <c r="AB50" s="12" t="s">
        <v>169</v>
      </c>
      <c r="AC50" s="12" t="s">
        <v>169</v>
      </c>
      <c r="AD50" s="12" t="s">
        <v>169</v>
      </c>
      <c r="AE50" s="12" t="s">
        <v>169</v>
      </c>
      <c r="AF50" s="12" t="s">
        <v>169</v>
      </c>
      <c r="AG50" s="12" t="s">
        <v>169</v>
      </c>
      <c r="AH50" s="12" t="s">
        <v>169</v>
      </c>
      <c r="AI50" s="12" t="s">
        <v>169</v>
      </c>
      <c r="AJ50" s="12" t="s">
        <v>169</v>
      </c>
      <c r="AK50" s="12" t="s">
        <v>169</v>
      </c>
      <c r="AL50" s="12" t="s">
        <v>169</v>
      </c>
      <c r="AM50" s="12" t="s">
        <v>169</v>
      </c>
      <c r="AN50" s="12" t="s">
        <v>169</v>
      </c>
      <c r="AO50" s="12" t="s">
        <v>169</v>
      </c>
      <c r="AP50" s="12" t="s">
        <v>169</v>
      </c>
      <c r="AQ50" s="12" t="s">
        <v>169</v>
      </c>
      <c r="AR50" s="12" t="s">
        <v>169</v>
      </c>
      <c r="AS50" s="12" t="s">
        <v>169</v>
      </c>
      <c r="AT50" s="12" t="s">
        <v>169</v>
      </c>
      <c r="AU50" s="12" t="s">
        <v>169</v>
      </c>
      <c r="AV50" s="12" t="s">
        <v>169</v>
      </c>
      <c r="AW50" s="12" t="s">
        <v>169</v>
      </c>
      <c r="AX50" s="12" t="s">
        <v>169</v>
      </c>
      <c r="AY50" s="12" t="s">
        <v>169</v>
      </c>
      <c r="AZ50" s="12" t="s">
        <v>169</v>
      </c>
      <c r="BA50" s="12" t="s">
        <v>169</v>
      </c>
      <c r="BB50" s="12" t="s">
        <v>169</v>
      </c>
      <c r="BC50" s="12" t="s">
        <v>169</v>
      </c>
      <c r="BD50" s="12" t="s">
        <v>169</v>
      </c>
      <c r="BE50" s="12" t="s">
        <v>169</v>
      </c>
      <c r="BF50" s="12" t="s">
        <v>169</v>
      </c>
      <c r="BG50" s="12" t="s">
        <v>169</v>
      </c>
      <c r="BH50" s="12" t="s">
        <v>169</v>
      </c>
      <c r="BI50" s="12" t="s">
        <v>169</v>
      </c>
      <c r="BJ50" s="12" t="s">
        <v>169</v>
      </c>
      <c r="BK50" s="12" t="s">
        <v>169</v>
      </c>
      <c r="BL50" s="12" t="s">
        <v>169</v>
      </c>
      <c r="BM50" s="12" t="s">
        <v>169</v>
      </c>
      <c r="BN50" s="12" t="s">
        <v>169</v>
      </c>
      <c r="BO50" s="12" t="s">
        <v>169</v>
      </c>
      <c r="BP50" s="12" t="s">
        <v>169</v>
      </c>
      <c r="BQ50" s="12" t="s">
        <v>169</v>
      </c>
      <c r="BR50" s="12" t="s">
        <v>169</v>
      </c>
      <c r="BS50" s="12" t="s">
        <v>169</v>
      </c>
      <c r="BT50" s="12" t="s">
        <v>169</v>
      </c>
      <c r="BU50" s="12" t="s">
        <v>169</v>
      </c>
      <c r="BV50" s="12" t="s">
        <v>169</v>
      </c>
      <c r="BW50" s="12" t="s">
        <v>169</v>
      </c>
      <c r="BX50" s="12" t="s">
        <v>169</v>
      </c>
      <c r="BY50" s="12" t="s">
        <v>169</v>
      </c>
      <c r="BZ50" s="12" t="s">
        <v>169</v>
      </c>
      <c r="CA50" s="12" t="s">
        <v>169</v>
      </c>
      <c r="CB50" s="12" t="s">
        <v>169</v>
      </c>
      <c r="CC50" s="12" t="s">
        <v>169</v>
      </c>
      <c r="CD50" s="12">
        <v>1.8653658536585367</v>
      </c>
      <c r="CE50" s="12">
        <v>7.9284167586977956</v>
      </c>
      <c r="CF50" s="12">
        <v>14.607601534714693</v>
      </c>
      <c r="CG50" s="12">
        <v>11.045197941462243</v>
      </c>
      <c r="CH50" s="12" t="s">
        <v>169</v>
      </c>
      <c r="CI50" s="12" t="s">
        <v>169</v>
      </c>
      <c r="CJ50" s="12" t="s">
        <v>169</v>
      </c>
      <c r="CK50" s="12" t="s">
        <v>169</v>
      </c>
      <c r="CL50" s="12" t="s">
        <v>169</v>
      </c>
      <c r="CM50" s="12" t="s">
        <v>169</v>
      </c>
      <c r="CN50" s="12" t="s">
        <v>169</v>
      </c>
      <c r="CO50" s="12" t="s">
        <v>169</v>
      </c>
      <c r="CP50" s="12" t="s">
        <v>169</v>
      </c>
      <c r="CQ50" s="12" t="s">
        <v>169</v>
      </c>
      <c r="CR50" s="12" t="s">
        <v>169</v>
      </c>
      <c r="CS50" s="12" t="s">
        <v>169</v>
      </c>
      <c r="CT50" s="12" t="s">
        <v>169</v>
      </c>
      <c r="CU50" s="12" t="s">
        <v>169</v>
      </c>
      <c r="CV50" s="12" t="s">
        <v>169</v>
      </c>
      <c r="CW50" s="12" t="s">
        <v>169</v>
      </c>
      <c r="CX50" s="12" t="s">
        <v>169</v>
      </c>
      <c r="CY50" s="12" t="s">
        <v>169</v>
      </c>
      <c r="CZ50" s="12" t="s">
        <v>169</v>
      </c>
      <c r="DA50" s="12" t="s">
        <v>169</v>
      </c>
      <c r="DB50" s="12" t="s">
        <v>169</v>
      </c>
      <c r="DC50" s="12" t="s">
        <v>169</v>
      </c>
      <c r="DD50" s="12" t="s">
        <v>169</v>
      </c>
      <c r="DE50" s="12" t="s">
        <v>169</v>
      </c>
      <c r="DF50" s="12" t="s">
        <v>169</v>
      </c>
      <c r="DG50" s="12" t="s">
        <v>169</v>
      </c>
      <c r="DH50" s="12" t="s">
        <v>169</v>
      </c>
      <c r="DI50" s="12" t="s">
        <v>169</v>
      </c>
      <c r="DJ50" s="12" t="s">
        <v>169</v>
      </c>
      <c r="DK50" s="12" t="s">
        <v>169</v>
      </c>
      <c r="DL50" s="12" t="s">
        <v>169</v>
      </c>
      <c r="DM50" s="12" t="s">
        <v>169</v>
      </c>
      <c r="DN50" s="12" t="s">
        <v>169</v>
      </c>
      <c r="DO50" s="12" t="s">
        <v>169</v>
      </c>
      <c r="DP50" s="12" t="s">
        <v>169</v>
      </c>
      <c r="DQ50" s="12" t="s">
        <v>169</v>
      </c>
      <c r="DR50" s="12" t="s">
        <v>169</v>
      </c>
      <c r="DS50" s="12" t="s">
        <v>169</v>
      </c>
      <c r="DT50" s="12" t="s">
        <v>169</v>
      </c>
      <c r="DU50" s="12" t="s">
        <v>169</v>
      </c>
    </row>
    <row r="51" spans="1:125" x14ac:dyDescent="0.25">
      <c r="A51" s="3" t="s">
        <v>48</v>
      </c>
      <c r="B51" s="3" t="s">
        <v>157</v>
      </c>
      <c r="C51" s="3" t="s">
        <v>102</v>
      </c>
      <c r="D51" s="7">
        <v>42868</v>
      </c>
      <c r="E51" s="8">
        <v>0.375</v>
      </c>
      <c r="F51" s="10">
        <v>5.0199999999999996</v>
      </c>
      <c r="G51" s="10">
        <v>0.04</v>
      </c>
      <c r="H51" s="12" t="s">
        <v>169</v>
      </c>
      <c r="I51" s="12" t="s">
        <v>169</v>
      </c>
      <c r="J51" s="12" t="s">
        <v>169</v>
      </c>
      <c r="K51" s="12" t="s">
        <v>169</v>
      </c>
      <c r="L51" s="12" t="s">
        <v>169</v>
      </c>
      <c r="M51" s="12" t="s">
        <v>169</v>
      </c>
      <c r="N51" s="12" t="s">
        <v>169</v>
      </c>
      <c r="O51" s="12" t="s">
        <v>169</v>
      </c>
      <c r="P51" s="12" t="s">
        <v>169</v>
      </c>
      <c r="Q51" s="12" t="s">
        <v>169</v>
      </c>
      <c r="R51" s="12" t="s">
        <v>169</v>
      </c>
      <c r="S51" s="12" t="s">
        <v>169</v>
      </c>
      <c r="T51" s="12" t="s">
        <v>169</v>
      </c>
      <c r="U51" s="12" t="s">
        <v>169</v>
      </c>
      <c r="V51" s="12" t="s">
        <v>169</v>
      </c>
      <c r="W51" s="12" t="s">
        <v>169</v>
      </c>
      <c r="X51" s="12" t="s">
        <v>169</v>
      </c>
      <c r="Y51" s="12" t="s">
        <v>169</v>
      </c>
      <c r="Z51" s="12" t="s">
        <v>169</v>
      </c>
      <c r="AA51" s="12" t="s">
        <v>169</v>
      </c>
      <c r="AB51" s="12" t="s">
        <v>169</v>
      </c>
      <c r="AC51" s="12" t="s">
        <v>169</v>
      </c>
      <c r="AD51" s="12" t="s">
        <v>169</v>
      </c>
      <c r="AE51" s="12" t="s">
        <v>169</v>
      </c>
      <c r="AF51" s="12" t="s">
        <v>169</v>
      </c>
      <c r="AG51" s="12" t="s">
        <v>169</v>
      </c>
      <c r="AH51" s="12" t="s">
        <v>169</v>
      </c>
      <c r="AI51" s="12" t="s">
        <v>169</v>
      </c>
      <c r="AJ51" s="12" t="s">
        <v>169</v>
      </c>
      <c r="AK51" s="12" t="s">
        <v>169</v>
      </c>
      <c r="AL51" s="12" t="s">
        <v>169</v>
      </c>
      <c r="AM51" s="12" t="s">
        <v>169</v>
      </c>
      <c r="AN51" s="12" t="s">
        <v>169</v>
      </c>
      <c r="AO51" s="12" t="s">
        <v>169</v>
      </c>
      <c r="AP51" s="12" t="s">
        <v>169</v>
      </c>
      <c r="AQ51" s="12" t="s">
        <v>169</v>
      </c>
      <c r="AR51" s="12" t="s">
        <v>169</v>
      </c>
      <c r="AS51" s="12" t="s">
        <v>169</v>
      </c>
      <c r="AT51" s="12" t="s">
        <v>169</v>
      </c>
      <c r="AU51" s="12" t="s">
        <v>169</v>
      </c>
      <c r="AV51" s="12" t="s">
        <v>169</v>
      </c>
      <c r="AW51" s="12" t="s">
        <v>169</v>
      </c>
      <c r="AX51" s="12" t="s">
        <v>169</v>
      </c>
      <c r="AY51" s="12" t="s">
        <v>169</v>
      </c>
      <c r="AZ51" s="12" t="s">
        <v>169</v>
      </c>
      <c r="BA51" s="12" t="s">
        <v>169</v>
      </c>
      <c r="BB51" s="12" t="s">
        <v>169</v>
      </c>
      <c r="BC51" s="12" t="s">
        <v>169</v>
      </c>
      <c r="BD51" s="12" t="s">
        <v>169</v>
      </c>
      <c r="BE51" s="12" t="s">
        <v>169</v>
      </c>
      <c r="BF51" s="12" t="s">
        <v>169</v>
      </c>
      <c r="BG51" s="12" t="s">
        <v>169</v>
      </c>
      <c r="BH51" s="12" t="s">
        <v>169</v>
      </c>
      <c r="BI51" s="12" t="s">
        <v>169</v>
      </c>
      <c r="BJ51" s="12" t="s">
        <v>169</v>
      </c>
      <c r="BK51" s="12" t="s">
        <v>169</v>
      </c>
      <c r="BL51" s="12" t="s">
        <v>169</v>
      </c>
      <c r="BM51" s="12" t="s">
        <v>169</v>
      </c>
      <c r="BN51" s="12" t="s">
        <v>169</v>
      </c>
      <c r="BO51" s="12" t="s">
        <v>169</v>
      </c>
      <c r="BP51" s="12" t="s">
        <v>169</v>
      </c>
      <c r="BQ51" s="12" t="s">
        <v>169</v>
      </c>
      <c r="BR51" s="12" t="s">
        <v>169</v>
      </c>
      <c r="BS51" s="12" t="s">
        <v>169</v>
      </c>
      <c r="BT51" s="12" t="s">
        <v>169</v>
      </c>
      <c r="BU51" s="12" t="s">
        <v>169</v>
      </c>
      <c r="BV51" s="12" t="s">
        <v>169</v>
      </c>
      <c r="BW51" s="12" t="s">
        <v>169</v>
      </c>
      <c r="BX51" s="12" t="s">
        <v>169</v>
      </c>
      <c r="BY51" s="12" t="s">
        <v>169</v>
      </c>
      <c r="BZ51" s="12" t="s">
        <v>169</v>
      </c>
      <c r="CA51" s="12" t="s">
        <v>169</v>
      </c>
      <c r="CB51" s="12" t="s">
        <v>169</v>
      </c>
      <c r="CC51" s="12" t="s">
        <v>169</v>
      </c>
      <c r="CD51" s="12" t="s">
        <v>169</v>
      </c>
      <c r="CE51" s="12">
        <v>1.0899816370879403</v>
      </c>
      <c r="CF51" s="12">
        <v>3.3503494598100554</v>
      </c>
      <c r="CG51" s="12">
        <v>1.9910093633489203</v>
      </c>
      <c r="CH51" s="12" t="s">
        <v>169</v>
      </c>
      <c r="CI51" s="12" t="s">
        <v>169</v>
      </c>
      <c r="CJ51" s="12" t="s">
        <v>169</v>
      </c>
      <c r="CK51" s="12" t="s">
        <v>169</v>
      </c>
      <c r="CL51" s="12" t="s">
        <v>169</v>
      </c>
      <c r="CM51" s="12" t="s">
        <v>169</v>
      </c>
      <c r="CN51" s="12" t="s">
        <v>169</v>
      </c>
      <c r="CO51" s="12" t="s">
        <v>169</v>
      </c>
      <c r="CP51" s="12" t="s">
        <v>169</v>
      </c>
      <c r="CQ51" s="12" t="s">
        <v>169</v>
      </c>
      <c r="CR51" s="12" t="s">
        <v>169</v>
      </c>
      <c r="CS51" s="12" t="s">
        <v>169</v>
      </c>
      <c r="CT51" s="12" t="s">
        <v>169</v>
      </c>
      <c r="CU51" s="12" t="s">
        <v>169</v>
      </c>
      <c r="CV51" s="12" t="s">
        <v>169</v>
      </c>
      <c r="CW51" s="12" t="s">
        <v>169</v>
      </c>
      <c r="CX51" s="12" t="s">
        <v>169</v>
      </c>
      <c r="CY51" s="12" t="s">
        <v>169</v>
      </c>
      <c r="CZ51" s="12" t="s">
        <v>169</v>
      </c>
      <c r="DA51" s="12" t="s">
        <v>169</v>
      </c>
      <c r="DB51" s="12" t="s">
        <v>169</v>
      </c>
      <c r="DC51" s="12" t="s">
        <v>169</v>
      </c>
      <c r="DD51" s="12" t="s">
        <v>169</v>
      </c>
      <c r="DE51" s="12" t="s">
        <v>169</v>
      </c>
      <c r="DF51" s="12" t="s">
        <v>169</v>
      </c>
      <c r="DG51" s="12" t="s">
        <v>169</v>
      </c>
      <c r="DH51" s="12" t="s">
        <v>169</v>
      </c>
      <c r="DI51" s="12" t="s">
        <v>169</v>
      </c>
      <c r="DJ51" s="12" t="s">
        <v>169</v>
      </c>
      <c r="DK51" s="12" t="s">
        <v>169</v>
      </c>
      <c r="DL51" s="12" t="s">
        <v>169</v>
      </c>
      <c r="DM51" s="12" t="s">
        <v>169</v>
      </c>
      <c r="DN51" s="12" t="s">
        <v>169</v>
      </c>
      <c r="DO51" s="12" t="s">
        <v>169</v>
      </c>
      <c r="DP51" s="12" t="s">
        <v>169</v>
      </c>
      <c r="DQ51" s="12" t="s">
        <v>169</v>
      </c>
      <c r="DR51" s="12" t="s">
        <v>169</v>
      </c>
      <c r="DS51" s="12" t="s">
        <v>169</v>
      </c>
      <c r="DT51" s="12" t="s">
        <v>169</v>
      </c>
      <c r="DU51" s="12" t="s">
        <v>169</v>
      </c>
    </row>
    <row r="52" spans="1:125" x14ac:dyDescent="0.25">
      <c r="A52" s="3" t="s">
        <v>49</v>
      </c>
      <c r="B52" s="3" t="s">
        <v>158</v>
      </c>
      <c r="C52" s="3" t="s">
        <v>103</v>
      </c>
      <c r="D52" s="7">
        <v>42872</v>
      </c>
      <c r="E52" s="8">
        <v>0.33333333333333331</v>
      </c>
      <c r="F52" s="10">
        <v>5.2649999999999997</v>
      </c>
      <c r="G52" s="10">
        <v>0.15</v>
      </c>
      <c r="H52" s="12" t="s">
        <v>169</v>
      </c>
      <c r="I52" s="12" t="s">
        <v>169</v>
      </c>
      <c r="J52" s="12" t="s">
        <v>169</v>
      </c>
      <c r="K52" s="12" t="s">
        <v>169</v>
      </c>
      <c r="L52" s="12" t="s">
        <v>169</v>
      </c>
      <c r="M52" s="12" t="s">
        <v>169</v>
      </c>
      <c r="N52" s="12" t="s">
        <v>169</v>
      </c>
      <c r="O52" s="12" t="s">
        <v>169</v>
      </c>
      <c r="P52" s="12" t="s">
        <v>169</v>
      </c>
      <c r="Q52" s="12" t="s">
        <v>169</v>
      </c>
      <c r="R52" s="12" t="s">
        <v>169</v>
      </c>
      <c r="S52" s="12" t="s">
        <v>169</v>
      </c>
      <c r="T52" s="12" t="s">
        <v>169</v>
      </c>
      <c r="U52" s="12" t="s">
        <v>169</v>
      </c>
      <c r="V52" s="12" t="s">
        <v>169</v>
      </c>
      <c r="W52" s="12" t="s">
        <v>169</v>
      </c>
      <c r="X52" s="12" t="s">
        <v>169</v>
      </c>
      <c r="Y52" s="12" t="s">
        <v>169</v>
      </c>
      <c r="Z52" s="12" t="s">
        <v>169</v>
      </c>
      <c r="AA52" s="12" t="s">
        <v>169</v>
      </c>
      <c r="AB52" s="12" t="s">
        <v>169</v>
      </c>
      <c r="AC52" s="12" t="s">
        <v>169</v>
      </c>
      <c r="AD52" s="12" t="s">
        <v>169</v>
      </c>
      <c r="AE52" s="12" t="s">
        <v>169</v>
      </c>
      <c r="AF52" s="12" t="s">
        <v>169</v>
      </c>
      <c r="AG52" s="12" t="s">
        <v>169</v>
      </c>
      <c r="AH52" s="12" t="s">
        <v>169</v>
      </c>
      <c r="AI52" s="12" t="s">
        <v>169</v>
      </c>
      <c r="AJ52" s="12" t="s">
        <v>169</v>
      </c>
      <c r="AK52" s="12" t="s">
        <v>169</v>
      </c>
      <c r="AL52" s="12" t="s">
        <v>169</v>
      </c>
      <c r="AM52" s="12" t="s">
        <v>169</v>
      </c>
      <c r="AN52" s="12" t="s">
        <v>169</v>
      </c>
      <c r="AO52" s="12" t="s">
        <v>169</v>
      </c>
      <c r="AP52" s="12" t="s">
        <v>169</v>
      </c>
      <c r="AQ52" s="12" t="s">
        <v>169</v>
      </c>
      <c r="AR52" s="12" t="s">
        <v>169</v>
      </c>
      <c r="AS52" s="12" t="s">
        <v>169</v>
      </c>
      <c r="AT52" s="12" t="s">
        <v>169</v>
      </c>
      <c r="AU52" s="12" t="s">
        <v>169</v>
      </c>
      <c r="AV52" s="12" t="s">
        <v>169</v>
      </c>
      <c r="AW52" s="12" t="s">
        <v>169</v>
      </c>
      <c r="AX52" s="12" t="s">
        <v>169</v>
      </c>
      <c r="AY52" s="12" t="s">
        <v>169</v>
      </c>
      <c r="AZ52" s="12" t="s">
        <v>169</v>
      </c>
      <c r="BA52" s="12" t="s">
        <v>169</v>
      </c>
      <c r="BB52" s="12" t="s">
        <v>169</v>
      </c>
      <c r="BC52" s="12" t="s">
        <v>169</v>
      </c>
      <c r="BD52" s="12" t="s">
        <v>169</v>
      </c>
      <c r="BE52" s="12" t="s">
        <v>169</v>
      </c>
      <c r="BF52" s="12" t="s">
        <v>169</v>
      </c>
      <c r="BG52" s="12" t="s">
        <v>169</v>
      </c>
      <c r="BH52" s="12" t="s">
        <v>169</v>
      </c>
      <c r="BI52" s="12" t="s">
        <v>169</v>
      </c>
      <c r="BJ52" s="12" t="s">
        <v>169</v>
      </c>
      <c r="BK52" s="12" t="s">
        <v>169</v>
      </c>
      <c r="BL52" s="12" t="s">
        <v>169</v>
      </c>
      <c r="BM52" s="12" t="s">
        <v>169</v>
      </c>
      <c r="BN52" s="12" t="s">
        <v>169</v>
      </c>
      <c r="BO52" s="12" t="s">
        <v>169</v>
      </c>
      <c r="BP52" s="12" t="s">
        <v>169</v>
      </c>
      <c r="BQ52" s="12" t="s">
        <v>169</v>
      </c>
      <c r="BR52" s="12" t="s">
        <v>169</v>
      </c>
      <c r="BS52" s="12" t="s">
        <v>169</v>
      </c>
      <c r="BT52" s="12" t="s">
        <v>169</v>
      </c>
      <c r="BU52" s="12" t="s">
        <v>169</v>
      </c>
      <c r="BV52" s="12" t="s">
        <v>169</v>
      </c>
      <c r="BW52" s="12" t="s">
        <v>169</v>
      </c>
      <c r="BX52" s="12" t="s">
        <v>169</v>
      </c>
      <c r="BY52" s="12" t="s">
        <v>169</v>
      </c>
      <c r="BZ52" s="12" t="s">
        <v>169</v>
      </c>
      <c r="CA52" s="12" t="s">
        <v>169</v>
      </c>
      <c r="CB52" s="12" t="s">
        <v>169</v>
      </c>
      <c r="CC52" s="12" t="s">
        <v>169</v>
      </c>
      <c r="CD52" s="12" t="s">
        <v>169</v>
      </c>
      <c r="CE52" s="12" t="s">
        <v>169</v>
      </c>
      <c r="CF52" s="12" t="s">
        <v>169</v>
      </c>
      <c r="CG52" s="12" t="s">
        <v>169</v>
      </c>
      <c r="CH52" s="12" t="s">
        <v>169</v>
      </c>
      <c r="CI52" s="12" t="s">
        <v>169</v>
      </c>
      <c r="CJ52" s="12" t="s">
        <v>169</v>
      </c>
      <c r="CK52" s="12" t="s">
        <v>169</v>
      </c>
      <c r="CL52" s="12" t="s">
        <v>169</v>
      </c>
      <c r="CM52" s="12" t="s">
        <v>169</v>
      </c>
      <c r="CN52" s="12" t="s">
        <v>169</v>
      </c>
      <c r="CO52" s="12" t="s">
        <v>169</v>
      </c>
      <c r="CP52" s="12" t="s">
        <v>169</v>
      </c>
      <c r="CQ52" s="12" t="s">
        <v>169</v>
      </c>
      <c r="CR52" s="12" t="s">
        <v>169</v>
      </c>
      <c r="CS52" s="12" t="s">
        <v>169</v>
      </c>
      <c r="CT52" s="12" t="s">
        <v>169</v>
      </c>
      <c r="CU52" s="12" t="s">
        <v>169</v>
      </c>
      <c r="CV52" s="12" t="s">
        <v>169</v>
      </c>
      <c r="CW52" s="12" t="s">
        <v>169</v>
      </c>
      <c r="CX52" s="12" t="s">
        <v>169</v>
      </c>
      <c r="CY52" s="12" t="s">
        <v>169</v>
      </c>
      <c r="CZ52" s="12" t="s">
        <v>169</v>
      </c>
      <c r="DA52" s="12" t="s">
        <v>169</v>
      </c>
      <c r="DB52" s="12" t="s">
        <v>169</v>
      </c>
      <c r="DC52" s="12" t="s">
        <v>169</v>
      </c>
      <c r="DD52" s="12" t="s">
        <v>169</v>
      </c>
      <c r="DE52" s="12" t="s">
        <v>169</v>
      </c>
      <c r="DF52" s="12" t="s">
        <v>169</v>
      </c>
      <c r="DG52" s="12" t="s">
        <v>169</v>
      </c>
      <c r="DH52" s="12" t="s">
        <v>169</v>
      </c>
      <c r="DI52" s="12" t="s">
        <v>169</v>
      </c>
      <c r="DJ52" s="12" t="s">
        <v>169</v>
      </c>
      <c r="DK52" s="12" t="s">
        <v>169</v>
      </c>
      <c r="DL52" s="12" t="s">
        <v>169</v>
      </c>
      <c r="DM52" s="12" t="s">
        <v>169</v>
      </c>
      <c r="DN52" s="12" t="s">
        <v>169</v>
      </c>
      <c r="DO52" s="12" t="s">
        <v>169</v>
      </c>
      <c r="DP52" s="12" t="s">
        <v>169</v>
      </c>
      <c r="DQ52" s="12" t="s">
        <v>169</v>
      </c>
      <c r="DR52" s="12" t="s">
        <v>169</v>
      </c>
      <c r="DS52" s="12" t="s">
        <v>169</v>
      </c>
      <c r="DT52" s="12" t="s">
        <v>169</v>
      </c>
      <c r="DU52" s="12" t="s">
        <v>169</v>
      </c>
    </row>
    <row r="53" spans="1:125" x14ac:dyDescent="0.25">
      <c r="A53" s="3" t="s">
        <v>50</v>
      </c>
      <c r="B53" s="3" t="s">
        <v>159</v>
      </c>
      <c r="C53" s="3" t="s">
        <v>104</v>
      </c>
      <c r="D53" s="7">
        <v>42866</v>
      </c>
      <c r="E53" s="8">
        <v>0.375</v>
      </c>
      <c r="F53" s="10">
        <v>5.3550000000000004</v>
      </c>
      <c r="G53" s="10">
        <v>0.34</v>
      </c>
      <c r="H53" s="12" t="s">
        <v>169</v>
      </c>
      <c r="I53" s="12" t="s">
        <v>169</v>
      </c>
      <c r="J53" s="12" t="s">
        <v>169</v>
      </c>
      <c r="K53" s="12" t="s">
        <v>169</v>
      </c>
      <c r="L53" s="12" t="s">
        <v>169</v>
      </c>
      <c r="M53" s="12" t="s">
        <v>169</v>
      </c>
      <c r="N53" s="12" t="s">
        <v>169</v>
      </c>
      <c r="O53" s="12" t="s">
        <v>169</v>
      </c>
      <c r="P53" s="12" t="s">
        <v>169</v>
      </c>
      <c r="Q53" s="12" t="s">
        <v>169</v>
      </c>
      <c r="R53" s="12" t="s">
        <v>169</v>
      </c>
      <c r="S53" s="12" t="s">
        <v>169</v>
      </c>
      <c r="T53" s="12" t="s">
        <v>169</v>
      </c>
      <c r="U53" s="12" t="s">
        <v>169</v>
      </c>
      <c r="V53" s="12" t="s">
        <v>169</v>
      </c>
      <c r="W53" s="12" t="s">
        <v>169</v>
      </c>
      <c r="X53" s="12" t="s">
        <v>169</v>
      </c>
      <c r="Y53" s="12" t="s">
        <v>169</v>
      </c>
      <c r="Z53" s="12" t="s">
        <v>169</v>
      </c>
      <c r="AA53" s="12" t="s">
        <v>169</v>
      </c>
      <c r="AB53" s="12" t="s">
        <v>169</v>
      </c>
      <c r="AC53" s="12" t="s">
        <v>169</v>
      </c>
      <c r="AD53" s="12" t="s">
        <v>169</v>
      </c>
      <c r="AE53" s="12" t="s">
        <v>169</v>
      </c>
      <c r="AF53" s="12" t="s">
        <v>169</v>
      </c>
      <c r="AG53" s="12" t="s">
        <v>169</v>
      </c>
      <c r="AH53" s="12" t="s">
        <v>169</v>
      </c>
      <c r="AI53" s="12" t="s">
        <v>169</v>
      </c>
      <c r="AJ53" s="12" t="s">
        <v>169</v>
      </c>
      <c r="AK53" s="12" t="s">
        <v>169</v>
      </c>
      <c r="AL53" s="12" t="s">
        <v>169</v>
      </c>
      <c r="AM53" s="12" t="s">
        <v>169</v>
      </c>
      <c r="AN53" s="12" t="s">
        <v>169</v>
      </c>
      <c r="AO53" s="12" t="s">
        <v>169</v>
      </c>
      <c r="AP53" s="12" t="s">
        <v>169</v>
      </c>
      <c r="AQ53" s="12" t="s">
        <v>169</v>
      </c>
      <c r="AR53" s="12" t="s">
        <v>169</v>
      </c>
      <c r="AS53" s="12" t="s">
        <v>169</v>
      </c>
      <c r="AT53" s="12" t="s">
        <v>169</v>
      </c>
      <c r="AU53" s="12" t="s">
        <v>169</v>
      </c>
      <c r="AV53" s="12" t="s">
        <v>169</v>
      </c>
      <c r="AW53" s="12" t="s">
        <v>169</v>
      </c>
      <c r="AX53" s="12" t="s">
        <v>169</v>
      </c>
      <c r="AY53" s="12" t="s">
        <v>169</v>
      </c>
      <c r="AZ53" s="12" t="s">
        <v>169</v>
      </c>
      <c r="BA53" s="12" t="s">
        <v>169</v>
      </c>
      <c r="BB53" s="12" t="s">
        <v>169</v>
      </c>
      <c r="BC53" s="12" t="s">
        <v>169</v>
      </c>
      <c r="BD53" s="12" t="s">
        <v>169</v>
      </c>
      <c r="BE53" s="12" t="s">
        <v>169</v>
      </c>
      <c r="BF53" s="12" t="s">
        <v>169</v>
      </c>
      <c r="BG53" s="12" t="s">
        <v>169</v>
      </c>
      <c r="BH53" s="12" t="s">
        <v>169</v>
      </c>
      <c r="BI53" s="12" t="s">
        <v>169</v>
      </c>
      <c r="BJ53" s="12" t="s">
        <v>169</v>
      </c>
      <c r="BK53" s="12" t="s">
        <v>169</v>
      </c>
      <c r="BL53" s="12" t="s">
        <v>169</v>
      </c>
      <c r="BM53" s="12" t="s">
        <v>169</v>
      </c>
      <c r="BN53" s="12" t="s">
        <v>169</v>
      </c>
      <c r="BO53" s="12" t="s">
        <v>169</v>
      </c>
      <c r="BP53" s="12" t="s">
        <v>169</v>
      </c>
      <c r="BQ53" s="12" t="s">
        <v>169</v>
      </c>
      <c r="BR53" s="12" t="s">
        <v>169</v>
      </c>
      <c r="BS53" s="12" t="s">
        <v>169</v>
      </c>
      <c r="BT53" s="12" t="s">
        <v>169</v>
      </c>
      <c r="BU53" s="12" t="s">
        <v>169</v>
      </c>
      <c r="BV53" s="12" t="s">
        <v>169</v>
      </c>
      <c r="BW53" s="12" t="s">
        <v>169</v>
      </c>
      <c r="BX53" s="12" t="s">
        <v>169</v>
      </c>
      <c r="BY53" s="12" t="s">
        <v>169</v>
      </c>
      <c r="BZ53" s="12" t="s">
        <v>169</v>
      </c>
      <c r="CA53" s="12" t="s">
        <v>169</v>
      </c>
      <c r="CB53" s="12" t="s">
        <v>169</v>
      </c>
      <c r="CC53" s="12" t="s">
        <v>169</v>
      </c>
      <c r="CD53" s="12" t="s">
        <v>169</v>
      </c>
      <c r="CE53" s="12" t="s">
        <v>169</v>
      </c>
      <c r="CF53" s="12" t="s">
        <v>169</v>
      </c>
      <c r="CG53" s="12" t="s">
        <v>169</v>
      </c>
      <c r="CH53" s="12" t="s">
        <v>169</v>
      </c>
      <c r="CI53" s="12" t="s">
        <v>169</v>
      </c>
      <c r="CJ53" s="12" t="s">
        <v>169</v>
      </c>
      <c r="CK53" s="12" t="s">
        <v>169</v>
      </c>
      <c r="CL53" s="12" t="s">
        <v>169</v>
      </c>
      <c r="CM53" s="12" t="s">
        <v>169</v>
      </c>
      <c r="CN53" s="12" t="s">
        <v>169</v>
      </c>
      <c r="CO53" s="12" t="s">
        <v>169</v>
      </c>
      <c r="CP53" s="12" t="s">
        <v>169</v>
      </c>
      <c r="CQ53" s="12" t="s">
        <v>169</v>
      </c>
      <c r="CR53" s="12" t="s">
        <v>169</v>
      </c>
      <c r="CS53" s="12" t="s">
        <v>169</v>
      </c>
      <c r="CT53" s="12" t="s">
        <v>169</v>
      </c>
      <c r="CU53" s="12" t="s">
        <v>169</v>
      </c>
      <c r="CV53" s="12" t="s">
        <v>169</v>
      </c>
      <c r="CW53" s="12" t="s">
        <v>169</v>
      </c>
      <c r="CX53" s="12" t="s">
        <v>169</v>
      </c>
      <c r="CY53" s="12" t="s">
        <v>169</v>
      </c>
      <c r="CZ53" s="12" t="s">
        <v>169</v>
      </c>
      <c r="DA53" s="12" t="s">
        <v>169</v>
      </c>
      <c r="DB53" s="12" t="s">
        <v>169</v>
      </c>
      <c r="DC53" s="12" t="s">
        <v>169</v>
      </c>
      <c r="DD53" s="12" t="s">
        <v>169</v>
      </c>
      <c r="DE53" s="12" t="s">
        <v>169</v>
      </c>
      <c r="DF53" s="12" t="s">
        <v>169</v>
      </c>
      <c r="DG53" s="12" t="s">
        <v>169</v>
      </c>
      <c r="DH53" s="12" t="s">
        <v>169</v>
      </c>
      <c r="DI53" s="12" t="s">
        <v>169</v>
      </c>
      <c r="DJ53" s="12" t="s">
        <v>169</v>
      </c>
      <c r="DK53" s="12" t="s">
        <v>169</v>
      </c>
      <c r="DL53" s="12" t="s">
        <v>169</v>
      </c>
      <c r="DM53" s="12" t="s">
        <v>169</v>
      </c>
      <c r="DN53" s="12" t="s">
        <v>169</v>
      </c>
      <c r="DO53" s="12" t="s">
        <v>169</v>
      </c>
      <c r="DP53" s="12" t="s">
        <v>169</v>
      </c>
      <c r="DQ53" s="12" t="s">
        <v>169</v>
      </c>
      <c r="DR53" s="12" t="s">
        <v>169</v>
      </c>
      <c r="DS53" s="12" t="s">
        <v>169</v>
      </c>
      <c r="DT53" s="12" t="s">
        <v>169</v>
      </c>
      <c r="DU53" s="12" t="s">
        <v>169</v>
      </c>
    </row>
    <row r="54" spans="1:125" x14ac:dyDescent="0.25">
      <c r="A54" s="3" t="s">
        <v>51</v>
      </c>
      <c r="B54" s="3" t="s">
        <v>160</v>
      </c>
      <c r="C54" s="3" t="s">
        <v>105</v>
      </c>
      <c r="D54" s="7">
        <v>42865</v>
      </c>
      <c r="E54" s="8">
        <v>0.625</v>
      </c>
      <c r="F54" s="10">
        <v>5.37</v>
      </c>
      <c r="G54" s="10">
        <v>0.55000000000000004</v>
      </c>
      <c r="H54" s="12" t="s">
        <v>169</v>
      </c>
      <c r="I54" s="12" t="s">
        <v>169</v>
      </c>
      <c r="J54" s="12" t="s">
        <v>169</v>
      </c>
      <c r="K54" s="12" t="s">
        <v>169</v>
      </c>
      <c r="L54" s="12" t="s">
        <v>169</v>
      </c>
      <c r="M54" s="12" t="s">
        <v>169</v>
      </c>
      <c r="N54" s="13" t="s">
        <v>169</v>
      </c>
      <c r="O54" s="12" t="s">
        <v>169</v>
      </c>
      <c r="P54" s="12" t="s">
        <v>169</v>
      </c>
      <c r="Q54" s="13" t="s">
        <v>169</v>
      </c>
      <c r="R54" s="12" t="s">
        <v>169</v>
      </c>
      <c r="S54" s="12" t="s">
        <v>169</v>
      </c>
      <c r="T54" s="13" t="s">
        <v>169</v>
      </c>
      <c r="U54" s="12" t="s">
        <v>169</v>
      </c>
      <c r="V54" s="12" t="s">
        <v>169</v>
      </c>
      <c r="W54" s="12" t="s">
        <v>169</v>
      </c>
      <c r="X54" s="13" t="s">
        <v>169</v>
      </c>
      <c r="Y54" s="12" t="s">
        <v>169</v>
      </c>
      <c r="Z54" s="12" t="s">
        <v>169</v>
      </c>
      <c r="AA54" s="12" t="s">
        <v>169</v>
      </c>
      <c r="AB54" s="12" t="s">
        <v>169</v>
      </c>
      <c r="AC54" s="12" t="s">
        <v>169</v>
      </c>
      <c r="AD54" s="12" t="s">
        <v>169</v>
      </c>
      <c r="AE54" s="12" t="s">
        <v>169</v>
      </c>
      <c r="AF54" s="12" t="s">
        <v>169</v>
      </c>
      <c r="AG54" s="13" t="s">
        <v>169</v>
      </c>
      <c r="AH54" s="13" t="s">
        <v>169</v>
      </c>
      <c r="AI54" s="12" t="s">
        <v>169</v>
      </c>
      <c r="AJ54" s="12" t="s">
        <v>169</v>
      </c>
      <c r="AK54" s="12" t="s">
        <v>169</v>
      </c>
      <c r="AL54" s="13" t="s">
        <v>169</v>
      </c>
      <c r="AM54" s="13" t="s">
        <v>169</v>
      </c>
      <c r="AN54" s="12" t="s">
        <v>169</v>
      </c>
      <c r="AO54" s="12" t="s">
        <v>169</v>
      </c>
      <c r="AP54" s="12" t="s">
        <v>169</v>
      </c>
      <c r="AQ54" s="12" t="s">
        <v>169</v>
      </c>
      <c r="AR54" s="12" t="s">
        <v>169</v>
      </c>
      <c r="AS54" s="13" t="s">
        <v>169</v>
      </c>
      <c r="AT54" s="13" t="s">
        <v>169</v>
      </c>
      <c r="AU54" s="13" t="s">
        <v>169</v>
      </c>
      <c r="AV54" s="13" t="s">
        <v>169</v>
      </c>
      <c r="AW54" s="12" t="s">
        <v>169</v>
      </c>
      <c r="AX54" s="12" t="s">
        <v>169</v>
      </c>
      <c r="AY54" s="12" t="s">
        <v>169</v>
      </c>
      <c r="AZ54" s="12" t="s">
        <v>169</v>
      </c>
      <c r="BA54" s="12" t="s">
        <v>169</v>
      </c>
      <c r="BB54" s="12" t="s">
        <v>169</v>
      </c>
      <c r="BC54" s="12" t="s">
        <v>169</v>
      </c>
      <c r="BD54" s="12" t="s">
        <v>169</v>
      </c>
      <c r="BE54" s="13" t="s">
        <v>169</v>
      </c>
      <c r="BF54" s="13" t="s">
        <v>169</v>
      </c>
      <c r="BG54" s="12" t="s">
        <v>169</v>
      </c>
      <c r="BH54" s="12" t="s">
        <v>169</v>
      </c>
      <c r="BI54" s="13" t="s">
        <v>169</v>
      </c>
      <c r="BJ54" s="13" t="s">
        <v>169</v>
      </c>
      <c r="BK54" s="13" t="s">
        <v>169</v>
      </c>
      <c r="BL54" s="13" t="s">
        <v>169</v>
      </c>
      <c r="BM54" s="12" t="s">
        <v>169</v>
      </c>
      <c r="BN54" s="13" t="s">
        <v>169</v>
      </c>
      <c r="BO54" s="13" t="s">
        <v>169</v>
      </c>
      <c r="BP54" s="13" t="s">
        <v>169</v>
      </c>
      <c r="BQ54" s="13" t="s">
        <v>169</v>
      </c>
      <c r="BR54" s="12" t="s">
        <v>169</v>
      </c>
      <c r="BS54" s="13" t="s">
        <v>169</v>
      </c>
      <c r="BT54" s="13" t="s">
        <v>169</v>
      </c>
      <c r="BU54" s="12" t="s">
        <v>169</v>
      </c>
      <c r="BV54" s="12" t="s">
        <v>169</v>
      </c>
      <c r="BW54" s="12" t="s">
        <v>169</v>
      </c>
      <c r="BX54" s="12" t="s">
        <v>169</v>
      </c>
      <c r="BY54" s="12" t="s">
        <v>169</v>
      </c>
      <c r="BZ54" s="13" t="s">
        <v>169</v>
      </c>
      <c r="CA54" s="12" t="s">
        <v>169</v>
      </c>
      <c r="CB54" s="13" t="s">
        <v>169</v>
      </c>
      <c r="CC54" s="12" t="s">
        <v>169</v>
      </c>
      <c r="CD54" s="12" t="s">
        <v>169</v>
      </c>
      <c r="CE54" s="12" t="s">
        <v>169</v>
      </c>
      <c r="CF54" s="12" t="s">
        <v>169</v>
      </c>
      <c r="CG54" s="12" t="s">
        <v>169</v>
      </c>
      <c r="CH54" s="12" t="s">
        <v>169</v>
      </c>
      <c r="CI54" s="13" t="s">
        <v>169</v>
      </c>
      <c r="CJ54" s="12" t="s">
        <v>169</v>
      </c>
      <c r="CK54" s="12" t="s">
        <v>169</v>
      </c>
      <c r="CL54" s="12" t="s">
        <v>169</v>
      </c>
      <c r="CM54" s="12" t="s">
        <v>169</v>
      </c>
      <c r="CN54" s="12" t="s">
        <v>169</v>
      </c>
      <c r="CO54" s="12" t="s">
        <v>169</v>
      </c>
      <c r="CP54" s="12" t="s">
        <v>169</v>
      </c>
      <c r="CQ54" s="12" t="s">
        <v>169</v>
      </c>
      <c r="CR54" s="12" t="s">
        <v>169</v>
      </c>
      <c r="CS54" s="12" t="s">
        <v>169</v>
      </c>
      <c r="CT54" s="12" t="s">
        <v>169</v>
      </c>
      <c r="CU54" s="13" t="s">
        <v>169</v>
      </c>
      <c r="CV54" s="12" t="s">
        <v>169</v>
      </c>
      <c r="CW54" s="13" t="s">
        <v>169</v>
      </c>
      <c r="CX54" s="12" t="s">
        <v>169</v>
      </c>
      <c r="CY54" s="13" t="s">
        <v>169</v>
      </c>
      <c r="CZ54" s="12" t="s">
        <v>169</v>
      </c>
      <c r="DA54" s="12" t="s">
        <v>169</v>
      </c>
      <c r="DB54" s="12" t="s">
        <v>169</v>
      </c>
      <c r="DC54" s="13" t="s">
        <v>169</v>
      </c>
      <c r="DD54" s="12" t="s">
        <v>169</v>
      </c>
      <c r="DE54" s="13" t="s">
        <v>169</v>
      </c>
      <c r="DF54" s="12" t="s">
        <v>169</v>
      </c>
      <c r="DG54" s="13" t="s">
        <v>169</v>
      </c>
      <c r="DH54" s="12" t="s">
        <v>169</v>
      </c>
      <c r="DI54" s="12" t="s">
        <v>169</v>
      </c>
      <c r="DJ54" s="12" t="s">
        <v>169</v>
      </c>
      <c r="DK54" s="12" t="s">
        <v>169</v>
      </c>
      <c r="DL54" s="13" t="s">
        <v>169</v>
      </c>
      <c r="DM54" s="13" t="s">
        <v>169</v>
      </c>
      <c r="DN54" s="12" t="s">
        <v>169</v>
      </c>
      <c r="DO54" s="13" t="s">
        <v>169</v>
      </c>
      <c r="DP54" s="13" t="s">
        <v>169</v>
      </c>
      <c r="DQ54" s="13" t="s">
        <v>169</v>
      </c>
      <c r="DR54" s="12" t="s">
        <v>169</v>
      </c>
      <c r="DS54" s="13" t="s">
        <v>169</v>
      </c>
      <c r="DT54" s="13" t="s">
        <v>169</v>
      </c>
      <c r="DU54" s="13" t="s">
        <v>169</v>
      </c>
    </row>
    <row r="55" spans="1:125" x14ac:dyDescent="0.25">
      <c r="A55" s="3" t="s">
        <v>52</v>
      </c>
      <c r="B55" s="3" t="s">
        <v>161</v>
      </c>
      <c r="C55" s="3" t="s">
        <v>106</v>
      </c>
      <c r="D55" s="7">
        <v>42870</v>
      </c>
      <c r="E55" s="8">
        <v>0.54166666666666663</v>
      </c>
      <c r="F55" s="10">
        <v>5.82</v>
      </c>
      <c r="G55" s="10">
        <v>0.35</v>
      </c>
      <c r="H55" s="12" t="s">
        <v>169</v>
      </c>
      <c r="I55" s="12" t="s">
        <v>169</v>
      </c>
      <c r="J55" s="12" t="s">
        <v>169</v>
      </c>
      <c r="K55" s="12" t="s">
        <v>169</v>
      </c>
      <c r="L55" s="12" t="s">
        <v>169</v>
      </c>
      <c r="M55" s="12" t="s">
        <v>169</v>
      </c>
      <c r="N55" s="12" t="s">
        <v>169</v>
      </c>
      <c r="O55" s="12" t="s">
        <v>169</v>
      </c>
      <c r="P55" s="12" t="s">
        <v>169</v>
      </c>
      <c r="Q55" s="12" t="s">
        <v>169</v>
      </c>
      <c r="R55" s="12" t="s">
        <v>169</v>
      </c>
      <c r="S55" s="12" t="s">
        <v>169</v>
      </c>
      <c r="T55" s="12" t="s">
        <v>169</v>
      </c>
      <c r="U55" s="12" t="s">
        <v>169</v>
      </c>
      <c r="V55" s="12" t="s">
        <v>169</v>
      </c>
      <c r="W55" s="12" t="s">
        <v>169</v>
      </c>
      <c r="X55" s="12" t="s">
        <v>169</v>
      </c>
      <c r="Y55" s="12" t="s">
        <v>169</v>
      </c>
      <c r="Z55" s="12" t="s">
        <v>169</v>
      </c>
      <c r="AA55" s="12" t="s">
        <v>169</v>
      </c>
      <c r="AB55" s="12" t="s">
        <v>169</v>
      </c>
      <c r="AC55" s="12" t="s">
        <v>169</v>
      </c>
      <c r="AD55" s="12" t="s">
        <v>169</v>
      </c>
      <c r="AE55" s="12" t="s">
        <v>169</v>
      </c>
      <c r="AF55" s="12" t="s">
        <v>169</v>
      </c>
      <c r="AG55" s="12" t="s">
        <v>169</v>
      </c>
      <c r="AH55" s="12" t="s">
        <v>169</v>
      </c>
      <c r="AI55" s="12" t="s">
        <v>169</v>
      </c>
      <c r="AJ55" s="12" t="s">
        <v>169</v>
      </c>
      <c r="AK55" s="12" t="s">
        <v>169</v>
      </c>
      <c r="AL55" s="12" t="s">
        <v>169</v>
      </c>
      <c r="AM55" s="12" t="s">
        <v>169</v>
      </c>
      <c r="AN55" s="12" t="s">
        <v>169</v>
      </c>
      <c r="AO55" s="12" t="s">
        <v>169</v>
      </c>
      <c r="AP55" s="12" t="s">
        <v>169</v>
      </c>
      <c r="AQ55" s="12" t="s">
        <v>169</v>
      </c>
      <c r="AR55" s="12" t="s">
        <v>169</v>
      </c>
      <c r="AS55" s="12" t="s">
        <v>169</v>
      </c>
      <c r="AT55" s="12" t="s">
        <v>169</v>
      </c>
      <c r="AU55" s="12" t="s">
        <v>169</v>
      </c>
      <c r="AV55" s="12" t="s">
        <v>169</v>
      </c>
      <c r="AW55" s="12" t="s">
        <v>169</v>
      </c>
      <c r="AX55" s="12" t="s">
        <v>169</v>
      </c>
      <c r="AY55" s="12" t="s">
        <v>169</v>
      </c>
      <c r="AZ55" s="12" t="s">
        <v>169</v>
      </c>
      <c r="BA55" s="12" t="s">
        <v>169</v>
      </c>
      <c r="BB55" s="12" t="s">
        <v>169</v>
      </c>
      <c r="BC55" s="12" t="s">
        <v>169</v>
      </c>
      <c r="BD55" s="12" t="s">
        <v>169</v>
      </c>
      <c r="BE55" s="12" t="s">
        <v>169</v>
      </c>
      <c r="BF55" s="12" t="s">
        <v>169</v>
      </c>
      <c r="BG55" s="12" t="s">
        <v>169</v>
      </c>
      <c r="BH55" s="12" t="s">
        <v>169</v>
      </c>
      <c r="BI55" s="12" t="s">
        <v>169</v>
      </c>
      <c r="BJ55" s="12" t="s">
        <v>169</v>
      </c>
      <c r="BK55" s="12" t="s">
        <v>169</v>
      </c>
      <c r="BL55" s="12" t="s">
        <v>169</v>
      </c>
      <c r="BM55" s="12" t="s">
        <v>169</v>
      </c>
      <c r="BN55" s="12" t="s">
        <v>169</v>
      </c>
      <c r="BO55" s="12" t="s">
        <v>169</v>
      </c>
      <c r="BP55" s="12" t="s">
        <v>169</v>
      </c>
      <c r="BQ55" s="12" t="s">
        <v>169</v>
      </c>
      <c r="BR55" s="12" t="s">
        <v>169</v>
      </c>
      <c r="BS55" s="12" t="s">
        <v>169</v>
      </c>
      <c r="BT55" s="12" t="s">
        <v>169</v>
      </c>
      <c r="BU55" s="12" t="s">
        <v>169</v>
      </c>
      <c r="BV55" s="12" t="s">
        <v>169</v>
      </c>
      <c r="BW55" s="12" t="s">
        <v>169</v>
      </c>
      <c r="BX55" s="12" t="s">
        <v>169</v>
      </c>
      <c r="BY55" s="12" t="s">
        <v>169</v>
      </c>
      <c r="BZ55" s="12" t="s">
        <v>169</v>
      </c>
      <c r="CA55" s="12" t="s">
        <v>169</v>
      </c>
      <c r="CB55" s="12" t="s">
        <v>169</v>
      </c>
      <c r="CC55" s="12" t="s">
        <v>169</v>
      </c>
      <c r="CD55" s="12" t="s">
        <v>169</v>
      </c>
      <c r="CE55" s="12" t="s">
        <v>169</v>
      </c>
      <c r="CF55" s="12" t="s">
        <v>169</v>
      </c>
      <c r="CG55" s="12" t="s">
        <v>169</v>
      </c>
      <c r="CH55" s="12" t="s">
        <v>169</v>
      </c>
      <c r="CI55" s="12" t="s">
        <v>169</v>
      </c>
      <c r="CJ55" s="12" t="s">
        <v>169</v>
      </c>
      <c r="CK55" s="12" t="s">
        <v>169</v>
      </c>
      <c r="CL55" s="12" t="s">
        <v>169</v>
      </c>
      <c r="CM55" s="12" t="s">
        <v>169</v>
      </c>
      <c r="CN55" s="12" t="s">
        <v>169</v>
      </c>
      <c r="CO55" s="12" t="s">
        <v>169</v>
      </c>
      <c r="CP55" s="12" t="s">
        <v>169</v>
      </c>
      <c r="CQ55" s="12" t="s">
        <v>169</v>
      </c>
      <c r="CR55" s="12" t="s">
        <v>169</v>
      </c>
      <c r="CS55" s="12" t="s">
        <v>169</v>
      </c>
      <c r="CT55" s="12" t="s">
        <v>169</v>
      </c>
      <c r="CU55" s="12" t="s">
        <v>169</v>
      </c>
      <c r="CV55" s="12" t="s">
        <v>169</v>
      </c>
      <c r="CW55" s="12" t="s">
        <v>169</v>
      </c>
      <c r="CX55" s="12" t="s">
        <v>169</v>
      </c>
      <c r="CY55" s="12" t="s">
        <v>169</v>
      </c>
      <c r="CZ55" s="12" t="s">
        <v>169</v>
      </c>
      <c r="DA55" s="12" t="s">
        <v>169</v>
      </c>
      <c r="DB55" s="12" t="s">
        <v>169</v>
      </c>
      <c r="DC55" s="12" t="s">
        <v>169</v>
      </c>
      <c r="DD55" s="12" t="s">
        <v>169</v>
      </c>
      <c r="DE55" s="12" t="s">
        <v>169</v>
      </c>
      <c r="DF55" s="12" t="s">
        <v>169</v>
      </c>
      <c r="DG55" s="12" t="s">
        <v>169</v>
      </c>
      <c r="DH55" s="12" t="s">
        <v>169</v>
      </c>
      <c r="DI55" s="12" t="s">
        <v>169</v>
      </c>
      <c r="DJ55" s="12" t="s">
        <v>169</v>
      </c>
      <c r="DK55" s="12" t="s">
        <v>169</v>
      </c>
      <c r="DL55" s="12" t="s">
        <v>169</v>
      </c>
      <c r="DM55" s="12" t="s">
        <v>169</v>
      </c>
      <c r="DN55" s="12" t="s">
        <v>169</v>
      </c>
      <c r="DO55" s="12" t="s">
        <v>169</v>
      </c>
      <c r="DP55" s="12" t="s">
        <v>169</v>
      </c>
      <c r="DQ55" s="12" t="s">
        <v>169</v>
      </c>
      <c r="DR55" s="12" t="s">
        <v>169</v>
      </c>
      <c r="DS55" s="12" t="s">
        <v>169</v>
      </c>
      <c r="DT55" s="12" t="s">
        <v>169</v>
      </c>
      <c r="DU55" s="12" t="s">
        <v>169</v>
      </c>
    </row>
    <row r="56" spans="1:125" x14ac:dyDescent="0.25">
      <c r="A56" s="3" t="s">
        <v>53</v>
      </c>
      <c r="B56" s="3" t="s">
        <v>162</v>
      </c>
      <c r="C56" s="3" t="s">
        <v>107</v>
      </c>
      <c r="D56" s="7">
        <v>42870</v>
      </c>
      <c r="E56" s="8">
        <v>0.41666666666666669</v>
      </c>
      <c r="F56" s="10">
        <v>5.47</v>
      </c>
      <c r="G56" s="10">
        <v>0.28999999999999998</v>
      </c>
      <c r="H56" s="12" t="s">
        <v>169</v>
      </c>
      <c r="I56" s="12" t="s">
        <v>169</v>
      </c>
      <c r="J56" s="12" t="s">
        <v>169</v>
      </c>
      <c r="K56" s="12" t="s">
        <v>169</v>
      </c>
      <c r="L56" s="12" t="s">
        <v>169</v>
      </c>
      <c r="M56" s="12" t="s">
        <v>169</v>
      </c>
      <c r="N56" s="12" t="s">
        <v>169</v>
      </c>
      <c r="O56" s="12" t="s">
        <v>169</v>
      </c>
      <c r="P56" s="12" t="s">
        <v>169</v>
      </c>
      <c r="Q56" s="12" t="s">
        <v>169</v>
      </c>
      <c r="R56" s="12" t="s">
        <v>169</v>
      </c>
      <c r="S56" s="12" t="s">
        <v>169</v>
      </c>
      <c r="T56" s="12" t="s">
        <v>169</v>
      </c>
      <c r="U56" s="12" t="s">
        <v>169</v>
      </c>
      <c r="V56" s="12" t="s">
        <v>169</v>
      </c>
      <c r="W56" s="12" t="s">
        <v>169</v>
      </c>
      <c r="X56" s="12" t="s">
        <v>169</v>
      </c>
      <c r="Y56" s="12" t="s">
        <v>169</v>
      </c>
      <c r="Z56" s="12" t="s">
        <v>169</v>
      </c>
      <c r="AA56" s="12" t="s">
        <v>169</v>
      </c>
      <c r="AB56" s="12" t="s">
        <v>169</v>
      </c>
      <c r="AC56" s="12" t="s">
        <v>169</v>
      </c>
      <c r="AD56" s="12" t="s">
        <v>169</v>
      </c>
      <c r="AE56" s="12" t="s">
        <v>169</v>
      </c>
      <c r="AF56" s="12" t="s">
        <v>169</v>
      </c>
      <c r="AG56" s="12" t="s">
        <v>169</v>
      </c>
      <c r="AH56" s="12" t="s">
        <v>169</v>
      </c>
      <c r="AI56" s="12" t="s">
        <v>169</v>
      </c>
      <c r="AJ56" s="12" t="s">
        <v>169</v>
      </c>
      <c r="AK56" s="12" t="s">
        <v>169</v>
      </c>
      <c r="AL56" s="12" t="s">
        <v>169</v>
      </c>
      <c r="AM56" s="12" t="s">
        <v>169</v>
      </c>
      <c r="AN56" s="12" t="s">
        <v>169</v>
      </c>
      <c r="AO56" s="12" t="s">
        <v>169</v>
      </c>
      <c r="AP56" s="12" t="s">
        <v>169</v>
      </c>
      <c r="AQ56" s="12" t="s">
        <v>169</v>
      </c>
      <c r="AR56" s="12" t="s">
        <v>169</v>
      </c>
      <c r="AS56" s="12" t="s">
        <v>169</v>
      </c>
      <c r="AT56" s="12" t="s">
        <v>169</v>
      </c>
      <c r="AU56" s="12" t="s">
        <v>169</v>
      </c>
      <c r="AV56" s="12" t="s">
        <v>169</v>
      </c>
      <c r="AW56" s="12" t="s">
        <v>169</v>
      </c>
      <c r="AX56" s="12" t="s">
        <v>169</v>
      </c>
      <c r="AY56" s="12" t="s">
        <v>169</v>
      </c>
      <c r="AZ56" s="12" t="s">
        <v>169</v>
      </c>
      <c r="BA56" s="12" t="s">
        <v>169</v>
      </c>
      <c r="BB56" s="12" t="s">
        <v>169</v>
      </c>
      <c r="BC56" s="12" t="s">
        <v>169</v>
      </c>
      <c r="BD56" s="12" t="s">
        <v>169</v>
      </c>
      <c r="BE56" s="12" t="s">
        <v>169</v>
      </c>
      <c r="BF56" s="12" t="s">
        <v>169</v>
      </c>
      <c r="BG56" s="12" t="s">
        <v>169</v>
      </c>
      <c r="BH56" s="12" t="s">
        <v>169</v>
      </c>
      <c r="BI56" s="12" t="s">
        <v>169</v>
      </c>
      <c r="BJ56" s="12" t="s">
        <v>169</v>
      </c>
      <c r="BK56" s="12" t="s">
        <v>169</v>
      </c>
      <c r="BL56" s="12" t="s">
        <v>169</v>
      </c>
      <c r="BM56" s="12" t="s">
        <v>169</v>
      </c>
      <c r="BN56" s="12" t="s">
        <v>169</v>
      </c>
      <c r="BO56" s="12" t="s">
        <v>169</v>
      </c>
      <c r="BP56" s="12" t="s">
        <v>169</v>
      </c>
      <c r="BQ56" s="12" t="s">
        <v>169</v>
      </c>
      <c r="BR56" s="12" t="s">
        <v>169</v>
      </c>
      <c r="BS56" s="12" t="s">
        <v>169</v>
      </c>
      <c r="BT56" s="12" t="s">
        <v>169</v>
      </c>
      <c r="BU56" s="12" t="s">
        <v>169</v>
      </c>
      <c r="BV56" s="12" t="s">
        <v>169</v>
      </c>
      <c r="BW56" s="12" t="s">
        <v>169</v>
      </c>
      <c r="BX56" s="12" t="s">
        <v>169</v>
      </c>
      <c r="BY56" s="12" t="s">
        <v>169</v>
      </c>
      <c r="BZ56" s="12" t="s">
        <v>169</v>
      </c>
      <c r="CA56" s="12" t="s">
        <v>169</v>
      </c>
      <c r="CB56" s="12" t="s">
        <v>169</v>
      </c>
      <c r="CC56" s="12" t="s">
        <v>169</v>
      </c>
      <c r="CD56" s="12" t="s">
        <v>169</v>
      </c>
      <c r="CE56" s="12" t="s">
        <v>169</v>
      </c>
      <c r="CF56" s="12" t="s">
        <v>169</v>
      </c>
      <c r="CG56" s="12" t="s">
        <v>169</v>
      </c>
      <c r="CH56" s="12" t="s">
        <v>169</v>
      </c>
      <c r="CI56" s="12" t="s">
        <v>169</v>
      </c>
      <c r="CJ56" s="12" t="s">
        <v>169</v>
      </c>
      <c r="CK56" s="12" t="s">
        <v>169</v>
      </c>
      <c r="CL56" s="12" t="s">
        <v>169</v>
      </c>
      <c r="CM56" s="12" t="s">
        <v>169</v>
      </c>
      <c r="CN56" s="12" t="s">
        <v>169</v>
      </c>
      <c r="CO56" s="12" t="s">
        <v>169</v>
      </c>
      <c r="CP56" s="12" t="s">
        <v>169</v>
      </c>
      <c r="CQ56" s="12" t="s">
        <v>169</v>
      </c>
      <c r="CR56" s="12" t="s">
        <v>169</v>
      </c>
      <c r="CS56" s="12" t="s">
        <v>169</v>
      </c>
      <c r="CT56" s="12" t="s">
        <v>169</v>
      </c>
      <c r="CU56" s="12" t="s">
        <v>169</v>
      </c>
      <c r="CV56" s="12" t="s">
        <v>169</v>
      </c>
      <c r="CW56" s="12" t="s">
        <v>169</v>
      </c>
      <c r="CX56" s="12" t="s">
        <v>169</v>
      </c>
      <c r="CY56" s="12" t="s">
        <v>169</v>
      </c>
      <c r="CZ56" s="12" t="s">
        <v>169</v>
      </c>
      <c r="DA56" s="12" t="s">
        <v>169</v>
      </c>
      <c r="DB56" s="12" t="s">
        <v>169</v>
      </c>
      <c r="DC56" s="12" t="s">
        <v>169</v>
      </c>
      <c r="DD56" s="12" t="s">
        <v>169</v>
      </c>
      <c r="DE56" s="12" t="s">
        <v>169</v>
      </c>
      <c r="DF56" s="12" t="s">
        <v>169</v>
      </c>
      <c r="DG56" s="12" t="s">
        <v>169</v>
      </c>
      <c r="DH56" s="12" t="s">
        <v>169</v>
      </c>
      <c r="DI56" s="12" t="s">
        <v>169</v>
      </c>
      <c r="DJ56" s="12" t="s">
        <v>169</v>
      </c>
      <c r="DK56" s="12" t="s">
        <v>169</v>
      </c>
      <c r="DL56" s="12" t="s">
        <v>169</v>
      </c>
      <c r="DM56" s="12" t="s">
        <v>169</v>
      </c>
      <c r="DN56" s="12" t="s">
        <v>169</v>
      </c>
      <c r="DO56" s="12" t="s">
        <v>169</v>
      </c>
      <c r="DP56" s="12" t="s">
        <v>169</v>
      </c>
      <c r="DQ56" s="12" t="s">
        <v>169</v>
      </c>
      <c r="DR56" s="12" t="s">
        <v>169</v>
      </c>
      <c r="DS56" s="12" t="s">
        <v>169</v>
      </c>
      <c r="DT56" s="12" t="s">
        <v>169</v>
      </c>
      <c r="DU56" s="12" t="s">
        <v>169</v>
      </c>
    </row>
    <row r="57" spans="1:125" x14ac:dyDescent="0.25">
      <c r="A57" s="3" t="s">
        <v>54</v>
      </c>
      <c r="B57" s="3" t="s">
        <v>163</v>
      </c>
      <c r="C57" s="3" t="s">
        <v>108</v>
      </c>
      <c r="D57" s="7">
        <v>42865</v>
      </c>
      <c r="E57" s="8">
        <v>0.375</v>
      </c>
      <c r="F57" s="10">
        <v>5.45</v>
      </c>
      <c r="G57" s="10">
        <v>0.68</v>
      </c>
      <c r="H57" s="12" t="s">
        <v>169</v>
      </c>
      <c r="I57" s="12" t="s">
        <v>169</v>
      </c>
      <c r="J57" s="12" t="s">
        <v>169</v>
      </c>
      <c r="K57" s="12" t="s">
        <v>169</v>
      </c>
      <c r="L57" s="12" t="s">
        <v>169</v>
      </c>
      <c r="M57" s="12" t="s">
        <v>169</v>
      </c>
      <c r="N57" s="13" t="s">
        <v>169</v>
      </c>
      <c r="O57" s="12" t="s">
        <v>169</v>
      </c>
      <c r="P57" s="12">
        <v>0.55779816513761471</v>
      </c>
      <c r="Q57" s="13" t="s">
        <v>169</v>
      </c>
      <c r="R57" s="12" t="s">
        <v>169</v>
      </c>
      <c r="S57" s="12" t="s">
        <v>169</v>
      </c>
      <c r="T57" s="13" t="s">
        <v>169</v>
      </c>
      <c r="U57" s="12" t="s">
        <v>169</v>
      </c>
      <c r="V57" s="12" t="s">
        <v>169</v>
      </c>
      <c r="W57" s="12" t="s">
        <v>169</v>
      </c>
      <c r="X57" s="13" t="s">
        <v>169</v>
      </c>
      <c r="Y57" s="12" t="s">
        <v>169</v>
      </c>
      <c r="Z57" s="12" t="s">
        <v>169</v>
      </c>
      <c r="AA57" s="12" t="s">
        <v>169</v>
      </c>
      <c r="AB57" s="12" t="s">
        <v>169</v>
      </c>
      <c r="AC57" s="12" t="s">
        <v>169</v>
      </c>
      <c r="AD57" s="12" t="s">
        <v>169</v>
      </c>
      <c r="AE57" s="12" t="s">
        <v>169</v>
      </c>
      <c r="AF57" s="12" t="s">
        <v>169</v>
      </c>
      <c r="AG57" s="13" t="s">
        <v>169</v>
      </c>
      <c r="AH57" s="13" t="s">
        <v>169</v>
      </c>
      <c r="AI57" s="12" t="s">
        <v>169</v>
      </c>
      <c r="AJ57" s="12" t="s">
        <v>169</v>
      </c>
      <c r="AK57" s="12" t="s">
        <v>169</v>
      </c>
      <c r="AL57" s="13" t="s">
        <v>169</v>
      </c>
      <c r="AM57" s="13" t="s">
        <v>169</v>
      </c>
      <c r="AN57" s="12" t="s">
        <v>169</v>
      </c>
      <c r="AO57" s="12" t="s">
        <v>169</v>
      </c>
      <c r="AP57" s="12" t="s">
        <v>169</v>
      </c>
      <c r="AQ57" s="12" t="s">
        <v>169</v>
      </c>
      <c r="AR57" s="12" t="s">
        <v>169</v>
      </c>
      <c r="AS57" s="13" t="s">
        <v>169</v>
      </c>
      <c r="AT57" s="13" t="s">
        <v>169</v>
      </c>
      <c r="AU57" s="13" t="s">
        <v>169</v>
      </c>
      <c r="AV57" s="13" t="s">
        <v>169</v>
      </c>
      <c r="AW57" s="12" t="s">
        <v>169</v>
      </c>
      <c r="AX57" s="12" t="s">
        <v>169</v>
      </c>
      <c r="AY57" s="12" t="s">
        <v>169</v>
      </c>
      <c r="AZ57" s="12" t="s">
        <v>169</v>
      </c>
      <c r="BA57" s="12" t="s">
        <v>169</v>
      </c>
      <c r="BB57" s="12" t="s">
        <v>169</v>
      </c>
      <c r="BC57" s="12" t="s">
        <v>169</v>
      </c>
      <c r="BD57" s="12" t="s">
        <v>169</v>
      </c>
      <c r="BE57" s="13" t="s">
        <v>169</v>
      </c>
      <c r="BF57" s="13" t="s">
        <v>169</v>
      </c>
      <c r="BG57" s="12" t="s">
        <v>169</v>
      </c>
      <c r="BH57" s="12" t="s">
        <v>169</v>
      </c>
      <c r="BI57" s="13" t="s">
        <v>169</v>
      </c>
      <c r="BJ57" s="13" t="s">
        <v>169</v>
      </c>
      <c r="BK57" s="13" t="s">
        <v>169</v>
      </c>
      <c r="BL57" s="13" t="s">
        <v>169</v>
      </c>
      <c r="BM57" s="12" t="s">
        <v>169</v>
      </c>
      <c r="BN57" s="13" t="s">
        <v>169</v>
      </c>
      <c r="BO57" s="13" t="s">
        <v>169</v>
      </c>
      <c r="BP57" s="13" t="s">
        <v>169</v>
      </c>
      <c r="BQ57" s="13" t="s">
        <v>169</v>
      </c>
      <c r="BR57" s="12" t="s">
        <v>169</v>
      </c>
      <c r="BS57" s="13" t="s">
        <v>169</v>
      </c>
      <c r="BT57" s="13" t="s">
        <v>169</v>
      </c>
      <c r="BU57" s="12" t="s">
        <v>169</v>
      </c>
      <c r="BV57" s="12" t="s">
        <v>169</v>
      </c>
      <c r="BW57" s="12" t="s">
        <v>169</v>
      </c>
      <c r="BX57" s="12" t="s">
        <v>169</v>
      </c>
      <c r="BY57" s="12" t="s">
        <v>169</v>
      </c>
      <c r="BZ57" s="13" t="s">
        <v>169</v>
      </c>
      <c r="CA57" s="12" t="s">
        <v>169</v>
      </c>
      <c r="CB57" s="13" t="s">
        <v>169</v>
      </c>
      <c r="CC57" s="12" t="s">
        <v>169</v>
      </c>
      <c r="CD57" s="12" t="s">
        <v>169</v>
      </c>
      <c r="CE57" s="12" t="s">
        <v>169</v>
      </c>
      <c r="CF57" s="12" t="s">
        <v>169</v>
      </c>
      <c r="CG57" s="12" t="s">
        <v>169</v>
      </c>
      <c r="CH57" s="12" t="s">
        <v>169</v>
      </c>
      <c r="CI57" s="13" t="s">
        <v>169</v>
      </c>
      <c r="CJ57" s="12" t="s">
        <v>169</v>
      </c>
      <c r="CK57" s="12" t="s">
        <v>169</v>
      </c>
      <c r="CL57" s="12" t="s">
        <v>169</v>
      </c>
      <c r="CM57" s="12" t="s">
        <v>169</v>
      </c>
      <c r="CN57" s="12" t="s">
        <v>169</v>
      </c>
      <c r="CO57" s="12" t="s">
        <v>169</v>
      </c>
      <c r="CP57" s="12" t="s">
        <v>169</v>
      </c>
      <c r="CQ57" s="12" t="s">
        <v>169</v>
      </c>
      <c r="CR57" s="12" t="s">
        <v>169</v>
      </c>
      <c r="CS57" s="12" t="s">
        <v>169</v>
      </c>
      <c r="CT57" s="12" t="s">
        <v>169</v>
      </c>
      <c r="CU57" s="13" t="s">
        <v>169</v>
      </c>
      <c r="CV57" s="12" t="s">
        <v>169</v>
      </c>
      <c r="CW57" s="13" t="s">
        <v>169</v>
      </c>
      <c r="CX57" s="12" t="s">
        <v>169</v>
      </c>
      <c r="CY57" s="13" t="s">
        <v>169</v>
      </c>
      <c r="CZ57" s="12" t="s">
        <v>169</v>
      </c>
      <c r="DA57" s="12" t="s">
        <v>169</v>
      </c>
      <c r="DB57" s="12" t="s">
        <v>169</v>
      </c>
      <c r="DC57" s="13" t="s">
        <v>169</v>
      </c>
      <c r="DD57" s="12" t="s">
        <v>169</v>
      </c>
      <c r="DE57" s="13" t="s">
        <v>169</v>
      </c>
      <c r="DF57" s="12" t="s">
        <v>169</v>
      </c>
      <c r="DG57" s="13" t="s">
        <v>169</v>
      </c>
      <c r="DH57" s="12" t="s">
        <v>169</v>
      </c>
      <c r="DI57" s="12" t="s">
        <v>169</v>
      </c>
      <c r="DJ57" s="12" t="s">
        <v>169</v>
      </c>
      <c r="DK57" s="12" t="s">
        <v>169</v>
      </c>
      <c r="DL57" s="13" t="s">
        <v>169</v>
      </c>
      <c r="DM57" s="13" t="s">
        <v>169</v>
      </c>
      <c r="DN57" s="12" t="s">
        <v>169</v>
      </c>
      <c r="DO57" s="13" t="s">
        <v>169</v>
      </c>
      <c r="DP57" s="13" t="s">
        <v>169</v>
      </c>
      <c r="DQ57" s="13" t="s">
        <v>169</v>
      </c>
      <c r="DR57" s="12" t="s">
        <v>169</v>
      </c>
      <c r="DS57" s="13" t="s">
        <v>169</v>
      </c>
      <c r="DT57" s="13" t="s">
        <v>169</v>
      </c>
      <c r="DU57" s="13" t="s">
        <v>169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7"/>
  <sheetViews>
    <sheetView workbookViewId="0">
      <selection activeCell="I13" sqref="I13"/>
    </sheetView>
  </sheetViews>
  <sheetFormatPr defaultRowHeight="15" x14ac:dyDescent="0.25"/>
  <cols>
    <col min="2" max="2" width="14.28515625" customWidth="1"/>
    <col min="3" max="3" width="14.140625" customWidth="1"/>
    <col min="4" max="4" width="11" customWidth="1"/>
  </cols>
  <sheetData>
    <row r="1" spans="1:102" x14ac:dyDescent="0.25">
      <c r="A1" t="s">
        <v>858</v>
      </c>
    </row>
    <row r="2" spans="1:102" x14ac:dyDescent="0.25">
      <c r="A2" t="s">
        <v>855</v>
      </c>
    </row>
    <row r="3" spans="1:102" ht="33.75" x14ac:dyDescent="0.25">
      <c r="A3" s="14" t="s">
        <v>0</v>
      </c>
      <c r="B3" s="14" t="s">
        <v>109</v>
      </c>
      <c r="C3" s="15" t="s">
        <v>164</v>
      </c>
      <c r="D3" s="16" t="s">
        <v>165</v>
      </c>
      <c r="E3" s="15" t="s">
        <v>166</v>
      </c>
      <c r="F3" s="16" t="s">
        <v>168</v>
      </c>
      <c r="G3" s="17" t="s">
        <v>170</v>
      </c>
      <c r="H3" s="17" t="s">
        <v>171</v>
      </c>
      <c r="I3" s="17" t="s">
        <v>172</v>
      </c>
      <c r="J3" s="17" t="s">
        <v>173</v>
      </c>
      <c r="K3" s="17" t="s">
        <v>174</v>
      </c>
      <c r="L3" s="17" t="s">
        <v>175</v>
      </c>
      <c r="M3" s="17" t="s">
        <v>176</v>
      </c>
      <c r="N3" s="17" t="s">
        <v>177</v>
      </c>
      <c r="O3" s="17" t="s">
        <v>178</v>
      </c>
      <c r="P3" s="17" t="s">
        <v>179</v>
      </c>
      <c r="Q3" s="17" t="s">
        <v>180</v>
      </c>
      <c r="R3" s="17" t="s">
        <v>181</v>
      </c>
      <c r="S3" s="17" t="s">
        <v>182</v>
      </c>
      <c r="T3" s="17" t="s">
        <v>183</v>
      </c>
      <c r="U3" s="17" t="s">
        <v>184</v>
      </c>
      <c r="V3" s="17" t="s">
        <v>185</v>
      </c>
      <c r="W3" s="17" t="s">
        <v>186</v>
      </c>
      <c r="X3" s="17" t="s">
        <v>187</v>
      </c>
      <c r="Y3" s="17" t="s">
        <v>188</v>
      </c>
      <c r="Z3" s="17" t="s">
        <v>189</v>
      </c>
      <c r="AA3" s="17" t="s">
        <v>190</v>
      </c>
      <c r="AB3" s="17" t="s">
        <v>191</v>
      </c>
      <c r="AC3" s="17" t="s">
        <v>192</v>
      </c>
      <c r="AD3" s="17" t="s">
        <v>193</v>
      </c>
      <c r="AE3" s="17" t="s">
        <v>194</v>
      </c>
      <c r="AF3" s="17" t="s">
        <v>195</v>
      </c>
      <c r="AG3" s="17" t="s">
        <v>196</v>
      </c>
      <c r="AH3" s="17" t="s">
        <v>197</v>
      </c>
      <c r="AI3" s="17" t="s">
        <v>198</v>
      </c>
      <c r="AJ3" s="17" t="s">
        <v>199</v>
      </c>
      <c r="AK3" s="17" t="s">
        <v>200</v>
      </c>
      <c r="AL3" s="17" t="s">
        <v>201</v>
      </c>
      <c r="AM3" s="17" t="s">
        <v>202</v>
      </c>
      <c r="AN3" s="17" t="s">
        <v>203</v>
      </c>
      <c r="AO3" s="17" t="s">
        <v>204</v>
      </c>
      <c r="AP3" s="17" t="s">
        <v>205</v>
      </c>
      <c r="AQ3" s="17" t="s">
        <v>206</v>
      </c>
      <c r="AR3" s="17" t="s">
        <v>207</v>
      </c>
      <c r="AS3" s="17" t="s">
        <v>208</v>
      </c>
      <c r="AT3" s="17" t="s">
        <v>209</v>
      </c>
      <c r="AU3" s="17" t="s">
        <v>210</v>
      </c>
      <c r="AV3" s="17" t="s">
        <v>211</v>
      </c>
      <c r="AW3" s="17" t="s">
        <v>212</v>
      </c>
      <c r="AX3" s="17" t="s">
        <v>213</v>
      </c>
      <c r="AY3" s="17" t="s">
        <v>214</v>
      </c>
      <c r="AZ3" s="17" t="s">
        <v>215</v>
      </c>
      <c r="BA3" s="17" t="s">
        <v>216</v>
      </c>
      <c r="BB3" s="17" t="s">
        <v>217</v>
      </c>
      <c r="BC3" s="17" t="s">
        <v>218</v>
      </c>
      <c r="BD3" s="17" t="s">
        <v>219</v>
      </c>
      <c r="BE3" s="17" t="s">
        <v>220</v>
      </c>
      <c r="BF3" s="17" t="s">
        <v>221</v>
      </c>
      <c r="BG3" s="17" t="s">
        <v>222</v>
      </c>
      <c r="BH3" s="17" t="s">
        <v>223</v>
      </c>
      <c r="BI3" s="17" t="s">
        <v>224</v>
      </c>
      <c r="BJ3" s="17" t="s">
        <v>225</v>
      </c>
      <c r="BK3" s="17" t="s">
        <v>226</v>
      </c>
      <c r="BL3" s="17" t="s">
        <v>227</v>
      </c>
      <c r="BM3" s="17" t="s">
        <v>598</v>
      </c>
      <c r="BN3" s="17" t="s">
        <v>228</v>
      </c>
      <c r="BO3" s="17" t="s">
        <v>229</v>
      </c>
      <c r="BP3" s="17" t="s">
        <v>230</v>
      </c>
      <c r="BQ3" s="17" t="s">
        <v>231</v>
      </c>
      <c r="BR3" s="17" t="s">
        <v>232</v>
      </c>
      <c r="BS3" s="17" t="s">
        <v>233</v>
      </c>
      <c r="BT3" s="17" t="s">
        <v>234</v>
      </c>
      <c r="BU3" s="17" t="s">
        <v>235</v>
      </c>
      <c r="BV3" s="17" t="s">
        <v>236</v>
      </c>
      <c r="BW3" s="17" t="s">
        <v>237</v>
      </c>
      <c r="BX3" s="17" t="s">
        <v>238</v>
      </c>
      <c r="BY3" s="17" t="s">
        <v>239</v>
      </c>
      <c r="BZ3" s="17" t="s">
        <v>240</v>
      </c>
      <c r="CA3" s="17" t="s">
        <v>241</v>
      </c>
      <c r="CB3" s="17" t="s">
        <v>242</v>
      </c>
      <c r="CC3" s="17" t="s">
        <v>243</v>
      </c>
      <c r="CD3" s="17" t="s">
        <v>244</v>
      </c>
      <c r="CE3" s="17" t="s">
        <v>245</v>
      </c>
      <c r="CF3" s="17" t="s">
        <v>246</v>
      </c>
      <c r="CG3" s="17" t="s">
        <v>247</v>
      </c>
      <c r="CH3" s="17" t="s">
        <v>248</v>
      </c>
      <c r="CI3" s="17" t="s">
        <v>249</v>
      </c>
      <c r="CJ3" s="17" t="s">
        <v>250</v>
      </c>
      <c r="CK3" s="17" t="s">
        <v>251</v>
      </c>
      <c r="CL3" s="17" t="s">
        <v>252</v>
      </c>
      <c r="CM3" s="17" t="s">
        <v>253</v>
      </c>
      <c r="CN3" s="17" t="s">
        <v>254</v>
      </c>
      <c r="CO3" s="17" t="s">
        <v>255</v>
      </c>
      <c r="CP3" s="17" t="s">
        <v>256</v>
      </c>
      <c r="CQ3" s="17" t="s">
        <v>257</v>
      </c>
      <c r="CR3" s="17" t="s">
        <v>258</v>
      </c>
      <c r="CS3" s="17" t="s">
        <v>259</v>
      </c>
      <c r="CT3" s="17" t="s">
        <v>260</v>
      </c>
      <c r="CU3" s="17" t="s">
        <v>261</v>
      </c>
      <c r="CV3" s="17" t="s">
        <v>262</v>
      </c>
      <c r="CW3" s="17" t="s">
        <v>263</v>
      </c>
      <c r="CX3" s="17" t="s">
        <v>264</v>
      </c>
    </row>
    <row r="4" spans="1:102" x14ac:dyDescent="0.25">
      <c r="A4" s="22" t="s">
        <v>1</v>
      </c>
      <c r="B4" s="22" t="s">
        <v>110</v>
      </c>
      <c r="C4" s="22" t="s">
        <v>55</v>
      </c>
      <c r="D4" s="6">
        <v>42866</v>
      </c>
      <c r="E4" s="18">
        <v>0.5625</v>
      </c>
      <c r="F4" s="19">
        <v>0.04</v>
      </c>
      <c r="G4" s="20" t="s">
        <v>169</v>
      </c>
      <c r="H4" s="20" t="s">
        <v>169</v>
      </c>
      <c r="I4" s="20" t="s">
        <v>169</v>
      </c>
      <c r="J4" s="20" t="s">
        <v>169</v>
      </c>
      <c r="K4" s="20" t="s">
        <v>169</v>
      </c>
      <c r="L4" s="20" t="s">
        <v>169</v>
      </c>
      <c r="M4" s="20" t="s">
        <v>169</v>
      </c>
      <c r="N4" s="20" t="s">
        <v>169</v>
      </c>
      <c r="O4" s="20" t="s">
        <v>169</v>
      </c>
      <c r="P4" s="20" t="s">
        <v>169</v>
      </c>
      <c r="Q4" s="20" t="s">
        <v>169</v>
      </c>
      <c r="R4" s="20" t="s">
        <v>169</v>
      </c>
      <c r="S4" s="20" t="s">
        <v>169</v>
      </c>
      <c r="T4" s="20" t="s">
        <v>169</v>
      </c>
      <c r="U4" s="20" t="s">
        <v>169</v>
      </c>
      <c r="V4" s="20" t="s">
        <v>169</v>
      </c>
      <c r="W4" s="20" t="s">
        <v>169</v>
      </c>
      <c r="X4" s="20" t="s">
        <v>169</v>
      </c>
      <c r="Y4" s="20" t="s">
        <v>169</v>
      </c>
      <c r="Z4" s="20" t="s">
        <v>169</v>
      </c>
      <c r="AA4" s="20" t="s">
        <v>169</v>
      </c>
      <c r="AB4" s="20" t="s">
        <v>169</v>
      </c>
      <c r="AC4" s="20" t="s">
        <v>169</v>
      </c>
      <c r="AD4" s="20" t="s">
        <v>169</v>
      </c>
      <c r="AE4" s="20" t="s">
        <v>169</v>
      </c>
      <c r="AF4" s="20" t="s">
        <v>169</v>
      </c>
      <c r="AG4" s="20" t="s">
        <v>169</v>
      </c>
      <c r="AH4" s="20" t="s">
        <v>169</v>
      </c>
      <c r="AI4" s="20" t="s">
        <v>169</v>
      </c>
      <c r="AJ4" s="20" t="s">
        <v>169</v>
      </c>
      <c r="AK4" s="20" t="s">
        <v>169</v>
      </c>
      <c r="AL4" s="20" t="s">
        <v>169</v>
      </c>
      <c r="AM4" s="20" t="s">
        <v>169</v>
      </c>
      <c r="AN4" s="20" t="s">
        <v>169</v>
      </c>
      <c r="AO4" s="20" t="s">
        <v>169</v>
      </c>
      <c r="AP4" s="20" t="s">
        <v>169</v>
      </c>
      <c r="AQ4" s="20" t="s">
        <v>169</v>
      </c>
      <c r="AR4" s="20" t="s">
        <v>169</v>
      </c>
      <c r="AS4" s="20" t="s">
        <v>169</v>
      </c>
      <c r="AT4" s="20" t="s">
        <v>169</v>
      </c>
      <c r="AU4" s="20" t="s">
        <v>169</v>
      </c>
      <c r="AV4" s="20" t="s">
        <v>169</v>
      </c>
      <c r="AW4" s="20" t="s">
        <v>169</v>
      </c>
      <c r="AX4" s="20" t="s">
        <v>169</v>
      </c>
      <c r="AY4" s="20" t="s">
        <v>169</v>
      </c>
      <c r="AZ4" s="20" t="s">
        <v>169</v>
      </c>
      <c r="BA4" s="20" t="s">
        <v>169</v>
      </c>
      <c r="BB4" s="20" t="s">
        <v>169</v>
      </c>
      <c r="BC4" s="20" t="s">
        <v>169</v>
      </c>
      <c r="BD4" s="20" t="s">
        <v>169</v>
      </c>
      <c r="BE4" s="20" t="s">
        <v>169</v>
      </c>
      <c r="BF4" s="20" t="s">
        <v>169</v>
      </c>
      <c r="BG4" s="20" t="s">
        <v>169</v>
      </c>
      <c r="BH4" s="20" t="s">
        <v>169</v>
      </c>
      <c r="BI4" s="20" t="s">
        <v>169</v>
      </c>
      <c r="BJ4" s="20" t="s">
        <v>169</v>
      </c>
      <c r="BK4" s="20" t="s">
        <v>169</v>
      </c>
      <c r="BL4" s="20" t="s">
        <v>169</v>
      </c>
      <c r="BM4" s="20" t="s">
        <v>169</v>
      </c>
      <c r="BN4" s="20" t="s">
        <v>169</v>
      </c>
      <c r="BO4" s="20" t="s">
        <v>169</v>
      </c>
      <c r="BP4" s="20" t="s">
        <v>169</v>
      </c>
      <c r="BQ4" s="20" t="s">
        <v>169</v>
      </c>
      <c r="BR4" s="20" t="s">
        <v>169</v>
      </c>
      <c r="BS4" s="20" t="s">
        <v>169</v>
      </c>
      <c r="BT4" s="20" t="s">
        <v>169</v>
      </c>
      <c r="BU4" s="20" t="s">
        <v>169</v>
      </c>
      <c r="BV4" s="20" t="s">
        <v>169</v>
      </c>
      <c r="BW4" s="20" t="s">
        <v>169</v>
      </c>
      <c r="BX4" s="20" t="s">
        <v>169</v>
      </c>
      <c r="BY4" s="20" t="s">
        <v>169</v>
      </c>
      <c r="BZ4" s="20" t="s">
        <v>169</v>
      </c>
      <c r="CA4" s="20" t="s">
        <v>169</v>
      </c>
      <c r="CB4" s="20" t="s">
        <v>169</v>
      </c>
      <c r="CC4" s="20" t="s">
        <v>169</v>
      </c>
      <c r="CD4" s="20" t="s">
        <v>169</v>
      </c>
      <c r="CE4" s="20" t="s">
        <v>169</v>
      </c>
      <c r="CF4" s="20" t="s">
        <v>169</v>
      </c>
      <c r="CG4" s="20" t="s">
        <v>169</v>
      </c>
      <c r="CH4" s="20" t="s">
        <v>169</v>
      </c>
      <c r="CI4" s="20" t="s">
        <v>169</v>
      </c>
      <c r="CJ4" s="20" t="s">
        <v>169</v>
      </c>
      <c r="CK4" s="20" t="s">
        <v>169</v>
      </c>
      <c r="CL4" s="20" t="s">
        <v>169</v>
      </c>
      <c r="CM4" s="20" t="s">
        <v>169</v>
      </c>
      <c r="CN4" s="20" t="s">
        <v>169</v>
      </c>
      <c r="CO4" s="20" t="s">
        <v>169</v>
      </c>
      <c r="CP4" s="20" t="s">
        <v>169</v>
      </c>
      <c r="CQ4" s="20" t="s">
        <v>169</v>
      </c>
      <c r="CR4" s="20" t="s">
        <v>169</v>
      </c>
      <c r="CS4" s="20" t="s">
        <v>169</v>
      </c>
      <c r="CT4" s="20" t="s">
        <v>169</v>
      </c>
      <c r="CU4" s="20" t="s">
        <v>169</v>
      </c>
      <c r="CV4" s="20" t="s">
        <v>169</v>
      </c>
      <c r="CW4" s="20" t="s">
        <v>169</v>
      </c>
      <c r="CX4" s="20" t="s">
        <v>169</v>
      </c>
    </row>
    <row r="5" spans="1:102" x14ac:dyDescent="0.25">
      <c r="A5" s="22" t="s">
        <v>2</v>
      </c>
      <c r="B5" s="22" t="s">
        <v>111</v>
      </c>
      <c r="C5" s="22" t="s">
        <v>56</v>
      </c>
      <c r="D5" s="6">
        <v>42865</v>
      </c>
      <c r="E5" s="18">
        <v>0.42708333333333331</v>
      </c>
      <c r="F5" s="19">
        <v>0.22</v>
      </c>
      <c r="G5" s="20" t="s">
        <v>169</v>
      </c>
      <c r="H5" s="20" t="s">
        <v>169</v>
      </c>
      <c r="I5" s="20" t="s">
        <v>169</v>
      </c>
      <c r="J5" s="20" t="s">
        <v>169</v>
      </c>
      <c r="K5" s="20" t="s">
        <v>169</v>
      </c>
      <c r="L5" s="20" t="s">
        <v>169</v>
      </c>
      <c r="M5" s="20" t="s">
        <v>169</v>
      </c>
      <c r="N5" s="20" t="s">
        <v>169</v>
      </c>
      <c r="O5" s="20" t="s">
        <v>169</v>
      </c>
      <c r="P5" s="20" t="s">
        <v>169</v>
      </c>
      <c r="Q5" s="20" t="s">
        <v>169</v>
      </c>
      <c r="R5" s="20" t="s">
        <v>169</v>
      </c>
      <c r="S5" s="20" t="s">
        <v>169</v>
      </c>
      <c r="T5" s="20" t="s">
        <v>169</v>
      </c>
      <c r="U5" s="20" t="s">
        <v>169</v>
      </c>
      <c r="V5" s="20" t="s">
        <v>169</v>
      </c>
      <c r="W5" s="20" t="s">
        <v>169</v>
      </c>
      <c r="X5" s="20" t="s">
        <v>169</v>
      </c>
      <c r="Y5" s="20" t="s">
        <v>169</v>
      </c>
      <c r="Z5" s="20" t="s">
        <v>169</v>
      </c>
      <c r="AA5" s="20" t="s">
        <v>169</v>
      </c>
      <c r="AB5" s="20" t="s">
        <v>169</v>
      </c>
      <c r="AC5" s="20" t="s">
        <v>169</v>
      </c>
      <c r="AD5" s="20" t="s">
        <v>169</v>
      </c>
      <c r="AE5" s="20" t="s">
        <v>169</v>
      </c>
      <c r="AF5" s="20" t="s">
        <v>169</v>
      </c>
      <c r="AG5" s="20" t="s">
        <v>169</v>
      </c>
      <c r="AH5" s="20" t="s">
        <v>169</v>
      </c>
      <c r="AI5" s="20" t="s">
        <v>169</v>
      </c>
      <c r="AJ5" s="20" t="s">
        <v>169</v>
      </c>
      <c r="AK5" s="20" t="s">
        <v>169</v>
      </c>
      <c r="AL5" s="20" t="s">
        <v>169</v>
      </c>
      <c r="AM5" s="20" t="s">
        <v>169</v>
      </c>
      <c r="AN5" s="20" t="s">
        <v>169</v>
      </c>
      <c r="AO5" s="20" t="s">
        <v>169</v>
      </c>
      <c r="AP5" s="20" t="s">
        <v>169</v>
      </c>
      <c r="AQ5" s="20" t="s">
        <v>169</v>
      </c>
      <c r="AR5" s="20" t="s">
        <v>169</v>
      </c>
      <c r="AS5" s="20" t="s">
        <v>169</v>
      </c>
      <c r="AT5" s="20" t="s">
        <v>169</v>
      </c>
      <c r="AU5" s="20" t="s">
        <v>169</v>
      </c>
      <c r="AV5" s="20" t="s">
        <v>169</v>
      </c>
      <c r="AW5" s="20" t="s">
        <v>169</v>
      </c>
      <c r="AX5" s="20" t="s">
        <v>169</v>
      </c>
      <c r="AY5" s="20" t="s">
        <v>169</v>
      </c>
      <c r="AZ5" s="20" t="s">
        <v>169</v>
      </c>
      <c r="BA5" s="20" t="s">
        <v>169</v>
      </c>
      <c r="BB5" s="20" t="s">
        <v>169</v>
      </c>
      <c r="BC5" s="20" t="s">
        <v>169</v>
      </c>
      <c r="BD5" s="20" t="s">
        <v>169</v>
      </c>
      <c r="BE5" s="20" t="s">
        <v>169</v>
      </c>
      <c r="BF5" s="20" t="s">
        <v>169</v>
      </c>
      <c r="BG5" s="20" t="s">
        <v>169</v>
      </c>
      <c r="BH5" s="20" t="s">
        <v>169</v>
      </c>
      <c r="BI5" s="20" t="s">
        <v>169</v>
      </c>
      <c r="BJ5" s="20" t="s">
        <v>169</v>
      </c>
      <c r="BK5" s="20" t="s">
        <v>169</v>
      </c>
      <c r="BL5" s="20" t="s">
        <v>169</v>
      </c>
      <c r="BM5" s="20" t="s">
        <v>169</v>
      </c>
      <c r="BN5" s="20" t="s">
        <v>169</v>
      </c>
      <c r="BO5" s="20" t="s">
        <v>169</v>
      </c>
      <c r="BP5" s="20" t="s">
        <v>169</v>
      </c>
      <c r="BQ5" s="20" t="s">
        <v>169</v>
      </c>
      <c r="BR5" s="20" t="s">
        <v>169</v>
      </c>
      <c r="BS5" s="20" t="s">
        <v>169</v>
      </c>
      <c r="BT5" s="20" t="s">
        <v>169</v>
      </c>
      <c r="BU5" s="20" t="s">
        <v>169</v>
      </c>
      <c r="BV5" s="20" t="s">
        <v>169</v>
      </c>
      <c r="BW5" s="20" t="s">
        <v>169</v>
      </c>
      <c r="BX5" s="20" t="s">
        <v>169</v>
      </c>
      <c r="BY5" s="20" t="s">
        <v>169</v>
      </c>
      <c r="BZ5" s="20" t="s">
        <v>169</v>
      </c>
      <c r="CA5" s="20" t="s">
        <v>169</v>
      </c>
      <c r="CB5" s="20" t="s">
        <v>169</v>
      </c>
      <c r="CC5" s="20" t="s">
        <v>169</v>
      </c>
      <c r="CD5" s="20" t="s">
        <v>169</v>
      </c>
      <c r="CE5" s="20" t="s">
        <v>169</v>
      </c>
      <c r="CF5" s="20" t="s">
        <v>169</v>
      </c>
      <c r="CG5" s="20" t="s">
        <v>169</v>
      </c>
      <c r="CH5" s="20" t="s">
        <v>169</v>
      </c>
      <c r="CI5" s="20" t="s">
        <v>169</v>
      </c>
      <c r="CJ5" s="20" t="s">
        <v>169</v>
      </c>
      <c r="CK5" s="20" t="s">
        <v>169</v>
      </c>
      <c r="CL5" s="20" t="s">
        <v>169</v>
      </c>
      <c r="CM5" s="20" t="s">
        <v>169</v>
      </c>
      <c r="CN5" s="20" t="s">
        <v>169</v>
      </c>
      <c r="CO5" s="20" t="s">
        <v>169</v>
      </c>
      <c r="CP5" s="20" t="s">
        <v>169</v>
      </c>
      <c r="CQ5" s="20" t="s">
        <v>169</v>
      </c>
      <c r="CR5" s="20" t="s">
        <v>169</v>
      </c>
      <c r="CS5" s="20" t="s">
        <v>169</v>
      </c>
      <c r="CT5" s="20" t="s">
        <v>169</v>
      </c>
      <c r="CU5" s="20" t="s">
        <v>169</v>
      </c>
      <c r="CV5" s="20" t="s">
        <v>169</v>
      </c>
      <c r="CW5" s="20" t="s">
        <v>169</v>
      </c>
      <c r="CX5" s="20" t="s">
        <v>169</v>
      </c>
    </row>
    <row r="6" spans="1:102" x14ac:dyDescent="0.25">
      <c r="A6" s="22" t="s">
        <v>3</v>
      </c>
      <c r="B6" s="22" t="s">
        <v>112</v>
      </c>
      <c r="C6" s="22" t="s">
        <v>57</v>
      </c>
      <c r="D6" s="6">
        <v>42863</v>
      </c>
      <c r="E6" s="18">
        <v>0.39583333333333331</v>
      </c>
      <c r="F6" s="19">
        <v>0.03</v>
      </c>
      <c r="G6" s="20" t="s">
        <v>169</v>
      </c>
      <c r="H6" s="20" t="s">
        <v>169</v>
      </c>
      <c r="I6" s="20" t="s">
        <v>169</v>
      </c>
      <c r="J6" s="20" t="s">
        <v>169</v>
      </c>
      <c r="K6" s="20" t="s">
        <v>169</v>
      </c>
      <c r="L6" s="20" t="s">
        <v>169</v>
      </c>
      <c r="M6" s="20" t="s">
        <v>169</v>
      </c>
      <c r="N6" s="20" t="s">
        <v>169</v>
      </c>
      <c r="O6" s="20" t="s">
        <v>169</v>
      </c>
      <c r="P6" s="20" t="s">
        <v>169</v>
      </c>
      <c r="Q6" s="20" t="s">
        <v>169</v>
      </c>
      <c r="R6" s="20" t="s">
        <v>169</v>
      </c>
      <c r="S6" s="20" t="s">
        <v>169</v>
      </c>
      <c r="T6" s="20" t="s">
        <v>169</v>
      </c>
      <c r="U6" s="20" t="s">
        <v>169</v>
      </c>
      <c r="V6" s="20" t="s">
        <v>169</v>
      </c>
      <c r="W6" s="20" t="s">
        <v>169</v>
      </c>
      <c r="X6" s="20" t="s">
        <v>169</v>
      </c>
      <c r="Y6" s="20" t="s">
        <v>169</v>
      </c>
      <c r="Z6" s="20" t="s">
        <v>169</v>
      </c>
      <c r="AA6" s="20" t="s">
        <v>169</v>
      </c>
      <c r="AB6" s="20" t="s">
        <v>169</v>
      </c>
      <c r="AC6" s="20" t="s">
        <v>169</v>
      </c>
      <c r="AD6" s="20" t="s">
        <v>169</v>
      </c>
      <c r="AE6" s="20" t="s">
        <v>169</v>
      </c>
      <c r="AF6" s="20" t="s">
        <v>169</v>
      </c>
      <c r="AG6" s="20" t="s">
        <v>169</v>
      </c>
      <c r="AH6" s="20" t="s">
        <v>169</v>
      </c>
      <c r="AI6" s="20" t="s">
        <v>169</v>
      </c>
      <c r="AJ6" s="20" t="s">
        <v>169</v>
      </c>
      <c r="AK6" s="20" t="s">
        <v>169</v>
      </c>
      <c r="AL6" s="20" t="s">
        <v>169</v>
      </c>
      <c r="AM6" s="20" t="s">
        <v>169</v>
      </c>
      <c r="AN6" s="20" t="s">
        <v>169</v>
      </c>
      <c r="AO6" s="20" t="s">
        <v>169</v>
      </c>
      <c r="AP6" s="20" t="s">
        <v>169</v>
      </c>
      <c r="AQ6" s="20" t="s">
        <v>169</v>
      </c>
      <c r="AR6" s="20" t="s">
        <v>169</v>
      </c>
      <c r="AS6" s="20" t="s">
        <v>169</v>
      </c>
      <c r="AT6" s="20" t="s">
        <v>169</v>
      </c>
      <c r="AU6" s="20" t="s">
        <v>169</v>
      </c>
      <c r="AV6" s="20" t="s">
        <v>169</v>
      </c>
      <c r="AW6" s="20" t="s">
        <v>169</v>
      </c>
      <c r="AX6" s="20" t="s">
        <v>169</v>
      </c>
      <c r="AY6" s="20" t="s">
        <v>169</v>
      </c>
      <c r="AZ6" s="20" t="s">
        <v>169</v>
      </c>
      <c r="BA6" s="20" t="s">
        <v>169</v>
      </c>
      <c r="BB6" s="20" t="s">
        <v>169</v>
      </c>
      <c r="BC6" s="20" t="s">
        <v>169</v>
      </c>
      <c r="BD6" s="20" t="s">
        <v>169</v>
      </c>
      <c r="BE6" s="20" t="s">
        <v>169</v>
      </c>
      <c r="BF6" s="20" t="s">
        <v>169</v>
      </c>
      <c r="BG6" s="20" t="s">
        <v>169</v>
      </c>
      <c r="BH6" s="20" t="s">
        <v>169</v>
      </c>
      <c r="BI6" s="20" t="s">
        <v>169</v>
      </c>
      <c r="BJ6" s="20" t="s">
        <v>169</v>
      </c>
      <c r="BK6" s="20" t="s">
        <v>169</v>
      </c>
      <c r="BL6" s="20" t="s">
        <v>169</v>
      </c>
      <c r="BM6" s="20" t="s">
        <v>169</v>
      </c>
      <c r="BN6" s="20" t="s">
        <v>169</v>
      </c>
      <c r="BO6" s="20" t="s">
        <v>169</v>
      </c>
      <c r="BP6" s="20" t="s">
        <v>169</v>
      </c>
      <c r="BQ6" s="20" t="s">
        <v>169</v>
      </c>
      <c r="BR6" s="20" t="s">
        <v>169</v>
      </c>
      <c r="BS6" s="20" t="s">
        <v>169</v>
      </c>
      <c r="BT6" s="20" t="s">
        <v>169</v>
      </c>
      <c r="BU6" s="20" t="s">
        <v>169</v>
      </c>
      <c r="BV6" s="20" t="s">
        <v>169</v>
      </c>
      <c r="BW6" s="20" t="s">
        <v>169</v>
      </c>
      <c r="BX6" s="20" t="s">
        <v>169</v>
      </c>
      <c r="BY6" s="20" t="s">
        <v>169</v>
      </c>
      <c r="BZ6" s="20" t="s">
        <v>169</v>
      </c>
      <c r="CA6" s="20" t="s">
        <v>169</v>
      </c>
      <c r="CB6" s="20" t="s">
        <v>169</v>
      </c>
      <c r="CC6" s="20" t="s">
        <v>169</v>
      </c>
      <c r="CD6" s="20" t="s">
        <v>169</v>
      </c>
      <c r="CE6" s="20" t="s">
        <v>169</v>
      </c>
      <c r="CF6" s="20" t="s">
        <v>169</v>
      </c>
      <c r="CG6" s="20" t="s">
        <v>169</v>
      </c>
      <c r="CH6" s="20" t="s">
        <v>169</v>
      </c>
      <c r="CI6" s="20" t="s">
        <v>169</v>
      </c>
      <c r="CJ6" s="20" t="s">
        <v>169</v>
      </c>
      <c r="CK6" s="20" t="s">
        <v>169</v>
      </c>
      <c r="CL6" s="20" t="s">
        <v>169</v>
      </c>
      <c r="CM6" s="20" t="s">
        <v>169</v>
      </c>
      <c r="CN6" s="20" t="s">
        <v>169</v>
      </c>
      <c r="CO6" s="20" t="s">
        <v>169</v>
      </c>
      <c r="CP6" s="20" t="s">
        <v>169</v>
      </c>
      <c r="CQ6" s="20" t="s">
        <v>169</v>
      </c>
      <c r="CR6" s="20" t="s">
        <v>169</v>
      </c>
      <c r="CS6" s="20" t="s">
        <v>169</v>
      </c>
      <c r="CT6" s="20" t="s">
        <v>169</v>
      </c>
      <c r="CU6" s="20" t="s">
        <v>169</v>
      </c>
      <c r="CV6" s="20" t="s">
        <v>169</v>
      </c>
      <c r="CW6" s="20" t="s">
        <v>169</v>
      </c>
      <c r="CX6" s="20" t="s">
        <v>169</v>
      </c>
    </row>
    <row r="7" spans="1:102" x14ac:dyDescent="0.25">
      <c r="A7" s="22" t="s">
        <v>4</v>
      </c>
      <c r="B7" s="22" t="s">
        <v>113</v>
      </c>
      <c r="C7" s="22" t="s">
        <v>58</v>
      </c>
      <c r="D7" s="6">
        <v>42861</v>
      </c>
      <c r="E7" s="18">
        <v>0.3888888888888889</v>
      </c>
      <c r="F7" s="19">
        <v>0.01</v>
      </c>
      <c r="G7" s="20" t="s">
        <v>169</v>
      </c>
      <c r="H7" s="20" t="s">
        <v>169</v>
      </c>
      <c r="I7" s="20" t="s">
        <v>169</v>
      </c>
      <c r="J7" s="20" t="s">
        <v>169</v>
      </c>
      <c r="K7" s="20" t="s">
        <v>169</v>
      </c>
      <c r="L7" s="20" t="s">
        <v>169</v>
      </c>
      <c r="M7" s="20" t="s">
        <v>169</v>
      </c>
      <c r="N7" s="20" t="s">
        <v>169</v>
      </c>
      <c r="O7" s="20" t="s">
        <v>169</v>
      </c>
      <c r="P7" s="20" t="s">
        <v>169</v>
      </c>
      <c r="Q7" s="20" t="s">
        <v>169</v>
      </c>
      <c r="R7" s="20" t="s">
        <v>169</v>
      </c>
      <c r="S7" s="20" t="s">
        <v>169</v>
      </c>
      <c r="T7" s="20" t="s">
        <v>169</v>
      </c>
      <c r="U7" s="20" t="s">
        <v>169</v>
      </c>
      <c r="V7" s="20" t="s">
        <v>169</v>
      </c>
      <c r="W7" s="20" t="s">
        <v>169</v>
      </c>
      <c r="X7" s="20" t="s">
        <v>169</v>
      </c>
      <c r="Y7" s="20" t="s">
        <v>169</v>
      </c>
      <c r="Z7" s="20" t="s">
        <v>169</v>
      </c>
      <c r="AA7" s="20" t="s">
        <v>169</v>
      </c>
      <c r="AB7" s="20" t="s">
        <v>169</v>
      </c>
      <c r="AC7" s="20" t="s">
        <v>169</v>
      </c>
      <c r="AD7" s="20" t="s">
        <v>169</v>
      </c>
      <c r="AE7" s="20" t="s">
        <v>169</v>
      </c>
      <c r="AF7" s="20" t="s">
        <v>169</v>
      </c>
      <c r="AG7" s="20" t="s">
        <v>169</v>
      </c>
      <c r="AH7" s="20" t="s">
        <v>169</v>
      </c>
      <c r="AI7" s="20" t="s">
        <v>169</v>
      </c>
      <c r="AJ7" s="20" t="s">
        <v>169</v>
      </c>
      <c r="AK7" s="20" t="s">
        <v>169</v>
      </c>
      <c r="AL7" s="20" t="s">
        <v>169</v>
      </c>
      <c r="AM7" s="20" t="s">
        <v>169</v>
      </c>
      <c r="AN7" s="20" t="s">
        <v>169</v>
      </c>
      <c r="AO7" s="20" t="s">
        <v>169</v>
      </c>
      <c r="AP7" s="20" t="s">
        <v>169</v>
      </c>
      <c r="AQ7" s="20" t="s">
        <v>169</v>
      </c>
      <c r="AR7" s="20" t="s">
        <v>169</v>
      </c>
      <c r="AS7" s="20" t="s">
        <v>169</v>
      </c>
      <c r="AT7" s="20" t="s">
        <v>169</v>
      </c>
      <c r="AU7" s="20" t="s">
        <v>169</v>
      </c>
      <c r="AV7" s="20" t="s">
        <v>169</v>
      </c>
      <c r="AW7" s="20" t="s">
        <v>169</v>
      </c>
      <c r="AX7" s="20" t="s">
        <v>169</v>
      </c>
      <c r="AY7" s="20" t="s">
        <v>169</v>
      </c>
      <c r="AZ7" s="20" t="s">
        <v>169</v>
      </c>
      <c r="BA7" s="20" t="s">
        <v>169</v>
      </c>
      <c r="BB7" s="20" t="s">
        <v>169</v>
      </c>
      <c r="BC7" s="20" t="s">
        <v>169</v>
      </c>
      <c r="BD7" s="20" t="s">
        <v>169</v>
      </c>
      <c r="BE7" s="20" t="s">
        <v>169</v>
      </c>
      <c r="BF7" s="20" t="s">
        <v>169</v>
      </c>
      <c r="BG7" s="20" t="s">
        <v>169</v>
      </c>
      <c r="BH7" s="20" t="s">
        <v>169</v>
      </c>
      <c r="BI7" s="20" t="s">
        <v>169</v>
      </c>
      <c r="BJ7" s="20" t="s">
        <v>169</v>
      </c>
      <c r="BK7" s="20" t="s">
        <v>169</v>
      </c>
      <c r="BL7" s="20" t="s">
        <v>169</v>
      </c>
      <c r="BM7" s="20" t="s">
        <v>169</v>
      </c>
      <c r="BN7" s="20" t="s">
        <v>169</v>
      </c>
      <c r="BO7" s="20" t="s">
        <v>169</v>
      </c>
      <c r="BP7" s="20" t="s">
        <v>169</v>
      </c>
      <c r="BQ7" s="20" t="s">
        <v>169</v>
      </c>
      <c r="BR7" s="20" t="s">
        <v>169</v>
      </c>
      <c r="BS7" s="20" t="s">
        <v>169</v>
      </c>
      <c r="BT7" s="20" t="s">
        <v>169</v>
      </c>
      <c r="BU7" s="20" t="s">
        <v>169</v>
      </c>
      <c r="BV7" s="20" t="s">
        <v>169</v>
      </c>
      <c r="BW7" s="20" t="s">
        <v>169</v>
      </c>
      <c r="BX7" s="20" t="s">
        <v>169</v>
      </c>
      <c r="BY7" s="20" t="s">
        <v>169</v>
      </c>
      <c r="BZ7" s="20" t="s">
        <v>169</v>
      </c>
      <c r="CA7" s="20" t="s">
        <v>169</v>
      </c>
      <c r="CB7" s="20" t="s">
        <v>169</v>
      </c>
      <c r="CC7" s="20" t="s">
        <v>169</v>
      </c>
      <c r="CD7" s="20" t="s">
        <v>169</v>
      </c>
      <c r="CE7" s="20" t="s">
        <v>169</v>
      </c>
      <c r="CF7" s="20" t="s">
        <v>169</v>
      </c>
      <c r="CG7" s="20" t="s">
        <v>169</v>
      </c>
      <c r="CH7" s="20" t="s">
        <v>169</v>
      </c>
      <c r="CI7" s="20" t="s">
        <v>169</v>
      </c>
      <c r="CJ7" s="20" t="s">
        <v>169</v>
      </c>
      <c r="CK7" s="20" t="s">
        <v>169</v>
      </c>
      <c r="CL7" s="20" t="s">
        <v>169</v>
      </c>
      <c r="CM7" s="20" t="s">
        <v>169</v>
      </c>
      <c r="CN7" s="20" t="s">
        <v>169</v>
      </c>
      <c r="CO7" s="20" t="s">
        <v>169</v>
      </c>
      <c r="CP7" s="20" t="s">
        <v>169</v>
      </c>
      <c r="CQ7" s="20" t="s">
        <v>169</v>
      </c>
      <c r="CR7" s="20" t="s">
        <v>169</v>
      </c>
      <c r="CS7" s="20" t="s">
        <v>169</v>
      </c>
      <c r="CT7" s="20" t="s">
        <v>169</v>
      </c>
      <c r="CU7" s="20" t="s">
        <v>169</v>
      </c>
      <c r="CV7" s="20" t="s">
        <v>169</v>
      </c>
      <c r="CW7" s="20" t="s">
        <v>169</v>
      </c>
      <c r="CX7" s="20" t="s">
        <v>169</v>
      </c>
    </row>
    <row r="8" spans="1:102" x14ac:dyDescent="0.25">
      <c r="A8" s="22" t="s">
        <v>5</v>
      </c>
      <c r="B8" s="22" t="s">
        <v>114</v>
      </c>
      <c r="C8" s="22" t="s">
        <v>59</v>
      </c>
      <c r="D8" s="6">
        <v>42859</v>
      </c>
      <c r="E8" s="18">
        <v>0.5625</v>
      </c>
      <c r="F8" s="19">
        <v>5.34</v>
      </c>
      <c r="G8" s="20" t="s">
        <v>169</v>
      </c>
      <c r="H8" s="20" t="s">
        <v>169</v>
      </c>
      <c r="I8" s="20" t="s">
        <v>169</v>
      </c>
      <c r="J8" s="20" t="s">
        <v>169</v>
      </c>
      <c r="K8" s="20" t="s">
        <v>169</v>
      </c>
      <c r="L8" s="20" t="s">
        <v>169</v>
      </c>
      <c r="M8" s="20" t="s">
        <v>169</v>
      </c>
      <c r="N8" s="20" t="s">
        <v>169</v>
      </c>
      <c r="O8" s="20">
        <v>15.26312334287352</v>
      </c>
      <c r="P8" s="20">
        <v>34.20601630790506</v>
      </c>
      <c r="Q8" s="20" t="s">
        <v>169</v>
      </c>
      <c r="R8" s="20" t="s">
        <v>169</v>
      </c>
      <c r="S8" s="20" t="s">
        <v>169</v>
      </c>
      <c r="T8" s="20" t="s">
        <v>169</v>
      </c>
      <c r="U8" s="20" t="s">
        <v>169</v>
      </c>
      <c r="V8" s="20">
        <v>1.3565899424102472</v>
      </c>
      <c r="W8" s="20" t="s">
        <v>169</v>
      </c>
      <c r="X8" s="20" t="s">
        <v>169</v>
      </c>
      <c r="Y8" s="20">
        <v>18.85767790262172</v>
      </c>
      <c r="Z8" s="20" t="s">
        <v>169</v>
      </c>
      <c r="AA8" s="20">
        <v>25.29722397523603</v>
      </c>
      <c r="AB8" s="20" t="s">
        <v>169</v>
      </c>
      <c r="AC8" s="20">
        <v>66.729312304710859</v>
      </c>
      <c r="AD8" s="20" t="s">
        <v>169</v>
      </c>
      <c r="AE8" s="20">
        <v>27.165714641651537</v>
      </c>
      <c r="AF8" s="20" t="s">
        <v>169</v>
      </c>
      <c r="AG8" s="20" t="s">
        <v>169</v>
      </c>
      <c r="AH8" s="20" t="s">
        <v>169</v>
      </c>
      <c r="AI8" s="20" t="s">
        <v>169</v>
      </c>
      <c r="AJ8" s="20">
        <v>4.4305839646066296</v>
      </c>
      <c r="AK8" s="20" t="s">
        <v>169</v>
      </c>
      <c r="AL8" s="20" t="s">
        <v>169</v>
      </c>
      <c r="AM8" s="20">
        <v>19.101238312576402</v>
      </c>
      <c r="AN8" s="20" t="s">
        <v>169</v>
      </c>
      <c r="AO8" s="20" t="s">
        <v>169</v>
      </c>
      <c r="AP8" s="20" t="s">
        <v>169</v>
      </c>
      <c r="AQ8" s="20" t="s">
        <v>169</v>
      </c>
      <c r="AR8" s="20" t="s">
        <v>169</v>
      </c>
      <c r="AS8" s="20" t="s">
        <v>169</v>
      </c>
      <c r="AT8" s="20" t="s">
        <v>169</v>
      </c>
      <c r="AU8" s="20">
        <v>13.501053401492809</v>
      </c>
      <c r="AV8" s="20" t="s">
        <v>169</v>
      </c>
      <c r="AW8" s="20" t="s">
        <v>169</v>
      </c>
      <c r="AX8" s="20" t="s">
        <v>169</v>
      </c>
      <c r="AY8" s="20" t="s">
        <v>169</v>
      </c>
      <c r="AZ8" s="20" t="s">
        <v>169</v>
      </c>
      <c r="BA8" s="20" t="s">
        <v>169</v>
      </c>
      <c r="BB8" s="20" t="s">
        <v>169</v>
      </c>
      <c r="BC8" s="20" t="s">
        <v>169</v>
      </c>
      <c r="BD8" s="20">
        <v>3.4412565182896517</v>
      </c>
      <c r="BE8" s="20" t="s">
        <v>169</v>
      </c>
      <c r="BF8" s="20" t="s">
        <v>169</v>
      </c>
      <c r="BG8" s="20" t="s">
        <v>169</v>
      </c>
      <c r="BH8" s="20" t="s">
        <v>169</v>
      </c>
      <c r="BI8" s="20" t="s">
        <v>169</v>
      </c>
      <c r="BJ8" s="20">
        <v>2.4387026846029136</v>
      </c>
      <c r="BK8" s="20" t="s">
        <v>169</v>
      </c>
      <c r="BL8" s="20">
        <v>10.328815197581759</v>
      </c>
      <c r="BM8" s="20">
        <v>1.8360803952262286</v>
      </c>
      <c r="BN8" s="20">
        <v>33.450387103795507</v>
      </c>
      <c r="BO8" s="20">
        <v>35.679867529815844</v>
      </c>
      <c r="BP8" s="20">
        <v>95.484105398748312</v>
      </c>
      <c r="BQ8" s="20">
        <v>25.792372573751457</v>
      </c>
      <c r="BR8" s="20" t="s">
        <v>169</v>
      </c>
      <c r="BS8" s="20" t="s">
        <v>169</v>
      </c>
      <c r="BT8" s="20" t="s">
        <v>169</v>
      </c>
      <c r="BU8" s="20">
        <v>9.9031248138784278</v>
      </c>
      <c r="BV8" s="20">
        <v>19.00374531835206</v>
      </c>
      <c r="BW8" s="20" t="s">
        <v>169</v>
      </c>
      <c r="BX8" s="20" t="s">
        <v>169</v>
      </c>
      <c r="BY8" s="20" t="s">
        <v>169</v>
      </c>
      <c r="BZ8" s="20" t="s">
        <v>169</v>
      </c>
      <c r="CA8" s="20" t="s">
        <v>169</v>
      </c>
      <c r="CB8" s="20" t="s">
        <v>169</v>
      </c>
      <c r="CC8" s="20" t="s">
        <v>169</v>
      </c>
      <c r="CD8" s="20" t="s">
        <v>169</v>
      </c>
      <c r="CE8" s="20" t="s">
        <v>169</v>
      </c>
      <c r="CF8" s="20">
        <v>5.7942711507020599</v>
      </c>
      <c r="CG8" s="20" t="s">
        <v>169</v>
      </c>
      <c r="CH8" s="20" t="s">
        <v>169</v>
      </c>
      <c r="CI8" s="20" t="s">
        <v>169</v>
      </c>
      <c r="CJ8" s="20">
        <v>8.058963042964832</v>
      </c>
      <c r="CK8" s="20" t="s">
        <v>169</v>
      </c>
      <c r="CL8" s="20" t="s">
        <v>169</v>
      </c>
      <c r="CM8" s="20" t="s">
        <v>169</v>
      </c>
      <c r="CN8" s="20" t="s">
        <v>169</v>
      </c>
      <c r="CO8" s="20" t="s">
        <v>169</v>
      </c>
      <c r="CP8" s="20" t="s">
        <v>169</v>
      </c>
      <c r="CQ8" s="20" t="s">
        <v>169</v>
      </c>
      <c r="CR8" s="20" t="s">
        <v>169</v>
      </c>
      <c r="CS8" s="20" t="s">
        <v>169</v>
      </c>
      <c r="CT8" s="20" t="s">
        <v>169</v>
      </c>
      <c r="CU8" s="20" t="s">
        <v>169</v>
      </c>
      <c r="CV8" s="20" t="s">
        <v>169</v>
      </c>
      <c r="CW8" s="20" t="s">
        <v>169</v>
      </c>
      <c r="CX8" s="20" t="s">
        <v>169</v>
      </c>
    </row>
    <row r="9" spans="1:102" x14ac:dyDescent="0.25">
      <c r="A9" s="22" t="s">
        <v>6</v>
      </c>
      <c r="B9" s="22" t="s">
        <v>115</v>
      </c>
      <c r="C9" s="22" t="s">
        <v>60</v>
      </c>
      <c r="D9" s="6">
        <v>42862</v>
      </c>
      <c r="E9" s="18">
        <v>0.60416666666666663</v>
      </c>
      <c r="F9" s="19">
        <v>0.28000000000000003</v>
      </c>
      <c r="G9" s="20" t="s">
        <v>169</v>
      </c>
      <c r="H9" s="20" t="s">
        <v>169</v>
      </c>
      <c r="I9" s="20" t="s">
        <v>169</v>
      </c>
      <c r="J9" s="20" t="s">
        <v>169</v>
      </c>
      <c r="K9" s="20" t="s">
        <v>169</v>
      </c>
      <c r="L9" s="20" t="s">
        <v>169</v>
      </c>
      <c r="M9" s="20" t="s">
        <v>169</v>
      </c>
      <c r="N9" s="20" t="s">
        <v>169</v>
      </c>
      <c r="O9" s="20">
        <v>10.786420015023928</v>
      </c>
      <c r="P9" s="20" t="s">
        <v>169</v>
      </c>
      <c r="Q9" s="20" t="s">
        <v>169</v>
      </c>
      <c r="R9" s="20" t="s">
        <v>169</v>
      </c>
      <c r="S9" s="20" t="s">
        <v>169</v>
      </c>
      <c r="T9" s="20" t="s">
        <v>169</v>
      </c>
      <c r="U9" s="20" t="s">
        <v>169</v>
      </c>
      <c r="V9" s="20" t="s">
        <v>169</v>
      </c>
      <c r="W9" s="20" t="s">
        <v>169</v>
      </c>
      <c r="X9" s="20" t="s">
        <v>169</v>
      </c>
      <c r="Y9" s="20" t="s">
        <v>169</v>
      </c>
      <c r="Z9" s="20" t="s">
        <v>169</v>
      </c>
      <c r="AA9" s="20" t="s">
        <v>169</v>
      </c>
      <c r="AB9" s="20" t="s">
        <v>169</v>
      </c>
      <c r="AC9" s="20" t="s">
        <v>169</v>
      </c>
      <c r="AD9" s="20" t="s">
        <v>169</v>
      </c>
      <c r="AE9" s="20" t="s">
        <v>169</v>
      </c>
      <c r="AF9" s="20" t="s">
        <v>169</v>
      </c>
      <c r="AG9" s="20" t="s">
        <v>169</v>
      </c>
      <c r="AH9" s="20" t="s">
        <v>169</v>
      </c>
      <c r="AI9" s="20" t="s">
        <v>169</v>
      </c>
      <c r="AJ9" s="20" t="s">
        <v>169</v>
      </c>
      <c r="AK9" s="20" t="s">
        <v>169</v>
      </c>
      <c r="AL9" s="20" t="s">
        <v>169</v>
      </c>
      <c r="AM9" s="20" t="s">
        <v>169</v>
      </c>
      <c r="AN9" s="20" t="s">
        <v>169</v>
      </c>
      <c r="AO9" s="20" t="s">
        <v>169</v>
      </c>
      <c r="AP9" s="20" t="s">
        <v>169</v>
      </c>
      <c r="AQ9" s="20" t="s">
        <v>169</v>
      </c>
      <c r="AR9" s="20" t="s">
        <v>169</v>
      </c>
      <c r="AS9" s="20" t="s">
        <v>169</v>
      </c>
      <c r="AT9" s="20" t="s">
        <v>169</v>
      </c>
      <c r="AU9" s="20" t="s">
        <v>169</v>
      </c>
      <c r="AV9" s="20" t="s">
        <v>169</v>
      </c>
      <c r="AW9" s="20" t="s">
        <v>169</v>
      </c>
      <c r="AX9" s="20" t="s">
        <v>169</v>
      </c>
      <c r="AY9" s="20" t="s">
        <v>169</v>
      </c>
      <c r="AZ9" s="20" t="s">
        <v>169</v>
      </c>
      <c r="BA9" s="20" t="s">
        <v>169</v>
      </c>
      <c r="BB9" s="20" t="s">
        <v>169</v>
      </c>
      <c r="BC9" s="20" t="s">
        <v>169</v>
      </c>
      <c r="BD9" s="20" t="s">
        <v>169</v>
      </c>
      <c r="BE9" s="20" t="s">
        <v>169</v>
      </c>
      <c r="BF9" s="20" t="s">
        <v>169</v>
      </c>
      <c r="BG9" s="20" t="s">
        <v>169</v>
      </c>
      <c r="BH9" s="20" t="s">
        <v>169</v>
      </c>
      <c r="BI9" s="20" t="s">
        <v>169</v>
      </c>
      <c r="BJ9" s="20" t="s">
        <v>169</v>
      </c>
      <c r="BK9" s="20" t="s">
        <v>169</v>
      </c>
      <c r="BL9" s="20" t="s">
        <v>169</v>
      </c>
      <c r="BM9" s="20" t="s">
        <v>169</v>
      </c>
      <c r="BN9" s="20" t="s">
        <v>169</v>
      </c>
      <c r="BO9" s="20">
        <v>17.126184708625786</v>
      </c>
      <c r="BP9" s="20">
        <v>17.343607752797496</v>
      </c>
      <c r="BQ9" s="20">
        <v>46.142746244426135</v>
      </c>
      <c r="BR9" s="20" t="s">
        <v>169</v>
      </c>
      <c r="BS9" s="20" t="s">
        <v>169</v>
      </c>
      <c r="BT9" s="20" t="s">
        <v>169</v>
      </c>
      <c r="BU9" s="20">
        <v>17.303822302479425</v>
      </c>
      <c r="BV9" s="20" t="s">
        <v>169</v>
      </c>
      <c r="BW9" s="20" t="s">
        <v>169</v>
      </c>
      <c r="BX9" s="20" t="s">
        <v>169</v>
      </c>
      <c r="BY9" s="20" t="s">
        <v>169</v>
      </c>
      <c r="BZ9" s="20" t="s">
        <v>169</v>
      </c>
      <c r="CA9" s="20" t="s">
        <v>169</v>
      </c>
      <c r="CB9" s="20" t="s">
        <v>169</v>
      </c>
      <c r="CC9" s="20" t="s">
        <v>169</v>
      </c>
      <c r="CD9" s="20" t="s">
        <v>169</v>
      </c>
      <c r="CE9" s="20" t="s">
        <v>169</v>
      </c>
      <c r="CF9" s="20" t="s">
        <v>169</v>
      </c>
      <c r="CG9" s="20" t="s">
        <v>169</v>
      </c>
      <c r="CH9" s="20" t="s">
        <v>169</v>
      </c>
      <c r="CI9" s="20" t="s">
        <v>169</v>
      </c>
      <c r="CJ9" s="20" t="s">
        <v>169</v>
      </c>
      <c r="CK9" s="20" t="s">
        <v>169</v>
      </c>
      <c r="CL9" s="20" t="s">
        <v>169</v>
      </c>
      <c r="CM9" s="20" t="s">
        <v>169</v>
      </c>
      <c r="CN9" s="20" t="s">
        <v>169</v>
      </c>
      <c r="CO9" s="20" t="s">
        <v>169</v>
      </c>
      <c r="CP9" s="20" t="s">
        <v>169</v>
      </c>
      <c r="CQ9" s="20" t="s">
        <v>169</v>
      </c>
      <c r="CR9" s="20" t="s">
        <v>169</v>
      </c>
      <c r="CS9" s="20" t="s">
        <v>169</v>
      </c>
      <c r="CT9" s="20" t="s">
        <v>169</v>
      </c>
      <c r="CU9" s="20" t="s">
        <v>169</v>
      </c>
      <c r="CV9" s="20" t="s">
        <v>169</v>
      </c>
      <c r="CW9" s="20" t="s">
        <v>169</v>
      </c>
      <c r="CX9" s="20" t="s">
        <v>169</v>
      </c>
    </row>
    <row r="10" spans="1:102" x14ac:dyDescent="0.25">
      <c r="A10" s="22" t="s">
        <v>7</v>
      </c>
      <c r="B10" s="22" t="s">
        <v>116</v>
      </c>
      <c r="C10" s="22" t="s">
        <v>61</v>
      </c>
      <c r="D10" s="6">
        <v>42861</v>
      </c>
      <c r="E10" s="18">
        <v>0.60416666666666663</v>
      </c>
      <c r="F10" s="19">
        <v>4.41</v>
      </c>
      <c r="G10" s="20" t="s">
        <v>169</v>
      </c>
      <c r="H10" s="20" t="s">
        <v>169</v>
      </c>
      <c r="I10" s="20" t="s">
        <v>169</v>
      </c>
      <c r="J10" s="20" t="s">
        <v>169</v>
      </c>
      <c r="K10" s="20" t="s">
        <v>169</v>
      </c>
      <c r="L10" s="20" t="s">
        <v>169</v>
      </c>
      <c r="M10" s="20" t="s">
        <v>169</v>
      </c>
      <c r="N10" s="20" t="s">
        <v>169</v>
      </c>
      <c r="O10" s="20" t="s">
        <v>169</v>
      </c>
      <c r="P10" s="20">
        <v>2.670128807739891</v>
      </c>
      <c r="Q10" s="20" t="s">
        <v>169</v>
      </c>
      <c r="R10" s="20" t="s">
        <v>169</v>
      </c>
      <c r="S10" s="20" t="s">
        <v>169</v>
      </c>
      <c r="T10" s="20" t="s">
        <v>169</v>
      </c>
      <c r="U10" s="20" t="s">
        <v>169</v>
      </c>
      <c r="V10" s="20" t="s">
        <v>169</v>
      </c>
      <c r="W10" s="20" t="s">
        <v>169</v>
      </c>
      <c r="X10" s="20" t="s">
        <v>169</v>
      </c>
      <c r="Y10" s="20" t="s">
        <v>169</v>
      </c>
      <c r="Z10" s="20" t="s">
        <v>169</v>
      </c>
      <c r="AA10" s="20" t="s">
        <v>169</v>
      </c>
      <c r="AB10" s="20" t="s">
        <v>169</v>
      </c>
      <c r="AC10" s="20" t="s">
        <v>169</v>
      </c>
      <c r="AD10" s="20" t="s">
        <v>169</v>
      </c>
      <c r="AE10" s="20" t="s">
        <v>169</v>
      </c>
      <c r="AF10" s="20" t="s">
        <v>169</v>
      </c>
      <c r="AG10" s="20" t="s">
        <v>169</v>
      </c>
      <c r="AH10" s="20" t="s">
        <v>169</v>
      </c>
      <c r="AI10" s="20" t="s">
        <v>169</v>
      </c>
      <c r="AJ10" s="20" t="s">
        <v>169</v>
      </c>
      <c r="AK10" s="20" t="s">
        <v>169</v>
      </c>
      <c r="AL10" s="20" t="s">
        <v>169</v>
      </c>
      <c r="AM10" s="20" t="s">
        <v>169</v>
      </c>
      <c r="AN10" s="20" t="s">
        <v>169</v>
      </c>
      <c r="AO10" s="20" t="s">
        <v>169</v>
      </c>
      <c r="AP10" s="20" t="s">
        <v>169</v>
      </c>
      <c r="AQ10" s="20" t="s">
        <v>169</v>
      </c>
      <c r="AR10" s="20" t="s">
        <v>169</v>
      </c>
      <c r="AS10" s="20" t="s">
        <v>169</v>
      </c>
      <c r="AT10" s="20" t="s">
        <v>169</v>
      </c>
      <c r="AU10" s="20" t="s">
        <v>169</v>
      </c>
      <c r="AV10" s="20" t="s">
        <v>169</v>
      </c>
      <c r="AW10" s="20" t="s">
        <v>169</v>
      </c>
      <c r="AX10" s="20" t="s">
        <v>169</v>
      </c>
      <c r="AY10" s="20" t="s">
        <v>169</v>
      </c>
      <c r="AZ10" s="20" t="s">
        <v>169</v>
      </c>
      <c r="BA10" s="20" t="s">
        <v>169</v>
      </c>
      <c r="BB10" s="20" t="s">
        <v>169</v>
      </c>
      <c r="BC10" s="20" t="s">
        <v>169</v>
      </c>
      <c r="BD10" s="20" t="s">
        <v>169</v>
      </c>
      <c r="BE10" s="20" t="s">
        <v>169</v>
      </c>
      <c r="BF10" s="20" t="s">
        <v>169</v>
      </c>
      <c r="BG10" s="20" t="s">
        <v>169</v>
      </c>
      <c r="BH10" s="20" t="s">
        <v>169</v>
      </c>
      <c r="BI10" s="20" t="s">
        <v>169</v>
      </c>
      <c r="BJ10" s="20" t="s">
        <v>169</v>
      </c>
      <c r="BK10" s="20" t="s">
        <v>169</v>
      </c>
      <c r="BL10" s="20" t="s">
        <v>169</v>
      </c>
      <c r="BM10" s="20">
        <v>0.59186944578330614</v>
      </c>
      <c r="BN10" s="20" t="s">
        <v>169</v>
      </c>
      <c r="BO10" s="20">
        <v>9.0435435250396807</v>
      </c>
      <c r="BP10" s="20">
        <v>13.133239792030976</v>
      </c>
      <c r="BQ10" s="20">
        <v>9.9243855072771865</v>
      </c>
      <c r="BR10" s="20" t="s">
        <v>169</v>
      </c>
      <c r="BS10" s="20">
        <v>4.4413551359872558</v>
      </c>
      <c r="BT10" s="20" t="s">
        <v>169</v>
      </c>
      <c r="BU10" s="20" t="s">
        <v>169</v>
      </c>
      <c r="BV10" s="20">
        <v>2.8979591836734691</v>
      </c>
      <c r="BW10" s="20" t="s">
        <v>169</v>
      </c>
      <c r="BX10" s="20" t="s">
        <v>169</v>
      </c>
      <c r="BY10" s="20" t="s">
        <v>169</v>
      </c>
      <c r="BZ10" s="20" t="s">
        <v>169</v>
      </c>
      <c r="CA10" s="20" t="s">
        <v>169</v>
      </c>
      <c r="CB10" s="20" t="s">
        <v>169</v>
      </c>
      <c r="CC10" s="20" t="s">
        <v>169</v>
      </c>
      <c r="CD10" s="20" t="s">
        <v>169</v>
      </c>
      <c r="CE10" s="20" t="s">
        <v>169</v>
      </c>
      <c r="CF10" s="20" t="s">
        <v>169</v>
      </c>
      <c r="CG10" s="20" t="s">
        <v>169</v>
      </c>
      <c r="CH10" s="20" t="s">
        <v>169</v>
      </c>
      <c r="CI10" s="20" t="s">
        <v>169</v>
      </c>
      <c r="CJ10" s="20" t="s">
        <v>169</v>
      </c>
      <c r="CK10" s="20" t="s">
        <v>169</v>
      </c>
      <c r="CL10" s="20" t="s">
        <v>169</v>
      </c>
      <c r="CM10" s="20" t="s">
        <v>169</v>
      </c>
      <c r="CN10" s="20" t="s">
        <v>169</v>
      </c>
      <c r="CO10" s="20" t="s">
        <v>169</v>
      </c>
      <c r="CP10" s="20" t="s">
        <v>169</v>
      </c>
      <c r="CQ10" s="20" t="s">
        <v>169</v>
      </c>
      <c r="CR10" s="20" t="s">
        <v>169</v>
      </c>
      <c r="CS10" s="20" t="s">
        <v>169</v>
      </c>
      <c r="CT10" s="20" t="s">
        <v>169</v>
      </c>
      <c r="CU10" s="20" t="s">
        <v>169</v>
      </c>
      <c r="CV10" s="20" t="s">
        <v>169</v>
      </c>
      <c r="CW10" s="20" t="s">
        <v>169</v>
      </c>
      <c r="CX10" s="20" t="s">
        <v>169</v>
      </c>
    </row>
    <row r="11" spans="1:102" x14ac:dyDescent="0.25">
      <c r="A11" s="22" t="s">
        <v>8</v>
      </c>
      <c r="B11" s="22" t="s">
        <v>117</v>
      </c>
      <c r="C11" s="22" t="s">
        <v>62</v>
      </c>
      <c r="D11" s="6">
        <v>42872</v>
      </c>
      <c r="E11" s="18">
        <v>0.4375</v>
      </c>
      <c r="F11" s="19">
        <v>1.92</v>
      </c>
      <c r="G11" s="20" t="s">
        <v>169</v>
      </c>
      <c r="H11" s="20" t="s">
        <v>169</v>
      </c>
      <c r="I11" s="20" t="s">
        <v>169</v>
      </c>
      <c r="J11" s="20" t="s">
        <v>169</v>
      </c>
      <c r="K11" s="20" t="s">
        <v>169</v>
      </c>
      <c r="L11" s="20" t="s">
        <v>169</v>
      </c>
      <c r="M11" s="21" t="s">
        <v>169</v>
      </c>
      <c r="N11" s="20" t="s">
        <v>169</v>
      </c>
      <c r="O11" s="20">
        <v>2.1339287716930211</v>
      </c>
      <c r="P11" s="21" t="s">
        <v>169</v>
      </c>
      <c r="Q11" s="20" t="s">
        <v>169</v>
      </c>
      <c r="R11" s="20" t="s">
        <v>169</v>
      </c>
      <c r="S11" s="20" t="s">
        <v>169</v>
      </c>
      <c r="T11" s="20" t="s">
        <v>169</v>
      </c>
      <c r="U11" s="20" t="s">
        <v>169</v>
      </c>
      <c r="V11" s="20" t="s">
        <v>169</v>
      </c>
      <c r="W11" s="20" t="s">
        <v>169</v>
      </c>
      <c r="X11" s="20" t="s">
        <v>169</v>
      </c>
      <c r="Y11" s="20" t="s">
        <v>169</v>
      </c>
      <c r="Z11" s="20" t="s">
        <v>169</v>
      </c>
      <c r="AA11" s="20" t="s">
        <v>169</v>
      </c>
      <c r="AB11" s="20" t="s">
        <v>169</v>
      </c>
      <c r="AC11" s="20" t="s">
        <v>169</v>
      </c>
      <c r="AD11" s="21" t="s">
        <v>169</v>
      </c>
      <c r="AE11" s="20" t="s">
        <v>169</v>
      </c>
      <c r="AF11" s="20" t="s">
        <v>169</v>
      </c>
      <c r="AG11" s="20" t="s">
        <v>169</v>
      </c>
      <c r="AH11" s="20" t="s">
        <v>169</v>
      </c>
      <c r="AI11" s="20" t="s">
        <v>169</v>
      </c>
      <c r="AJ11" s="20" t="s">
        <v>169</v>
      </c>
      <c r="AK11" s="20" t="s">
        <v>169</v>
      </c>
      <c r="AL11" s="20" t="s">
        <v>169</v>
      </c>
      <c r="AM11" s="20" t="s">
        <v>169</v>
      </c>
      <c r="AN11" s="20" t="s">
        <v>169</v>
      </c>
      <c r="AO11" s="20" t="s">
        <v>169</v>
      </c>
      <c r="AP11" s="20" t="s">
        <v>169</v>
      </c>
      <c r="AQ11" s="20" t="s">
        <v>169</v>
      </c>
      <c r="AR11" s="20" t="s">
        <v>169</v>
      </c>
      <c r="AS11" s="20" t="s">
        <v>169</v>
      </c>
      <c r="AT11" s="20" t="s">
        <v>169</v>
      </c>
      <c r="AU11" s="21" t="s">
        <v>169</v>
      </c>
      <c r="AV11" s="20" t="s">
        <v>169</v>
      </c>
      <c r="AW11" s="20" t="s">
        <v>169</v>
      </c>
      <c r="AX11" s="21" t="s">
        <v>169</v>
      </c>
      <c r="AY11" s="21" t="s">
        <v>169</v>
      </c>
      <c r="AZ11" s="20" t="s">
        <v>169</v>
      </c>
      <c r="BA11" s="21" t="s">
        <v>169</v>
      </c>
      <c r="BB11" s="21" t="s">
        <v>169</v>
      </c>
      <c r="BC11" s="20" t="s">
        <v>169</v>
      </c>
      <c r="BD11" s="21" t="s">
        <v>169</v>
      </c>
      <c r="BE11" s="20" t="s">
        <v>169</v>
      </c>
      <c r="BF11" s="20" t="s">
        <v>169</v>
      </c>
      <c r="BG11" s="20" t="s">
        <v>169</v>
      </c>
      <c r="BH11" s="20" t="s">
        <v>169</v>
      </c>
      <c r="BI11" s="20" t="s">
        <v>169</v>
      </c>
      <c r="BJ11" s="21" t="s">
        <v>169</v>
      </c>
      <c r="BK11" s="20" t="s">
        <v>169</v>
      </c>
      <c r="BL11" s="21" t="s">
        <v>169</v>
      </c>
      <c r="BM11" s="20" t="s">
        <v>169</v>
      </c>
      <c r="BN11" s="20" t="s">
        <v>169</v>
      </c>
      <c r="BO11" s="20" t="s">
        <v>169</v>
      </c>
      <c r="BP11" s="20">
        <v>1.2395667790635834</v>
      </c>
      <c r="BQ11" s="20" t="s">
        <v>169</v>
      </c>
      <c r="BR11" s="20" t="s">
        <v>169</v>
      </c>
      <c r="BS11" s="21" t="s">
        <v>169</v>
      </c>
      <c r="BT11" s="20" t="s">
        <v>169</v>
      </c>
      <c r="BU11" s="20">
        <v>3.260416666666667</v>
      </c>
      <c r="BV11" s="20" t="s">
        <v>169</v>
      </c>
      <c r="BW11" s="20" t="s">
        <v>169</v>
      </c>
      <c r="BX11" s="20" t="s">
        <v>169</v>
      </c>
      <c r="BY11" s="20" t="s">
        <v>169</v>
      </c>
      <c r="BZ11" s="20" t="s">
        <v>169</v>
      </c>
      <c r="CA11" s="20" t="s">
        <v>169</v>
      </c>
      <c r="CB11" s="20" t="s">
        <v>169</v>
      </c>
      <c r="CC11" s="20" t="s">
        <v>169</v>
      </c>
      <c r="CD11" s="20" t="s">
        <v>169</v>
      </c>
      <c r="CE11" s="21" t="s">
        <v>169</v>
      </c>
      <c r="CF11" s="20" t="s">
        <v>169</v>
      </c>
      <c r="CG11" s="20" t="s">
        <v>169</v>
      </c>
      <c r="CH11" s="20" t="s">
        <v>169</v>
      </c>
      <c r="CI11" s="20" t="s">
        <v>169</v>
      </c>
      <c r="CJ11" s="20" t="s">
        <v>169</v>
      </c>
      <c r="CK11" s="20" t="s">
        <v>169</v>
      </c>
      <c r="CL11" s="20" t="s">
        <v>169</v>
      </c>
      <c r="CM11" s="21" t="s">
        <v>169</v>
      </c>
      <c r="CN11" s="20" t="s">
        <v>169</v>
      </c>
      <c r="CO11" s="20" t="s">
        <v>169</v>
      </c>
      <c r="CP11" s="20" t="s">
        <v>169</v>
      </c>
      <c r="CQ11" s="20" t="s">
        <v>169</v>
      </c>
      <c r="CR11" s="21" t="s">
        <v>169</v>
      </c>
      <c r="CS11" s="20" t="s">
        <v>169</v>
      </c>
      <c r="CT11" s="21" t="s">
        <v>169</v>
      </c>
      <c r="CU11" s="21" t="s">
        <v>169</v>
      </c>
      <c r="CV11" s="20" t="s">
        <v>169</v>
      </c>
      <c r="CW11" s="21" t="s">
        <v>169</v>
      </c>
      <c r="CX11" s="21" t="s">
        <v>169</v>
      </c>
    </row>
    <row r="12" spans="1:102" x14ac:dyDescent="0.25">
      <c r="A12" s="22" t="s">
        <v>9</v>
      </c>
      <c r="B12" s="22" t="s">
        <v>118</v>
      </c>
      <c r="C12" s="22" t="s">
        <v>63</v>
      </c>
      <c r="D12" s="6">
        <v>42868</v>
      </c>
      <c r="E12" s="18">
        <v>0.5625</v>
      </c>
      <c r="F12" s="19">
        <v>0.57999999999999996</v>
      </c>
      <c r="G12" s="20" t="s">
        <v>169</v>
      </c>
      <c r="H12" s="20" t="s">
        <v>169</v>
      </c>
      <c r="I12" s="20" t="s">
        <v>169</v>
      </c>
      <c r="J12" s="20" t="s">
        <v>169</v>
      </c>
      <c r="K12" s="20" t="s">
        <v>169</v>
      </c>
      <c r="L12" s="20" t="s">
        <v>169</v>
      </c>
      <c r="M12" s="21" t="s">
        <v>169</v>
      </c>
      <c r="N12" s="20" t="s">
        <v>169</v>
      </c>
      <c r="O12" s="20" t="s">
        <v>169</v>
      </c>
      <c r="P12" s="21" t="s">
        <v>169</v>
      </c>
      <c r="Q12" s="20" t="s">
        <v>169</v>
      </c>
      <c r="R12" s="20" t="s">
        <v>169</v>
      </c>
      <c r="S12" s="20" t="s">
        <v>169</v>
      </c>
      <c r="T12" s="20" t="s">
        <v>169</v>
      </c>
      <c r="U12" s="20" t="s">
        <v>169</v>
      </c>
      <c r="V12" s="20" t="s">
        <v>169</v>
      </c>
      <c r="W12" s="20" t="s">
        <v>169</v>
      </c>
      <c r="X12" s="20" t="s">
        <v>169</v>
      </c>
      <c r="Y12" s="20" t="s">
        <v>169</v>
      </c>
      <c r="Z12" s="20" t="s">
        <v>169</v>
      </c>
      <c r="AA12" s="20" t="s">
        <v>169</v>
      </c>
      <c r="AB12" s="20" t="s">
        <v>169</v>
      </c>
      <c r="AC12" s="20" t="s">
        <v>169</v>
      </c>
      <c r="AD12" s="21" t="s">
        <v>169</v>
      </c>
      <c r="AE12" s="20" t="s">
        <v>169</v>
      </c>
      <c r="AF12" s="20" t="s">
        <v>169</v>
      </c>
      <c r="AG12" s="20" t="s">
        <v>169</v>
      </c>
      <c r="AH12" s="20" t="s">
        <v>169</v>
      </c>
      <c r="AI12" s="20" t="s">
        <v>169</v>
      </c>
      <c r="AJ12" s="20" t="s">
        <v>169</v>
      </c>
      <c r="AK12" s="20" t="s">
        <v>169</v>
      </c>
      <c r="AL12" s="20" t="s">
        <v>169</v>
      </c>
      <c r="AM12" s="20" t="s">
        <v>169</v>
      </c>
      <c r="AN12" s="20" t="s">
        <v>169</v>
      </c>
      <c r="AO12" s="20" t="s">
        <v>169</v>
      </c>
      <c r="AP12" s="20" t="s">
        <v>169</v>
      </c>
      <c r="AQ12" s="20" t="s">
        <v>169</v>
      </c>
      <c r="AR12" s="20" t="s">
        <v>169</v>
      </c>
      <c r="AS12" s="20" t="s">
        <v>169</v>
      </c>
      <c r="AT12" s="20" t="s">
        <v>169</v>
      </c>
      <c r="AU12" s="21" t="s">
        <v>169</v>
      </c>
      <c r="AV12" s="20" t="s">
        <v>169</v>
      </c>
      <c r="AW12" s="20" t="s">
        <v>169</v>
      </c>
      <c r="AX12" s="21" t="s">
        <v>169</v>
      </c>
      <c r="AY12" s="21" t="s">
        <v>169</v>
      </c>
      <c r="AZ12" s="20" t="s">
        <v>169</v>
      </c>
      <c r="BA12" s="21" t="s">
        <v>169</v>
      </c>
      <c r="BB12" s="21" t="s">
        <v>169</v>
      </c>
      <c r="BC12" s="20" t="s">
        <v>169</v>
      </c>
      <c r="BD12" s="21" t="s">
        <v>169</v>
      </c>
      <c r="BE12" s="20" t="s">
        <v>169</v>
      </c>
      <c r="BF12" s="20" t="s">
        <v>169</v>
      </c>
      <c r="BG12" s="20" t="s">
        <v>169</v>
      </c>
      <c r="BH12" s="20" t="s">
        <v>169</v>
      </c>
      <c r="BI12" s="20" t="s">
        <v>169</v>
      </c>
      <c r="BJ12" s="21" t="s">
        <v>169</v>
      </c>
      <c r="BK12" s="20" t="s">
        <v>169</v>
      </c>
      <c r="BL12" s="21" t="s">
        <v>169</v>
      </c>
      <c r="BM12" s="20" t="s">
        <v>169</v>
      </c>
      <c r="BN12" s="20" t="s">
        <v>169</v>
      </c>
      <c r="BO12" s="20" t="s">
        <v>169</v>
      </c>
      <c r="BP12" s="20">
        <v>8.1233011658612764</v>
      </c>
      <c r="BQ12" s="20" t="s">
        <v>169</v>
      </c>
      <c r="BR12" s="20" t="s">
        <v>169</v>
      </c>
      <c r="BS12" s="21" t="s">
        <v>169</v>
      </c>
      <c r="BT12" s="20" t="s">
        <v>169</v>
      </c>
      <c r="BU12" s="20" t="s">
        <v>169</v>
      </c>
      <c r="BV12" s="20" t="s">
        <v>169</v>
      </c>
      <c r="BW12" s="20" t="s">
        <v>169</v>
      </c>
      <c r="BX12" s="20" t="s">
        <v>169</v>
      </c>
      <c r="BY12" s="20" t="s">
        <v>169</v>
      </c>
      <c r="BZ12" s="20" t="s">
        <v>169</v>
      </c>
      <c r="CA12" s="20" t="s">
        <v>169</v>
      </c>
      <c r="CB12" s="20" t="s">
        <v>169</v>
      </c>
      <c r="CC12" s="20" t="s">
        <v>169</v>
      </c>
      <c r="CD12" s="20" t="s">
        <v>169</v>
      </c>
      <c r="CE12" s="21" t="s">
        <v>169</v>
      </c>
      <c r="CF12" s="20" t="s">
        <v>169</v>
      </c>
      <c r="CG12" s="20" t="s">
        <v>169</v>
      </c>
      <c r="CH12" s="20" t="s">
        <v>169</v>
      </c>
      <c r="CI12" s="20" t="s">
        <v>169</v>
      </c>
      <c r="CJ12" s="20" t="s">
        <v>169</v>
      </c>
      <c r="CK12" s="20" t="s">
        <v>169</v>
      </c>
      <c r="CL12" s="20" t="s">
        <v>169</v>
      </c>
      <c r="CM12" s="21" t="s">
        <v>169</v>
      </c>
      <c r="CN12" s="20" t="s">
        <v>169</v>
      </c>
      <c r="CO12" s="20" t="s">
        <v>169</v>
      </c>
      <c r="CP12" s="20" t="s">
        <v>169</v>
      </c>
      <c r="CQ12" s="20" t="s">
        <v>169</v>
      </c>
      <c r="CR12" s="21" t="s">
        <v>169</v>
      </c>
      <c r="CS12" s="20" t="s">
        <v>169</v>
      </c>
      <c r="CT12" s="21" t="s">
        <v>169</v>
      </c>
      <c r="CU12" s="21" t="s">
        <v>169</v>
      </c>
      <c r="CV12" s="20" t="s">
        <v>169</v>
      </c>
      <c r="CW12" s="21" t="s">
        <v>169</v>
      </c>
      <c r="CX12" s="21" t="s">
        <v>169</v>
      </c>
    </row>
    <row r="13" spans="1:102" x14ac:dyDescent="0.25">
      <c r="A13" s="22" t="s">
        <v>10</v>
      </c>
      <c r="B13" s="22" t="s">
        <v>119</v>
      </c>
      <c r="C13" s="22" t="s">
        <v>64</v>
      </c>
      <c r="D13" s="6">
        <v>42868</v>
      </c>
      <c r="E13" s="18">
        <v>0.5625</v>
      </c>
      <c r="F13" s="19">
        <v>5.12</v>
      </c>
      <c r="G13" s="20" t="s">
        <v>169</v>
      </c>
      <c r="H13" s="20" t="s">
        <v>169</v>
      </c>
      <c r="I13" s="20" t="s">
        <v>169</v>
      </c>
      <c r="J13" s="20" t="s">
        <v>169</v>
      </c>
      <c r="K13" s="20" t="s">
        <v>169</v>
      </c>
      <c r="L13" s="20" t="s">
        <v>169</v>
      </c>
      <c r="M13" s="21" t="s">
        <v>169</v>
      </c>
      <c r="N13" s="20" t="s">
        <v>169</v>
      </c>
      <c r="O13" s="20" t="s">
        <v>169</v>
      </c>
      <c r="P13" s="21" t="s">
        <v>169</v>
      </c>
      <c r="Q13" s="20" t="s">
        <v>169</v>
      </c>
      <c r="R13" s="20" t="s">
        <v>169</v>
      </c>
      <c r="S13" s="20" t="s">
        <v>169</v>
      </c>
      <c r="T13" s="20" t="s">
        <v>169</v>
      </c>
      <c r="U13" s="20" t="s">
        <v>169</v>
      </c>
      <c r="V13" s="20" t="s">
        <v>169</v>
      </c>
      <c r="W13" s="20" t="s">
        <v>169</v>
      </c>
      <c r="X13" s="20" t="s">
        <v>169</v>
      </c>
      <c r="Y13" s="20" t="s">
        <v>169</v>
      </c>
      <c r="Z13" s="20" t="s">
        <v>169</v>
      </c>
      <c r="AA13" s="20" t="s">
        <v>169</v>
      </c>
      <c r="AB13" s="20" t="s">
        <v>169</v>
      </c>
      <c r="AC13" s="20" t="s">
        <v>169</v>
      </c>
      <c r="AD13" s="21" t="s">
        <v>169</v>
      </c>
      <c r="AE13" s="20" t="s">
        <v>169</v>
      </c>
      <c r="AF13" s="20" t="s">
        <v>169</v>
      </c>
      <c r="AG13" s="20" t="s">
        <v>169</v>
      </c>
      <c r="AH13" s="20" t="s">
        <v>169</v>
      </c>
      <c r="AI13" s="20" t="s">
        <v>169</v>
      </c>
      <c r="AJ13" s="20" t="s">
        <v>169</v>
      </c>
      <c r="AK13" s="20" t="s">
        <v>169</v>
      </c>
      <c r="AL13" s="20" t="s">
        <v>169</v>
      </c>
      <c r="AM13" s="20" t="s">
        <v>169</v>
      </c>
      <c r="AN13" s="20" t="s">
        <v>169</v>
      </c>
      <c r="AO13" s="20" t="s">
        <v>169</v>
      </c>
      <c r="AP13" s="20" t="s">
        <v>169</v>
      </c>
      <c r="AQ13" s="20" t="s">
        <v>169</v>
      </c>
      <c r="AR13" s="20" t="s">
        <v>169</v>
      </c>
      <c r="AS13" s="20" t="s">
        <v>169</v>
      </c>
      <c r="AT13" s="20" t="s">
        <v>169</v>
      </c>
      <c r="AU13" s="21" t="s">
        <v>169</v>
      </c>
      <c r="AV13" s="20" t="s">
        <v>169</v>
      </c>
      <c r="AW13" s="20" t="s">
        <v>169</v>
      </c>
      <c r="AX13" s="21" t="s">
        <v>169</v>
      </c>
      <c r="AY13" s="21" t="s">
        <v>169</v>
      </c>
      <c r="AZ13" s="20" t="s">
        <v>169</v>
      </c>
      <c r="BA13" s="21" t="s">
        <v>169</v>
      </c>
      <c r="BB13" s="21" t="s">
        <v>169</v>
      </c>
      <c r="BC13" s="20" t="s">
        <v>169</v>
      </c>
      <c r="BD13" s="21" t="s">
        <v>169</v>
      </c>
      <c r="BE13" s="20" t="s">
        <v>169</v>
      </c>
      <c r="BF13" s="20" t="s">
        <v>169</v>
      </c>
      <c r="BG13" s="20" t="s">
        <v>169</v>
      </c>
      <c r="BH13" s="20" t="s">
        <v>169</v>
      </c>
      <c r="BI13" s="20" t="s">
        <v>169</v>
      </c>
      <c r="BJ13" s="21" t="s">
        <v>169</v>
      </c>
      <c r="BK13" s="20" t="s">
        <v>169</v>
      </c>
      <c r="BL13" s="21" t="s">
        <v>169</v>
      </c>
      <c r="BM13" s="20" t="s">
        <v>169</v>
      </c>
      <c r="BN13" s="20" t="s">
        <v>169</v>
      </c>
      <c r="BO13" s="20" t="s">
        <v>169</v>
      </c>
      <c r="BP13" s="20" t="s">
        <v>169</v>
      </c>
      <c r="BQ13" s="20" t="s">
        <v>169</v>
      </c>
      <c r="BR13" s="20" t="s">
        <v>169</v>
      </c>
      <c r="BS13" s="21" t="s">
        <v>169</v>
      </c>
      <c r="BT13" s="20" t="s">
        <v>169</v>
      </c>
      <c r="BU13" s="20">
        <v>7.1809408273949993</v>
      </c>
      <c r="BV13" s="20" t="s">
        <v>169</v>
      </c>
      <c r="BW13" s="20" t="s">
        <v>169</v>
      </c>
      <c r="BX13" s="20" t="s">
        <v>169</v>
      </c>
      <c r="BY13" s="20" t="s">
        <v>169</v>
      </c>
      <c r="BZ13" s="20" t="s">
        <v>169</v>
      </c>
      <c r="CA13" s="20" t="s">
        <v>169</v>
      </c>
      <c r="CB13" s="20" t="s">
        <v>169</v>
      </c>
      <c r="CC13" s="20" t="s">
        <v>169</v>
      </c>
      <c r="CD13" s="20" t="s">
        <v>169</v>
      </c>
      <c r="CE13" s="21" t="s">
        <v>169</v>
      </c>
      <c r="CF13" s="20" t="s">
        <v>169</v>
      </c>
      <c r="CG13" s="20" t="s">
        <v>169</v>
      </c>
      <c r="CH13" s="20" t="s">
        <v>169</v>
      </c>
      <c r="CI13" s="20" t="s">
        <v>169</v>
      </c>
      <c r="CJ13" s="20" t="s">
        <v>169</v>
      </c>
      <c r="CK13" s="20" t="s">
        <v>169</v>
      </c>
      <c r="CL13" s="20" t="s">
        <v>169</v>
      </c>
      <c r="CM13" s="21" t="s">
        <v>169</v>
      </c>
      <c r="CN13" s="20" t="s">
        <v>169</v>
      </c>
      <c r="CO13" s="20" t="s">
        <v>169</v>
      </c>
      <c r="CP13" s="20" t="s">
        <v>169</v>
      </c>
      <c r="CQ13" s="20" t="s">
        <v>169</v>
      </c>
      <c r="CR13" s="21" t="s">
        <v>169</v>
      </c>
      <c r="CS13" s="20" t="s">
        <v>169</v>
      </c>
      <c r="CT13" s="21" t="s">
        <v>169</v>
      </c>
      <c r="CU13" s="21" t="s">
        <v>169</v>
      </c>
      <c r="CV13" s="20" t="s">
        <v>169</v>
      </c>
      <c r="CW13" s="21" t="s">
        <v>169</v>
      </c>
      <c r="CX13" s="21" t="s">
        <v>169</v>
      </c>
    </row>
    <row r="14" spans="1:102" x14ac:dyDescent="0.25">
      <c r="A14" s="22" t="s">
        <v>11</v>
      </c>
      <c r="B14" s="22" t="s">
        <v>120</v>
      </c>
      <c r="C14" s="22" t="s">
        <v>65</v>
      </c>
      <c r="D14" s="6">
        <v>42872</v>
      </c>
      <c r="E14" s="18">
        <v>0.41666666666666669</v>
      </c>
      <c r="F14" s="19">
        <v>0.93</v>
      </c>
      <c r="G14" s="20" t="s">
        <v>169</v>
      </c>
      <c r="H14" s="20" t="s">
        <v>169</v>
      </c>
      <c r="I14" s="20" t="s">
        <v>169</v>
      </c>
      <c r="J14" s="20" t="s">
        <v>169</v>
      </c>
      <c r="K14" s="20" t="s">
        <v>169</v>
      </c>
      <c r="L14" s="20" t="s">
        <v>169</v>
      </c>
      <c r="M14" s="21" t="s">
        <v>169</v>
      </c>
      <c r="N14" s="20" t="s">
        <v>169</v>
      </c>
      <c r="O14" s="20" t="s">
        <v>169</v>
      </c>
      <c r="P14" s="21" t="s">
        <v>169</v>
      </c>
      <c r="Q14" s="20" t="s">
        <v>169</v>
      </c>
      <c r="R14" s="20" t="s">
        <v>169</v>
      </c>
      <c r="S14" s="20" t="s">
        <v>169</v>
      </c>
      <c r="T14" s="20" t="s">
        <v>169</v>
      </c>
      <c r="U14" s="20" t="s">
        <v>169</v>
      </c>
      <c r="V14" s="20" t="s">
        <v>169</v>
      </c>
      <c r="W14" s="20" t="s">
        <v>169</v>
      </c>
      <c r="X14" s="20" t="s">
        <v>169</v>
      </c>
      <c r="Y14" s="20" t="s">
        <v>169</v>
      </c>
      <c r="Z14" s="20" t="s">
        <v>169</v>
      </c>
      <c r="AA14" s="20" t="s">
        <v>169</v>
      </c>
      <c r="AB14" s="20" t="s">
        <v>169</v>
      </c>
      <c r="AC14" s="20" t="s">
        <v>169</v>
      </c>
      <c r="AD14" s="21" t="s">
        <v>169</v>
      </c>
      <c r="AE14" s="20" t="s">
        <v>169</v>
      </c>
      <c r="AF14" s="20" t="s">
        <v>169</v>
      </c>
      <c r="AG14" s="20" t="s">
        <v>169</v>
      </c>
      <c r="AH14" s="20" t="s">
        <v>169</v>
      </c>
      <c r="AI14" s="20" t="s">
        <v>169</v>
      </c>
      <c r="AJ14" s="20" t="s">
        <v>169</v>
      </c>
      <c r="AK14" s="20" t="s">
        <v>169</v>
      </c>
      <c r="AL14" s="20" t="s">
        <v>169</v>
      </c>
      <c r="AM14" s="20" t="s">
        <v>169</v>
      </c>
      <c r="AN14" s="20" t="s">
        <v>169</v>
      </c>
      <c r="AO14" s="20" t="s">
        <v>169</v>
      </c>
      <c r="AP14" s="20" t="s">
        <v>169</v>
      </c>
      <c r="AQ14" s="20" t="s">
        <v>169</v>
      </c>
      <c r="AR14" s="20" t="s">
        <v>169</v>
      </c>
      <c r="AS14" s="20" t="s">
        <v>169</v>
      </c>
      <c r="AT14" s="20" t="s">
        <v>169</v>
      </c>
      <c r="AU14" s="21" t="s">
        <v>169</v>
      </c>
      <c r="AV14" s="20" t="s">
        <v>169</v>
      </c>
      <c r="AW14" s="20" t="s">
        <v>169</v>
      </c>
      <c r="AX14" s="21" t="s">
        <v>169</v>
      </c>
      <c r="AY14" s="21" t="s">
        <v>169</v>
      </c>
      <c r="AZ14" s="20" t="s">
        <v>169</v>
      </c>
      <c r="BA14" s="21" t="s">
        <v>169</v>
      </c>
      <c r="BB14" s="21" t="s">
        <v>169</v>
      </c>
      <c r="BC14" s="20" t="s">
        <v>169</v>
      </c>
      <c r="BD14" s="21" t="s">
        <v>169</v>
      </c>
      <c r="BE14" s="20" t="s">
        <v>169</v>
      </c>
      <c r="BF14" s="20" t="s">
        <v>169</v>
      </c>
      <c r="BG14" s="20" t="s">
        <v>169</v>
      </c>
      <c r="BH14" s="20" t="s">
        <v>169</v>
      </c>
      <c r="BI14" s="20" t="s">
        <v>169</v>
      </c>
      <c r="BJ14" s="21" t="s">
        <v>169</v>
      </c>
      <c r="BK14" s="20" t="s">
        <v>169</v>
      </c>
      <c r="BL14" s="21" t="s">
        <v>169</v>
      </c>
      <c r="BM14" s="20" t="s">
        <v>169</v>
      </c>
      <c r="BN14" s="20" t="s">
        <v>169</v>
      </c>
      <c r="BO14" s="20" t="s">
        <v>169</v>
      </c>
      <c r="BP14" s="20" t="s">
        <v>169</v>
      </c>
      <c r="BQ14" s="20" t="s">
        <v>169</v>
      </c>
      <c r="BR14" s="20" t="s">
        <v>169</v>
      </c>
      <c r="BS14" s="21" t="s">
        <v>169</v>
      </c>
      <c r="BT14" s="20" t="s">
        <v>169</v>
      </c>
      <c r="BU14" s="20">
        <v>9.3831096147746873</v>
      </c>
      <c r="BV14" s="20" t="s">
        <v>169</v>
      </c>
      <c r="BW14" s="20" t="s">
        <v>169</v>
      </c>
      <c r="BX14" s="20" t="s">
        <v>169</v>
      </c>
      <c r="BY14" s="20" t="s">
        <v>169</v>
      </c>
      <c r="BZ14" s="20" t="s">
        <v>169</v>
      </c>
      <c r="CA14" s="20" t="s">
        <v>169</v>
      </c>
      <c r="CB14" s="20" t="s">
        <v>169</v>
      </c>
      <c r="CC14" s="20" t="s">
        <v>169</v>
      </c>
      <c r="CD14" s="20" t="s">
        <v>169</v>
      </c>
      <c r="CE14" s="21" t="s">
        <v>169</v>
      </c>
      <c r="CF14" s="20" t="s">
        <v>169</v>
      </c>
      <c r="CG14" s="20" t="s">
        <v>169</v>
      </c>
      <c r="CH14" s="20" t="s">
        <v>169</v>
      </c>
      <c r="CI14" s="20" t="s">
        <v>169</v>
      </c>
      <c r="CJ14" s="20" t="s">
        <v>169</v>
      </c>
      <c r="CK14" s="20" t="s">
        <v>169</v>
      </c>
      <c r="CL14" s="20" t="s">
        <v>169</v>
      </c>
      <c r="CM14" s="21" t="s">
        <v>169</v>
      </c>
      <c r="CN14" s="20" t="s">
        <v>169</v>
      </c>
      <c r="CO14" s="20" t="s">
        <v>169</v>
      </c>
      <c r="CP14" s="20" t="s">
        <v>169</v>
      </c>
      <c r="CQ14" s="20" t="s">
        <v>169</v>
      </c>
      <c r="CR14" s="21" t="s">
        <v>169</v>
      </c>
      <c r="CS14" s="20" t="s">
        <v>169</v>
      </c>
      <c r="CT14" s="21" t="s">
        <v>169</v>
      </c>
      <c r="CU14" s="21" t="s">
        <v>169</v>
      </c>
      <c r="CV14" s="20" t="s">
        <v>169</v>
      </c>
      <c r="CW14" s="21" t="s">
        <v>169</v>
      </c>
      <c r="CX14" s="21" t="s">
        <v>169</v>
      </c>
    </row>
    <row r="15" spans="1:102" x14ac:dyDescent="0.25">
      <c r="A15" s="22" t="s">
        <v>12</v>
      </c>
      <c r="B15" s="22" t="s">
        <v>121</v>
      </c>
      <c r="C15" s="22" t="s">
        <v>66</v>
      </c>
      <c r="D15" s="6">
        <v>42867</v>
      </c>
      <c r="E15" s="18">
        <v>0.60416666666666663</v>
      </c>
      <c r="F15" s="19">
        <v>2.0499999999999998</v>
      </c>
      <c r="G15" s="20" t="s">
        <v>169</v>
      </c>
      <c r="H15" s="20" t="s">
        <v>169</v>
      </c>
      <c r="I15" s="20" t="s">
        <v>169</v>
      </c>
      <c r="J15" s="20" t="s">
        <v>169</v>
      </c>
      <c r="K15" s="20" t="s">
        <v>169</v>
      </c>
      <c r="L15" s="20" t="s">
        <v>169</v>
      </c>
      <c r="M15" s="21" t="s">
        <v>169</v>
      </c>
      <c r="N15" s="20" t="s">
        <v>169</v>
      </c>
      <c r="O15" s="20">
        <v>7.3696303610060792</v>
      </c>
      <c r="P15" s="21" t="s">
        <v>169</v>
      </c>
      <c r="Q15" s="20" t="s">
        <v>169</v>
      </c>
      <c r="R15" s="20" t="s">
        <v>169</v>
      </c>
      <c r="S15" s="20" t="s">
        <v>169</v>
      </c>
      <c r="T15" s="20" t="s">
        <v>169</v>
      </c>
      <c r="U15" s="20" t="s">
        <v>169</v>
      </c>
      <c r="V15" s="20" t="s">
        <v>169</v>
      </c>
      <c r="W15" s="20" t="s">
        <v>169</v>
      </c>
      <c r="X15" s="20" t="s">
        <v>169</v>
      </c>
      <c r="Y15" s="20" t="s">
        <v>169</v>
      </c>
      <c r="Z15" s="20">
        <v>8.0097560975609774</v>
      </c>
      <c r="AA15" s="20" t="s">
        <v>169</v>
      </c>
      <c r="AB15" s="20" t="s">
        <v>169</v>
      </c>
      <c r="AC15" s="20" t="s">
        <v>169</v>
      </c>
      <c r="AD15" s="21" t="s">
        <v>169</v>
      </c>
      <c r="AE15" s="20" t="s">
        <v>169</v>
      </c>
      <c r="AF15" s="20" t="s">
        <v>169</v>
      </c>
      <c r="AG15" s="20" t="s">
        <v>169</v>
      </c>
      <c r="AH15" s="20" t="s">
        <v>169</v>
      </c>
      <c r="AI15" s="20" t="s">
        <v>169</v>
      </c>
      <c r="AJ15" s="20" t="s">
        <v>169</v>
      </c>
      <c r="AK15" s="20" t="s">
        <v>169</v>
      </c>
      <c r="AL15" s="20" t="s">
        <v>169</v>
      </c>
      <c r="AM15" s="20" t="s">
        <v>169</v>
      </c>
      <c r="AN15" s="20" t="s">
        <v>169</v>
      </c>
      <c r="AO15" s="20" t="s">
        <v>169</v>
      </c>
      <c r="AP15" s="20" t="s">
        <v>169</v>
      </c>
      <c r="AQ15" s="20" t="s">
        <v>169</v>
      </c>
      <c r="AR15" s="20" t="s">
        <v>169</v>
      </c>
      <c r="AS15" s="20" t="s">
        <v>169</v>
      </c>
      <c r="AT15" s="20" t="s">
        <v>169</v>
      </c>
      <c r="AU15" s="21" t="s">
        <v>169</v>
      </c>
      <c r="AV15" s="20" t="s">
        <v>169</v>
      </c>
      <c r="AW15" s="20" t="s">
        <v>169</v>
      </c>
      <c r="AX15" s="21" t="s">
        <v>169</v>
      </c>
      <c r="AY15" s="21" t="s">
        <v>169</v>
      </c>
      <c r="AZ15" s="20" t="s">
        <v>169</v>
      </c>
      <c r="BA15" s="21" t="s">
        <v>169</v>
      </c>
      <c r="BB15" s="21" t="s">
        <v>169</v>
      </c>
      <c r="BC15" s="20" t="s">
        <v>169</v>
      </c>
      <c r="BD15" s="21" t="s">
        <v>169</v>
      </c>
      <c r="BE15" s="20" t="s">
        <v>169</v>
      </c>
      <c r="BF15" s="20" t="s">
        <v>169</v>
      </c>
      <c r="BG15" s="20" t="s">
        <v>169</v>
      </c>
      <c r="BH15" s="20" t="s">
        <v>169</v>
      </c>
      <c r="BI15" s="20" t="s">
        <v>169</v>
      </c>
      <c r="BJ15" s="21" t="s">
        <v>169</v>
      </c>
      <c r="BK15" s="20" t="s">
        <v>169</v>
      </c>
      <c r="BL15" s="21" t="s">
        <v>169</v>
      </c>
      <c r="BM15" s="20">
        <v>1.4481762321256</v>
      </c>
      <c r="BN15" s="20" t="s">
        <v>169</v>
      </c>
      <c r="BO15" s="20" t="s">
        <v>169</v>
      </c>
      <c r="BP15" s="20">
        <v>3.3304255833486054</v>
      </c>
      <c r="BQ15" s="20" t="s">
        <v>169</v>
      </c>
      <c r="BR15" s="20" t="s">
        <v>169</v>
      </c>
      <c r="BS15" s="21" t="s">
        <v>169</v>
      </c>
      <c r="BT15" s="20" t="s">
        <v>169</v>
      </c>
      <c r="BU15" s="20">
        <v>3.6780487804878046</v>
      </c>
      <c r="BV15" s="20" t="s">
        <v>169</v>
      </c>
      <c r="BW15" s="20" t="s">
        <v>169</v>
      </c>
      <c r="BX15" s="20" t="s">
        <v>169</v>
      </c>
      <c r="BY15" s="20" t="s">
        <v>169</v>
      </c>
      <c r="BZ15" s="20" t="s">
        <v>169</v>
      </c>
      <c r="CA15" s="20" t="s">
        <v>169</v>
      </c>
      <c r="CB15" s="20" t="s">
        <v>169</v>
      </c>
      <c r="CC15" s="20" t="s">
        <v>169</v>
      </c>
      <c r="CD15" s="20" t="s">
        <v>169</v>
      </c>
      <c r="CE15" s="21" t="s">
        <v>169</v>
      </c>
      <c r="CF15" s="20" t="s">
        <v>169</v>
      </c>
      <c r="CG15" s="20" t="s">
        <v>169</v>
      </c>
      <c r="CH15" s="20" t="s">
        <v>169</v>
      </c>
      <c r="CI15" s="20" t="s">
        <v>169</v>
      </c>
      <c r="CJ15" s="20" t="s">
        <v>169</v>
      </c>
      <c r="CK15" s="20" t="s">
        <v>169</v>
      </c>
      <c r="CL15" s="20" t="s">
        <v>169</v>
      </c>
      <c r="CM15" s="21" t="s">
        <v>169</v>
      </c>
      <c r="CN15" s="20" t="s">
        <v>169</v>
      </c>
      <c r="CO15" s="20" t="s">
        <v>169</v>
      </c>
      <c r="CP15" s="20" t="s">
        <v>169</v>
      </c>
      <c r="CQ15" s="20" t="s">
        <v>169</v>
      </c>
      <c r="CR15" s="21" t="s">
        <v>169</v>
      </c>
      <c r="CS15" s="20" t="s">
        <v>169</v>
      </c>
      <c r="CT15" s="21" t="s">
        <v>169</v>
      </c>
      <c r="CU15" s="21" t="s">
        <v>169</v>
      </c>
      <c r="CV15" s="20" t="s">
        <v>169</v>
      </c>
      <c r="CW15" s="21" t="s">
        <v>169</v>
      </c>
      <c r="CX15" s="21" t="s">
        <v>169</v>
      </c>
    </row>
    <row r="16" spans="1:102" x14ac:dyDescent="0.25">
      <c r="A16" s="22" t="s">
        <v>13</v>
      </c>
      <c r="B16" s="22" t="s">
        <v>122</v>
      </c>
      <c r="C16" s="22" t="s">
        <v>67</v>
      </c>
      <c r="D16" s="6">
        <v>42865</v>
      </c>
      <c r="E16" s="18">
        <v>0.35416666666666669</v>
      </c>
      <c r="F16" s="19">
        <v>0.21</v>
      </c>
      <c r="G16" s="20" t="s">
        <v>169</v>
      </c>
      <c r="H16" s="20" t="s">
        <v>169</v>
      </c>
      <c r="I16" s="20" t="s">
        <v>169</v>
      </c>
      <c r="J16" s="20" t="s">
        <v>169</v>
      </c>
      <c r="K16" s="20" t="s">
        <v>169</v>
      </c>
      <c r="L16" s="20" t="s">
        <v>169</v>
      </c>
      <c r="M16" s="20" t="s">
        <v>169</v>
      </c>
      <c r="N16" s="20" t="s">
        <v>169</v>
      </c>
      <c r="O16" s="20" t="s">
        <v>169</v>
      </c>
      <c r="P16" s="20" t="s">
        <v>169</v>
      </c>
      <c r="Q16" s="20" t="s">
        <v>169</v>
      </c>
      <c r="R16" s="20" t="s">
        <v>169</v>
      </c>
      <c r="S16" s="20" t="s">
        <v>169</v>
      </c>
      <c r="T16" s="20" t="s">
        <v>169</v>
      </c>
      <c r="U16" s="20" t="s">
        <v>169</v>
      </c>
      <c r="V16" s="20" t="s">
        <v>169</v>
      </c>
      <c r="W16" s="20" t="s">
        <v>169</v>
      </c>
      <c r="X16" s="20" t="s">
        <v>169</v>
      </c>
      <c r="Y16" s="20" t="s">
        <v>169</v>
      </c>
      <c r="Z16" s="20" t="s">
        <v>169</v>
      </c>
      <c r="AA16" s="20" t="s">
        <v>169</v>
      </c>
      <c r="AB16" s="20" t="s">
        <v>169</v>
      </c>
      <c r="AC16" s="20" t="s">
        <v>169</v>
      </c>
      <c r="AD16" s="20" t="s">
        <v>169</v>
      </c>
      <c r="AE16" s="20" t="s">
        <v>169</v>
      </c>
      <c r="AF16" s="20" t="s">
        <v>169</v>
      </c>
      <c r="AG16" s="20" t="s">
        <v>169</v>
      </c>
      <c r="AH16" s="20" t="s">
        <v>169</v>
      </c>
      <c r="AI16" s="20" t="s">
        <v>169</v>
      </c>
      <c r="AJ16" s="20" t="s">
        <v>169</v>
      </c>
      <c r="AK16" s="20" t="s">
        <v>169</v>
      </c>
      <c r="AL16" s="20" t="s">
        <v>169</v>
      </c>
      <c r="AM16" s="20" t="s">
        <v>169</v>
      </c>
      <c r="AN16" s="20" t="s">
        <v>169</v>
      </c>
      <c r="AO16" s="20" t="s">
        <v>169</v>
      </c>
      <c r="AP16" s="20" t="s">
        <v>169</v>
      </c>
      <c r="AQ16" s="20" t="s">
        <v>169</v>
      </c>
      <c r="AR16" s="20" t="s">
        <v>169</v>
      </c>
      <c r="AS16" s="20" t="s">
        <v>169</v>
      </c>
      <c r="AT16" s="20" t="s">
        <v>169</v>
      </c>
      <c r="AU16" s="20" t="s">
        <v>169</v>
      </c>
      <c r="AV16" s="20" t="s">
        <v>169</v>
      </c>
      <c r="AW16" s="20" t="s">
        <v>169</v>
      </c>
      <c r="AX16" s="20" t="s">
        <v>169</v>
      </c>
      <c r="AY16" s="20" t="s">
        <v>169</v>
      </c>
      <c r="AZ16" s="20" t="s">
        <v>169</v>
      </c>
      <c r="BA16" s="20" t="s">
        <v>169</v>
      </c>
      <c r="BB16" s="20" t="s">
        <v>169</v>
      </c>
      <c r="BC16" s="20" t="s">
        <v>169</v>
      </c>
      <c r="BD16" s="20" t="s">
        <v>169</v>
      </c>
      <c r="BE16" s="20" t="s">
        <v>169</v>
      </c>
      <c r="BF16" s="20" t="s">
        <v>169</v>
      </c>
      <c r="BG16" s="20" t="s">
        <v>169</v>
      </c>
      <c r="BH16" s="20" t="s">
        <v>169</v>
      </c>
      <c r="BI16" s="20" t="s">
        <v>169</v>
      </c>
      <c r="BJ16" s="20" t="s">
        <v>169</v>
      </c>
      <c r="BK16" s="20" t="s">
        <v>169</v>
      </c>
      <c r="BL16" s="20" t="s">
        <v>169</v>
      </c>
      <c r="BM16" s="20" t="s">
        <v>169</v>
      </c>
      <c r="BN16" s="20" t="s">
        <v>169</v>
      </c>
      <c r="BO16" s="20" t="s">
        <v>169</v>
      </c>
      <c r="BP16" s="20" t="s">
        <v>169</v>
      </c>
      <c r="BQ16" s="20" t="s">
        <v>169</v>
      </c>
      <c r="BR16" s="20" t="s">
        <v>169</v>
      </c>
      <c r="BS16" s="20" t="s">
        <v>169</v>
      </c>
      <c r="BT16" s="20" t="s">
        <v>169</v>
      </c>
      <c r="BU16" s="20" t="s">
        <v>169</v>
      </c>
      <c r="BV16" s="20" t="s">
        <v>169</v>
      </c>
      <c r="BW16" s="20" t="s">
        <v>169</v>
      </c>
      <c r="BX16" s="20" t="s">
        <v>169</v>
      </c>
      <c r="BY16" s="20" t="s">
        <v>169</v>
      </c>
      <c r="BZ16" s="20" t="s">
        <v>169</v>
      </c>
      <c r="CA16" s="20" t="s">
        <v>169</v>
      </c>
      <c r="CB16" s="20" t="s">
        <v>169</v>
      </c>
      <c r="CC16" s="20" t="s">
        <v>169</v>
      </c>
      <c r="CD16" s="20" t="s">
        <v>169</v>
      </c>
      <c r="CE16" s="20" t="s">
        <v>169</v>
      </c>
      <c r="CF16" s="20" t="s">
        <v>169</v>
      </c>
      <c r="CG16" s="20" t="s">
        <v>169</v>
      </c>
      <c r="CH16" s="20" t="s">
        <v>169</v>
      </c>
      <c r="CI16" s="20" t="s">
        <v>169</v>
      </c>
      <c r="CJ16" s="20" t="s">
        <v>169</v>
      </c>
      <c r="CK16" s="20" t="s">
        <v>169</v>
      </c>
      <c r="CL16" s="20" t="s">
        <v>169</v>
      </c>
      <c r="CM16" s="20" t="s">
        <v>169</v>
      </c>
      <c r="CN16" s="20" t="s">
        <v>169</v>
      </c>
      <c r="CO16" s="20" t="s">
        <v>169</v>
      </c>
      <c r="CP16" s="20" t="s">
        <v>169</v>
      </c>
      <c r="CQ16" s="20" t="s">
        <v>169</v>
      </c>
      <c r="CR16" s="20" t="s">
        <v>169</v>
      </c>
      <c r="CS16" s="20" t="s">
        <v>169</v>
      </c>
      <c r="CT16" s="20" t="s">
        <v>169</v>
      </c>
      <c r="CU16" s="20" t="s">
        <v>169</v>
      </c>
      <c r="CV16" s="20" t="s">
        <v>169</v>
      </c>
      <c r="CW16" s="20" t="s">
        <v>169</v>
      </c>
      <c r="CX16" s="20" t="s">
        <v>169</v>
      </c>
    </row>
    <row r="17" spans="1:102" x14ac:dyDescent="0.25">
      <c r="A17" s="22" t="s">
        <v>14</v>
      </c>
      <c r="B17" s="22" t="s">
        <v>123</v>
      </c>
      <c r="C17" s="22" t="s">
        <v>68</v>
      </c>
      <c r="D17" s="6">
        <v>42866</v>
      </c>
      <c r="E17" s="18">
        <v>0.5625</v>
      </c>
      <c r="F17" s="19">
        <v>0.22</v>
      </c>
      <c r="G17" s="20" t="s">
        <v>169</v>
      </c>
      <c r="H17" s="20" t="s">
        <v>169</v>
      </c>
      <c r="I17" s="20" t="s">
        <v>169</v>
      </c>
      <c r="J17" s="20" t="s">
        <v>169</v>
      </c>
      <c r="K17" s="20" t="s">
        <v>169</v>
      </c>
      <c r="L17" s="20" t="s">
        <v>169</v>
      </c>
      <c r="M17" s="20" t="s">
        <v>169</v>
      </c>
      <c r="N17" s="20" t="s">
        <v>169</v>
      </c>
      <c r="O17" s="20" t="s">
        <v>169</v>
      </c>
      <c r="P17" s="20" t="s">
        <v>169</v>
      </c>
      <c r="Q17" s="20" t="s">
        <v>169</v>
      </c>
      <c r="R17" s="20" t="s">
        <v>169</v>
      </c>
      <c r="S17" s="20" t="s">
        <v>169</v>
      </c>
      <c r="T17" s="20" t="s">
        <v>169</v>
      </c>
      <c r="U17" s="20" t="s">
        <v>169</v>
      </c>
      <c r="V17" s="20" t="s">
        <v>169</v>
      </c>
      <c r="W17" s="20" t="s">
        <v>169</v>
      </c>
      <c r="X17" s="20" t="s">
        <v>169</v>
      </c>
      <c r="Y17" s="20" t="s">
        <v>169</v>
      </c>
      <c r="Z17" s="20" t="s">
        <v>169</v>
      </c>
      <c r="AA17" s="20" t="s">
        <v>169</v>
      </c>
      <c r="AB17" s="20" t="s">
        <v>169</v>
      </c>
      <c r="AC17" s="20" t="s">
        <v>169</v>
      </c>
      <c r="AD17" s="20" t="s">
        <v>169</v>
      </c>
      <c r="AE17" s="20" t="s">
        <v>169</v>
      </c>
      <c r="AF17" s="20" t="s">
        <v>169</v>
      </c>
      <c r="AG17" s="20" t="s">
        <v>169</v>
      </c>
      <c r="AH17" s="20" t="s">
        <v>169</v>
      </c>
      <c r="AI17" s="20" t="s">
        <v>169</v>
      </c>
      <c r="AJ17" s="20" t="s">
        <v>169</v>
      </c>
      <c r="AK17" s="20" t="s">
        <v>169</v>
      </c>
      <c r="AL17" s="20" t="s">
        <v>169</v>
      </c>
      <c r="AM17" s="20" t="s">
        <v>169</v>
      </c>
      <c r="AN17" s="20" t="s">
        <v>169</v>
      </c>
      <c r="AO17" s="20" t="s">
        <v>169</v>
      </c>
      <c r="AP17" s="20" t="s">
        <v>169</v>
      </c>
      <c r="AQ17" s="20" t="s">
        <v>169</v>
      </c>
      <c r="AR17" s="20" t="s">
        <v>169</v>
      </c>
      <c r="AS17" s="20" t="s">
        <v>169</v>
      </c>
      <c r="AT17" s="20" t="s">
        <v>169</v>
      </c>
      <c r="AU17" s="20" t="s">
        <v>169</v>
      </c>
      <c r="AV17" s="20" t="s">
        <v>169</v>
      </c>
      <c r="AW17" s="20" t="s">
        <v>169</v>
      </c>
      <c r="AX17" s="20" t="s">
        <v>169</v>
      </c>
      <c r="AY17" s="20" t="s">
        <v>169</v>
      </c>
      <c r="AZ17" s="20" t="s">
        <v>169</v>
      </c>
      <c r="BA17" s="20" t="s">
        <v>169</v>
      </c>
      <c r="BB17" s="20" t="s">
        <v>169</v>
      </c>
      <c r="BC17" s="20" t="s">
        <v>169</v>
      </c>
      <c r="BD17" s="20" t="s">
        <v>169</v>
      </c>
      <c r="BE17" s="20" t="s">
        <v>169</v>
      </c>
      <c r="BF17" s="20" t="s">
        <v>169</v>
      </c>
      <c r="BG17" s="20" t="s">
        <v>169</v>
      </c>
      <c r="BH17" s="20" t="s">
        <v>169</v>
      </c>
      <c r="BI17" s="20" t="s">
        <v>169</v>
      </c>
      <c r="BJ17" s="20" t="s">
        <v>169</v>
      </c>
      <c r="BK17" s="20" t="s">
        <v>169</v>
      </c>
      <c r="BL17" s="20" t="s">
        <v>169</v>
      </c>
      <c r="BM17" s="20" t="s">
        <v>169</v>
      </c>
      <c r="BN17" s="20" t="s">
        <v>169</v>
      </c>
      <c r="BO17" s="20" t="s">
        <v>169</v>
      </c>
      <c r="BP17" s="20">
        <v>22.108709304258543</v>
      </c>
      <c r="BQ17" s="20">
        <v>119.03618074976545</v>
      </c>
      <c r="BR17" s="20" t="s">
        <v>169</v>
      </c>
      <c r="BS17" s="20" t="s">
        <v>169</v>
      </c>
      <c r="BT17" s="20" t="s">
        <v>169</v>
      </c>
      <c r="BU17" s="20" t="s">
        <v>169</v>
      </c>
      <c r="BV17" s="20" t="s">
        <v>169</v>
      </c>
      <c r="BW17" s="20" t="s">
        <v>169</v>
      </c>
      <c r="BX17" s="20" t="s">
        <v>169</v>
      </c>
      <c r="BY17" s="20" t="s">
        <v>169</v>
      </c>
      <c r="BZ17" s="20" t="s">
        <v>169</v>
      </c>
      <c r="CA17" s="20" t="s">
        <v>169</v>
      </c>
      <c r="CB17" s="20" t="s">
        <v>169</v>
      </c>
      <c r="CC17" s="20" t="s">
        <v>169</v>
      </c>
      <c r="CD17" s="20" t="s">
        <v>169</v>
      </c>
      <c r="CE17" s="20" t="s">
        <v>169</v>
      </c>
      <c r="CF17" s="20" t="s">
        <v>169</v>
      </c>
      <c r="CG17" s="20" t="s">
        <v>169</v>
      </c>
      <c r="CH17" s="20" t="s">
        <v>169</v>
      </c>
      <c r="CI17" s="20" t="s">
        <v>169</v>
      </c>
      <c r="CJ17" s="20" t="s">
        <v>169</v>
      </c>
      <c r="CK17" s="20" t="s">
        <v>169</v>
      </c>
      <c r="CL17" s="20" t="s">
        <v>169</v>
      </c>
      <c r="CM17" s="20" t="s">
        <v>169</v>
      </c>
      <c r="CN17" s="20" t="s">
        <v>169</v>
      </c>
      <c r="CO17" s="20" t="s">
        <v>169</v>
      </c>
      <c r="CP17" s="20" t="s">
        <v>169</v>
      </c>
      <c r="CQ17" s="20" t="s">
        <v>169</v>
      </c>
      <c r="CR17" s="20" t="s">
        <v>169</v>
      </c>
      <c r="CS17" s="20" t="s">
        <v>169</v>
      </c>
      <c r="CT17" s="20" t="s">
        <v>169</v>
      </c>
      <c r="CU17" s="20" t="s">
        <v>169</v>
      </c>
      <c r="CV17" s="20" t="s">
        <v>169</v>
      </c>
      <c r="CW17" s="20" t="s">
        <v>169</v>
      </c>
      <c r="CX17" s="20" t="s">
        <v>169</v>
      </c>
    </row>
    <row r="18" spans="1:102" x14ac:dyDescent="0.25">
      <c r="A18" s="22" t="s">
        <v>15</v>
      </c>
      <c r="B18" s="22" t="s">
        <v>124</v>
      </c>
      <c r="C18" s="22" t="s">
        <v>69</v>
      </c>
      <c r="D18" s="6">
        <v>42867</v>
      </c>
      <c r="E18" s="18">
        <v>0.39583333333333331</v>
      </c>
      <c r="F18" s="19">
        <v>5.05</v>
      </c>
      <c r="G18" s="20" t="s">
        <v>169</v>
      </c>
      <c r="H18" s="20" t="s">
        <v>169</v>
      </c>
      <c r="I18" s="20" t="s">
        <v>169</v>
      </c>
      <c r="J18" s="20" t="s">
        <v>169</v>
      </c>
      <c r="K18" s="20" t="s">
        <v>169</v>
      </c>
      <c r="L18" s="20" t="s">
        <v>169</v>
      </c>
      <c r="M18" s="21" t="s">
        <v>169</v>
      </c>
      <c r="N18" s="20" t="s">
        <v>169</v>
      </c>
      <c r="O18" s="20" t="s">
        <v>169</v>
      </c>
      <c r="P18" s="21" t="s">
        <v>169</v>
      </c>
      <c r="Q18" s="20" t="s">
        <v>169</v>
      </c>
      <c r="R18" s="20" t="s">
        <v>169</v>
      </c>
      <c r="S18" s="20" t="s">
        <v>169</v>
      </c>
      <c r="T18" s="20" t="s">
        <v>169</v>
      </c>
      <c r="U18" s="20" t="s">
        <v>169</v>
      </c>
      <c r="V18" s="20" t="s">
        <v>169</v>
      </c>
      <c r="W18" s="20" t="s">
        <v>169</v>
      </c>
      <c r="X18" s="20" t="s">
        <v>169</v>
      </c>
      <c r="Y18" s="20" t="s">
        <v>169</v>
      </c>
      <c r="Z18" s="20" t="s">
        <v>169</v>
      </c>
      <c r="AA18" s="20" t="s">
        <v>169</v>
      </c>
      <c r="AB18" s="20" t="s">
        <v>169</v>
      </c>
      <c r="AC18" s="20" t="s">
        <v>169</v>
      </c>
      <c r="AD18" s="21" t="s">
        <v>169</v>
      </c>
      <c r="AE18" s="20" t="s">
        <v>169</v>
      </c>
      <c r="AF18" s="20" t="s">
        <v>169</v>
      </c>
      <c r="AG18" s="20" t="s">
        <v>169</v>
      </c>
      <c r="AH18" s="20" t="s">
        <v>169</v>
      </c>
      <c r="AI18" s="20" t="s">
        <v>169</v>
      </c>
      <c r="AJ18" s="20" t="s">
        <v>169</v>
      </c>
      <c r="AK18" s="20" t="s">
        <v>169</v>
      </c>
      <c r="AL18" s="20" t="s">
        <v>169</v>
      </c>
      <c r="AM18" s="20" t="s">
        <v>169</v>
      </c>
      <c r="AN18" s="20" t="s">
        <v>169</v>
      </c>
      <c r="AO18" s="20" t="s">
        <v>169</v>
      </c>
      <c r="AP18" s="20" t="s">
        <v>169</v>
      </c>
      <c r="AQ18" s="20" t="s">
        <v>169</v>
      </c>
      <c r="AR18" s="20" t="s">
        <v>169</v>
      </c>
      <c r="AS18" s="20" t="s">
        <v>169</v>
      </c>
      <c r="AT18" s="20" t="s">
        <v>169</v>
      </c>
      <c r="AU18" s="21" t="s">
        <v>169</v>
      </c>
      <c r="AV18" s="20" t="s">
        <v>169</v>
      </c>
      <c r="AW18" s="20" t="s">
        <v>169</v>
      </c>
      <c r="AX18" s="21" t="s">
        <v>169</v>
      </c>
      <c r="AY18" s="21" t="s">
        <v>169</v>
      </c>
      <c r="AZ18" s="20" t="s">
        <v>169</v>
      </c>
      <c r="BA18" s="21" t="s">
        <v>169</v>
      </c>
      <c r="BB18" s="21" t="s">
        <v>169</v>
      </c>
      <c r="BC18" s="20" t="s">
        <v>169</v>
      </c>
      <c r="BD18" s="21" t="s">
        <v>169</v>
      </c>
      <c r="BE18" s="20" t="s">
        <v>169</v>
      </c>
      <c r="BF18" s="20" t="s">
        <v>169</v>
      </c>
      <c r="BG18" s="20" t="s">
        <v>169</v>
      </c>
      <c r="BH18" s="20" t="s">
        <v>169</v>
      </c>
      <c r="BI18" s="20" t="s">
        <v>169</v>
      </c>
      <c r="BJ18" s="21" t="s">
        <v>169</v>
      </c>
      <c r="BK18" s="20" t="s">
        <v>169</v>
      </c>
      <c r="BL18" s="21" t="s">
        <v>169</v>
      </c>
      <c r="BM18" s="20" t="s">
        <v>169</v>
      </c>
      <c r="BN18" s="20" t="s">
        <v>169</v>
      </c>
      <c r="BO18" s="20" t="s">
        <v>169</v>
      </c>
      <c r="BP18" s="20" t="s">
        <v>169</v>
      </c>
      <c r="BQ18" s="20" t="s">
        <v>169</v>
      </c>
      <c r="BR18" s="20" t="s">
        <v>169</v>
      </c>
      <c r="BS18" s="21" t="s">
        <v>169</v>
      </c>
      <c r="BT18" s="20" t="s">
        <v>169</v>
      </c>
      <c r="BU18" s="20">
        <v>1.0230955831660713</v>
      </c>
      <c r="BV18" s="20" t="s">
        <v>169</v>
      </c>
      <c r="BW18" s="20" t="s">
        <v>169</v>
      </c>
      <c r="BX18" s="20" t="s">
        <v>169</v>
      </c>
      <c r="BY18" s="20" t="s">
        <v>169</v>
      </c>
      <c r="BZ18" s="20" t="s">
        <v>169</v>
      </c>
      <c r="CA18" s="20" t="s">
        <v>169</v>
      </c>
      <c r="CB18" s="20" t="s">
        <v>169</v>
      </c>
      <c r="CC18" s="20" t="s">
        <v>169</v>
      </c>
      <c r="CD18" s="20" t="s">
        <v>169</v>
      </c>
      <c r="CE18" s="21" t="s">
        <v>169</v>
      </c>
      <c r="CF18" s="20" t="s">
        <v>169</v>
      </c>
      <c r="CG18" s="20" t="s">
        <v>169</v>
      </c>
      <c r="CH18" s="20" t="s">
        <v>169</v>
      </c>
      <c r="CI18" s="20" t="s">
        <v>169</v>
      </c>
      <c r="CJ18" s="20" t="s">
        <v>169</v>
      </c>
      <c r="CK18" s="20" t="s">
        <v>169</v>
      </c>
      <c r="CL18" s="20" t="s">
        <v>169</v>
      </c>
      <c r="CM18" s="21" t="s">
        <v>169</v>
      </c>
      <c r="CN18" s="20" t="s">
        <v>169</v>
      </c>
      <c r="CO18" s="20" t="s">
        <v>169</v>
      </c>
      <c r="CP18" s="20" t="s">
        <v>169</v>
      </c>
      <c r="CQ18" s="20" t="s">
        <v>169</v>
      </c>
      <c r="CR18" s="21" t="s">
        <v>169</v>
      </c>
      <c r="CS18" s="20" t="s">
        <v>169</v>
      </c>
      <c r="CT18" s="21" t="s">
        <v>169</v>
      </c>
      <c r="CU18" s="21" t="s">
        <v>169</v>
      </c>
      <c r="CV18" s="20" t="s">
        <v>169</v>
      </c>
      <c r="CW18" s="21" t="s">
        <v>169</v>
      </c>
      <c r="CX18" s="21" t="s">
        <v>169</v>
      </c>
    </row>
    <row r="19" spans="1:102" x14ac:dyDescent="0.25">
      <c r="A19" s="22" t="s">
        <v>16</v>
      </c>
      <c r="B19" s="22" t="s">
        <v>125</v>
      </c>
      <c r="C19" s="22" t="s">
        <v>70</v>
      </c>
      <c r="D19" s="6">
        <v>42867</v>
      </c>
      <c r="E19" s="18">
        <v>0.60416666666666663</v>
      </c>
      <c r="F19" s="19">
        <v>2.81</v>
      </c>
      <c r="G19" s="20" t="s">
        <v>169</v>
      </c>
      <c r="H19" s="20" t="s">
        <v>169</v>
      </c>
      <c r="I19" s="20" t="s">
        <v>169</v>
      </c>
      <c r="J19" s="20" t="s">
        <v>169</v>
      </c>
      <c r="K19" s="20" t="s">
        <v>169</v>
      </c>
      <c r="L19" s="20" t="s">
        <v>169</v>
      </c>
      <c r="M19" s="21" t="s">
        <v>169</v>
      </c>
      <c r="N19" s="20" t="s">
        <v>169</v>
      </c>
      <c r="O19" s="20">
        <v>14.217925275356228</v>
      </c>
      <c r="P19" s="21" t="s">
        <v>169</v>
      </c>
      <c r="Q19" s="20" t="s">
        <v>169</v>
      </c>
      <c r="R19" s="20" t="s">
        <v>169</v>
      </c>
      <c r="S19" s="20" t="s">
        <v>169</v>
      </c>
      <c r="T19" s="20" t="s">
        <v>169</v>
      </c>
      <c r="U19" s="20" t="s">
        <v>169</v>
      </c>
      <c r="V19" s="20" t="s">
        <v>169</v>
      </c>
      <c r="W19" s="20" t="s">
        <v>169</v>
      </c>
      <c r="X19" s="20" t="s">
        <v>169</v>
      </c>
      <c r="Y19" s="20" t="s">
        <v>169</v>
      </c>
      <c r="Z19" s="20">
        <v>2.419928825622776</v>
      </c>
      <c r="AA19" s="20" t="s">
        <v>169</v>
      </c>
      <c r="AB19" s="20" t="s">
        <v>169</v>
      </c>
      <c r="AC19" s="20" t="s">
        <v>169</v>
      </c>
      <c r="AD19" s="21" t="s">
        <v>169</v>
      </c>
      <c r="AE19" s="20" t="s">
        <v>169</v>
      </c>
      <c r="AF19" s="20" t="s">
        <v>169</v>
      </c>
      <c r="AG19" s="20" t="s">
        <v>169</v>
      </c>
      <c r="AH19" s="20">
        <v>17.179504475465624</v>
      </c>
      <c r="AI19" s="20" t="s">
        <v>169</v>
      </c>
      <c r="AJ19" s="20" t="s">
        <v>169</v>
      </c>
      <c r="AK19" s="20" t="s">
        <v>169</v>
      </c>
      <c r="AL19" s="20" t="s">
        <v>169</v>
      </c>
      <c r="AM19" s="20" t="s">
        <v>169</v>
      </c>
      <c r="AN19" s="20" t="s">
        <v>169</v>
      </c>
      <c r="AO19" s="20" t="s">
        <v>169</v>
      </c>
      <c r="AP19" s="20" t="s">
        <v>169</v>
      </c>
      <c r="AQ19" s="20" t="s">
        <v>169</v>
      </c>
      <c r="AR19" s="20" t="s">
        <v>169</v>
      </c>
      <c r="AS19" s="20" t="s">
        <v>169</v>
      </c>
      <c r="AT19" s="20" t="s">
        <v>169</v>
      </c>
      <c r="AU19" s="21" t="s">
        <v>169</v>
      </c>
      <c r="AV19" s="20" t="s">
        <v>169</v>
      </c>
      <c r="AW19" s="20" t="s">
        <v>169</v>
      </c>
      <c r="AX19" s="21" t="s">
        <v>169</v>
      </c>
      <c r="AY19" s="21" t="s">
        <v>169</v>
      </c>
      <c r="AZ19" s="20" t="s">
        <v>169</v>
      </c>
      <c r="BA19" s="21" t="s">
        <v>169</v>
      </c>
      <c r="BB19" s="21" t="s">
        <v>169</v>
      </c>
      <c r="BC19" s="20" t="s">
        <v>169</v>
      </c>
      <c r="BD19" s="21" t="s">
        <v>169</v>
      </c>
      <c r="BE19" s="20" t="s">
        <v>169</v>
      </c>
      <c r="BF19" s="20" t="s">
        <v>169</v>
      </c>
      <c r="BG19" s="20" t="s">
        <v>169</v>
      </c>
      <c r="BH19" s="20" t="s">
        <v>169</v>
      </c>
      <c r="BI19" s="20" t="s">
        <v>169</v>
      </c>
      <c r="BJ19" s="21" t="s">
        <v>169</v>
      </c>
      <c r="BK19" s="20" t="s">
        <v>169</v>
      </c>
      <c r="BL19" s="21" t="s">
        <v>169</v>
      </c>
      <c r="BM19" s="20">
        <v>7.0820341136071319</v>
      </c>
      <c r="BN19" s="20" t="s">
        <v>169</v>
      </c>
      <c r="BO19" s="20">
        <v>2.1138790035587189</v>
      </c>
      <c r="BP19" s="20">
        <v>1.9820303406695301</v>
      </c>
      <c r="BQ19" s="20" t="s">
        <v>169</v>
      </c>
      <c r="BR19" s="20" t="s">
        <v>169</v>
      </c>
      <c r="BS19" s="21" t="s">
        <v>169</v>
      </c>
      <c r="BT19" s="20" t="s">
        <v>169</v>
      </c>
      <c r="BU19" s="20">
        <v>121.21962727529679</v>
      </c>
      <c r="BV19" s="20" t="s">
        <v>169</v>
      </c>
      <c r="BW19" s="20" t="s">
        <v>169</v>
      </c>
      <c r="BX19" s="20" t="s">
        <v>169</v>
      </c>
      <c r="BY19" s="20" t="s">
        <v>169</v>
      </c>
      <c r="BZ19" s="20" t="s">
        <v>169</v>
      </c>
      <c r="CA19" s="20" t="s">
        <v>169</v>
      </c>
      <c r="CB19" s="20" t="s">
        <v>169</v>
      </c>
      <c r="CC19" s="20" t="s">
        <v>169</v>
      </c>
      <c r="CD19" s="20" t="s">
        <v>169</v>
      </c>
      <c r="CE19" s="21" t="s">
        <v>169</v>
      </c>
      <c r="CF19" s="20" t="s">
        <v>169</v>
      </c>
      <c r="CG19" s="20" t="s">
        <v>169</v>
      </c>
      <c r="CH19" s="20" t="s">
        <v>169</v>
      </c>
      <c r="CI19" s="20" t="s">
        <v>169</v>
      </c>
      <c r="CJ19" s="20" t="s">
        <v>169</v>
      </c>
      <c r="CK19" s="20" t="s">
        <v>169</v>
      </c>
      <c r="CL19" s="20" t="s">
        <v>169</v>
      </c>
      <c r="CM19" s="21" t="s">
        <v>169</v>
      </c>
      <c r="CN19" s="20" t="s">
        <v>169</v>
      </c>
      <c r="CO19" s="20" t="s">
        <v>169</v>
      </c>
      <c r="CP19" s="20" t="s">
        <v>169</v>
      </c>
      <c r="CQ19" s="20" t="s">
        <v>169</v>
      </c>
      <c r="CR19" s="21" t="s">
        <v>169</v>
      </c>
      <c r="CS19" s="20" t="s">
        <v>169</v>
      </c>
      <c r="CT19" s="21" t="s">
        <v>169</v>
      </c>
      <c r="CU19" s="21" t="s">
        <v>169</v>
      </c>
      <c r="CV19" s="20" t="s">
        <v>169</v>
      </c>
      <c r="CW19" s="21" t="s">
        <v>169</v>
      </c>
      <c r="CX19" s="21" t="s">
        <v>169</v>
      </c>
    </row>
    <row r="20" spans="1:102" x14ac:dyDescent="0.25">
      <c r="A20" s="22" t="s">
        <v>17</v>
      </c>
      <c r="B20" s="22" t="s">
        <v>126</v>
      </c>
      <c r="C20" s="22" t="s">
        <v>71</v>
      </c>
      <c r="D20" s="6">
        <v>42871</v>
      </c>
      <c r="E20" s="18">
        <v>0.4375</v>
      </c>
      <c r="F20" s="19">
        <v>2.41</v>
      </c>
      <c r="G20" s="20" t="s">
        <v>169</v>
      </c>
      <c r="H20" s="20" t="s">
        <v>169</v>
      </c>
      <c r="I20" s="20" t="s">
        <v>169</v>
      </c>
      <c r="J20" s="20" t="s">
        <v>169</v>
      </c>
      <c r="K20" s="20" t="s">
        <v>169</v>
      </c>
      <c r="L20" s="20" t="s">
        <v>169</v>
      </c>
      <c r="M20" s="21" t="s">
        <v>169</v>
      </c>
      <c r="N20" s="20" t="s">
        <v>169</v>
      </c>
      <c r="O20" s="20">
        <v>2.6493814215344229</v>
      </c>
      <c r="P20" s="20">
        <v>2.0739180171071285</v>
      </c>
      <c r="Q20" s="20" t="s">
        <v>169</v>
      </c>
      <c r="R20" s="20" t="s">
        <v>169</v>
      </c>
      <c r="S20" s="20" t="s">
        <v>169</v>
      </c>
      <c r="T20" s="20" t="s">
        <v>169</v>
      </c>
      <c r="U20" s="20" t="s">
        <v>169</v>
      </c>
      <c r="V20" s="20" t="s">
        <v>169</v>
      </c>
      <c r="W20" s="20" t="s">
        <v>169</v>
      </c>
      <c r="X20" s="20" t="s">
        <v>169</v>
      </c>
      <c r="Y20" s="20" t="s">
        <v>169</v>
      </c>
      <c r="Z20" s="20" t="s">
        <v>169</v>
      </c>
      <c r="AA20" s="20" t="s">
        <v>169</v>
      </c>
      <c r="AB20" s="20" t="s">
        <v>169</v>
      </c>
      <c r="AC20" s="20" t="s">
        <v>169</v>
      </c>
      <c r="AD20" s="21" t="s">
        <v>169</v>
      </c>
      <c r="AE20" s="20" t="s">
        <v>169</v>
      </c>
      <c r="AF20" s="20" t="s">
        <v>169</v>
      </c>
      <c r="AG20" s="20" t="s">
        <v>169</v>
      </c>
      <c r="AH20" s="20" t="s">
        <v>169</v>
      </c>
      <c r="AI20" s="20" t="s">
        <v>169</v>
      </c>
      <c r="AJ20" s="20" t="s">
        <v>169</v>
      </c>
      <c r="AK20" s="20" t="s">
        <v>169</v>
      </c>
      <c r="AL20" s="20" t="s">
        <v>169</v>
      </c>
      <c r="AM20" s="20" t="s">
        <v>169</v>
      </c>
      <c r="AN20" s="20" t="s">
        <v>169</v>
      </c>
      <c r="AO20" s="20" t="s">
        <v>169</v>
      </c>
      <c r="AP20" s="20" t="s">
        <v>169</v>
      </c>
      <c r="AQ20" s="20" t="s">
        <v>169</v>
      </c>
      <c r="AR20" s="20" t="s">
        <v>169</v>
      </c>
      <c r="AS20" s="20" t="s">
        <v>169</v>
      </c>
      <c r="AT20" s="20" t="s">
        <v>169</v>
      </c>
      <c r="AU20" s="21" t="s">
        <v>169</v>
      </c>
      <c r="AV20" s="20" t="s">
        <v>169</v>
      </c>
      <c r="AW20" s="20" t="s">
        <v>169</v>
      </c>
      <c r="AX20" s="21" t="s">
        <v>169</v>
      </c>
      <c r="AY20" s="21" t="s">
        <v>169</v>
      </c>
      <c r="AZ20" s="20" t="s">
        <v>169</v>
      </c>
      <c r="BA20" s="21" t="s">
        <v>169</v>
      </c>
      <c r="BB20" s="21" t="s">
        <v>169</v>
      </c>
      <c r="BC20" s="20" t="s">
        <v>169</v>
      </c>
      <c r="BD20" s="21" t="s">
        <v>169</v>
      </c>
      <c r="BE20" s="20" t="s">
        <v>169</v>
      </c>
      <c r="BF20" s="20" t="s">
        <v>169</v>
      </c>
      <c r="BG20" s="20" t="s">
        <v>169</v>
      </c>
      <c r="BH20" s="20" t="s">
        <v>169</v>
      </c>
      <c r="BI20" s="20" t="s">
        <v>169</v>
      </c>
      <c r="BJ20" s="21" t="s">
        <v>169</v>
      </c>
      <c r="BK20" s="20" t="s">
        <v>169</v>
      </c>
      <c r="BL20" s="21" t="s">
        <v>169</v>
      </c>
      <c r="BM20" s="20" t="s">
        <v>169</v>
      </c>
      <c r="BN20" s="20" t="s">
        <v>169</v>
      </c>
      <c r="BO20" s="20">
        <v>2.7302904564315353</v>
      </c>
      <c r="BP20" s="20">
        <v>2.3122438569798009</v>
      </c>
      <c r="BQ20" s="20" t="s">
        <v>169</v>
      </c>
      <c r="BR20" s="20" t="s">
        <v>169</v>
      </c>
      <c r="BS20" s="21" t="s">
        <v>169</v>
      </c>
      <c r="BT20" s="20" t="s">
        <v>169</v>
      </c>
      <c r="BU20" s="20">
        <v>4.0478966031014441</v>
      </c>
      <c r="BV20" s="20" t="s">
        <v>169</v>
      </c>
      <c r="BW20" s="20" t="s">
        <v>169</v>
      </c>
      <c r="BX20" s="20" t="s">
        <v>169</v>
      </c>
      <c r="BY20" s="20" t="s">
        <v>169</v>
      </c>
      <c r="BZ20" s="20">
        <v>23.774457423090535</v>
      </c>
      <c r="CA20" s="20" t="s">
        <v>169</v>
      </c>
      <c r="CB20" s="20" t="s">
        <v>169</v>
      </c>
      <c r="CC20" s="20" t="s">
        <v>169</v>
      </c>
      <c r="CD20" s="20" t="s">
        <v>169</v>
      </c>
      <c r="CE20" s="21" t="s">
        <v>169</v>
      </c>
      <c r="CF20" s="20" t="s">
        <v>169</v>
      </c>
      <c r="CG20" s="20" t="s">
        <v>169</v>
      </c>
      <c r="CH20" s="20" t="s">
        <v>169</v>
      </c>
      <c r="CI20" s="20" t="s">
        <v>169</v>
      </c>
      <c r="CJ20" s="20" t="s">
        <v>169</v>
      </c>
      <c r="CK20" s="20" t="s">
        <v>169</v>
      </c>
      <c r="CL20" s="20" t="s">
        <v>169</v>
      </c>
      <c r="CM20" s="21" t="s">
        <v>169</v>
      </c>
      <c r="CN20" s="20" t="s">
        <v>169</v>
      </c>
      <c r="CO20" s="20" t="s">
        <v>169</v>
      </c>
      <c r="CP20" s="20" t="s">
        <v>169</v>
      </c>
      <c r="CQ20" s="20" t="s">
        <v>169</v>
      </c>
      <c r="CR20" s="21" t="s">
        <v>169</v>
      </c>
      <c r="CS20" s="20" t="s">
        <v>169</v>
      </c>
      <c r="CT20" s="21" t="s">
        <v>169</v>
      </c>
      <c r="CU20" s="21" t="s">
        <v>169</v>
      </c>
      <c r="CV20" s="20" t="s">
        <v>169</v>
      </c>
      <c r="CW20" s="21" t="s">
        <v>169</v>
      </c>
      <c r="CX20" s="21" t="s">
        <v>169</v>
      </c>
    </row>
    <row r="21" spans="1:102" x14ac:dyDescent="0.25">
      <c r="A21" s="22" t="s">
        <v>18</v>
      </c>
      <c r="B21" s="22" t="s">
        <v>127</v>
      </c>
      <c r="C21" s="22" t="s">
        <v>72</v>
      </c>
      <c r="D21" s="6">
        <v>42871</v>
      </c>
      <c r="E21" s="18">
        <v>0.60416666666666663</v>
      </c>
      <c r="F21" s="19">
        <v>1.2</v>
      </c>
      <c r="G21" s="20" t="s">
        <v>169</v>
      </c>
      <c r="H21" s="20" t="s">
        <v>169</v>
      </c>
      <c r="I21" s="20" t="s">
        <v>169</v>
      </c>
      <c r="J21" s="20" t="s">
        <v>169</v>
      </c>
      <c r="K21" s="20" t="s">
        <v>169</v>
      </c>
      <c r="L21" s="20" t="s">
        <v>169</v>
      </c>
      <c r="M21" s="21" t="s">
        <v>169</v>
      </c>
      <c r="N21" s="20" t="s">
        <v>169</v>
      </c>
      <c r="O21" s="20">
        <v>3.0263047211009835</v>
      </c>
      <c r="P21" s="20">
        <v>2</v>
      </c>
      <c r="Q21" s="20" t="s">
        <v>169</v>
      </c>
      <c r="R21" s="20" t="s">
        <v>169</v>
      </c>
      <c r="S21" s="20" t="s">
        <v>169</v>
      </c>
      <c r="T21" s="20" t="s">
        <v>169</v>
      </c>
      <c r="U21" s="20" t="s">
        <v>169</v>
      </c>
      <c r="V21" s="20" t="s">
        <v>169</v>
      </c>
      <c r="W21" s="20" t="s">
        <v>169</v>
      </c>
      <c r="X21" s="20" t="s">
        <v>169</v>
      </c>
      <c r="Y21" s="20" t="s">
        <v>169</v>
      </c>
      <c r="Z21" s="20" t="s">
        <v>169</v>
      </c>
      <c r="AA21" s="20" t="s">
        <v>169</v>
      </c>
      <c r="AB21" s="20" t="s">
        <v>169</v>
      </c>
      <c r="AC21" s="20" t="s">
        <v>169</v>
      </c>
      <c r="AD21" s="21" t="s">
        <v>169</v>
      </c>
      <c r="AE21" s="20" t="s">
        <v>169</v>
      </c>
      <c r="AF21" s="20" t="s">
        <v>169</v>
      </c>
      <c r="AG21" s="20" t="s">
        <v>169</v>
      </c>
      <c r="AH21" s="20">
        <v>2.1342423691049834</v>
      </c>
      <c r="AI21" s="20" t="s">
        <v>169</v>
      </c>
      <c r="AJ21" s="20" t="s">
        <v>169</v>
      </c>
      <c r="AK21" s="20" t="s">
        <v>169</v>
      </c>
      <c r="AL21" s="20" t="s">
        <v>169</v>
      </c>
      <c r="AM21" s="20" t="s">
        <v>169</v>
      </c>
      <c r="AN21" s="20" t="s">
        <v>169</v>
      </c>
      <c r="AO21" s="20" t="s">
        <v>169</v>
      </c>
      <c r="AP21" s="20" t="s">
        <v>169</v>
      </c>
      <c r="AQ21" s="20" t="s">
        <v>169</v>
      </c>
      <c r="AR21" s="20" t="s">
        <v>169</v>
      </c>
      <c r="AS21" s="20" t="s">
        <v>169</v>
      </c>
      <c r="AT21" s="20" t="s">
        <v>169</v>
      </c>
      <c r="AU21" s="21" t="s">
        <v>169</v>
      </c>
      <c r="AV21" s="20" t="s">
        <v>169</v>
      </c>
      <c r="AW21" s="20" t="s">
        <v>169</v>
      </c>
      <c r="AX21" s="21" t="s">
        <v>169</v>
      </c>
      <c r="AY21" s="21" t="s">
        <v>169</v>
      </c>
      <c r="AZ21" s="20" t="s">
        <v>169</v>
      </c>
      <c r="BA21" s="21" t="s">
        <v>169</v>
      </c>
      <c r="BB21" s="21" t="s">
        <v>169</v>
      </c>
      <c r="BC21" s="20" t="s">
        <v>169</v>
      </c>
      <c r="BD21" s="21" t="s">
        <v>169</v>
      </c>
      <c r="BE21" s="20" t="s">
        <v>169</v>
      </c>
      <c r="BF21" s="20" t="s">
        <v>169</v>
      </c>
      <c r="BG21" s="20" t="s">
        <v>169</v>
      </c>
      <c r="BH21" s="20" t="s">
        <v>169</v>
      </c>
      <c r="BI21" s="20" t="s">
        <v>169</v>
      </c>
      <c r="BJ21" s="21" t="s">
        <v>169</v>
      </c>
      <c r="BK21" s="20" t="s">
        <v>169</v>
      </c>
      <c r="BL21" s="21" t="s">
        <v>169</v>
      </c>
      <c r="BM21" s="20" t="s">
        <v>169</v>
      </c>
      <c r="BN21" s="20" t="s">
        <v>169</v>
      </c>
      <c r="BO21" s="20">
        <v>3.6666666666666665</v>
      </c>
      <c r="BP21" s="20">
        <v>3.5352492214307336</v>
      </c>
      <c r="BQ21" s="20" t="s">
        <v>169</v>
      </c>
      <c r="BR21" s="20" t="s">
        <v>169</v>
      </c>
      <c r="BS21" s="21" t="s">
        <v>169</v>
      </c>
      <c r="BT21" s="20" t="s">
        <v>169</v>
      </c>
      <c r="BU21" s="20">
        <v>21.314585335818499</v>
      </c>
      <c r="BV21" s="20" t="s">
        <v>169</v>
      </c>
      <c r="BW21" s="20" t="s">
        <v>169</v>
      </c>
      <c r="BX21" s="20" t="s">
        <v>169</v>
      </c>
      <c r="BY21" s="20" t="s">
        <v>169</v>
      </c>
      <c r="BZ21" s="20">
        <v>9.8689467227782171</v>
      </c>
      <c r="CA21" s="20" t="s">
        <v>169</v>
      </c>
      <c r="CB21" s="20" t="s">
        <v>169</v>
      </c>
      <c r="CC21" s="20" t="s">
        <v>169</v>
      </c>
      <c r="CD21" s="20" t="s">
        <v>169</v>
      </c>
      <c r="CE21" s="21" t="s">
        <v>169</v>
      </c>
      <c r="CF21" s="20" t="s">
        <v>169</v>
      </c>
      <c r="CG21" s="20" t="s">
        <v>169</v>
      </c>
      <c r="CH21" s="20" t="s">
        <v>169</v>
      </c>
      <c r="CI21" s="20" t="s">
        <v>169</v>
      </c>
      <c r="CJ21" s="20" t="s">
        <v>169</v>
      </c>
      <c r="CK21" s="20" t="s">
        <v>169</v>
      </c>
      <c r="CL21" s="20" t="s">
        <v>169</v>
      </c>
      <c r="CM21" s="21" t="s">
        <v>169</v>
      </c>
      <c r="CN21" s="20" t="s">
        <v>169</v>
      </c>
      <c r="CO21" s="20" t="s">
        <v>169</v>
      </c>
      <c r="CP21" s="20" t="s">
        <v>169</v>
      </c>
      <c r="CQ21" s="20" t="s">
        <v>169</v>
      </c>
      <c r="CR21" s="21" t="s">
        <v>169</v>
      </c>
      <c r="CS21" s="20" t="s">
        <v>169</v>
      </c>
      <c r="CT21" s="21" t="s">
        <v>169</v>
      </c>
      <c r="CU21" s="21" t="s">
        <v>169</v>
      </c>
      <c r="CV21" s="20" t="s">
        <v>169</v>
      </c>
      <c r="CW21" s="21" t="s">
        <v>169</v>
      </c>
      <c r="CX21" s="21" t="s">
        <v>169</v>
      </c>
    </row>
    <row r="22" spans="1:102" x14ac:dyDescent="0.25">
      <c r="A22" s="22" t="s">
        <v>19</v>
      </c>
      <c r="B22" s="22" t="s">
        <v>128</v>
      </c>
      <c r="C22" s="22" t="s">
        <v>73</v>
      </c>
      <c r="D22" s="6">
        <v>42866</v>
      </c>
      <c r="E22" s="18">
        <v>0.60416666666666663</v>
      </c>
      <c r="F22" s="19">
        <v>5.08</v>
      </c>
      <c r="G22" s="20" t="s">
        <v>169</v>
      </c>
      <c r="H22" s="20" t="s">
        <v>169</v>
      </c>
      <c r="I22" s="20" t="s">
        <v>169</v>
      </c>
      <c r="J22" s="20" t="s">
        <v>169</v>
      </c>
      <c r="K22" s="20">
        <v>2.6170542653784805</v>
      </c>
      <c r="L22" s="20" t="s">
        <v>169</v>
      </c>
      <c r="M22" s="20" t="s">
        <v>169</v>
      </c>
      <c r="N22" s="20" t="s">
        <v>169</v>
      </c>
      <c r="O22" s="20">
        <v>1.5044016854990747</v>
      </c>
      <c r="P22" s="20">
        <v>11.456310679611649</v>
      </c>
      <c r="Q22" s="20" t="s">
        <v>169</v>
      </c>
      <c r="R22" s="20" t="s">
        <v>169</v>
      </c>
      <c r="S22" s="20" t="s">
        <v>169</v>
      </c>
      <c r="T22" s="20" t="s">
        <v>169</v>
      </c>
      <c r="U22" s="20" t="s">
        <v>169</v>
      </c>
      <c r="V22" s="20" t="s">
        <v>169</v>
      </c>
      <c r="W22" s="20" t="s">
        <v>169</v>
      </c>
      <c r="X22" s="20" t="s">
        <v>169</v>
      </c>
      <c r="Y22" s="20" t="s">
        <v>169</v>
      </c>
      <c r="Z22" s="20" t="s">
        <v>169</v>
      </c>
      <c r="AA22" s="20" t="s">
        <v>169</v>
      </c>
      <c r="AB22" s="20" t="s">
        <v>169</v>
      </c>
      <c r="AC22" s="20" t="s">
        <v>169</v>
      </c>
      <c r="AD22" s="20" t="s">
        <v>169</v>
      </c>
      <c r="AE22" s="20" t="s">
        <v>169</v>
      </c>
      <c r="AF22" s="20" t="s">
        <v>169</v>
      </c>
      <c r="AG22" s="20" t="s">
        <v>169</v>
      </c>
      <c r="AH22" s="20" t="s">
        <v>169</v>
      </c>
      <c r="AI22" s="20" t="s">
        <v>169</v>
      </c>
      <c r="AJ22" s="20" t="s">
        <v>169</v>
      </c>
      <c r="AK22" s="20" t="s">
        <v>169</v>
      </c>
      <c r="AL22" s="20" t="s">
        <v>169</v>
      </c>
      <c r="AM22" s="20" t="s">
        <v>169</v>
      </c>
      <c r="AN22" s="20" t="s">
        <v>169</v>
      </c>
      <c r="AO22" s="20" t="s">
        <v>169</v>
      </c>
      <c r="AP22" s="20" t="s">
        <v>169</v>
      </c>
      <c r="AQ22" s="20" t="s">
        <v>169</v>
      </c>
      <c r="AR22" s="20" t="s">
        <v>169</v>
      </c>
      <c r="AS22" s="20" t="s">
        <v>169</v>
      </c>
      <c r="AT22" s="20" t="s">
        <v>169</v>
      </c>
      <c r="AU22" s="20" t="s">
        <v>169</v>
      </c>
      <c r="AV22" s="20" t="s">
        <v>169</v>
      </c>
      <c r="AW22" s="20" t="s">
        <v>169</v>
      </c>
      <c r="AX22" s="20" t="s">
        <v>169</v>
      </c>
      <c r="AY22" s="20" t="s">
        <v>169</v>
      </c>
      <c r="AZ22" s="20" t="s">
        <v>169</v>
      </c>
      <c r="BA22" s="20" t="s">
        <v>169</v>
      </c>
      <c r="BB22" s="20" t="s">
        <v>169</v>
      </c>
      <c r="BC22" s="20" t="s">
        <v>169</v>
      </c>
      <c r="BD22" s="20" t="s">
        <v>169</v>
      </c>
      <c r="BE22" s="20" t="s">
        <v>169</v>
      </c>
      <c r="BF22" s="20" t="s">
        <v>169</v>
      </c>
      <c r="BG22" s="20" t="s">
        <v>169</v>
      </c>
      <c r="BH22" s="20">
        <v>3.4347917640967713</v>
      </c>
      <c r="BI22" s="20" t="s">
        <v>169</v>
      </c>
      <c r="BJ22" s="20" t="s">
        <v>169</v>
      </c>
      <c r="BK22" s="20" t="s">
        <v>169</v>
      </c>
      <c r="BL22" s="20" t="s">
        <v>169</v>
      </c>
      <c r="BM22" s="20">
        <v>1.7085756734726536</v>
      </c>
      <c r="BN22" s="20">
        <v>4.2913385826771657</v>
      </c>
      <c r="BO22" s="20">
        <v>1.2125984251968505</v>
      </c>
      <c r="BP22" s="20">
        <v>1.472374284839437</v>
      </c>
      <c r="BQ22" s="20">
        <v>3.6610285308416732</v>
      </c>
      <c r="BR22" s="20" t="s">
        <v>169</v>
      </c>
      <c r="BS22" s="20" t="s">
        <v>169</v>
      </c>
      <c r="BT22" s="20" t="s">
        <v>169</v>
      </c>
      <c r="BU22" s="20">
        <v>8.5351636325748821</v>
      </c>
      <c r="BV22" s="20" t="s">
        <v>169</v>
      </c>
      <c r="BW22" s="20" t="s">
        <v>169</v>
      </c>
      <c r="BX22" s="20" t="s">
        <v>169</v>
      </c>
      <c r="BY22" s="20" t="s">
        <v>169</v>
      </c>
      <c r="BZ22" s="20">
        <v>1.8805388099937244</v>
      </c>
      <c r="CA22" s="20" t="s">
        <v>169</v>
      </c>
      <c r="CB22" s="20" t="s">
        <v>169</v>
      </c>
      <c r="CC22" s="20" t="s">
        <v>169</v>
      </c>
      <c r="CD22" s="20" t="s">
        <v>169</v>
      </c>
      <c r="CE22" s="20" t="s">
        <v>169</v>
      </c>
      <c r="CF22" s="20" t="s">
        <v>169</v>
      </c>
      <c r="CG22" s="20" t="s">
        <v>169</v>
      </c>
      <c r="CH22" s="20" t="s">
        <v>169</v>
      </c>
      <c r="CI22" s="20" t="s">
        <v>169</v>
      </c>
      <c r="CJ22" s="20" t="s">
        <v>169</v>
      </c>
      <c r="CK22" s="20" t="s">
        <v>169</v>
      </c>
      <c r="CL22" s="20" t="s">
        <v>169</v>
      </c>
      <c r="CM22" s="20" t="s">
        <v>169</v>
      </c>
      <c r="CN22" s="20" t="s">
        <v>169</v>
      </c>
      <c r="CO22" s="20" t="s">
        <v>169</v>
      </c>
      <c r="CP22" s="20" t="s">
        <v>169</v>
      </c>
      <c r="CQ22" s="20" t="s">
        <v>169</v>
      </c>
      <c r="CR22" s="20" t="s">
        <v>169</v>
      </c>
      <c r="CS22" s="20" t="s">
        <v>169</v>
      </c>
      <c r="CT22" s="20" t="s">
        <v>169</v>
      </c>
      <c r="CU22" s="20" t="s">
        <v>169</v>
      </c>
      <c r="CV22" s="20" t="s">
        <v>169</v>
      </c>
      <c r="CW22" s="20" t="s">
        <v>169</v>
      </c>
      <c r="CX22" s="20" t="s">
        <v>169</v>
      </c>
    </row>
    <row r="23" spans="1:102" x14ac:dyDescent="0.25">
      <c r="A23" s="22" t="s">
        <v>20</v>
      </c>
      <c r="B23" s="22" t="s">
        <v>129</v>
      </c>
      <c r="C23" s="22" t="s">
        <v>74</v>
      </c>
      <c r="D23" s="6">
        <v>42864</v>
      </c>
      <c r="E23" s="18">
        <v>0.55208333333333337</v>
      </c>
      <c r="F23" s="19">
        <v>0.6</v>
      </c>
      <c r="G23" s="20" t="s">
        <v>169</v>
      </c>
      <c r="H23" s="20" t="s">
        <v>169</v>
      </c>
      <c r="I23" s="20" t="s">
        <v>169</v>
      </c>
      <c r="J23" s="20" t="s">
        <v>169</v>
      </c>
      <c r="K23" s="20" t="s">
        <v>169</v>
      </c>
      <c r="L23" s="20" t="s">
        <v>169</v>
      </c>
      <c r="M23" s="20" t="s">
        <v>169</v>
      </c>
      <c r="N23" s="20" t="s">
        <v>169</v>
      </c>
      <c r="O23" s="20">
        <v>18.543637210378268</v>
      </c>
      <c r="P23" s="20">
        <v>5.7475728155339807</v>
      </c>
      <c r="Q23" s="20" t="s">
        <v>169</v>
      </c>
      <c r="R23" s="20" t="s">
        <v>169</v>
      </c>
      <c r="S23" s="20" t="s">
        <v>169</v>
      </c>
      <c r="T23" s="20" t="s">
        <v>169</v>
      </c>
      <c r="U23" s="20" t="s">
        <v>169</v>
      </c>
      <c r="V23" s="20" t="s">
        <v>169</v>
      </c>
      <c r="W23" s="20" t="s">
        <v>169</v>
      </c>
      <c r="X23" s="20" t="s">
        <v>169</v>
      </c>
      <c r="Y23" s="20" t="s">
        <v>169</v>
      </c>
      <c r="Z23" s="20" t="s">
        <v>169</v>
      </c>
      <c r="AA23" s="20" t="s">
        <v>169</v>
      </c>
      <c r="AB23" s="20" t="s">
        <v>169</v>
      </c>
      <c r="AC23" s="20" t="s">
        <v>169</v>
      </c>
      <c r="AD23" s="20" t="s">
        <v>169</v>
      </c>
      <c r="AE23" s="20" t="s">
        <v>169</v>
      </c>
      <c r="AF23" s="20" t="s">
        <v>169</v>
      </c>
      <c r="AG23" s="20" t="s">
        <v>169</v>
      </c>
      <c r="AH23" s="20" t="s">
        <v>169</v>
      </c>
      <c r="AI23" s="20" t="s">
        <v>169</v>
      </c>
      <c r="AJ23" s="20" t="s">
        <v>169</v>
      </c>
      <c r="AK23" s="20" t="s">
        <v>169</v>
      </c>
      <c r="AL23" s="20" t="s">
        <v>169</v>
      </c>
      <c r="AM23" s="20" t="s">
        <v>169</v>
      </c>
      <c r="AN23" s="20" t="s">
        <v>169</v>
      </c>
      <c r="AO23" s="20" t="s">
        <v>169</v>
      </c>
      <c r="AP23" s="20" t="s">
        <v>169</v>
      </c>
      <c r="AQ23" s="20" t="s">
        <v>169</v>
      </c>
      <c r="AR23" s="20" t="s">
        <v>169</v>
      </c>
      <c r="AS23" s="20" t="s">
        <v>169</v>
      </c>
      <c r="AT23" s="20" t="s">
        <v>169</v>
      </c>
      <c r="AU23" s="20" t="s">
        <v>169</v>
      </c>
      <c r="AV23" s="20" t="s">
        <v>169</v>
      </c>
      <c r="AW23" s="20" t="s">
        <v>169</v>
      </c>
      <c r="AX23" s="20" t="s">
        <v>169</v>
      </c>
      <c r="AY23" s="20" t="s">
        <v>169</v>
      </c>
      <c r="AZ23" s="20" t="s">
        <v>169</v>
      </c>
      <c r="BA23" s="20" t="s">
        <v>169</v>
      </c>
      <c r="BB23" s="20" t="s">
        <v>169</v>
      </c>
      <c r="BC23" s="20" t="s">
        <v>169</v>
      </c>
      <c r="BD23" s="20" t="s">
        <v>169</v>
      </c>
      <c r="BE23" s="20" t="s">
        <v>169</v>
      </c>
      <c r="BF23" s="20" t="s">
        <v>169</v>
      </c>
      <c r="BG23" s="20" t="s">
        <v>169</v>
      </c>
      <c r="BH23" s="20" t="s">
        <v>169</v>
      </c>
      <c r="BI23" s="20" t="s">
        <v>169</v>
      </c>
      <c r="BJ23" s="20" t="s">
        <v>169</v>
      </c>
      <c r="BK23" s="20" t="s">
        <v>169</v>
      </c>
      <c r="BL23" s="20" t="s">
        <v>169</v>
      </c>
      <c r="BM23" s="20" t="s">
        <v>169</v>
      </c>
      <c r="BN23" s="20" t="s">
        <v>169</v>
      </c>
      <c r="BO23" s="20" t="s">
        <v>169</v>
      </c>
      <c r="BP23" s="20">
        <v>6.3667088256090345</v>
      </c>
      <c r="BQ23" s="20">
        <v>53.822023456571003</v>
      </c>
      <c r="BR23" s="20" t="s">
        <v>169</v>
      </c>
      <c r="BS23" s="20" t="s">
        <v>169</v>
      </c>
      <c r="BT23" s="20" t="s">
        <v>169</v>
      </c>
      <c r="BU23" s="20">
        <v>13.355577449539066</v>
      </c>
      <c r="BV23" s="20" t="s">
        <v>169</v>
      </c>
      <c r="BW23" s="20" t="s">
        <v>169</v>
      </c>
      <c r="BX23" s="20" t="s">
        <v>169</v>
      </c>
      <c r="BY23" s="20" t="s">
        <v>169</v>
      </c>
      <c r="BZ23" s="20">
        <v>10.480039852273867</v>
      </c>
      <c r="CA23" s="20" t="s">
        <v>169</v>
      </c>
      <c r="CB23" s="20" t="s">
        <v>169</v>
      </c>
      <c r="CC23" s="20" t="s">
        <v>169</v>
      </c>
      <c r="CD23" s="20" t="s">
        <v>169</v>
      </c>
      <c r="CE23" s="20" t="s">
        <v>169</v>
      </c>
      <c r="CF23" s="20" t="s">
        <v>169</v>
      </c>
      <c r="CG23" s="20" t="s">
        <v>169</v>
      </c>
      <c r="CH23" s="20" t="s">
        <v>169</v>
      </c>
      <c r="CI23" s="20" t="s">
        <v>169</v>
      </c>
      <c r="CJ23" s="20" t="s">
        <v>169</v>
      </c>
      <c r="CK23" s="20" t="s">
        <v>169</v>
      </c>
      <c r="CL23" s="20" t="s">
        <v>169</v>
      </c>
      <c r="CM23" s="20" t="s">
        <v>169</v>
      </c>
      <c r="CN23" s="20" t="s">
        <v>169</v>
      </c>
      <c r="CO23" s="20" t="s">
        <v>169</v>
      </c>
      <c r="CP23" s="20" t="s">
        <v>169</v>
      </c>
      <c r="CQ23" s="20" t="s">
        <v>169</v>
      </c>
      <c r="CR23" s="20" t="s">
        <v>169</v>
      </c>
      <c r="CS23" s="20" t="s">
        <v>169</v>
      </c>
      <c r="CT23" s="20" t="s">
        <v>169</v>
      </c>
      <c r="CU23" s="20" t="s">
        <v>169</v>
      </c>
      <c r="CV23" s="20" t="s">
        <v>169</v>
      </c>
      <c r="CW23" s="20" t="s">
        <v>169</v>
      </c>
      <c r="CX23" s="20" t="s">
        <v>169</v>
      </c>
    </row>
    <row r="24" spans="1:102" x14ac:dyDescent="0.25">
      <c r="A24" s="22" t="s">
        <v>21</v>
      </c>
      <c r="B24" s="22" t="s">
        <v>130</v>
      </c>
      <c r="C24" s="22" t="s">
        <v>75</v>
      </c>
      <c r="D24" s="6">
        <v>42862</v>
      </c>
      <c r="E24" s="18">
        <v>0.46875</v>
      </c>
      <c r="F24" s="19">
        <v>2.1800000000000002</v>
      </c>
      <c r="G24" s="20" t="s">
        <v>169</v>
      </c>
      <c r="H24" s="20" t="s">
        <v>169</v>
      </c>
      <c r="I24" s="20" t="s">
        <v>169</v>
      </c>
      <c r="J24" s="20" t="s">
        <v>169</v>
      </c>
      <c r="K24" s="20" t="s">
        <v>169</v>
      </c>
      <c r="L24" s="20" t="s">
        <v>169</v>
      </c>
      <c r="M24" s="20" t="s">
        <v>169</v>
      </c>
      <c r="N24" s="20" t="s">
        <v>169</v>
      </c>
      <c r="O24" s="20">
        <v>13.624938792897062</v>
      </c>
      <c r="P24" s="20">
        <v>2.0472830250847065</v>
      </c>
      <c r="Q24" s="20" t="s">
        <v>169</v>
      </c>
      <c r="R24" s="20" t="s">
        <v>169</v>
      </c>
      <c r="S24" s="20" t="s">
        <v>169</v>
      </c>
      <c r="T24" s="20" t="s">
        <v>169</v>
      </c>
      <c r="U24" s="20" t="s">
        <v>169</v>
      </c>
      <c r="V24" s="20" t="s">
        <v>169</v>
      </c>
      <c r="W24" s="20" t="s">
        <v>169</v>
      </c>
      <c r="X24" s="20" t="s">
        <v>169</v>
      </c>
      <c r="Y24" s="20" t="s">
        <v>169</v>
      </c>
      <c r="Z24" s="20" t="s">
        <v>169</v>
      </c>
      <c r="AA24" s="20">
        <v>5.6089669391855042</v>
      </c>
      <c r="AB24" s="20" t="s">
        <v>169</v>
      </c>
      <c r="AC24" s="20" t="s">
        <v>169</v>
      </c>
      <c r="AD24" s="20" t="s">
        <v>169</v>
      </c>
      <c r="AE24" s="20">
        <v>1.4581168435093304</v>
      </c>
      <c r="AF24" s="20" t="s">
        <v>169</v>
      </c>
      <c r="AG24" s="20" t="s">
        <v>169</v>
      </c>
      <c r="AH24" s="20" t="s">
        <v>169</v>
      </c>
      <c r="AI24" s="20" t="s">
        <v>169</v>
      </c>
      <c r="AJ24" s="20" t="s">
        <v>169</v>
      </c>
      <c r="AK24" s="20" t="s">
        <v>169</v>
      </c>
      <c r="AL24" s="20" t="s">
        <v>169</v>
      </c>
      <c r="AM24" s="20" t="s">
        <v>169</v>
      </c>
      <c r="AN24" s="20" t="s">
        <v>169</v>
      </c>
      <c r="AO24" s="20" t="s">
        <v>169</v>
      </c>
      <c r="AP24" s="20" t="s">
        <v>169</v>
      </c>
      <c r="AQ24" s="20" t="s">
        <v>169</v>
      </c>
      <c r="AR24" s="20" t="s">
        <v>169</v>
      </c>
      <c r="AS24" s="20" t="s">
        <v>169</v>
      </c>
      <c r="AT24" s="20" t="s">
        <v>169</v>
      </c>
      <c r="AU24" s="20" t="s">
        <v>169</v>
      </c>
      <c r="AV24" s="20" t="s">
        <v>169</v>
      </c>
      <c r="AW24" s="20" t="s">
        <v>169</v>
      </c>
      <c r="AX24" s="20" t="s">
        <v>169</v>
      </c>
      <c r="AY24" s="20" t="s">
        <v>169</v>
      </c>
      <c r="AZ24" s="20" t="s">
        <v>169</v>
      </c>
      <c r="BA24" s="20" t="s">
        <v>169</v>
      </c>
      <c r="BB24" s="20" t="s">
        <v>169</v>
      </c>
      <c r="BC24" s="20" t="s">
        <v>169</v>
      </c>
      <c r="BD24" s="20" t="s">
        <v>169</v>
      </c>
      <c r="BE24" s="20" t="s">
        <v>169</v>
      </c>
      <c r="BF24" s="20" t="s">
        <v>169</v>
      </c>
      <c r="BG24" s="20" t="s">
        <v>169</v>
      </c>
      <c r="BH24" s="20" t="s">
        <v>169</v>
      </c>
      <c r="BI24" s="20" t="s">
        <v>169</v>
      </c>
      <c r="BJ24" s="20" t="s">
        <v>169</v>
      </c>
      <c r="BK24" s="20" t="s">
        <v>169</v>
      </c>
      <c r="BL24" s="20" t="s">
        <v>169</v>
      </c>
      <c r="BM24" s="20">
        <v>1.9532030330625045</v>
      </c>
      <c r="BN24" s="20">
        <v>21.036697247706421</v>
      </c>
      <c r="BO24" s="20" t="s">
        <v>169</v>
      </c>
      <c r="BP24" s="20">
        <v>1.6912694057493025</v>
      </c>
      <c r="BQ24" s="20" t="s">
        <v>169</v>
      </c>
      <c r="BR24" s="20" t="s">
        <v>169</v>
      </c>
      <c r="BS24" s="20" t="s">
        <v>169</v>
      </c>
      <c r="BT24" s="20" t="s">
        <v>169</v>
      </c>
      <c r="BU24" s="20">
        <v>32.759370927408717</v>
      </c>
      <c r="BV24" s="20" t="s">
        <v>169</v>
      </c>
      <c r="BW24" s="20" t="s">
        <v>169</v>
      </c>
      <c r="BX24" s="20" t="s">
        <v>169</v>
      </c>
      <c r="BY24" s="20" t="s">
        <v>169</v>
      </c>
      <c r="BZ24" s="20" t="s">
        <v>169</v>
      </c>
      <c r="CA24" s="20" t="s">
        <v>169</v>
      </c>
      <c r="CB24" s="20" t="s">
        <v>169</v>
      </c>
      <c r="CC24" s="20" t="s">
        <v>169</v>
      </c>
      <c r="CD24" s="20" t="s">
        <v>169</v>
      </c>
      <c r="CE24" s="20" t="s">
        <v>169</v>
      </c>
      <c r="CF24" s="20" t="s">
        <v>169</v>
      </c>
      <c r="CG24" s="20" t="s">
        <v>169</v>
      </c>
      <c r="CH24" s="20" t="s">
        <v>169</v>
      </c>
      <c r="CI24" s="20" t="s">
        <v>169</v>
      </c>
      <c r="CJ24" s="20" t="s">
        <v>169</v>
      </c>
      <c r="CK24" s="20" t="s">
        <v>169</v>
      </c>
      <c r="CL24" s="20" t="s">
        <v>169</v>
      </c>
      <c r="CM24" s="20" t="s">
        <v>169</v>
      </c>
      <c r="CN24" s="20" t="s">
        <v>169</v>
      </c>
      <c r="CO24" s="20" t="s">
        <v>169</v>
      </c>
      <c r="CP24" s="20" t="s">
        <v>169</v>
      </c>
      <c r="CQ24" s="20" t="s">
        <v>169</v>
      </c>
      <c r="CR24" s="20" t="s">
        <v>169</v>
      </c>
      <c r="CS24" s="20" t="s">
        <v>169</v>
      </c>
      <c r="CT24" s="20" t="s">
        <v>169</v>
      </c>
      <c r="CU24" s="20" t="s">
        <v>169</v>
      </c>
      <c r="CV24" s="20" t="s">
        <v>169</v>
      </c>
      <c r="CW24" s="20" t="s">
        <v>169</v>
      </c>
      <c r="CX24" s="20" t="s">
        <v>169</v>
      </c>
    </row>
    <row r="25" spans="1:102" x14ac:dyDescent="0.25">
      <c r="A25" s="22" t="s">
        <v>22</v>
      </c>
      <c r="B25" s="22" t="s">
        <v>131</v>
      </c>
      <c r="C25" s="22" t="s">
        <v>76</v>
      </c>
      <c r="D25" s="6">
        <v>42860</v>
      </c>
      <c r="E25" s="18">
        <v>0.50347222222222221</v>
      </c>
      <c r="F25" s="19">
        <v>0.32</v>
      </c>
      <c r="G25" s="20" t="s">
        <v>169</v>
      </c>
      <c r="H25" s="20" t="s">
        <v>169</v>
      </c>
      <c r="I25" s="20" t="s">
        <v>169</v>
      </c>
      <c r="J25" s="20" t="s">
        <v>169</v>
      </c>
      <c r="K25" s="20" t="s">
        <v>169</v>
      </c>
      <c r="L25" s="20" t="s">
        <v>169</v>
      </c>
      <c r="M25" s="20" t="s">
        <v>169</v>
      </c>
      <c r="N25" s="20" t="s">
        <v>169</v>
      </c>
      <c r="O25" s="20" t="s">
        <v>169</v>
      </c>
      <c r="P25" s="20" t="s">
        <v>169</v>
      </c>
      <c r="Q25" s="20" t="s">
        <v>169</v>
      </c>
      <c r="R25" s="20" t="s">
        <v>169</v>
      </c>
      <c r="S25" s="20" t="s">
        <v>169</v>
      </c>
      <c r="T25" s="20" t="s">
        <v>169</v>
      </c>
      <c r="U25" s="20" t="s">
        <v>169</v>
      </c>
      <c r="V25" s="20" t="s">
        <v>169</v>
      </c>
      <c r="W25" s="20" t="s">
        <v>169</v>
      </c>
      <c r="X25" s="20" t="s">
        <v>169</v>
      </c>
      <c r="Y25" s="20" t="s">
        <v>169</v>
      </c>
      <c r="Z25" s="20" t="s">
        <v>169</v>
      </c>
      <c r="AA25" s="20" t="s">
        <v>169</v>
      </c>
      <c r="AB25" s="20" t="s">
        <v>169</v>
      </c>
      <c r="AC25" s="20" t="s">
        <v>169</v>
      </c>
      <c r="AD25" s="20" t="s">
        <v>169</v>
      </c>
      <c r="AE25" s="20" t="s">
        <v>169</v>
      </c>
      <c r="AF25" s="20" t="s">
        <v>169</v>
      </c>
      <c r="AG25" s="20" t="s">
        <v>169</v>
      </c>
      <c r="AH25" s="20" t="s">
        <v>169</v>
      </c>
      <c r="AI25" s="20" t="s">
        <v>169</v>
      </c>
      <c r="AJ25" s="20" t="s">
        <v>169</v>
      </c>
      <c r="AK25" s="20" t="s">
        <v>169</v>
      </c>
      <c r="AL25" s="20" t="s">
        <v>169</v>
      </c>
      <c r="AM25" s="20" t="s">
        <v>169</v>
      </c>
      <c r="AN25" s="20" t="s">
        <v>169</v>
      </c>
      <c r="AO25" s="20" t="s">
        <v>169</v>
      </c>
      <c r="AP25" s="20" t="s">
        <v>169</v>
      </c>
      <c r="AQ25" s="20" t="s">
        <v>169</v>
      </c>
      <c r="AR25" s="20" t="s">
        <v>169</v>
      </c>
      <c r="AS25" s="20" t="s">
        <v>169</v>
      </c>
      <c r="AT25" s="20" t="s">
        <v>169</v>
      </c>
      <c r="AU25" s="20" t="s">
        <v>169</v>
      </c>
      <c r="AV25" s="20" t="s">
        <v>169</v>
      </c>
      <c r="AW25" s="20" t="s">
        <v>169</v>
      </c>
      <c r="AX25" s="20" t="s">
        <v>169</v>
      </c>
      <c r="AY25" s="20" t="s">
        <v>169</v>
      </c>
      <c r="AZ25" s="20" t="s">
        <v>169</v>
      </c>
      <c r="BA25" s="20" t="s">
        <v>169</v>
      </c>
      <c r="BB25" s="20" t="s">
        <v>169</v>
      </c>
      <c r="BC25" s="20" t="s">
        <v>169</v>
      </c>
      <c r="BD25" s="20" t="s">
        <v>169</v>
      </c>
      <c r="BE25" s="20" t="s">
        <v>169</v>
      </c>
      <c r="BF25" s="20" t="s">
        <v>169</v>
      </c>
      <c r="BG25" s="20" t="s">
        <v>169</v>
      </c>
      <c r="BH25" s="20" t="s">
        <v>169</v>
      </c>
      <c r="BI25" s="20" t="s">
        <v>169</v>
      </c>
      <c r="BJ25" s="20" t="s">
        <v>169</v>
      </c>
      <c r="BK25" s="20" t="s">
        <v>169</v>
      </c>
      <c r="BL25" s="20" t="s">
        <v>169</v>
      </c>
      <c r="BM25" s="20" t="s">
        <v>169</v>
      </c>
      <c r="BN25" s="20" t="s">
        <v>169</v>
      </c>
      <c r="BO25" s="20" t="s">
        <v>169</v>
      </c>
      <c r="BP25" s="20">
        <v>12.866561596574813</v>
      </c>
      <c r="BQ25" s="20" t="s">
        <v>169</v>
      </c>
      <c r="BR25" s="20" t="s">
        <v>169</v>
      </c>
      <c r="BS25" s="20" t="s">
        <v>169</v>
      </c>
      <c r="BT25" s="20" t="s">
        <v>169</v>
      </c>
      <c r="BU25" s="20" t="s">
        <v>169</v>
      </c>
      <c r="BV25" s="20" t="s">
        <v>169</v>
      </c>
      <c r="BW25" s="20" t="s">
        <v>169</v>
      </c>
      <c r="BX25" s="20" t="s">
        <v>169</v>
      </c>
      <c r="BY25" s="20" t="s">
        <v>169</v>
      </c>
      <c r="BZ25" s="20" t="s">
        <v>169</v>
      </c>
      <c r="CA25" s="20" t="s">
        <v>169</v>
      </c>
      <c r="CB25" s="20" t="s">
        <v>169</v>
      </c>
      <c r="CC25" s="20" t="s">
        <v>169</v>
      </c>
      <c r="CD25" s="20" t="s">
        <v>169</v>
      </c>
      <c r="CE25" s="20" t="s">
        <v>169</v>
      </c>
      <c r="CF25" s="20" t="s">
        <v>169</v>
      </c>
      <c r="CG25" s="20" t="s">
        <v>169</v>
      </c>
      <c r="CH25" s="20" t="s">
        <v>169</v>
      </c>
      <c r="CI25" s="20" t="s">
        <v>169</v>
      </c>
      <c r="CJ25" s="20" t="s">
        <v>169</v>
      </c>
      <c r="CK25" s="20" t="s">
        <v>169</v>
      </c>
      <c r="CL25" s="20" t="s">
        <v>169</v>
      </c>
      <c r="CM25" s="20" t="s">
        <v>169</v>
      </c>
      <c r="CN25" s="20" t="s">
        <v>169</v>
      </c>
      <c r="CO25" s="20" t="s">
        <v>169</v>
      </c>
      <c r="CP25" s="20" t="s">
        <v>169</v>
      </c>
      <c r="CQ25" s="20" t="s">
        <v>169</v>
      </c>
      <c r="CR25" s="20" t="s">
        <v>169</v>
      </c>
      <c r="CS25" s="20" t="s">
        <v>169</v>
      </c>
      <c r="CT25" s="20" t="s">
        <v>169</v>
      </c>
      <c r="CU25" s="20" t="s">
        <v>169</v>
      </c>
      <c r="CV25" s="20" t="s">
        <v>169</v>
      </c>
      <c r="CW25" s="20" t="s">
        <v>169</v>
      </c>
      <c r="CX25" s="20" t="s">
        <v>169</v>
      </c>
    </row>
    <row r="26" spans="1:102" x14ac:dyDescent="0.25">
      <c r="A26" s="22" t="s">
        <v>23</v>
      </c>
      <c r="B26" s="22" t="s">
        <v>132</v>
      </c>
      <c r="C26" s="22" t="s">
        <v>77</v>
      </c>
      <c r="D26" s="6">
        <v>42858</v>
      </c>
      <c r="E26" s="18">
        <v>0.3611111111111111</v>
      </c>
      <c r="F26" s="19">
        <v>2.5499999999999998</v>
      </c>
      <c r="G26" s="20" t="s">
        <v>169</v>
      </c>
      <c r="H26" s="20" t="s">
        <v>169</v>
      </c>
      <c r="I26" s="20" t="s">
        <v>169</v>
      </c>
      <c r="J26" s="20" t="s">
        <v>169</v>
      </c>
      <c r="K26" s="20" t="s">
        <v>169</v>
      </c>
      <c r="L26" s="20" t="s">
        <v>169</v>
      </c>
      <c r="M26" s="20" t="s">
        <v>169</v>
      </c>
      <c r="N26" s="20" t="s">
        <v>169</v>
      </c>
      <c r="O26" s="20">
        <v>20.426416007090825</v>
      </c>
      <c r="P26" s="20">
        <v>61.482453614045568</v>
      </c>
      <c r="Q26" s="20" t="s">
        <v>169</v>
      </c>
      <c r="R26" s="20" t="s">
        <v>169</v>
      </c>
      <c r="S26" s="20" t="s">
        <v>169</v>
      </c>
      <c r="T26" s="20" t="s">
        <v>169</v>
      </c>
      <c r="U26" s="20" t="s">
        <v>169</v>
      </c>
      <c r="V26" s="20" t="s">
        <v>169</v>
      </c>
      <c r="W26" s="20" t="s">
        <v>169</v>
      </c>
      <c r="X26" s="20" t="s">
        <v>169</v>
      </c>
      <c r="Y26" s="20" t="s">
        <v>169</v>
      </c>
      <c r="Z26" s="20" t="s">
        <v>169</v>
      </c>
      <c r="AA26" s="20">
        <v>38.745713266132938</v>
      </c>
      <c r="AB26" s="20" t="s">
        <v>169</v>
      </c>
      <c r="AC26" s="20" t="s">
        <v>169</v>
      </c>
      <c r="AD26" s="20" t="s">
        <v>169</v>
      </c>
      <c r="AE26" s="20" t="s">
        <v>169</v>
      </c>
      <c r="AF26" s="20" t="s">
        <v>169</v>
      </c>
      <c r="AG26" s="20" t="s">
        <v>169</v>
      </c>
      <c r="AH26" s="20" t="s">
        <v>169</v>
      </c>
      <c r="AI26" s="20" t="s">
        <v>169</v>
      </c>
      <c r="AJ26" s="20" t="s">
        <v>169</v>
      </c>
      <c r="AK26" s="20" t="s">
        <v>169</v>
      </c>
      <c r="AL26" s="20" t="s">
        <v>169</v>
      </c>
      <c r="AM26" s="20" t="s">
        <v>169</v>
      </c>
      <c r="AN26" s="20" t="s">
        <v>169</v>
      </c>
      <c r="AO26" s="20" t="s">
        <v>169</v>
      </c>
      <c r="AP26" s="20" t="s">
        <v>169</v>
      </c>
      <c r="AQ26" s="20" t="s">
        <v>169</v>
      </c>
      <c r="AR26" s="20" t="s">
        <v>169</v>
      </c>
      <c r="AS26" s="20" t="s">
        <v>169</v>
      </c>
      <c r="AT26" s="20" t="s">
        <v>169</v>
      </c>
      <c r="AU26" s="20" t="s">
        <v>169</v>
      </c>
      <c r="AV26" s="20" t="s">
        <v>169</v>
      </c>
      <c r="AW26" s="20" t="s">
        <v>169</v>
      </c>
      <c r="AX26" s="20" t="s">
        <v>169</v>
      </c>
      <c r="AY26" s="20" t="s">
        <v>169</v>
      </c>
      <c r="AZ26" s="20" t="s">
        <v>169</v>
      </c>
      <c r="BA26" s="20" t="s">
        <v>169</v>
      </c>
      <c r="BB26" s="20" t="s">
        <v>169</v>
      </c>
      <c r="BC26" s="20" t="s">
        <v>169</v>
      </c>
      <c r="BD26" s="20">
        <v>29.764894981802588</v>
      </c>
      <c r="BE26" s="20" t="s">
        <v>169</v>
      </c>
      <c r="BF26" s="20" t="s">
        <v>169</v>
      </c>
      <c r="BG26" s="20" t="s">
        <v>169</v>
      </c>
      <c r="BH26" s="20" t="s">
        <v>169</v>
      </c>
      <c r="BI26" s="20" t="s">
        <v>169</v>
      </c>
      <c r="BJ26" s="20" t="s">
        <v>169</v>
      </c>
      <c r="BK26" s="20" t="s">
        <v>169</v>
      </c>
      <c r="BL26" s="20" t="s">
        <v>169</v>
      </c>
      <c r="BM26" s="20">
        <v>3.5745985503615532</v>
      </c>
      <c r="BN26" s="20">
        <v>43.945397843287687</v>
      </c>
      <c r="BO26" s="20">
        <v>32.642971563700556</v>
      </c>
      <c r="BP26" s="20">
        <v>99.667944111638448</v>
      </c>
      <c r="BQ26" s="20">
        <v>59.844785538218822</v>
      </c>
      <c r="BR26" s="20" t="s">
        <v>169</v>
      </c>
      <c r="BS26" s="20" t="s">
        <v>169</v>
      </c>
      <c r="BT26" s="20" t="s">
        <v>169</v>
      </c>
      <c r="BU26" s="20" t="s">
        <v>169</v>
      </c>
      <c r="BV26" s="20">
        <v>17.47450980392157</v>
      </c>
      <c r="BW26" s="20" t="s">
        <v>169</v>
      </c>
      <c r="BX26" s="20" t="s">
        <v>169</v>
      </c>
      <c r="BY26" s="20" t="s">
        <v>169</v>
      </c>
      <c r="BZ26" s="20" t="s">
        <v>169</v>
      </c>
      <c r="CA26" s="20" t="s">
        <v>169</v>
      </c>
      <c r="CB26" s="20" t="s">
        <v>169</v>
      </c>
      <c r="CC26" s="20" t="s">
        <v>169</v>
      </c>
      <c r="CD26" s="20" t="s">
        <v>169</v>
      </c>
      <c r="CE26" s="20" t="s">
        <v>169</v>
      </c>
      <c r="CF26" s="20" t="s">
        <v>169</v>
      </c>
      <c r="CG26" s="20" t="s">
        <v>169</v>
      </c>
      <c r="CH26" s="20" t="s">
        <v>169</v>
      </c>
      <c r="CI26" s="20" t="s">
        <v>169</v>
      </c>
      <c r="CJ26" s="20" t="s">
        <v>169</v>
      </c>
      <c r="CK26" s="20" t="s">
        <v>169</v>
      </c>
      <c r="CL26" s="20" t="s">
        <v>169</v>
      </c>
      <c r="CM26" s="20" t="s">
        <v>169</v>
      </c>
      <c r="CN26" s="20" t="s">
        <v>169</v>
      </c>
      <c r="CO26" s="20" t="s">
        <v>169</v>
      </c>
      <c r="CP26" s="20" t="s">
        <v>169</v>
      </c>
      <c r="CQ26" s="20" t="s">
        <v>169</v>
      </c>
      <c r="CR26" s="20" t="s">
        <v>169</v>
      </c>
      <c r="CS26" s="20" t="s">
        <v>169</v>
      </c>
      <c r="CT26" s="20" t="s">
        <v>169</v>
      </c>
      <c r="CU26" s="20" t="s">
        <v>169</v>
      </c>
      <c r="CV26" s="20" t="s">
        <v>169</v>
      </c>
      <c r="CW26" s="20" t="s">
        <v>169</v>
      </c>
      <c r="CX26" s="20" t="s">
        <v>169</v>
      </c>
    </row>
    <row r="27" spans="1:102" x14ac:dyDescent="0.25">
      <c r="A27" s="22" t="s">
        <v>24</v>
      </c>
      <c r="B27" s="22" t="s">
        <v>133</v>
      </c>
      <c r="C27" s="22" t="s">
        <v>78</v>
      </c>
      <c r="D27" s="6">
        <v>42858</v>
      </c>
      <c r="E27" s="18">
        <v>0.57291666666666663</v>
      </c>
      <c r="F27" s="19">
        <v>5</v>
      </c>
      <c r="G27" s="20" t="s">
        <v>169</v>
      </c>
      <c r="H27" s="20" t="s">
        <v>169</v>
      </c>
      <c r="I27" s="20" t="s">
        <v>169</v>
      </c>
      <c r="J27" s="20" t="s">
        <v>169</v>
      </c>
      <c r="K27" s="20" t="s">
        <v>169</v>
      </c>
      <c r="L27" s="20" t="s">
        <v>169</v>
      </c>
      <c r="M27" s="20">
        <v>9.1200115780258404</v>
      </c>
      <c r="N27" s="20" t="s">
        <v>169</v>
      </c>
      <c r="O27" s="20">
        <v>30.179058576658043</v>
      </c>
      <c r="P27" s="20">
        <v>30.311720643751961</v>
      </c>
      <c r="Q27" s="20" t="s">
        <v>169</v>
      </c>
      <c r="R27" s="20" t="s">
        <v>169</v>
      </c>
      <c r="S27" s="20" t="s">
        <v>169</v>
      </c>
      <c r="T27" s="20" t="s">
        <v>169</v>
      </c>
      <c r="U27" s="20" t="s">
        <v>169</v>
      </c>
      <c r="V27" s="20">
        <v>8.6278004031989202</v>
      </c>
      <c r="W27" s="20" t="s">
        <v>169</v>
      </c>
      <c r="X27" s="20" t="s">
        <v>169</v>
      </c>
      <c r="Y27" s="20" t="s">
        <v>169</v>
      </c>
      <c r="Z27" s="20" t="s">
        <v>169</v>
      </c>
      <c r="AA27" s="20">
        <v>18.418627768695082</v>
      </c>
      <c r="AB27" s="20" t="s">
        <v>169</v>
      </c>
      <c r="AC27" s="20" t="s">
        <v>169</v>
      </c>
      <c r="AD27" s="20" t="s">
        <v>169</v>
      </c>
      <c r="AE27" s="20">
        <v>28.849839699762519</v>
      </c>
      <c r="AF27" s="20">
        <v>27.918483409017881</v>
      </c>
      <c r="AG27" s="20" t="s">
        <v>169</v>
      </c>
      <c r="AH27" s="20" t="s">
        <v>169</v>
      </c>
      <c r="AI27" s="20" t="s">
        <v>169</v>
      </c>
      <c r="AJ27" s="20">
        <v>3.187848609172232</v>
      </c>
      <c r="AK27" s="20" t="s">
        <v>169</v>
      </c>
      <c r="AL27" s="20" t="s">
        <v>169</v>
      </c>
      <c r="AM27" s="20">
        <v>25.823626116653877</v>
      </c>
      <c r="AN27" s="20" t="s">
        <v>169</v>
      </c>
      <c r="AO27" s="20" t="s">
        <v>169</v>
      </c>
      <c r="AP27" s="20" t="s">
        <v>169</v>
      </c>
      <c r="AQ27" s="20" t="s">
        <v>169</v>
      </c>
      <c r="AR27" s="20" t="s">
        <v>169</v>
      </c>
      <c r="AS27" s="20" t="s">
        <v>169</v>
      </c>
      <c r="AT27" s="20" t="s">
        <v>169</v>
      </c>
      <c r="AU27" s="20">
        <v>19.633397870458957</v>
      </c>
      <c r="AV27" s="20" t="s">
        <v>169</v>
      </c>
      <c r="AW27" s="20" t="s">
        <v>169</v>
      </c>
      <c r="AX27" s="20" t="s">
        <v>169</v>
      </c>
      <c r="AY27" s="20" t="s">
        <v>169</v>
      </c>
      <c r="AZ27" s="20" t="s">
        <v>169</v>
      </c>
      <c r="BA27" s="20" t="s">
        <v>169</v>
      </c>
      <c r="BB27" s="20" t="s">
        <v>169</v>
      </c>
      <c r="BC27" s="20" t="s">
        <v>169</v>
      </c>
      <c r="BD27" s="20" t="s">
        <v>169</v>
      </c>
      <c r="BE27" s="20" t="s">
        <v>169</v>
      </c>
      <c r="BF27" s="20" t="s">
        <v>169</v>
      </c>
      <c r="BG27" s="20" t="s">
        <v>169</v>
      </c>
      <c r="BH27" s="20">
        <v>1.8759999999999999</v>
      </c>
      <c r="BI27" s="20" t="s">
        <v>169</v>
      </c>
      <c r="BJ27" s="20">
        <v>5.3700590572975608</v>
      </c>
      <c r="BK27" s="20" t="s">
        <v>169</v>
      </c>
      <c r="BL27" s="20">
        <v>39.492659185929803</v>
      </c>
      <c r="BM27" s="20">
        <v>5.7017232596691203</v>
      </c>
      <c r="BN27" s="20">
        <v>53.455460352289592</v>
      </c>
      <c r="BO27" s="20">
        <v>14.263592209387602</v>
      </c>
      <c r="BP27" s="20">
        <v>52.514545539548806</v>
      </c>
      <c r="BQ27" s="20">
        <v>9.524117680009681</v>
      </c>
      <c r="BR27" s="20" t="s">
        <v>169</v>
      </c>
      <c r="BS27" s="20" t="s">
        <v>169</v>
      </c>
      <c r="BT27" s="20" t="s">
        <v>169</v>
      </c>
      <c r="BU27" s="20">
        <v>33.379766194311443</v>
      </c>
      <c r="BV27" s="20" t="s">
        <v>169</v>
      </c>
      <c r="BW27" s="20" t="s">
        <v>169</v>
      </c>
      <c r="BX27" s="20" t="s">
        <v>169</v>
      </c>
      <c r="BY27" s="20" t="s">
        <v>169</v>
      </c>
      <c r="BZ27" s="20" t="s">
        <v>169</v>
      </c>
      <c r="CA27" s="20" t="s">
        <v>169</v>
      </c>
      <c r="CB27" s="20" t="s">
        <v>169</v>
      </c>
      <c r="CC27" s="20" t="s">
        <v>169</v>
      </c>
      <c r="CD27" s="20" t="s">
        <v>169</v>
      </c>
      <c r="CE27" s="20" t="s">
        <v>169</v>
      </c>
      <c r="CF27" s="20">
        <v>2.1800000000000002</v>
      </c>
      <c r="CG27" s="20" t="s">
        <v>169</v>
      </c>
      <c r="CH27" s="20" t="s">
        <v>169</v>
      </c>
      <c r="CI27" s="20" t="s">
        <v>169</v>
      </c>
      <c r="CJ27" s="20">
        <v>2.1690314458326281</v>
      </c>
      <c r="CK27" s="20" t="s">
        <v>169</v>
      </c>
      <c r="CL27" s="20" t="s">
        <v>169</v>
      </c>
      <c r="CM27" s="20">
        <v>2.1823885730397841</v>
      </c>
      <c r="CN27" s="20" t="s">
        <v>169</v>
      </c>
      <c r="CO27" s="20" t="s">
        <v>169</v>
      </c>
      <c r="CP27" s="20" t="s">
        <v>169</v>
      </c>
      <c r="CQ27" s="20" t="s">
        <v>169</v>
      </c>
      <c r="CR27" s="20" t="s">
        <v>169</v>
      </c>
      <c r="CS27" s="20" t="s">
        <v>169</v>
      </c>
      <c r="CT27" s="20" t="s">
        <v>169</v>
      </c>
      <c r="CU27" s="20" t="s">
        <v>169</v>
      </c>
      <c r="CV27" s="20" t="s">
        <v>169</v>
      </c>
      <c r="CW27" s="20" t="s">
        <v>169</v>
      </c>
      <c r="CX27" s="20" t="s">
        <v>169</v>
      </c>
    </row>
    <row r="28" spans="1:102" x14ac:dyDescent="0.25">
      <c r="A28" s="22" t="s">
        <v>25</v>
      </c>
      <c r="B28" s="22" t="s">
        <v>134</v>
      </c>
      <c r="C28" s="22" t="s">
        <v>79</v>
      </c>
      <c r="D28" s="6">
        <v>42860</v>
      </c>
      <c r="E28" s="18">
        <v>0.60416666666666663</v>
      </c>
      <c r="F28" s="19">
        <v>5.04</v>
      </c>
      <c r="G28" s="20" t="s">
        <v>169</v>
      </c>
      <c r="H28" s="20" t="s">
        <v>169</v>
      </c>
      <c r="I28" s="20" t="s">
        <v>169</v>
      </c>
      <c r="J28" s="20" t="s">
        <v>169</v>
      </c>
      <c r="K28" s="20" t="s">
        <v>169</v>
      </c>
      <c r="L28" s="20" t="s">
        <v>169</v>
      </c>
      <c r="M28" s="20" t="s">
        <v>169</v>
      </c>
      <c r="N28" s="20" t="s">
        <v>169</v>
      </c>
      <c r="O28" s="20" t="s">
        <v>169</v>
      </c>
      <c r="P28" s="20" t="s">
        <v>169</v>
      </c>
      <c r="Q28" s="20" t="s">
        <v>169</v>
      </c>
      <c r="R28" s="20" t="s">
        <v>169</v>
      </c>
      <c r="S28" s="20" t="s">
        <v>169</v>
      </c>
      <c r="T28" s="20" t="s">
        <v>169</v>
      </c>
      <c r="U28" s="20" t="s">
        <v>169</v>
      </c>
      <c r="V28" s="20" t="s">
        <v>169</v>
      </c>
      <c r="W28" s="20" t="s">
        <v>169</v>
      </c>
      <c r="X28" s="20" t="s">
        <v>169</v>
      </c>
      <c r="Y28" s="20" t="s">
        <v>169</v>
      </c>
      <c r="Z28" s="20" t="s">
        <v>169</v>
      </c>
      <c r="AA28" s="20" t="s">
        <v>169</v>
      </c>
      <c r="AB28" s="20" t="s">
        <v>169</v>
      </c>
      <c r="AC28" s="20" t="s">
        <v>169</v>
      </c>
      <c r="AD28" s="20" t="s">
        <v>169</v>
      </c>
      <c r="AE28" s="20" t="s">
        <v>169</v>
      </c>
      <c r="AF28" s="20" t="s">
        <v>169</v>
      </c>
      <c r="AG28" s="20" t="s">
        <v>169</v>
      </c>
      <c r="AH28" s="20" t="s">
        <v>169</v>
      </c>
      <c r="AI28" s="20" t="s">
        <v>169</v>
      </c>
      <c r="AJ28" s="20" t="s">
        <v>169</v>
      </c>
      <c r="AK28" s="20" t="s">
        <v>169</v>
      </c>
      <c r="AL28" s="20" t="s">
        <v>169</v>
      </c>
      <c r="AM28" s="20" t="s">
        <v>169</v>
      </c>
      <c r="AN28" s="20" t="s">
        <v>169</v>
      </c>
      <c r="AO28" s="20" t="s">
        <v>169</v>
      </c>
      <c r="AP28" s="20" t="s">
        <v>169</v>
      </c>
      <c r="AQ28" s="20" t="s">
        <v>169</v>
      </c>
      <c r="AR28" s="20" t="s">
        <v>169</v>
      </c>
      <c r="AS28" s="20" t="s">
        <v>169</v>
      </c>
      <c r="AT28" s="20" t="s">
        <v>169</v>
      </c>
      <c r="AU28" s="20" t="s">
        <v>169</v>
      </c>
      <c r="AV28" s="20" t="s">
        <v>169</v>
      </c>
      <c r="AW28" s="20" t="s">
        <v>169</v>
      </c>
      <c r="AX28" s="20" t="s">
        <v>169</v>
      </c>
      <c r="AY28" s="20" t="s">
        <v>169</v>
      </c>
      <c r="AZ28" s="20" t="s">
        <v>169</v>
      </c>
      <c r="BA28" s="20" t="s">
        <v>169</v>
      </c>
      <c r="BB28" s="20" t="s">
        <v>169</v>
      </c>
      <c r="BC28" s="20" t="s">
        <v>169</v>
      </c>
      <c r="BD28" s="20" t="s">
        <v>169</v>
      </c>
      <c r="BE28" s="20" t="s">
        <v>169</v>
      </c>
      <c r="BF28" s="20" t="s">
        <v>169</v>
      </c>
      <c r="BG28" s="20" t="s">
        <v>169</v>
      </c>
      <c r="BH28" s="20" t="s">
        <v>169</v>
      </c>
      <c r="BI28" s="20" t="s">
        <v>169</v>
      </c>
      <c r="BJ28" s="20" t="s">
        <v>169</v>
      </c>
      <c r="BK28" s="20" t="s">
        <v>169</v>
      </c>
      <c r="BL28" s="20" t="s">
        <v>169</v>
      </c>
      <c r="BM28" s="20" t="s">
        <v>169</v>
      </c>
      <c r="BN28" s="20" t="s">
        <v>169</v>
      </c>
      <c r="BO28" s="20" t="s">
        <v>169</v>
      </c>
      <c r="BP28" s="20">
        <v>3.3261761681864725</v>
      </c>
      <c r="BQ28" s="20">
        <v>0.95619049329823413</v>
      </c>
      <c r="BR28" s="20" t="s">
        <v>169</v>
      </c>
      <c r="BS28" s="20" t="s">
        <v>169</v>
      </c>
      <c r="BT28" s="20" t="s">
        <v>169</v>
      </c>
      <c r="BU28" s="20">
        <v>2.9011522047042102</v>
      </c>
      <c r="BV28" s="20" t="s">
        <v>169</v>
      </c>
      <c r="BW28" s="20" t="s">
        <v>169</v>
      </c>
      <c r="BX28" s="20" t="s">
        <v>169</v>
      </c>
      <c r="BY28" s="20" t="s">
        <v>169</v>
      </c>
      <c r="BZ28" s="20" t="s">
        <v>169</v>
      </c>
      <c r="CA28" s="20" t="s">
        <v>169</v>
      </c>
      <c r="CB28" s="20" t="s">
        <v>169</v>
      </c>
      <c r="CC28" s="20" t="s">
        <v>169</v>
      </c>
      <c r="CD28" s="20" t="s">
        <v>169</v>
      </c>
      <c r="CE28" s="20" t="s">
        <v>169</v>
      </c>
      <c r="CF28" s="20" t="s">
        <v>169</v>
      </c>
      <c r="CG28" s="20" t="s">
        <v>169</v>
      </c>
      <c r="CH28" s="20" t="s">
        <v>169</v>
      </c>
      <c r="CI28" s="20" t="s">
        <v>169</v>
      </c>
      <c r="CJ28" s="20" t="s">
        <v>169</v>
      </c>
      <c r="CK28" s="20" t="s">
        <v>169</v>
      </c>
      <c r="CL28" s="20" t="s">
        <v>169</v>
      </c>
      <c r="CM28" s="20" t="s">
        <v>169</v>
      </c>
      <c r="CN28" s="20" t="s">
        <v>169</v>
      </c>
      <c r="CO28" s="20" t="s">
        <v>169</v>
      </c>
      <c r="CP28" s="20" t="s">
        <v>169</v>
      </c>
      <c r="CQ28" s="20" t="s">
        <v>169</v>
      </c>
      <c r="CR28" s="20" t="s">
        <v>169</v>
      </c>
      <c r="CS28" s="20" t="s">
        <v>169</v>
      </c>
      <c r="CT28" s="20" t="s">
        <v>169</v>
      </c>
      <c r="CU28" s="20" t="s">
        <v>169</v>
      </c>
      <c r="CV28" s="20" t="s">
        <v>169</v>
      </c>
      <c r="CW28" s="20" t="s">
        <v>169</v>
      </c>
      <c r="CX28" s="20" t="s">
        <v>169</v>
      </c>
    </row>
    <row r="29" spans="1:102" x14ac:dyDescent="0.25">
      <c r="A29" s="22" t="s">
        <v>26</v>
      </c>
      <c r="B29" s="22" t="s">
        <v>135</v>
      </c>
      <c r="C29" s="22" t="s">
        <v>80</v>
      </c>
      <c r="D29" s="6">
        <v>42860</v>
      </c>
      <c r="E29" s="18">
        <v>0.4375</v>
      </c>
      <c r="F29" s="19">
        <v>0.82</v>
      </c>
      <c r="G29" s="20" t="s">
        <v>169</v>
      </c>
      <c r="H29" s="20" t="s">
        <v>169</v>
      </c>
      <c r="I29" s="20" t="s">
        <v>169</v>
      </c>
      <c r="J29" s="20" t="s">
        <v>169</v>
      </c>
      <c r="K29" s="20" t="s">
        <v>169</v>
      </c>
      <c r="L29" s="20" t="s">
        <v>169</v>
      </c>
      <c r="M29" s="20" t="s">
        <v>169</v>
      </c>
      <c r="N29" s="20" t="s">
        <v>169</v>
      </c>
      <c r="O29" s="20">
        <v>3.0893907663393905</v>
      </c>
      <c r="P29" s="20" t="s">
        <v>169</v>
      </c>
      <c r="Q29" s="20" t="s">
        <v>169</v>
      </c>
      <c r="R29" s="20" t="s">
        <v>169</v>
      </c>
      <c r="S29" s="20" t="s">
        <v>169</v>
      </c>
      <c r="T29" s="20" t="s">
        <v>169</v>
      </c>
      <c r="U29" s="20" t="s">
        <v>169</v>
      </c>
      <c r="V29" s="20" t="s">
        <v>169</v>
      </c>
      <c r="W29" s="20" t="s">
        <v>169</v>
      </c>
      <c r="X29" s="20" t="s">
        <v>169</v>
      </c>
      <c r="Y29" s="20" t="s">
        <v>169</v>
      </c>
      <c r="Z29" s="20" t="s">
        <v>169</v>
      </c>
      <c r="AA29" s="20" t="s">
        <v>169</v>
      </c>
      <c r="AB29" s="20" t="s">
        <v>169</v>
      </c>
      <c r="AC29" s="20" t="s">
        <v>169</v>
      </c>
      <c r="AD29" s="20" t="s">
        <v>169</v>
      </c>
      <c r="AE29" s="20" t="s">
        <v>169</v>
      </c>
      <c r="AF29" s="20" t="s">
        <v>169</v>
      </c>
      <c r="AG29" s="20" t="s">
        <v>169</v>
      </c>
      <c r="AH29" s="20" t="s">
        <v>169</v>
      </c>
      <c r="AI29" s="20" t="s">
        <v>169</v>
      </c>
      <c r="AJ29" s="20">
        <v>7.1204002814459271</v>
      </c>
      <c r="AK29" s="20" t="s">
        <v>169</v>
      </c>
      <c r="AL29" s="20" t="s">
        <v>169</v>
      </c>
      <c r="AM29" s="20" t="s">
        <v>169</v>
      </c>
      <c r="AN29" s="20" t="s">
        <v>169</v>
      </c>
      <c r="AO29" s="20" t="s">
        <v>169</v>
      </c>
      <c r="AP29" s="20" t="s">
        <v>169</v>
      </c>
      <c r="AQ29" s="20" t="s">
        <v>169</v>
      </c>
      <c r="AR29" s="20" t="s">
        <v>169</v>
      </c>
      <c r="AS29" s="20" t="s">
        <v>169</v>
      </c>
      <c r="AT29" s="20" t="s">
        <v>169</v>
      </c>
      <c r="AU29" s="20" t="s">
        <v>169</v>
      </c>
      <c r="AV29" s="20" t="s">
        <v>169</v>
      </c>
      <c r="AW29" s="20" t="s">
        <v>169</v>
      </c>
      <c r="AX29" s="20" t="s">
        <v>169</v>
      </c>
      <c r="AY29" s="20" t="s">
        <v>169</v>
      </c>
      <c r="AZ29" s="20" t="s">
        <v>169</v>
      </c>
      <c r="BA29" s="20" t="s">
        <v>169</v>
      </c>
      <c r="BB29" s="20" t="s">
        <v>169</v>
      </c>
      <c r="BC29" s="20" t="s">
        <v>169</v>
      </c>
      <c r="BD29" s="20" t="s">
        <v>169</v>
      </c>
      <c r="BE29" s="20" t="s">
        <v>169</v>
      </c>
      <c r="BF29" s="20" t="s">
        <v>169</v>
      </c>
      <c r="BG29" s="20" t="s">
        <v>169</v>
      </c>
      <c r="BH29" s="20" t="s">
        <v>169</v>
      </c>
      <c r="BI29" s="20" t="s">
        <v>169</v>
      </c>
      <c r="BJ29" s="20" t="s">
        <v>169</v>
      </c>
      <c r="BK29" s="20" t="s">
        <v>169</v>
      </c>
      <c r="BL29" s="20" t="s">
        <v>169</v>
      </c>
      <c r="BM29" s="20" t="s">
        <v>169</v>
      </c>
      <c r="BN29" s="20" t="s">
        <v>169</v>
      </c>
      <c r="BO29" s="20">
        <v>7.956250684408098</v>
      </c>
      <c r="BP29" s="20">
        <v>5.6964797128004152</v>
      </c>
      <c r="BQ29" s="20">
        <v>23.500889472280004</v>
      </c>
      <c r="BR29" s="20" t="s">
        <v>169</v>
      </c>
      <c r="BS29" s="20" t="s">
        <v>169</v>
      </c>
      <c r="BT29" s="20" t="s">
        <v>169</v>
      </c>
      <c r="BU29" s="20">
        <v>8.8814811475833171</v>
      </c>
      <c r="BV29" s="20" t="s">
        <v>169</v>
      </c>
      <c r="BW29" s="20" t="s">
        <v>169</v>
      </c>
      <c r="BX29" s="20" t="s">
        <v>169</v>
      </c>
      <c r="BY29" s="20" t="s">
        <v>169</v>
      </c>
      <c r="BZ29" s="20" t="s">
        <v>169</v>
      </c>
      <c r="CA29" s="20" t="s">
        <v>169</v>
      </c>
      <c r="CB29" s="20" t="s">
        <v>169</v>
      </c>
      <c r="CC29" s="20" t="s">
        <v>169</v>
      </c>
      <c r="CD29" s="20" t="s">
        <v>169</v>
      </c>
      <c r="CE29" s="20" t="s">
        <v>169</v>
      </c>
      <c r="CF29" s="20" t="s">
        <v>169</v>
      </c>
      <c r="CG29" s="20" t="s">
        <v>169</v>
      </c>
      <c r="CH29" s="20" t="s">
        <v>169</v>
      </c>
      <c r="CI29" s="20" t="s">
        <v>169</v>
      </c>
      <c r="CJ29" s="20" t="s">
        <v>169</v>
      </c>
      <c r="CK29" s="20" t="s">
        <v>169</v>
      </c>
      <c r="CL29" s="20" t="s">
        <v>169</v>
      </c>
      <c r="CM29" s="20" t="s">
        <v>169</v>
      </c>
      <c r="CN29" s="20" t="s">
        <v>169</v>
      </c>
      <c r="CO29" s="20" t="s">
        <v>169</v>
      </c>
      <c r="CP29" s="20" t="s">
        <v>169</v>
      </c>
      <c r="CQ29" s="20" t="s">
        <v>169</v>
      </c>
      <c r="CR29" s="20" t="s">
        <v>169</v>
      </c>
      <c r="CS29" s="20" t="s">
        <v>169</v>
      </c>
      <c r="CT29" s="20" t="s">
        <v>169</v>
      </c>
      <c r="CU29" s="20" t="s">
        <v>169</v>
      </c>
      <c r="CV29" s="20" t="s">
        <v>169</v>
      </c>
      <c r="CW29" s="20" t="s">
        <v>169</v>
      </c>
      <c r="CX29" s="20" t="s">
        <v>169</v>
      </c>
    </row>
    <row r="30" spans="1:102" x14ac:dyDescent="0.25">
      <c r="A30" s="22" t="s">
        <v>27</v>
      </c>
      <c r="B30" s="22" t="s">
        <v>136</v>
      </c>
      <c r="C30" s="22" t="s">
        <v>81</v>
      </c>
      <c r="D30" s="6">
        <v>42862</v>
      </c>
      <c r="E30" s="18">
        <v>0.39583333333333331</v>
      </c>
      <c r="F30" s="19">
        <v>5.03</v>
      </c>
      <c r="G30" s="20" t="s">
        <v>169</v>
      </c>
      <c r="H30" s="20" t="s">
        <v>169</v>
      </c>
      <c r="I30" s="20" t="s">
        <v>169</v>
      </c>
      <c r="J30" s="20" t="s">
        <v>169</v>
      </c>
      <c r="K30" s="20" t="s">
        <v>169</v>
      </c>
      <c r="L30" s="20" t="s">
        <v>169</v>
      </c>
      <c r="M30" s="20" t="s">
        <v>169</v>
      </c>
      <c r="N30" s="20" t="s">
        <v>169</v>
      </c>
      <c r="O30" s="20">
        <v>0.93175762857309741</v>
      </c>
      <c r="P30" s="20" t="s">
        <v>169</v>
      </c>
      <c r="Q30" s="20" t="s">
        <v>169</v>
      </c>
      <c r="R30" s="20" t="s">
        <v>169</v>
      </c>
      <c r="S30" s="20" t="s">
        <v>169</v>
      </c>
      <c r="T30" s="20" t="s">
        <v>169</v>
      </c>
      <c r="U30" s="20" t="s">
        <v>169</v>
      </c>
      <c r="V30" s="20" t="s">
        <v>169</v>
      </c>
      <c r="W30" s="20" t="s">
        <v>169</v>
      </c>
      <c r="X30" s="20" t="s">
        <v>169</v>
      </c>
      <c r="Y30" s="20" t="s">
        <v>169</v>
      </c>
      <c r="Z30" s="20" t="s">
        <v>169</v>
      </c>
      <c r="AA30" s="20" t="s">
        <v>169</v>
      </c>
      <c r="AB30" s="20" t="s">
        <v>169</v>
      </c>
      <c r="AC30" s="20" t="s">
        <v>169</v>
      </c>
      <c r="AD30" s="20" t="s">
        <v>169</v>
      </c>
      <c r="AE30" s="20" t="s">
        <v>169</v>
      </c>
      <c r="AF30" s="20" t="s">
        <v>169</v>
      </c>
      <c r="AG30" s="20" t="s">
        <v>169</v>
      </c>
      <c r="AH30" s="20" t="s">
        <v>169</v>
      </c>
      <c r="AI30" s="20" t="s">
        <v>169</v>
      </c>
      <c r="AJ30" s="20" t="s">
        <v>169</v>
      </c>
      <c r="AK30" s="20" t="s">
        <v>169</v>
      </c>
      <c r="AL30" s="20" t="s">
        <v>169</v>
      </c>
      <c r="AM30" s="20" t="s">
        <v>169</v>
      </c>
      <c r="AN30" s="20" t="s">
        <v>169</v>
      </c>
      <c r="AO30" s="20" t="s">
        <v>169</v>
      </c>
      <c r="AP30" s="20" t="s">
        <v>169</v>
      </c>
      <c r="AQ30" s="20" t="s">
        <v>169</v>
      </c>
      <c r="AR30" s="20" t="s">
        <v>169</v>
      </c>
      <c r="AS30" s="20" t="s">
        <v>169</v>
      </c>
      <c r="AT30" s="20" t="s">
        <v>169</v>
      </c>
      <c r="AU30" s="20" t="s">
        <v>169</v>
      </c>
      <c r="AV30" s="20" t="s">
        <v>169</v>
      </c>
      <c r="AW30" s="20" t="s">
        <v>169</v>
      </c>
      <c r="AX30" s="20" t="s">
        <v>169</v>
      </c>
      <c r="AY30" s="20" t="s">
        <v>169</v>
      </c>
      <c r="AZ30" s="20" t="s">
        <v>169</v>
      </c>
      <c r="BA30" s="20" t="s">
        <v>169</v>
      </c>
      <c r="BB30" s="20" t="s">
        <v>169</v>
      </c>
      <c r="BC30" s="20" t="s">
        <v>169</v>
      </c>
      <c r="BD30" s="20" t="s">
        <v>169</v>
      </c>
      <c r="BE30" s="20" t="s">
        <v>169</v>
      </c>
      <c r="BF30" s="20" t="s">
        <v>169</v>
      </c>
      <c r="BG30" s="20" t="s">
        <v>169</v>
      </c>
      <c r="BH30" s="20" t="s">
        <v>169</v>
      </c>
      <c r="BI30" s="20" t="s">
        <v>169</v>
      </c>
      <c r="BJ30" s="20" t="s">
        <v>169</v>
      </c>
      <c r="BK30" s="20" t="s">
        <v>169</v>
      </c>
      <c r="BL30" s="20" t="s">
        <v>169</v>
      </c>
      <c r="BM30" s="20" t="s">
        <v>169</v>
      </c>
      <c r="BN30" s="20">
        <v>7.5528565008360236</v>
      </c>
      <c r="BO30" s="20">
        <v>22.56807545159332</v>
      </c>
      <c r="BP30" s="20">
        <v>9.4868809199318882</v>
      </c>
      <c r="BQ30" s="20">
        <v>25.34724570299813</v>
      </c>
      <c r="BR30" s="20" t="s">
        <v>169</v>
      </c>
      <c r="BS30" s="20" t="s">
        <v>169</v>
      </c>
      <c r="BT30" s="20" t="s">
        <v>169</v>
      </c>
      <c r="BU30" s="20">
        <v>5.9562735958326432</v>
      </c>
      <c r="BV30" s="20">
        <v>4.7952286282306167</v>
      </c>
      <c r="BW30" s="20" t="s">
        <v>169</v>
      </c>
      <c r="BX30" s="20" t="s">
        <v>169</v>
      </c>
      <c r="BY30" s="20" t="s">
        <v>169</v>
      </c>
      <c r="BZ30" s="20" t="s">
        <v>169</v>
      </c>
      <c r="CA30" s="20" t="s">
        <v>169</v>
      </c>
      <c r="CB30" s="20" t="s">
        <v>169</v>
      </c>
      <c r="CC30" s="20" t="s">
        <v>169</v>
      </c>
      <c r="CD30" s="20" t="s">
        <v>169</v>
      </c>
      <c r="CE30" s="20" t="s">
        <v>169</v>
      </c>
      <c r="CF30" s="20" t="s">
        <v>169</v>
      </c>
      <c r="CG30" s="20" t="s">
        <v>169</v>
      </c>
      <c r="CH30" s="20" t="s">
        <v>169</v>
      </c>
      <c r="CI30" s="20" t="s">
        <v>169</v>
      </c>
      <c r="CJ30" s="20" t="s">
        <v>169</v>
      </c>
      <c r="CK30" s="20" t="s">
        <v>169</v>
      </c>
      <c r="CL30" s="20" t="s">
        <v>169</v>
      </c>
      <c r="CM30" s="20" t="s">
        <v>169</v>
      </c>
      <c r="CN30" s="20" t="s">
        <v>169</v>
      </c>
      <c r="CO30" s="20" t="s">
        <v>169</v>
      </c>
      <c r="CP30" s="20" t="s">
        <v>169</v>
      </c>
      <c r="CQ30" s="20" t="s">
        <v>169</v>
      </c>
      <c r="CR30" s="20" t="s">
        <v>169</v>
      </c>
      <c r="CS30" s="20" t="s">
        <v>169</v>
      </c>
      <c r="CT30" s="20" t="s">
        <v>169</v>
      </c>
      <c r="CU30" s="20" t="s">
        <v>169</v>
      </c>
      <c r="CV30" s="20" t="s">
        <v>169</v>
      </c>
      <c r="CW30" s="20" t="s">
        <v>169</v>
      </c>
      <c r="CX30" s="20" t="s">
        <v>169</v>
      </c>
    </row>
    <row r="31" spans="1:102" x14ac:dyDescent="0.25">
      <c r="A31" s="22" t="s">
        <v>28</v>
      </c>
      <c r="B31" s="22" t="s">
        <v>137</v>
      </c>
      <c r="C31" s="22" t="s">
        <v>82</v>
      </c>
      <c r="D31" s="6">
        <v>42865</v>
      </c>
      <c r="E31" s="18">
        <v>0.39583333333333331</v>
      </c>
      <c r="F31" s="19">
        <v>5.03</v>
      </c>
      <c r="G31" s="20" t="s">
        <v>169</v>
      </c>
      <c r="H31" s="20" t="s">
        <v>169</v>
      </c>
      <c r="I31" s="20" t="s">
        <v>169</v>
      </c>
      <c r="J31" s="20" t="s">
        <v>169</v>
      </c>
      <c r="K31" s="20">
        <v>6.8406999001265607</v>
      </c>
      <c r="L31" s="20" t="s">
        <v>169</v>
      </c>
      <c r="M31" s="20" t="s">
        <v>169</v>
      </c>
      <c r="N31" s="20" t="s">
        <v>169</v>
      </c>
      <c r="O31" s="20" t="s">
        <v>169</v>
      </c>
      <c r="P31" s="20" t="s">
        <v>169</v>
      </c>
      <c r="Q31" s="20" t="s">
        <v>169</v>
      </c>
      <c r="R31" s="20" t="s">
        <v>169</v>
      </c>
      <c r="S31" s="20" t="s">
        <v>169</v>
      </c>
      <c r="T31" s="20" t="s">
        <v>169</v>
      </c>
      <c r="U31" s="20" t="s">
        <v>169</v>
      </c>
      <c r="V31" s="20" t="s">
        <v>169</v>
      </c>
      <c r="W31" s="20" t="s">
        <v>169</v>
      </c>
      <c r="X31" s="20" t="s">
        <v>169</v>
      </c>
      <c r="Y31" s="20" t="s">
        <v>169</v>
      </c>
      <c r="Z31" s="20" t="s">
        <v>169</v>
      </c>
      <c r="AA31" s="20" t="s">
        <v>169</v>
      </c>
      <c r="AB31" s="20" t="s">
        <v>169</v>
      </c>
      <c r="AC31" s="20" t="s">
        <v>169</v>
      </c>
      <c r="AD31" s="20" t="s">
        <v>169</v>
      </c>
      <c r="AE31" s="20" t="s">
        <v>169</v>
      </c>
      <c r="AF31" s="20" t="s">
        <v>169</v>
      </c>
      <c r="AG31" s="20" t="s">
        <v>169</v>
      </c>
      <c r="AH31" s="20" t="s">
        <v>169</v>
      </c>
      <c r="AI31" s="20" t="s">
        <v>169</v>
      </c>
      <c r="AJ31" s="20" t="s">
        <v>169</v>
      </c>
      <c r="AK31" s="20" t="s">
        <v>169</v>
      </c>
      <c r="AL31" s="20" t="s">
        <v>169</v>
      </c>
      <c r="AM31" s="20" t="s">
        <v>169</v>
      </c>
      <c r="AN31" s="20" t="s">
        <v>169</v>
      </c>
      <c r="AO31" s="20" t="s">
        <v>169</v>
      </c>
      <c r="AP31" s="20" t="s">
        <v>169</v>
      </c>
      <c r="AQ31" s="20" t="s">
        <v>169</v>
      </c>
      <c r="AR31" s="20" t="s">
        <v>169</v>
      </c>
      <c r="AS31" s="20" t="s">
        <v>169</v>
      </c>
      <c r="AT31" s="20" t="s">
        <v>169</v>
      </c>
      <c r="AU31" s="20" t="s">
        <v>169</v>
      </c>
      <c r="AV31" s="20" t="s">
        <v>169</v>
      </c>
      <c r="AW31" s="20" t="s">
        <v>169</v>
      </c>
      <c r="AX31" s="20" t="s">
        <v>169</v>
      </c>
      <c r="AY31" s="20" t="s">
        <v>169</v>
      </c>
      <c r="AZ31" s="20" t="s">
        <v>169</v>
      </c>
      <c r="BA31" s="20" t="s">
        <v>169</v>
      </c>
      <c r="BB31" s="20" t="s">
        <v>169</v>
      </c>
      <c r="BC31" s="20" t="s">
        <v>169</v>
      </c>
      <c r="BD31" s="20" t="s">
        <v>169</v>
      </c>
      <c r="BE31" s="20" t="s">
        <v>169</v>
      </c>
      <c r="BF31" s="20" t="s">
        <v>169</v>
      </c>
      <c r="BG31" s="20" t="s">
        <v>169</v>
      </c>
      <c r="BH31" s="20">
        <v>7.718051541122108</v>
      </c>
      <c r="BI31" s="20" t="s">
        <v>169</v>
      </c>
      <c r="BJ31" s="20" t="s">
        <v>169</v>
      </c>
      <c r="BK31" s="20" t="s">
        <v>169</v>
      </c>
      <c r="BL31" s="20" t="s">
        <v>169</v>
      </c>
      <c r="BM31" s="20" t="s">
        <v>169</v>
      </c>
      <c r="BN31" s="20">
        <v>3.9005964214711728</v>
      </c>
      <c r="BO31" s="20">
        <v>5.8807157057654074</v>
      </c>
      <c r="BP31" s="20">
        <v>12.005220235468787</v>
      </c>
      <c r="BQ31" s="20">
        <v>19.09219340174656</v>
      </c>
      <c r="BR31" s="20" t="s">
        <v>169</v>
      </c>
      <c r="BS31" s="20" t="s">
        <v>169</v>
      </c>
      <c r="BT31" s="20" t="s">
        <v>169</v>
      </c>
      <c r="BU31" s="20">
        <v>25.503517661804334</v>
      </c>
      <c r="BV31" s="20" t="s">
        <v>169</v>
      </c>
      <c r="BW31" s="20" t="s">
        <v>169</v>
      </c>
      <c r="BX31" s="20" t="s">
        <v>169</v>
      </c>
      <c r="BY31" s="20" t="s">
        <v>169</v>
      </c>
      <c r="BZ31" s="20" t="s">
        <v>169</v>
      </c>
      <c r="CA31" s="20" t="s">
        <v>169</v>
      </c>
      <c r="CB31" s="20" t="s">
        <v>169</v>
      </c>
      <c r="CC31" s="20" t="s">
        <v>169</v>
      </c>
      <c r="CD31" s="20" t="s">
        <v>169</v>
      </c>
      <c r="CE31" s="20" t="s">
        <v>169</v>
      </c>
      <c r="CF31" s="20" t="s">
        <v>169</v>
      </c>
      <c r="CG31" s="20" t="s">
        <v>169</v>
      </c>
      <c r="CH31" s="20" t="s">
        <v>169</v>
      </c>
      <c r="CI31" s="20" t="s">
        <v>169</v>
      </c>
      <c r="CJ31" s="20" t="s">
        <v>169</v>
      </c>
      <c r="CK31" s="20" t="s">
        <v>169</v>
      </c>
      <c r="CL31" s="20" t="s">
        <v>169</v>
      </c>
      <c r="CM31" s="20" t="s">
        <v>169</v>
      </c>
      <c r="CN31" s="20" t="s">
        <v>169</v>
      </c>
      <c r="CO31" s="20" t="s">
        <v>169</v>
      </c>
      <c r="CP31" s="20" t="s">
        <v>169</v>
      </c>
      <c r="CQ31" s="20" t="s">
        <v>169</v>
      </c>
      <c r="CR31" s="20" t="s">
        <v>169</v>
      </c>
      <c r="CS31" s="20" t="s">
        <v>169</v>
      </c>
      <c r="CT31" s="20" t="s">
        <v>169</v>
      </c>
      <c r="CU31" s="20" t="s">
        <v>169</v>
      </c>
      <c r="CV31" s="20" t="s">
        <v>169</v>
      </c>
      <c r="CW31" s="20" t="s">
        <v>169</v>
      </c>
      <c r="CX31" s="20" t="s">
        <v>169</v>
      </c>
    </row>
    <row r="32" spans="1:102" x14ac:dyDescent="0.25">
      <c r="A32" s="22" t="s">
        <v>29</v>
      </c>
      <c r="B32" s="22" t="s">
        <v>138</v>
      </c>
      <c r="C32" s="22" t="s">
        <v>83</v>
      </c>
      <c r="D32" s="6">
        <v>42858</v>
      </c>
      <c r="E32" s="18">
        <v>0.60416666666666663</v>
      </c>
      <c r="F32" s="19">
        <v>0.56000000000000005</v>
      </c>
      <c r="G32" s="20" t="s">
        <v>169</v>
      </c>
      <c r="H32" s="20" t="s">
        <v>169</v>
      </c>
      <c r="I32" s="20" t="s">
        <v>169</v>
      </c>
      <c r="J32" s="20" t="s">
        <v>169</v>
      </c>
      <c r="K32" s="20" t="s">
        <v>169</v>
      </c>
      <c r="L32" s="20" t="s">
        <v>169</v>
      </c>
      <c r="M32" s="20" t="s">
        <v>169</v>
      </c>
      <c r="N32" s="20" t="s">
        <v>169</v>
      </c>
      <c r="O32" s="20" t="s">
        <v>169</v>
      </c>
      <c r="P32" s="20" t="s">
        <v>169</v>
      </c>
      <c r="Q32" s="20" t="s">
        <v>169</v>
      </c>
      <c r="R32" s="20" t="s">
        <v>169</v>
      </c>
      <c r="S32" s="20" t="s">
        <v>169</v>
      </c>
      <c r="T32" s="20" t="s">
        <v>169</v>
      </c>
      <c r="U32" s="20" t="s">
        <v>169</v>
      </c>
      <c r="V32" s="20" t="s">
        <v>169</v>
      </c>
      <c r="W32" s="20" t="s">
        <v>169</v>
      </c>
      <c r="X32" s="20" t="s">
        <v>169</v>
      </c>
      <c r="Y32" s="20" t="s">
        <v>169</v>
      </c>
      <c r="Z32" s="20" t="s">
        <v>169</v>
      </c>
      <c r="AA32" s="20" t="s">
        <v>169</v>
      </c>
      <c r="AB32" s="20" t="s">
        <v>169</v>
      </c>
      <c r="AC32" s="20" t="s">
        <v>169</v>
      </c>
      <c r="AD32" s="20" t="s">
        <v>169</v>
      </c>
      <c r="AE32" s="20" t="s">
        <v>169</v>
      </c>
      <c r="AF32" s="20" t="s">
        <v>169</v>
      </c>
      <c r="AG32" s="20" t="s">
        <v>169</v>
      </c>
      <c r="AH32" s="20" t="s">
        <v>169</v>
      </c>
      <c r="AI32" s="20" t="s">
        <v>169</v>
      </c>
      <c r="AJ32" s="20" t="s">
        <v>169</v>
      </c>
      <c r="AK32" s="20" t="s">
        <v>169</v>
      </c>
      <c r="AL32" s="20" t="s">
        <v>169</v>
      </c>
      <c r="AM32" s="20" t="s">
        <v>169</v>
      </c>
      <c r="AN32" s="20" t="s">
        <v>169</v>
      </c>
      <c r="AO32" s="20" t="s">
        <v>169</v>
      </c>
      <c r="AP32" s="20" t="s">
        <v>169</v>
      </c>
      <c r="AQ32" s="20" t="s">
        <v>169</v>
      </c>
      <c r="AR32" s="20" t="s">
        <v>169</v>
      </c>
      <c r="AS32" s="20" t="s">
        <v>169</v>
      </c>
      <c r="AT32" s="20" t="s">
        <v>169</v>
      </c>
      <c r="AU32" s="20" t="s">
        <v>169</v>
      </c>
      <c r="AV32" s="20" t="s">
        <v>169</v>
      </c>
      <c r="AW32" s="20" t="s">
        <v>169</v>
      </c>
      <c r="AX32" s="20" t="s">
        <v>169</v>
      </c>
      <c r="AY32" s="20" t="s">
        <v>169</v>
      </c>
      <c r="AZ32" s="20" t="s">
        <v>169</v>
      </c>
      <c r="BA32" s="20" t="s">
        <v>169</v>
      </c>
      <c r="BB32" s="20" t="s">
        <v>169</v>
      </c>
      <c r="BC32" s="20" t="s">
        <v>169</v>
      </c>
      <c r="BD32" s="20" t="s">
        <v>169</v>
      </c>
      <c r="BE32" s="20" t="s">
        <v>169</v>
      </c>
      <c r="BF32" s="20" t="s">
        <v>169</v>
      </c>
      <c r="BG32" s="20" t="s">
        <v>169</v>
      </c>
      <c r="BH32" s="20" t="s">
        <v>169</v>
      </c>
      <c r="BI32" s="20" t="s">
        <v>169</v>
      </c>
      <c r="BJ32" s="20" t="s">
        <v>169</v>
      </c>
      <c r="BK32" s="20" t="s">
        <v>169</v>
      </c>
      <c r="BL32" s="20" t="s">
        <v>169</v>
      </c>
      <c r="BM32" s="20" t="s">
        <v>169</v>
      </c>
      <c r="BN32" s="20" t="s">
        <v>169</v>
      </c>
      <c r="BO32" s="20" t="s">
        <v>169</v>
      </c>
      <c r="BP32" s="20" t="s">
        <v>169</v>
      </c>
      <c r="BQ32" s="20" t="s">
        <v>169</v>
      </c>
      <c r="BR32" s="20" t="s">
        <v>169</v>
      </c>
      <c r="BS32" s="20" t="s">
        <v>169</v>
      </c>
      <c r="BT32" s="20" t="s">
        <v>169</v>
      </c>
      <c r="BU32" s="20" t="s">
        <v>169</v>
      </c>
      <c r="BV32" s="20" t="s">
        <v>169</v>
      </c>
      <c r="BW32" s="20" t="s">
        <v>169</v>
      </c>
      <c r="BX32" s="20" t="s">
        <v>169</v>
      </c>
      <c r="BY32" s="20" t="s">
        <v>169</v>
      </c>
      <c r="BZ32" s="20" t="s">
        <v>169</v>
      </c>
      <c r="CA32" s="20" t="s">
        <v>169</v>
      </c>
      <c r="CB32" s="20" t="s">
        <v>169</v>
      </c>
      <c r="CC32" s="20" t="s">
        <v>169</v>
      </c>
      <c r="CD32" s="20" t="s">
        <v>169</v>
      </c>
      <c r="CE32" s="20" t="s">
        <v>169</v>
      </c>
      <c r="CF32" s="20" t="s">
        <v>169</v>
      </c>
      <c r="CG32" s="20" t="s">
        <v>169</v>
      </c>
      <c r="CH32" s="20" t="s">
        <v>169</v>
      </c>
      <c r="CI32" s="20" t="s">
        <v>169</v>
      </c>
      <c r="CJ32" s="20" t="s">
        <v>169</v>
      </c>
      <c r="CK32" s="20" t="s">
        <v>169</v>
      </c>
      <c r="CL32" s="20" t="s">
        <v>169</v>
      </c>
      <c r="CM32" s="20" t="s">
        <v>169</v>
      </c>
      <c r="CN32" s="20" t="s">
        <v>169</v>
      </c>
      <c r="CO32" s="20" t="s">
        <v>169</v>
      </c>
      <c r="CP32" s="20" t="s">
        <v>169</v>
      </c>
      <c r="CQ32" s="20" t="s">
        <v>169</v>
      </c>
      <c r="CR32" s="20" t="s">
        <v>169</v>
      </c>
      <c r="CS32" s="20" t="s">
        <v>169</v>
      </c>
      <c r="CT32" s="20" t="s">
        <v>169</v>
      </c>
      <c r="CU32" s="20" t="s">
        <v>169</v>
      </c>
      <c r="CV32" s="20" t="s">
        <v>169</v>
      </c>
      <c r="CW32" s="20" t="s">
        <v>169</v>
      </c>
      <c r="CX32" s="20" t="s">
        <v>169</v>
      </c>
    </row>
    <row r="33" spans="1:102" x14ac:dyDescent="0.25">
      <c r="A33" s="22" t="s">
        <v>30</v>
      </c>
      <c r="B33" s="22" t="s">
        <v>139</v>
      </c>
      <c r="C33" s="22" t="s">
        <v>84</v>
      </c>
      <c r="D33" s="6">
        <v>42859</v>
      </c>
      <c r="E33" s="18">
        <v>0.4375</v>
      </c>
      <c r="F33" s="19">
        <v>2.34</v>
      </c>
      <c r="G33" s="20" t="s">
        <v>169</v>
      </c>
      <c r="H33" s="20" t="s">
        <v>169</v>
      </c>
      <c r="I33" s="20" t="s">
        <v>169</v>
      </c>
      <c r="J33" s="20" t="s">
        <v>169</v>
      </c>
      <c r="K33" s="20" t="s">
        <v>169</v>
      </c>
      <c r="L33" s="20" t="s">
        <v>169</v>
      </c>
      <c r="M33" s="20" t="s">
        <v>169</v>
      </c>
      <c r="N33" s="20" t="s">
        <v>169</v>
      </c>
      <c r="O33" s="20">
        <v>16.359120819656841</v>
      </c>
      <c r="P33" s="20" t="s">
        <v>169</v>
      </c>
      <c r="Q33" s="20" t="s">
        <v>169</v>
      </c>
      <c r="R33" s="20" t="s">
        <v>169</v>
      </c>
      <c r="S33" s="20" t="s">
        <v>169</v>
      </c>
      <c r="T33" s="20" t="s">
        <v>169</v>
      </c>
      <c r="U33" s="20" t="s">
        <v>169</v>
      </c>
      <c r="V33" s="20" t="s">
        <v>169</v>
      </c>
      <c r="W33" s="20" t="s">
        <v>169</v>
      </c>
      <c r="X33" s="20" t="s">
        <v>169</v>
      </c>
      <c r="Y33" s="20" t="s">
        <v>169</v>
      </c>
      <c r="Z33" s="20" t="s">
        <v>169</v>
      </c>
      <c r="AA33" s="20" t="s">
        <v>169</v>
      </c>
      <c r="AB33" s="20" t="s">
        <v>169</v>
      </c>
      <c r="AC33" s="20" t="s">
        <v>169</v>
      </c>
      <c r="AD33" s="20" t="s">
        <v>169</v>
      </c>
      <c r="AE33" s="20" t="s">
        <v>169</v>
      </c>
      <c r="AF33" s="20" t="s">
        <v>169</v>
      </c>
      <c r="AG33" s="20" t="s">
        <v>169</v>
      </c>
      <c r="AH33" s="20" t="s">
        <v>169</v>
      </c>
      <c r="AI33" s="20" t="s">
        <v>169</v>
      </c>
      <c r="AJ33" s="20" t="s">
        <v>169</v>
      </c>
      <c r="AK33" s="20" t="s">
        <v>169</v>
      </c>
      <c r="AL33" s="20" t="s">
        <v>169</v>
      </c>
      <c r="AM33" s="20" t="s">
        <v>169</v>
      </c>
      <c r="AN33" s="20" t="s">
        <v>169</v>
      </c>
      <c r="AO33" s="20" t="s">
        <v>169</v>
      </c>
      <c r="AP33" s="20" t="s">
        <v>169</v>
      </c>
      <c r="AQ33" s="20" t="s">
        <v>169</v>
      </c>
      <c r="AR33" s="20" t="s">
        <v>169</v>
      </c>
      <c r="AS33" s="20" t="s">
        <v>169</v>
      </c>
      <c r="AT33" s="20" t="s">
        <v>169</v>
      </c>
      <c r="AU33" s="20" t="s">
        <v>169</v>
      </c>
      <c r="AV33" s="20" t="s">
        <v>169</v>
      </c>
      <c r="AW33" s="20" t="s">
        <v>169</v>
      </c>
      <c r="AX33" s="20" t="s">
        <v>169</v>
      </c>
      <c r="AY33" s="20" t="s">
        <v>169</v>
      </c>
      <c r="AZ33" s="20" t="s">
        <v>169</v>
      </c>
      <c r="BA33" s="20" t="s">
        <v>169</v>
      </c>
      <c r="BB33" s="20" t="s">
        <v>169</v>
      </c>
      <c r="BC33" s="20" t="s">
        <v>169</v>
      </c>
      <c r="BD33" s="20" t="s">
        <v>169</v>
      </c>
      <c r="BE33" s="20" t="s">
        <v>169</v>
      </c>
      <c r="BF33" s="20" t="s">
        <v>169</v>
      </c>
      <c r="BG33" s="20" t="s">
        <v>169</v>
      </c>
      <c r="BH33" s="20" t="s">
        <v>169</v>
      </c>
      <c r="BI33" s="20" t="s">
        <v>169</v>
      </c>
      <c r="BJ33" s="20" t="s">
        <v>169</v>
      </c>
      <c r="BK33" s="20" t="s">
        <v>169</v>
      </c>
      <c r="BL33" s="20" t="s">
        <v>169</v>
      </c>
      <c r="BM33" s="20" t="s">
        <v>169</v>
      </c>
      <c r="BN33" s="20" t="s">
        <v>169</v>
      </c>
      <c r="BO33" s="20">
        <v>15.954730194873759</v>
      </c>
      <c r="BP33" s="20">
        <v>16.084231866567521</v>
      </c>
      <c r="BQ33" s="20">
        <v>19.145226422689746</v>
      </c>
      <c r="BR33" s="20" t="s">
        <v>169</v>
      </c>
      <c r="BS33" s="20" t="s">
        <v>169</v>
      </c>
      <c r="BT33" s="20" t="s">
        <v>169</v>
      </c>
      <c r="BU33" s="20">
        <v>22.259570501544616</v>
      </c>
      <c r="BV33" s="20" t="s">
        <v>169</v>
      </c>
      <c r="BW33" s="20" t="s">
        <v>169</v>
      </c>
      <c r="BX33" s="20" t="s">
        <v>169</v>
      </c>
      <c r="BY33" s="20" t="s">
        <v>169</v>
      </c>
      <c r="BZ33" s="20" t="s">
        <v>169</v>
      </c>
      <c r="CA33" s="20" t="s">
        <v>169</v>
      </c>
      <c r="CB33" s="20" t="s">
        <v>169</v>
      </c>
      <c r="CC33" s="20" t="s">
        <v>169</v>
      </c>
      <c r="CD33" s="20" t="s">
        <v>169</v>
      </c>
      <c r="CE33" s="20" t="s">
        <v>169</v>
      </c>
      <c r="CF33" s="20" t="s">
        <v>169</v>
      </c>
      <c r="CG33" s="20" t="s">
        <v>169</v>
      </c>
      <c r="CH33" s="20" t="s">
        <v>169</v>
      </c>
      <c r="CI33" s="20" t="s">
        <v>169</v>
      </c>
      <c r="CJ33" s="20" t="s">
        <v>169</v>
      </c>
      <c r="CK33" s="20" t="s">
        <v>169</v>
      </c>
      <c r="CL33" s="20" t="s">
        <v>169</v>
      </c>
      <c r="CM33" s="20" t="s">
        <v>169</v>
      </c>
      <c r="CN33" s="20" t="s">
        <v>169</v>
      </c>
      <c r="CO33" s="20" t="s">
        <v>169</v>
      </c>
      <c r="CP33" s="20" t="s">
        <v>169</v>
      </c>
      <c r="CQ33" s="20" t="s">
        <v>169</v>
      </c>
      <c r="CR33" s="20" t="s">
        <v>169</v>
      </c>
      <c r="CS33" s="20" t="s">
        <v>169</v>
      </c>
      <c r="CT33" s="20" t="s">
        <v>169</v>
      </c>
      <c r="CU33" s="20" t="s">
        <v>169</v>
      </c>
      <c r="CV33" s="20" t="s">
        <v>169</v>
      </c>
      <c r="CW33" s="20" t="s">
        <v>169</v>
      </c>
      <c r="CX33" s="20" t="s">
        <v>169</v>
      </c>
    </row>
    <row r="34" spans="1:102" x14ac:dyDescent="0.25">
      <c r="A34" s="22" t="s">
        <v>31</v>
      </c>
      <c r="B34" s="22" t="s">
        <v>140</v>
      </c>
      <c r="C34" s="22" t="s">
        <v>85</v>
      </c>
      <c r="D34" s="6">
        <v>42857</v>
      </c>
      <c r="E34" s="18">
        <v>0.5625</v>
      </c>
      <c r="F34" s="19">
        <v>4.95</v>
      </c>
      <c r="G34" s="20" t="s">
        <v>169</v>
      </c>
      <c r="H34" s="20" t="s">
        <v>169</v>
      </c>
      <c r="I34" s="20" t="s">
        <v>169</v>
      </c>
      <c r="J34" s="20" t="s">
        <v>169</v>
      </c>
      <c r="K34" s="20" t="s">
        <v>169</v>
      </c>
      <c r="L34" s="20" t="s">
        <v>169</v>
      </c>
      <c r="M34" s="20" t="s">
        <v>169</v>
      </c>
      <c r="N34" s="20" t="s">
        <v>169</v>
      </c>
      <c r="O34" s="20">
        <v>7.35373725731709</v>
      </c>
      <c r="P34" s="20" t="s">
        <v>169</v>
      </c>
      <c r="Q34" s="20" t="s">
        <v>169</v>
      </c>
      <c r="R34" s="20" t="s">
        <v>169</v>
      </c>
      <c r="S34" s="20" t="s">
        <v>169</v>
      </c>
      <c r="T34" s="20" t="s">
        <v>169</v>
      </c>
      <c r="U34" s="20" t="s">
        <v>169</v>
      </c>
      <c r="V34" s="20" t="s">
        <v>169</v>
      </c>
      <c r="W34" s="20" t="s">
        <v>169</v>
      </c>
      <c r="X34" s="20" t="s">
        <v>169</v>
      </c>
      <c r="Y34" s="20" t="s">
        <v>169</v>
      </c>
      <c r="Z34" s="20" t="s">
        <v>169</v>
      </c>
      <c r="AA34" s="20" t="s">
        <v>169</v>
      </c>
      <c r="AB34" s="20" t="s">
        <v>169</v>
      </c>
      <c r="AC34" s="20" t="s">
        <v>169</v>
      </c>
      <c r="AD34" s="20" t="s">
        <v>169</v>
      </c>
      <c r="AE34" s="20" t="s">
        <v>169</v>
      </c>
      <c r="AF34" s="20" t="s">
        <v>169</v>
      </c>
      <c r="AG34" s="20" t="s">
        <v>169</v>
      </c>
      <c r="AH34" s="20">
        <v>2.2999999999999998</v>
      </c>
      <c r="AI34" s="20" t="s">
        <v>169</v>
      </c>
      <c r="AJ34" s="20" t="s">
        <v>169</v>
      </c>
      <c r="AK34" s="20" t="s">
        <v>169</v>
      </c>
      <c r="AL34" s="20" t="s">
        <v>169</v>
      </c>
      <c r="AM34" s="20" t="s">
        <v>169</v>
      </c>
      <c r="AN34" s="20" t="s">
        <v>169</v>
      </c>
      <c r="AO34" s="20" t="s">
        <v>169</v>
      </c>
      <c r="AP34" s="20" t="s">
        <v>169</v>
      </c>
      <c r="AQ34" s="20" t="s">
        <v>169</v>
      </c>
      <c r="AR34" s="20" t="s">
        <v>169</v>
      </c>
      <c r="AS34" s="20" t="s">
        <v>169</v>
      </c>
      <c r="AT34" s="20" t="s">
        <v>169</v>
      </c>
      <c r="AU34" s="20" t="s">
        <v>169</v>
      </c>
      <c r="AV34" s="20" t="s">
        <v>169</v>
      </c>
      <c r="AW34" s="20" t="s">
        <v>169</v>
      </c>
      <c r="AX34" s="20" t="s">
        <v>169</v>
      </c>
      <c r="AY34" s="20" t="s">
        <v>169</v>
      </c>
      <c r="AZ34" s="20" t="s">
        <v>169</v>
      </c>
      <c r="BA34" s="20" t="s">
        <v>169</v>
      </c>
      <c r="BB34" s="20" t="s">
        <v>169</v>
      </c>
      <c r="BC34" s="20" t="s">
        <v>169</v>
      </c>
      <c r="BD34" s="20" t="s">
        <v>169</v>
      </c>
      <c r="BE34" s="20" t="s">
        <v>169</v>
      </c>
      <c r="BF34" s="20" t="s">
        <v>169</v>
      </c>
      <c r="BG34" s="20" t="s">
        <v>169</v>
      </c>
      <c r="BH34" s="20" t="s">
        <v>169</v>
      </c>
      <c r="BI34" s="20" t="s">
        <v>169</v>
      </c>
      <c r="BJ34" s="20" t="s">
        <v>169</v>
      </c>
      <c r="BK34" s="20" t="s">
        <v>169</v>
      </c>
      <c r="BL34" s="20" t="s">
        <v>169</v>
      </c>
      <c r="BM34" s="20">
        <v>5.0814990604927273</v>
      </c>
      <c r="BN34" s="20" t="s">
        <v>169</v>
      </c>
      <c r="BO34" s="20">
        <v>7.1493771404953126</v>
      </c>
      <c r="BP34" s="20">
        <v>5.1825910409821407</v>
      </c>
      <c r="BQ34" s="20">
        <v>25.269290293943474</v>
      </c>
      <c r="BR34" s="20" t="s">
        <v>169</v>
      </c>
      <c r="BS34" s="20" t="s">
        <v>169</v>
      </c>
      <c r="BT34" s="20" t="s">
        <v>169</v>
      </c>
      <c r="BU34" s="20" t="s">
        <v>169</v>
      </c>
      <c r="BV34" s="20" t="s">
        <v>169</v>
      </c>
      <c r="BW34" s="20" t="s">
        <v>169</v>
      </c>
      <c r="BX34" s="20" t="s">
        <v>169</v>
      </c>
      <c r="BY34" s="20" t="s">
        <v>169</v>
      </c>
      <c r="BZ34" s="20" t="s">
        <v>169</v>
      </c>
      <c r="CA34" s="20" t="s">
        <v>169</v>
      </c>
      <c r="CB34" s="20" t="s">
        <v>169</v>
      </c>
      <c r="CC34" s="20" t="s">
        <v>169</v>
      </c>
      <c r="CD34" s="20" t="s">
        <v>169</v>
      </c>
      <c r="CE34" s="20" t="s">
        <v>169</v>
      </c>
      <c r="CF34" s="20" t="s">
        <v>169</v>
      </c>
      <c r="CG34" s="20" t="s">
        <v>169</v>
      </c>
      <c r="CH34" s="20" t="s">
        <v>169</v>
      </c>
      <c r="CI34" s="20" t="s">
        <v>169</v>
      </c>
      <c r="CJ34" s="20" t="s">
        <v>169</v>
      </c>
      <c r="CK34" s="20" t="s">
        <v>169</v>
      </c>
      <c r="CL34" s="20" t="s">
        <v>169</v>
      </c>
      <c r="CM34" s="20" t="s">
        <v>169</v>
      </c>
      <c r="CN34" s="20" t="s">
        <v>169</v>
      </c>
      <c r="CO34" s="20" t="s">
        <v>169</v>
      </c>
      <c r="CP34" s="20" t="s">
        <v>169</v>
      </c>
      <c r="CQ34" s="20" t="s">
        <v>169</v>
      </c>
      <c r="CR34" s="20" t="s">
        <v>169</v>
      </c>
      <c r="CS34" s="20" t="s">
        <v>169</v>
      </c>
      <c r="CT34" s="20" t="s">
        <v>169</v>
      </c>
      <c r="CU34" s="20" t="s">
        <v>169</v>
      </c>
      <c r="CV34" s="20" t="s">
        <v>169</v>
      </c>
      <c r="CW34" s="20" t="s">
        <v>169</v>
      </c>
      <c r="CX34" s="20" t="s">
        <v>169</v>
      </c>
    </row>
    <row r="35" spans="1:102" x14ac:dyDescent="0.25">
      <c r="A35" s="22" t="s">
        <v>32</v>
      </c>
      <c r="B35" s="22" t="s">
        <v>141</v>
      </c>
      <c r="C35" s="22" t="s">
        <v>86</v>
      </c>
      <c r="D35" s="6">
        <v>42867</v>
      </c>
      <c r="E35" s="18">
        <v>0.39583333333333331</v>
      </c>
      <c r="F35" s="19">
        <v>0.13</v>
      </c>
      <c r="G35" s="20" t="s">
        <v>169</v>
      </c>
      <c r="H35" s="20" t="s">
        <v>169</v>
      </c>
      <c r="I35" s="20" t="s">
        <v>169</v>
      </c>
      <c r="J35" s="20" t="s">
        <v>169</v>
      </c>
      <c r="K35" s="20" t="s">
        <v>169</v>
      </c>
      <c r="L35" s="20" t="s">
        <v>169</v>
      </c>
      <c r="M35" s="21" t="s">
        <v>169</v>
      </c>
      <c r="N35" s="20" t="s">
        <v>169</v>
      </c>
      <c r="O35" s="20" t="s">
        <v>169</v>
      </c>
      <c r="P35" s="21" t="s">
        <v>169</v>
      </c>
      <c r="Q35" s="20" t="s">
        <v>169</v>
      </c>
      <c r="R35" s="20" t="s">
        <v>169</v>
      </c>
      <c r="S35" s="20" t="s">
        <v>169</v>
      </c>
      <c r="T35" s="20" t="s">
        <v>169</v>
      </c>
      <c r="U35" s="20" t="s">
        <v>169</v>
      </c>
      <c r="V35" s="20" t="s">
        <v>169</v>
      </c>
      <c r="W35" s="20" t="s">
        <v>169</v>
      </c>
      <c r="X35" s="20" t="s">
        <v>169</v>
      </c>
      <c r="Y35" s="20" t="s">
        <v>169</v>
      </c>
      <c r="Z35" s="20" t="s">
        <v>169</v>
      </c>
      <c r="AA35" s="20" t="s">
        <v>169</v>
      </c>
      <c r="AB35" s="20" t="s">
        <v>169</v>
      </c>
      <c r="AC35" s="20" t="s">
        <v>169</v>
      </c>
      <c r="AD35" s="21" t="s">
        <v>169</v>
      </c>
      <c r="AE35" s="20" t="s">
        <v>169</v>
      </c>
      <c r="AF35" s="20" t="s">
        <v>169</v>
      </c>
      <c r="AG35" s="20" t="s">
        <v>169</v>
      </c>
      <c r="AH35" s="20" t="s">
        <v>169</v>
      </c>
      <c r="AI35" s="20" t="s">
        <v>169</v>
      </c>
      <c r="AJ35" s="20" t="s">
        <v>169</v>
      </c>
      <c r="AK35" s="20" t="s">
        <v>169</v>
      </c>
      <c r="AL35" s="20" t="s">
        <v>169</v>
      </c>
      <c r="AM35" s="20" t="s">
        <v>169</v>
      </c>
      <c r="AN35" s="20" t="s">
        <v>169</v>
      </c>
      <c r="AO35" s="20" t="s">
        <v>169</v>
      </c>
      <c r="AP35" s="20" t="s">
        <v>169</v>
      </c>
      <c r="AQ35" s="20" t="s">
        <v>169</v>
      </c>
      <c r="AR35" s="20" t="s">
        <v>169</v>
      </c>
      <c r="AS35" s="20" t="s">
        <v>169</v>
      </c>
      <c r="AT35" s="20" t="s">
        <v>169</v>
      </c>
      <c r="AU35" s="21" t="s">
        <v>169</v>
      </c>
      <c r="AV35" s="20" t="s">
        <v>169</v>
      </c>
      <c r="AW35" s="20" t="s">
        <v>169</v>
      </c>
      <c r="AX35" s="21" t="s">
        <v>169</v>
      </c>
      <c r="AY35" s="21" t="s">
        <v>169</v>
      </c>
      <c r="AZ35" s="20" t="s">
        <v>169</v>
      </c>
      <c r="BA35" s="21" t="s">
        <v>169</v>
      </c>
      <c r="BB35" s="21" t="s">
        <v>169</v>
      </c>
      <c r="BC35" s="20" t="s">
        <v>169</v>
      </c>
      <c r="BD35" s="21" t="s">
        <v>169</v>
      </c>
      <c r="BE35" s="20" t="s">
        <v>169</v>
      </c>
      <c r="BF35" s="20" t="s">
        <v>169</v>
      </c>
      <c r="BG35" s="20" t="s">
        <v>169</v>
      </c>
      <c r="BH35" s="20" t="s">
        <v>169</v>
      </c>
      <c r="BI35" s="20" t="s">
        <v>169</v>
      </c>
      <c r="BJ35" s="21" t="s">
        <v>169</v>
      </c>
      <c r="BK35" s="20" t="s">
        <v>169</v>
      </c>
      <c r="BL35" s="21" t="s">
        <v>169</v>
      </c>
      <c r="BM35" s="20" t="s">
        <v>169</v>
      </c>
      <c r="BN35" s="20" t="s">
        <v>169</v>
      </c>
      <c r="BO35" s="20">
        <v>73.230769230769241</v>
      </c>
      <c r="BP35" s="20">
        <v>44.372155176656307</v>
      </c>
      <c r="BQ35" s="20">
        <v>695.23076923076928</v>
      </c>
      <c r="BR35" s="20" t="s">
        <v>169</v>
      </c>
      <c r="BS35" s="21" t="s">
        <v>169</v>
      </c>
      <c r="BT35" s="20" t="s">
        <v>169</v>
      </c>
      <c r="BU35" s="20" t="s">
        <v>169</v>
      </c>
      <c r="BV35" s="20" t="s">
        <v>169</v>
      </c>
      <c r="BW35" s="20" t="s">
        <v>169</v>
      </c>
      <c r="BX35" s="20" t="s">
        <v>169</v>
      </c>
      <c r="BY35" s="20" t="s">
        <v>169</v>
      </c>
      <c r="BZ35" s="20" t="s">
        <v>169</v>
      </c>
      <c r="CA35" s="20" t="s">
        <v>169</v>
      </c>
      <c r="CB35" s="20" t="s">
        <v>169</v>
      </c>
      <c r="CC35" s="20" t="s">
        <v>169</v>
      </c>
      <c r="CD35" s="20" t="s">
        <v>169</v>
      </c>
      <c r="CE35" s="21" t="s">
        <v>169</v>
      </c>
      <c r="CF35" s="20" t="s">
        <v>169</v>
      </c>
      <c r="CG35" s="20" t="s">
        <v>169</v>
      </c>
      <c r="CH35" s="20" t="s">
        <v>169</v>
      </c>
      <c r="CI35" s="20" t="s">
        <v>169</v>
      </c>
      <c r="CJ35" s="20" t="s">
        <v>169</v>
      </c>
      <c r="CK35" s="20" t="s">
        <v>169</v>
      </c>
      <c r="CL35" s="20" t="s">
        <v>169</v>
      </c>
      <c r="CM35" s="21" t="s">
        <v>169</v>
      </c>
      <c r="CN35" s="20" t="s">
        <v>169</v>
      </c>
      <c r="CO35" s="20" t="s">
        <v>169</v>
      </c>
      <c r="CP35" s="20" t="s">
        <v>169</v>
      </c>
      <c r="CQ35" s="20" t="s">
        <v>169</v>
      </c>
      <c r="CR35" s="21" t="s">
        <v>169</v>
      </c>
      <c r="CS35" s="20" t="s">
        <v>169</v>
      </c>
      <c r="CT35" s="21" t="s">
        <v>169</v>
      </c>
      <c r="CU35" s="21" t="s">
        <v>169</v>
      </c>
      <c r="CV35" s="20" t="s">
        <v>169</v>
      </c>
      <c r="CW35" s="21" t="s">
        <v>169</v>
      </c>
      <c r="CX35" s="21" t="s">
        <v>169</v>
      </c>
    </row>
    <row r="36" spans="1:102" x14ac:dyDescent="0.25">
      <c r="A36" s="22" t="s">
        <v>33</v>
      </c>
      <c r="B36" s="22" t="s">
        <v>142</v>
      </c>
      <c r="C36" s="22" t="s">
        <v>87</v>
      </c>
      <c r="D36" s="6">
        <v>42868</v>
      </c>
      <c r="E36" s="18">
        <v>0.39583333333333331</v>
      </c>
      <c r="F36" s="19">
        <v>0.7</v>
      </c>
      <c r="G36" s="20" t="s">
        <v>169</v>
      </c>
      <c r="H36" s="20" t="s">
        <v>169</v>
      </c>
      <c r="I36" s="20" t="s">
        <v>169</v>
      </c>
      <c r="J36" s="20" t="s">
        <v>169</v>
      </c>
      <c r="K36" s="20" t="s">
        <v>169</v>
      </c>
      <c r="L36" s="20" t="s">
        <v>169</v>
      </c>
      <c r="M36" s="21" t="s">
        <v>169</v>
      </c>
      <c r="N36" s="20" t="s">
        <v>169</v>
      </c>
      <c r="O36" s="20">
        <v>7.0112748262640583</v>
      </c>
      <c r="P36" s="21" t="s">
        <v>169</v>
      </c>
      <c r="Q36" s="20" t="s">
        <v>169</v>
      </c>
      <c r="R36" s="20" t="s">
        <v>169</v>
      </c>
      <c r="S36" s="20" t="s">
        <v>169</v>
      </c>
      <c r="T36" s="20" t="s">
        <v>169</v>
      </c>
      <c r="U36" s="20" t="s">
        <v>169</v>
      </c>
      <c r="V36" s="20" t="s">
        <v>169</v>
      </c>
      <c r="W36" s="20" t="s">
        <v>169</v>
      </c>
      <c r="X36" s="20" t="s">
        <v>169</v>
      </c>
      <c r="Y36" s="20" t="s">
        <v>169</v>
      </c>
      <c r="Z36" s="20" t="s">
        <v>169</v>
      </c>
      <c r="AA36" s="20" t="s">
        <v>169</v>
      </c>
      <c r="AB36" s="20" t="s">
        <v>169</v>
      </c>
      <c r="AC36" s="20" t="s">
        <v>169</v>
      </c>
      <c r="AD36" s="21" t="s">
        <v>169</v>
      </c>
      <c r="AE36" s="20" t="s">
        <v>169</v>
      </c>
      <c r="AF36" s="20" t="s">
        <v>169</v>
      </c>
      <c r="AG36" s="20" t="s">
        <v>169</v>
      </c>
      <c r="AH36" s="20">
        <v>5.528412993739658</v>
      </c>
      <c r="AI36" s="20" t="s">
        <v>169</v>
      </c>
      <c r="AJ36" s="20" t="s">
        <v>169</v>
      </c>
      <c r="AK36" s="20" t="s">
        <v>169</v>
      </c>
      <c r="AL36" s="20" t="s">
        <v>169</v>
      </c>
      <c r="AM36" s="20" t="s">
        <v>169</v>
      </c>
      <c r="AN36" s="20" t="s">
        <v>169</v>
      </c>
      <c r="AO36" s="20" t="s">
        <v>169</v>
      </c>
      <c r="AP36" s="20" t="s">
        <v>169</v>
      </c>
      <c r="AQ36" s="20" t="s">
        <v>169</v>
      </c>
      <c r="AR36" s="20" t="s">
        <v>169</v>
      </c>
      <c r="AS36" s="20" t="s">
        <v>169</v>
      </c>
      <c r="AT36" s="20" t="s">
        <v>169</v>
      </c>
      <c r="AU36" s="21" t="s">
        <v>169</v>
      </c>
      <c r="AV36" s="20" t="s">
        <v>169</v>
      </c>
      <c r="AW36" s="20" t="s">
        <v>169</v>
      </c>
      <c r="AX36" s="21" t="s">
        <v>169</v>
      </c>
      <c r="AY36" s="21" t="s">
        <v>169</v>
      </c>
      <c r="AZ36" s="20" t="s">
        <v>169</v>
      </c>
      <c r="BA36" s="21" t="s">
        <v>169</v>
      </c>
      <c r="BB36" s="21" t="s">
        <v>169</v>
      </c>
      <c r="BC36" s="20" t="s">
        <v>169</v>
      </c>
      <c r="BD36" s="21" t="s">
        <v>169</v>
      </c>
      <c r="BE36" s="20" t="s">
        <v>169</v>
      </c>
      <c r="BF36" s="20" t="s">
        <v>169</v>
      </c>
      <c r="BG36" s="20" t="s">
        <v>169</v>
      </c>
      <c r="BH36" s="20" t="s">
        <v>169</v>
      </c>
      <c r="BI36" s="20" t="s">
        <v>169</v>
      </c>
      <c r="BJ36" s="21" t="s">
        <v>169</v>
      </c>
      <c r="BK36" s="20" t="s">
        <v>169</v>
      </c>
      <c r="BL36" s="21" t="s">
        <v>169</v>
      </c>
      <c r="BM36" s="20">
        <v>8.4932651568698283</v>
      </c>
      <c r="BN36" s="20" t="s">
        <v>169</v>
      </c>
      <c r="BO36" s="20" t="s">
        <v>169</v>
      </c>
      <c r="BP36" s="20" t="s">
        <v>169</v>
      </c>
      <c r="BQ36" s="20" t="s">
        <v>169</v>
      </c>
      <c r="BR36" s="20" t="s">
        <v>169</v>
      </c>
      <c r="BS36" s="21" t="s">
        <v>169</v>
      </c>
      <c r="BT36" s="20" t="s">
        <v>169</v>
      </c>
      <c r="BU36" s="20">
        <v>10.803276776023344</v>
      </c>
      <c r="BV36" s="20" t="s">
        <v>169</v>
      </c>
      <c r="BW36" s="20" t="s">
        <v>169</v>
      </c>
      <c r="BX36" s="20" t="s">
        <v>169</v>
      </c>
      <c r="BY36" s="20" t="s">
        <v>169</v>
      </c>
      <c r="BZ36" s="20" t="s">
        <v>169</v>
      </c>
      <c r="CA36" s="20" t="s">
        <v>169</v>
      </c>
      <c r="CB36" s="20" t="s">
        <v>169</v>
      </c>
      <c r="CC36" s="20" t="s">
        <v>169</v>
      </c>
      <c r="CD36" s="20" t="s">
        <v>169</v>
      </c>
      <c r="CE36" s="21" t="s">
        <v>169</v>
      </c>
      <c r="CF36" s="20" t="s">
        <v>169</v>
      </c>
      <c r="CG36" s="20" t="s">
        <v>169</v>
      </c>
      <c r="CH36" s="20" t="s">
        <v>169</v>
      </c>
      <c r="CI36" s="20" t="s">
        <v>169</v>
      </c>
      <c r="CJ36" s="20" t="s">
        <v>169</v>
      </c>
      <c r="CK36" s="20" t="s">
        <v>169</v>
      </c>
      <c r="CL36" s="20" t="s">
        <v>169</v>
      </c>
      <c r="CM36" s="21" t="s">
        <v>169</v>
      </c>
      <c r="CN36" s="20" t="s">
        <v>169</v>
      </c>
      <c r="CO36" s="20" t="s">
        <v>169</v>
      </c>
      <c r="CP36" s="20" t="s">
        <v>169</v>
      </c>
      <c r="CQ36" s="20" t="s">
        <v>169</v>
      </c>
      <c r="CR36" s="21" t="s">
        <v>169</v>
      </c>
      <c r="CS36" s="20" t="s">
        <v>169</v>
      </c>
      <c r="CT36" s="21" t="s">
        <v>169</v>
      </c>
      <c r="CU36" s="21" t="s">
        <v>169</v>
      </c>
      <c r="CV36" s="20" t="s">
        <v>169</v>
      </c>
      <c r="CW36" s="21" t="s">
        <v>169</v>
      </c>
      <c r="CX36" s="21" t="s">
        <v>169</v>
      </c>
    </row>
    <row r="37" spans="1:102" x14ac:dyDescent="0.25">
      <c r="A37" s="22" t="s">
        <v>34</v>
      </c>
      <c r="B37" s="22" t="s">
        <v>143</v>
      </c>
      <c r="C37" s="22" t="s">
        <v>88</v>
      </c>
      <c r="D37" s="6">
        <v>42872</v>
      </c>
      <c r="E37" s="18">
        <v>0.4375</v>
      </c>
      <c r="F37" s="19">
        <v>0.57999999999999996</v>
      </c>
      <c r="G37" s="20" t="s">
        <v>169</v>
      </c>
      <c r="H37" s="20" t="s">
        <v>169</v>
      </c>
      <c r="I37" s="20" t="s">
        <v>169</v>
      </c>
      <c r="J37" s="20" t="s">
        <v>169</v>
      </c>
      <c r="K37" s="20" t="s">
        <v>169</v>
      </c>
      <c r="L37" s="20" t="s">
        <v>169</v>
      </c>
      <c r="M37" s="21" t="s">
        <v>169</v>
      </c>
      <c r="N37" s="20" t="s">
        <v>169</v>
      </c>
      <c r="O37" s="20">
        <v>6.6269696751728624</v>
      </c>
      <c r="P37" s="21" t="s">
        <v>169</v>
      </c>
      <c r="Q37" s="20" t="s">
        <v>169</v>
      </c>
      <c r="R37" s="20" t="s">
        <v>169</v>
      </c>
      <c r="S37" s="20" t="s">
        <v>169</v>
      </c>
      <c r="T37" s="20" t="s">
        <v>169</v>
      </c>
      <c r="U37" s="20" t="s">
        <v>169</v>
      </c>
      <c r="V37" s="20" t="s">
        <v>169</v>
      </c>
      <c r="W37" s="20" t="s">
        <v>169</v>
      </c>
      <c r="X37" s="20" t="s">
        <v>169</v>
      </c>
      <c r="Y37" s="20" t="s">
        <v>169</v>
      </c>
      <c r="Z37" s="20" t="s">
        <v>169</v>
      </c>
      <c r="AA37" s="20" t="s">
        <v>169</v>
      </c>
      <c r="AB37" s="20" t="s">
        <v>169</v>
      </c>
      <c r="AC37" s="20" t="s">
        <v>169</v>
      </c>
      <c r="AD37" s="21" t="s">
        <v>169</v>
      </c>
      <c r="AE37" s="20" t="s">
        <v>169</v>
      </c>
      <c r="AF37" s="20" t="s">
        <v>169</v>
      </c>
      <c r="AG37" s="20" t="s">
        <v>169</v>
      </c>
      <c r="AH37" s="20" t="s">
        <v>169</v>
      </c>
      <c r="AI37" s="20" t="s">
        <v>169</v>
      </c>
      <c r="AJ37" s="20" t="s">
        <v>169</v>
      </c>
      <c r="AK37" s="20" t="s">
        <v>169</v>
      </c>
      <c r="AL37" s="20" t="s">
        <v>169</v>
      </c>
      <c r="AM37" s="20" t="s">
        <v>169</v>
      </c>
      <c r="AN37" s="20" t="s">
        <v>169</v>
      </c>
      <c r="AO37" s="20" t="s">
        <v>169</v>
      </c>
      <c r="AP37" s="20" t="s">
        <v>169</v>
      </c>
      <c r="AQ37" s="20" t="s">
        <v>169</v>
      </c>
      <c r="AR37" s="20" t="s">
        <v>169</v>
      </c>
      <c r="AS37" s="20" t="s">
        <v>169</v>
      </c>
      <c r="AT37" s="20" t="s">
        <v>169</v>
      </c>
      <c r="AU37" s="21" t="s">
        <v>169</v>
      </c>
      <c r="AV37" s="20" t="s">
        <v>169</v>
      </c>
      <c r="AW37" s="20" t="s">
        <v>169</v>
      </c>
      <c r="AX37" s="21" t="s">
        <v>169</v>
      </c>
      <c r="AY37" s="21" t="s">
        <v>169</v>
      </c>
      <c r="AZ37" s="20" t="s">
        <v>169</v>
      </c>
      <c r="BA37" s="21" t="s">
        <v>169</v>
      </c>
      <c r="BB37" s="21" t="s">
        <v>169</v>
      </c>
      <c r="BC37" s="20" t="s">
        <v>169</v>
      </c>
      <c r="BD37" s="21" t="s">
        <v>169</v>
      </c>
      <c r="BE37" s="20" t="s">
        <v>169</v>
      </c>
      <c r="BF37" s="20" t="s">
        <v>169</v>
      </c>
      <c r="BG37" s="20" t="s">
        <v>169</v>
      </c>
      <c r="BH37" s="20" t="s">
        <v>169</v>
      </c>
      <c r="BI37" s="20" t="s">
        <v>169</v>
      </c>
      <c r="BJ37" s="21" t="s">
        <v>169</v>
      </c>
      <c r="BK37" s="20" t="s">
        <v>169</v>
      </c>
      <c r="BL37" s="21" t="s">
        <v>169</v>
      </c>
      <c r="BM37" s="20">
        <v>5.8886904867946903</v>
      </c>
      <c r="BN37" s="20" t="s">
        <v>169</v>
      </c>
      <c r="BO37" s="20">
        <v>9.3103448275862082</v>
      </c>
      <c r="BP37" s="20">
        <v>7.5390003967591719</v>
      </c>
      <c r="BQ37" s="20">
        <v>4.7586206896551726</v>
      </c>
      <c r="BR37" s="20" t="s">
        <v>169</v>
      </c>
      <c r="BS37" s="21" t="s">
        <v>169</v>
      </c>
      <c r="BT37" s="20" t="s">
        <v>169</v>
      </c>
      <c r="BU37" s="20" t="s">
        <v>169</v>
      </c>
      <c r="BV37" s="20" t="s">
        <v>169</v>
      </c>
      <c r="BW37" s="20" t="s">
        <v>169</v>
      </c>
      <c r="BX37" s="20" t="s">
        <v>169</v>
      </c>
      <c r="BY37" s="20" t="s">
        <v>169</v>
      </c>
      <c r="BZ37" s="20" t="s">
        <v>169</v>
      </c>
      <c r="CA37" s="20" t="s">
        <v>169</v>
      </c>
      <c r="CB37" s="20" t="s">
        <v>169</v>
      </c>
      <c r="CC37" s="20" t="s">
        <v>169</v>
      </c>
      <c r="CD37" s="20" t="s">
        <v>169</v>
      </c>
      <c r="CE37" s="21" t="s">
        <v>169</v>
      </c>
      <c r="CF37" s="20" t="s">
        <v>169</v>
      </c>
      <c r="CG37" s="20" t="s">
        <v>169</v>
      </c>
      <c r="CH37" s="20" t="s">
        <v>169</v>
      </c>
      <c r="CI37" s="20" t="s">
        <v>169</v>
      </c>
      <c r="CJ37" s="20" t="s">
        <v>169</v>
      </c>
      <c r="CK37" s="20" t="s">
        <v>169</v>
      </c>
      <c r="CL37" s="20" t="s">
        <v>169</v>
      </c>
      <c r="CM37" s="21" t="s">
        <v>169</v>
      </c>
      <c r="CN37" s="20" t="s">
        <v>169</v>
      </c>
      <c r="CO37" s="20" t="s">
        <v>169</v>
      </c>
      <c r="CP37" s="20" t="s">
        <v>169</v>
      </c>
      <c r="CQ37" s="20" t="s">
        <v>169</v>
      </c>
      <c r="CR37" s="21" t="s">
        <v>169</v>
      </c>
      <c r="CS37" s="20" t="s">
        <v>169</v>
      </c>
      <c r="CT37" s="21" t="s">
        <v>169</v>
      </c>
      <c r="CU37" s="21" t="s">
        <v>169</v>
      </c>
      <c r="CV37" s="20" t="s">
        <v>169</v>
      </c>
      <c r="CW37" s="21" t="s">
        <v>169</v>
      </c>
      <c r="CX37" s="21" t="s">
        <v>169</v>
      </c>
    </row>
    <row r="38" spans="1:102" x14ac:dyDescent="0.25">
      <c r="A38" s="22" t="s">
        <v>35</v>
      </c>
      <c r="B38" s="22" t="s">
        <v>144</v>
      </c>
      <c r="C38" s="22" t="s">
        <v>89</v>
      </c>
      <c r="D38" s="6">
        <v>42871</v>
      </c>
      <c r="E38" s="18">
        <v>0.5625</v>
      </c>
      <c r="F38" s="19">
        <v>0.25</v>
      </c>
      <c r="G38" s="20" t="s">
        <v>169</v>
      </c>
      <c r="H38" s="20" t="s">
        <v>169</v>
      </c>
      <c r="I38" s="20" t="s">
        <v>169</v>
      </c>
      <c r="J38" s="20" t="s">
        <v>169</v>
      </c>
      <c r="K38" s="20" t="s">
        <v>169</v>
      </c>
      <c r="L38" s="20" t="s">
        <v>169</v>
      </c>
      <c r="M38" s="21" t="s">
        <v>169</v>
      </c>
      <c r="N38" s="20" t="s">
        <v>169</v>
      </c>
      <c r="O38" s="20" t="s">
        <v>169</v>
      </c>
      <c r="P38" s="21" t="s">
        <v>169</v>
      </c>
      <c r="Q38" s="20" t="s">
        <v>169</v>
      </c>
      <c r="R38" s="20" t="s">
        <v>169</v>
      </c>
      <c r="S38" s="20" t="s">
        <v>169</v>
      </c>
      <c r="T38" s="20" t="s">
        <v>169</v>
      </c>
      <c r="U38" s="20" t="s">
        <v>169</v>
      </c>
      <c r="V38" s="20" t="s">
        <v>169</v>
      </c>
      <c r="W38" s="20" t="s">
        <v>169</v>
      </c>
      <c r="X38" s="20" t="s">
        <v>169</v>
      </c>
      <c r="Y38" s="20" t="s">
        <v>169</v>
      </c>
      <c r="Z38" s="20" t="s">
        <v>169</v>
      </c>
      <c r="AA38" s="20" t="s">
        <v>169</v>
      </c>
      <c r="AB38" s="20" t="s">
        <v>169</v>
      </c>
      <c r="AC38" s="20" t="s">
        <v>169</v>
      </c>
      <c r="AD38" s="21" t="s">
        <v>169</v>
      </c>
      <c r="AE38" s="20" t="s">
        <v>169</v>
      </c>
      <c r="AF38" s="20" t="s">
        <v>169</v>
      </c>
      <c r="AG38" s="20" t="s">
        <v>169</v>
      </c>
      <c r="AH38" s="20" t="s">
        <v>169</v>
      </c>
      <c r="AI38" s="20" t="s">
        <v>169</v>
      </c>
      <c r="AJ38" s="20" t="s">
        <v>169</v>
      </c>
      <c r="AK38" s="20" t="s">
        <v>169</v>
      </c>
      <c r="AL38" s="20" t="s">
        <v>169</v>
      </c>
      <c r="AM38" s="20" t="s">
        <v>169</v>
      </c>
      <c r="AN38" s="20" t="s">
        <v>169</v>
      </c>
      <c r="AO38" s="20" t="s">
        <v>169</v>
      </c>
      <c r="AP38" s="20" t="s">
        <v>169</v>
      </c>
      <c r="AQ38" s="20" t="s">
        <v>169</v>
      </c>
      <c r="AR38" s="20" t="s">
        <v>169</v>
      </c>
      <c r="AS38" s="20" t="s">
        <v>169</v>
      </c>
      <c r="AT38" s="20" t="s">
        <v>169</v>
      </c>
      <c r="AU38" s="21" t="s">
        <v>169</v>
      </c>
      <c r="AV38" s="20" t="s">
        <v>169</v>
      </c>
      <c r="AW38" s="20" t="s">
        <v>169</v>
      </c>
      <c r="AX38" s="21" t="s">
        <v>169</v>
      </c>
      <c r="AY38" s="21" t="s">
        <v>169</v>
      </c>
      <c r="AZ38" s="20" t="s">
        <v>169</v>
      </c>
      <c r="BA38" s="21" t="s">
        <v>169</v>
      </c>
      <c r="BB38" s="21" t="s">
        <v>169</v>
      </c>
      <c r="BC38" s="20" t="s">
        <v>169</v>
      </c>
      <c r="BD38" s="21" t="s">
        <v>169</v>
      </c>
      <c r="BE38" s="20" t="s">
        <v>169</v>
      </c>
      <c r="BF38" s="20" t="s">
        <v>169</v>
      </c>
      <c r="BG38" s="20" t="s">
        <v>169</v>
      </c>
      <c r="BH38" s="20" t="s">
        <v>169</v>
      </c>
      <c r="BI38" s="20" t="s">
        <v>169</v>
      </c>
      <c r="BJ38" s="21" t="s">
        <v>169</v>
      </c>
      <c r="BK38" s="20" t="s">
        <v>169</v>
      </c>
      <c r="BL38" s="21" t="s">
        <v>169</v>
      </c>
      <c r="BM38" s="20" t="s">
        <v>169</v>
      </c>
      <c r="BN38" s="20" t="s">
        <v>169</v>
      </c>
      <c r="BO38" s="20" t="s">
        <v>169</v>
      </c>
      <c r="BP38" s="20" t="s">
        <v>169</v>
      </c>
      <c r="BQ38" s="20" t="s">
        <v>169</v>
      </c>
      <c r="BR38" s="20" t="s">
        <v>169</v>
      </c>
      <c r="BS38" s="21" t="s">
        <v>169</v>
      </c>
      <c r="BT38" s="20" t="s">
        <v>169</v>
      </c>
      <c r="BU38" s="20" t="s">
        <v>169</v>
      </c>
      <c r="BV38" s="20" t="s">
        <v>169</v>
      </c>
      <c r="BW38" s="20" t="s">
        <v>169</v>
      </c>
      <c r="BX38" s="20" t="s">
        <v>169</v>
      </c>
      <c r="BY38" s="20" t="s">
        <v>169</v>
      </c>
      <c r="BZ38" s="20" t="s">
        <v>169</v>
      </c>
      <c r="CA38" s="20" t="s">
        <v>169</v>
      </c>
      <c r="CB38" s="20" t="s">
        <v>169</v>
      </c>
      <c r="CC38" s="20" t="s">
        <v>169</v>
      </c>
      <c r="CD38" s="20" t="s">
        <v>169</v>
      </c>
      <c r="CE38" s="21" t="s">
        <v>169</v>
      </c>
      <c r="CF38" s="20" t="s">
        <v>169</v>
      </c>
      <c r="CG38" s="20" t="s">
        <v>169</v>
      </c>
      <c r="CH38" s="20" t="s">
        <v>169</v>
      </c>
      <c r="CI38" s="20" t="s">
        <v>169</v>
      </c>
      <c r="CJ38" s="20" t="s">
        <v>169</v>
      </c>
      <c r="CK38" s="20" t="s">
        <v>169</v>
      </c>
      <c r="CL38" s="20" t="s">
        <v>169</v>
      </c>
      <c r="CM38" s="21" t="s">
        <v>169</v>
      </c>
      <c r="CN38" s="20" t="s">
        <v>169</v>
      </c>
      <c r="CO38" s="20" t="s">
        <v>169</v>
      </c>
      <c r="CP38" s="20" t="s">
        <v>169</v>
      </c>
      <c r="CQ38" s="20" t="s">
        <v>169</v>
      </c>
      <c r="CR38" s="21" t="s">
        <v>169</v>
      </c>
      <c r="CS38" s="20" t="s">
        <v>169</v>
      </c>
      <c r="CT38" s="21" t="s">
        <v>169</v>
      </c>
      <c r="CU38" s="21" t="s">
        <v>169</v>
      </c>
      <c r="CV38" s="20" t="s">
        <v>169</v>
      </c>
      <c r="CW38" s="21" t="s">
        <v>169</v>
      </c>
      <c r="CX38" s="21" t="s">
        <v>169</v>
      </c>
    </row>
    <row r="39" spans="1:102" x14ac:dyDescent="0.25">
      <c r="A39" s="22" t="s">
        <v>36</v>
      </c>
      <c r="B39" s="22" t="s">
        <v>145</v>
      </c>
      <c r="C39" s="22" t="s">
        <v>90</v>
      </c>
      <c r="D39" s="6">
        <v>42869</v>
      </c>
      <c r="E39" s="18">
        <v>0.60416666666666663</v>
      </c>
      <c r="F39" s="19">
        <v>0.24</v>
      </c>
      <c r="G39" s="20" t="s">
        <v>169</v>
      </c>
      <c r="H39" s="20" t="s">
        <v>169</v>
      </c>
      <c r="I39" s="20" t="s">
        <v>169</v>
      </c>
      <c r="J39" s="20" t="s">
        <v>169</v>
      </c>
      <c r="K39" s="20" t="s">
        <v>169</v>
      </c>
      <c r="L39" s="20" t="s">
        <v>169</v>
      </c>
      <c r="M39" s="21" t="s">
        <v>169</v>
      </c>
      <c r="N39" s="20" t="s">
        <v>169</v>
      </c>
      <c r="O39" s="20">
        <v>20.329757156009833</v>
      </c>
      <c r="P39" s="21" t="s">
        <v>169</v>
      </c>
      <c r="Q39" s="20" t="s">
        <v>169</v>
      </c>
      <c r="R39" s="20" t="s">
        <v>169</v>
      </c>
      <c r="S39" s="20" t="s">
        <v>169</v>
      </c>
      <c r="T39" s="20" t="s">
        <v>169</v>
      </c>
      <c r="U39" s="20" t="s">
        <v>169</v>
      </c>
      <c r="V39" s="20" t="s">
        <v>169</v>
      </c>
      <c r="W39" s="20" t="s">
        <v>169</v>
      </c>
      <c r="X39" s="20" t="s">
        <v>169</v>
      </c>
      <c r="Y39" s="20" t="s">
        <v>169</v>
      </c>
      <c r="Z39" s="20" t="s">
        <v>169</v>
      </c>
      <c r="AA39" s="20" t="s">
        <v>169</v>
      </c>
      <c r="AB39" s="20" t="s">
        <v>169</v>
      </c>
      <c r="AC39" s="20" t="s">
        <v>169</v>
      </c>
      <c r="AD39" s="21" t="s">
        <v>169</v>
      </c>
      <c r="AE39" s="20" t="s">
        <v>169</v>
      </c>
      <c r="AF39" s="20" t="s">
        <v>169</v>
      </c>
      <c r="AG39" s="20" t="s">
        <v>169</v>
      </c>
      <c r="AH39" s="20" t="s">
        <v>169</v>
      </c>
      <c r="AI39" s="20" t="s">
        <v>169</v>
      </c>
      <c r="AJ39" s="20" t="s">
        <v>169</v>
      </c>
      <c r="AK39" s="20" t="s">
        <v>169</v>
      </c>
      <c r="AL39" s="20" t="s">
        <v>169</v>
      </c>
      <c r="AM39" s="20" t="s">
        <v>169</v>
      </c>
      <c r="AN39" s="20" t="s">
        <v>169</v>
      </c>
      <c r="AO39" s="20" t="s">
        <v>169</v>
      </c>
      <c r="AP39" s="20" t="s">
        <v>169</v>
      </c>
      <c r="AQ39" s="20" t="s">
        <v>169</v>
      </c>
      <c r="AR39" s="20" t="s">
        <v>169</v>
      </c>
      <c r="AS39" s="20" t="s">
        <v>169</v>
      </c>
      <c r="AT39" s="20" t="s">
        <v>169</v>
      </c>
      <c r="AU39" s="21" t="s">
        <v>169</v>
      </c>
      <c r="AV39" s="20" t="s">
        <v>169</v>
      </c>
      <c r="AW39" s="20" t="s">
        <v>169</v>
      </c>
      <c r="AX39" s="21" t="s">
        <v>169</v>
      </c>
      <c r="AY39" s="21" t="s">
        <v>169</v>
      </c>
      <c r="AZ39" s="20" t="s">
        <v>169</v>
      </c>
      <c r="BA39" s="21" t="s">
        <v>169</v>
      </c>
      <c r="BB39" s="21" t="s">
        <v>169</v>
      </c>
      <c r="BC39" s="20" t="s">
        <v>169</v>
      </c>
      <c r="BD39" s="21" t="s">
        <v>169</v>
      </c>
      <c r="BE39" s="20" t="s">
        <v>169</v>
      </c>
      <c r="BF39" s="20" t="s">
        <v>169</v>
      </c>
      <c r="BG39" s="20" t="s">
        <v>169</v>
      </c>
      <c r="BH39" s="20" t="s">
        <v>169</v>
      </c>
      <c r="BI39" s="20" t="s">
        <v>169</v>
      </c>
      <c r="BJ39" s="21" t="s">
        <v>169</v>
      </c>
      <c r="BK39" s="20" t="s">
        <v>169</v>
      </c>
      <c r="BL39" s="21" t="s">
        <v>169</v>
      </c>
      <c r="BM39" s="20" t="s">
        <v>169</v>
      </c>
      <c r="BN39" s="20" t="s">
        <v>169</v>
      </c>
      <c r="BO39" s="20" t="s">
        <v>169</v>
      </c>
      <c r="BP39" s="20" t="s">
        <v>169</v>
      </c>
      <c r="BQ39" s="20" t="s">
        <v>169</v>
      </c>
      <c r="BR39" s="20" t="s">
        <v>169</v>
      </c>
      <c r="BS39" s="21" t="s">
        <v>169</v>
      </c>
      <c r="BT39" s="20" t="s">
        <v>169</v>
      </c>
      <c r="BU39" s="20" t="s">
        <v>169</v>
      </c>
      <c r="BV39" s="20" t="s">
        <v>169</v>
      </c>
      <c r="BW39" s="20" t="s">
        <v>169</v>
      </c>
      <c r="BX39" s="20" t="s">
        <v>169</v>
      </c>
      <c r="BY39" s="20" t="s">
        <v>169</v>
      </c>
      <c r="BZ39" s="20" t="s">
        <v>169</v>
      </c>
      <c r="CA39" s="20" t="s">
        <v>169</v>
      </c>
      <c r="CB39" s="20" t="s">
        <v>169</v>
      </c>
      <c r="CC39" s="20" t="s">
        <v>169</v>
      </c>
      <c r="CD39" s="20" t="s">
        <v>169</v>
      </c>
      <c r="CE39" s="21" t="s">
        <v>169</v>
      </c>
      <c r="CF39" s="20" t="s">
        <v>169</v>
      </c>
      <c r="CG39" s="20" t="s">
        <v>169</v>
      </c>
      <c r="CH39" s="20" t="s">
        <v>169</v>
      </c>
      <c r="CI39" s="20" t="s">
        <v>169</v>
      </c>
      <c r="CJ39" s="20" t="s">
        <v>169</v>
      </c>
      <c r="CK39" s="20" t="s">
        <v>169</v>
      </c>
      <c r="CL39" s="20" t="s">
        <v>169</v>
      </c>
      <c r="CM39" s="21" t="s">
        <v>169</v>
      </c>
      <c r="CN39" s="20" t="s">
        <v>169</v>
      </c>
      <c r="CO39" s="20" t="s">
        <v>169</v>
      </c>
      <c r="CP39" s="20" t="s">
        <v>169</v>
      </c>
      <c r="CQ39" s="20" t="s">
        <v>169</v>
      </c>
      <c r="CR39" s="21" t="s">
        <v>169</v>
      </c>
      <c r="CS39" s="20" t="s">
        <v>169</v>
      </c>
      <c r="CT39" s="21" t="s">
        <v>169</v>
      </c>
      <c r="CU39" s="21" t="s">
        <v>169</v>
      </c>
      <c r="CV39" s="20" t="s">
        <v>169</v>
      </c>
      <c r="CW39" s="21" t="s">
        <v>169</v>
      </c>
      <c r="CX39" s="21" t="s">
        <v>169</v>
      </c>
    </row>
    <row r="40" spans="1:102" x14ac:dyDescent="0.25">
      <c r="A40" s="22" t="s">
        <v>37</v>
      </c>
      <c r="B40" s="22" t="s">
        <v>146</v>
      </c>
      <c r="C40" s="22" t="s">
        <v>91</v>
      </c>
      <c r="D40" s="6">
        <v>42871</v>
      </c>
      <c r="E40" s="18">
        <v>0.4375</v>
      </c>
      <c r="F40" s="19">
        <v>0.06</v>
      </c>
      <c r="G40" s="20" t="s">
        <v>169</v>
      </c>
      <c r="H40" s="20" t="s">
        <v>169</v>
      </c>
      <c r="I40" s="20" t="s">
        <v>169</v>
      </c>
      <c r="J40" s="20" t="s">
        <v>169</v>
      </c>
      <c r="K40" s="20" t="s">
        <v>169</v>
      </c>
      <c r="L40" s="20" t="s">
        <v>169</v>
      </c>
      <c r="M40" s="21" t="s">
        <v>169</v>
      </c>
      <c r="N40" s="20" t="s">
        <v>169</v>
      </c>
      <c r="O40" s="20" t="s">
        <v>169</v>
      </c>
      <c r="P40" s="21" t="s">
        <v>169</v>
      </c>
      <c r="Q40" s="20" t="s">
        <v>169</v>
      </c>
      <c r="R40" s="20" t="s">
        <v>169</v>
      </c>
      <c r="S40" s="20" t="s">
        <v>169</v>
      </c>
      <c r="T40" s="20" t="s">
        <v>169</v>
      </c>
      <c r="U40" s="20" t="s">
        <v>169</v>
      </c>
      <c r="V40" s="20" t="s">
        <v>169</v>
      </c>
      <c r="W40" s="20" t="s">
        <v>169</v>
      </c>
      <c r="X40" s="20" t="s">
        <v>169</v>
      </c>
      <c r="Y40" s="20" t="s">
        <v>169</v>
      </c>
      <c r="Z40" s="20" t="s">
        <v>169</v>
      </c>
      <c r="AA40" s="20" t="s">
        <v>169</v>
      </c>
      <c r="AB40" s="20" t="s">
        <v>169</v>
      </c>
      <c r="AC40" s="20" t="s">
        <v>169</v>
      </c>
      <c r="AD40" s="21" t="s">
        <v>169</v>
      </c>
      <c r="AE40" s="20" t="s">
        <v>169</v>
      </c>
      <c r="AF40" s="20" t="s">
        <v>169</v>
      </c>
      <c r="AG40" s="20" t="s">
        <v>169</v>
      </c>
      <c r="AH40" s="20" t="s">
        <v>169</v>
      </c>
      <c r="AI40" s="20" t="s">
        <v>169</v>
      </c>
      <c r="AJ40" s="20" t="s">
        <v>169</v>
      </c>
      <c r="AK40" s="20" t="s">
        <v>169</v>
      </c>
      <c r="AL40" s="20" t="s">
        <v>169</v>
      </c>
      <c r="AM40" s="20" t="s">
        <v>169</v>
      </c>
      <c r="AN40" s="20" t="s">
        <v>169</v>
      </c>
      <c r="AO40" s="20" t="s">
        <v>169</v>
      </c>
      <c r="AP40" s="20" t="s">
        <v>169</v>
      </c>
      <c r="AQ40" s="20" t="s">
        <v>169</v>
      </c>
      <c r="AR40" s="20" t="s">
        <v>169</v>
      </c>
      <c r="AS40" s="20" t="s">
        <v>169</v>
      </c>
      <c r="AT40" s="20" t="s">
        <v>169</v>
      </c>
      <c r="AU40" s="21" t="s">
        <v>169</v>
      </c>
      <c r="AV40" s="20" t="s">
        <v>169</v>
      </c>
      <c r="AW40" s="20" t="s">
        <v>169</v>
      </c>
      <c r="AX40" s="21" t="s">
        <v>169</v>
      </c>
      <c r="AY40" s="21" t="s">
        <v>169</v>
      </c>
      <c r="AZ40" s="20" t="s">
        <v>169</v>
      </c>
      <c r="BA40" s="21" t="s">
        <v>169</v>
      </c>
      <c r="BB40" s="21" t="s">
        <v>169</v>
      </c>
      <c r="BC40" s="20" t="s">
        <v>169</v>
      </c>
      <c r="BD40" s="21" t="s">
        <v>169</v>
      </c>
      <c r="BE40" s="20" t="s">
        <v>169</v>
      </c>
      <c r="BF40" s="20" t="s">
        <v>169</v>
      </c>
      <c r="BG40" s="20" t="s">
        <v>169</v>
      </c>
      <c r="BH40" s="20" t="s">
        <v>169</v>
      </c>
      <c r="BI40" s="20" t="s">
        <v>169</v>
      </c>
      <c r="BJ40" s="21" t="s">
        <v>169</v>
      </c>
      <c r="BK40" s="20" t="s">
        <v>169</v>
      </c>
      <c r="BL40" s="21" t="s">
        <v>169</v>
      </c>
      <c r="BM40" s="20" t="s">
        <v>169</v>
      </c>
      <c r="BN40" s="20" t="s">
        <v>169</v>
      </c>
      <c r="BO40" s="20" t="s">
        <v>169</v>
      </c>
      <c r="BP40" s="20" t="s">
        <v>169</v>
      </c>
      <c r="BQ40" s="20" t="s">
        <v>169</v>
      </c>
      <c r="BR40" s="20" t="s">
        <v>169</v>
      </c>
      <c r="BS40" s="21" t="s">
        <v>169</v>
      </c>
      <c r="BT40" s="20" t="s">
        <v>169</v>
      </c>
      <c r="BU40" s="20" t="s">
        <v>169</v>
      </c>
      <c r="BV40" s="20" t="s">
        <v>169</v>
      </c>
      <c r="BW40" s="20" t="s">
        <v>169</v>
      </c>
      <c r="BX40" s="20" t="s">
        <v>169</v>
      </c>
      <c r="BY40" s="20" t="s">
        <v>169</v>
      </c>
      <c r="BZ40" s="20" t="s">
        <v>169</v>
      </c>
      <c r="CA40" s="20" t="s">
        <v>169</v>
      </c>
      <c r="CB40" s="20" t="s">
        <v>169</v>
      </c>
      <c r="CC40" s="20" t="s">
        <v>169</v>
      </c>
      <c r="CD40" s="20" t="s">
        <v>169</v>
      </c>
      <c r="CE40" s="21" t="s">
        <v>169</v>
      </c>
      <c r="CF40" s="20" t="s">
        <v>169</v>
      </c>
      <c r="CG40" s="20" t="s">
        <v>169</v>
      </c>
      <c r="CH40" s="20" t="s">
        <v>169</v>
      </c>
      <c r="CI40" s="20" t="s">
        <v>169</v>
      </c>
      <c r="CJ40" s="20" t="s">
        <v>169</v>
      </c>
      <c r="CK40" s="20" t="s">
        <v>169</v>
      </c>
      <c r="CL40" s="20" t="s">
        <v>169</v>
      </c>
      <c r="CM40" s="21" t="s">
        <v>169</v>
      </c>
      <c r="CN40" s="20" t="s">
        <v>169</v>
      </c>
      <c r="CO40" s="20" t="s">
        <v>169</v>
      </c>
      <c r="CP40" s="20" t="s">
        <v>169</v>
      </c>
      <c r="CQ40" s="20" t="s">
        <v>169</v>
      </c>
      <c r="CR40" s="21" t="s">
        <v>169</v>
      </c>
      <c r="CS40" s="20" t="s">
        <v>169</v>
      </c>
      <c r="CT40" s="21" t="s">
        <v>169</v>
      </c>
      <c r="CU40" s="21" t="s">
        <v>169</v>
      </c>
      <c r="CV40" s="20" t="s">
        <v>169</v>
      </c>
      <c r="CW40" s="21" t="s">
        <v>169</v>
      </c>
      <c r="CX40" s="21" t="s">
        <v>169</v>
      </c>
    </row>
    <row r="41" spans="1:102" x14ac:dyDescent="0.25">
      <c r="A41" s="22" t="s">
        <v>38</v>
      </c>
      <c r="B41" s="22" t="s">
        <v>147</v>
      </c>
      <c r="C41" s="22" t="s">
        <v>92</v>
      </c>
      <c r="D41" s="6">
        <v>42870</v>
      </c>
      <c r="E41" s="18">
        <v>0.41666666666666669</v>
      </c>
      <c r="F41" s="19">
        <v>1.67E-2</v>
      </c>
      <c r="G41" s="20" t="s">
        <v>169</v>
      </c>
      <c r="H41" s="20" t="s">
        <v>169</v>
      </c>
      <c r="I41" s="20" t="s">
        <v>169</v>
      </c>
      <c r="J41" s="20" t="s">
        <v>169</v>
      </c>
      <c r="K41" s="20" t="s">
        <v>169</v>
      </c>
      <c r="L41" s="20" t="s">
        <v>169</v>
      </c>
      <c r="M41" s="21" t="s">
        <v>169</v>
      </c>
      <c r="N41" s="20" t="s">
        <v>169</v>
      </c>
      <c r="O41" s="20" t="s">
        <v>169</v>
      </c>
      <c r="P41" s="21" t="s">
        <v>169</v>
      </c>
      <c r="Q41" s="20" t="s">
        <v>169</v>
      </c>
      <c r="R41" s="20" t="s">
        <v>169</v>
      </c>
      <c r="S41" s="20" t="s">
        <v>169</v>
      </c>
      <c r="T41" s="20" t="s">
        <v>169</v>
      </c>
      <c r="U41" s="20" t="s">
        <v>169</v>
      </c>
      <c r="V41" s="20" t="s">
        <v>169</v>
      </c>
      <c r="W41" s="20" t="s">
        <v>169</v>
      </c>
      <c r="X41" s="20" t="s">
        <v>169</v>
      </c>
      <c r="Y41" s="20" t="s">
        <v>169</v>
      </c>
      <c r="Z41" s="20" t="s">
        <v>169</v>
      </c>
      <c r="AA41" s="20" t="s">
        <v>169</v>
      </c>
      <c r="AB41" s="20" t="s">
        <v>169</v>
      </c>
      <c r="AC41" s="20" t="s">
        <v>169</v>
      </c>
      <c r="AD41" s="21" t="s">
        <v>169</v>
      </c>
      <c r="AE41" s="20" t="s">
        <v>169</v>
      </c>
      <c r="AF41" s="20" t="s">
        <v>169</v>
      </c>
      <c r="AG41" s="20" t="s">
        <v>169</v>
      </c>
      <c r="AH41" s="20" t="s">
        <v>169</v>
      </c>
      <c r="AI41" s="20" t="s">
        <v>169</v>
      </c>
      <c r="AJ41" s="20" t="s">
        <v>169</v>
      </c>
      <c r="AK41" s="20" t="s">
        <v>169</v>
      </c>
      <c r="AL41" s="20" t="s">
        <v>169</v>
      </c>
      <c r="AM41" s="20" t="s">
        <v>169</v>
      </c>
      <c r="AN41" s="20" t="s">
        <v>169</v>
      </c>
      <c r="AO41" s="20" t="s">
        <v>169</v>
      </c>
      <c r="AP41" s="20" t="s">
        <v>169</v>
      </c>
      <c r="AQ41" s="20" t="s">
        <v>169</v>
      </c>
      <c r="AR41" s="20" t="s">
        <v>169</v>
      </c>
      <c r="AS41" s="20" t="s">
        <v>169</v>
      </c>
      <c r="AT41" s="20" t="s">
        <v>169</v>
      </c>
      <c r="AU41" s="21" t="s">
        <v>169</v>
      </c>
      <c r="AV41" s="20" t="s">
        <v>169</v>
      </c>
      <c r="AW41" s="20" t="s">
        <v>169</v>
      </c>
      <c r="AX41" s="21" t="s">
        <v>169</v>
      </c>
      <c r="AY41" s="21" t="s">
        <v>169</v>
      </c>
      <c r="AZ41" s="20" t="s">
        <v>169</v>
      </c>
      <c r="BA41" s="21" t="s">
        <v>169</v>
      </c>
      <c r="BB41" s="21" t="s">
        <v>169</v>
      </c>
      <c r="BC41" s="20" t="s">
        <v>169</v>
      </c>
      <c r="BD41" s="21" t="s">
        <v>169</v>
      </c>
      <c r="BE41" s="20" t="s">
        <v>169</v>
      </c>
      <c r="BF41" s="20" t="s">
        <v>169</v>
      </c>
      <c r="BG41" s="20" t="s">
        <v>169</v>
      </c>
      <c r="BH41" s="20" t="s">
        <v>169</v>
      </c>
      <c r="BI41" s="20" t="s">
        <v>169</v>
      </c>
      <c r="BJ41" s="21" t="s">
        <v>169</v>
      </c>
      <c r="BK41" s="20" t="s">
        <v>169</v>
      </c>
      <c r="BL41" s="21" t="s">
        <v>169</v>
      </c>
      <c r="BM41" s="20" t="s">
        <v>169</v>
      </c>
      <c r="BN41" s="20" t="s">
        <v>169</v>
      </c>
      <c r="BO41" s="20" t="s">
        <v>169</v>
      </c>
      <c r="BP41" s="20" t="s">
        <v>169</v>
      </c>
      <c r="BQ41" s="20" t="s">
        <v>169</v>
      </c>
      <c r="BR41" s="20" t="s">
        <v>169</v>
      </c>
      <c r="BS41" s="21" t="s">
        <v>169</v>
      </c>
      <c r="BT41" s="20" t="s">
        <v>169</v>
      </c>
      <c r="BU41" s="20" t="s">
        <v>169</v>
      </c>
      <c r="BV41" s="20" t="s">
        <v>169</v>
      </c>
      <c r="BW41" s="20" t="s">
        <v>169</v>
      </c>
      <c r="BX41" s="20" t="s">
        <v>169</v>
      </c>
      <c r="BY41" s="20" t="s">
        <v>169</v>
      </c>
      <c r="BZ41" s="20" t="s">
        <v>169</v>
      </c>
      <c r="CA41" s="20" t="s">
        <v>169</v>
      </c>
      <c r="CB41" s="20" t="s">
        <v>169</v>
      </c>
      <c r="CC41" s="20" t="s">
        <v>169</v>
      </c>
      <c r="CD41" s="20" t="s">
        <v>169</v>
      </c>
      <c r="CE41" s="21" t="s">
        <v>169</v>
      </c>
      <c r="CF41" s="20" t="s">
        <v>169</v>
      </c>
      <c r="CG41" s="20" t="s">
        <v>169</v>
      </c>
      <c r="CH41" s="20" t="s">
        <v>169</v>
      </c>
      <c r="CI41" s="20" t="s">
        <v>169</v>
      </c>
      <c r="CJ41" s="20" t="s">
        <v>169</v>
      </c>
      <c r="CK41" s="20" t="s">
        <v>169</v>
      </c>
      <c r="CL41" s="20" t="s">
        <v>169</v>
      </c>
      <c r="CM41" s="21" t="s">
        <v>169</v>
      </c>
      <c r="CN41" s="20" t="s">
        <v>169</v>
      </c>
      <c r="CO41" s="20" t="s">
        <v>169</v>
      </c>
      <c r="CP41" s="20" t="s">
        <v>169</v>
      </c>
      <c r="CQ41" s="20" t="s">
        <v>169</v>
      </c>
      <c r="CR41" s="21" t="s">
        <v>169</v>
      </c>
      <c r="CS41" s="20" t="s">
        <v>169</v>
      </c>
      <c r="CT41" s="21" t="s">
        <v>169</v>
      </c>
      <c r="CU41" s="21" t="s">
        <v>169</v>
      </c>
      <c r="CV41" s="20" t="s">
        <v>169</v>
      </c>
      <c r="CW41" s="21" t="s">
        <v>169</v>
      </c>
      <c r="CX41" s="21" t="s">
        <v>169</v>
      </c>
    </row>
    <row r="42" spans="1:102" x14ac:dyDescent="0.25">
      <c r="A42" s="22" t="s">
        <v>39</v>
      </c>
      <c r="B42" s="22" t="s">
        <v>148</v>
      </c>
      <c r="C42" s="22" t="s">
        <v>93</v>
      </c>
      <c r="D42" s="6">
        <v>42868</v>
      </c>
      <c r="E42" s="18">
        <v>0.60416666666666663</v>
      </c>
      <c r="F42" s="19">
        <v>0.09</v>
      </c>
      <c r="G42" s="20" t="s">
        <v>169</v>
      </c>
      <c r="H42" s="20" t="s">
        <v>169</v>
      </c>
      <c r="I42" s="20" t="s">
        <v>169</v>
      </c>
      <c r="J42" s="20" t="s">
        <v>169</v>
      </c>
      <c r="K42" s="20" t="s">
        <v>169</v>
      </c>
      <c r="L42" s="20" t="s">
        <v>169</v>
      </c>
      <c r="M42" s="21" t="s">
        <v>169</v>
      </c>
      <c r="N42" s="20" t="s">
        <v>169</v>
      </c>
      <c r="O42" s="20" t="s">
        <v>169</v>
      </c>
      <c r="P42" s="21" t="s">
        <v>169</v>
      </c>
      <c r="Q42" s="20" t="s">
        <v>169</v>
      </c>
      <c r="R42" s="20" t="s">
        <v>169</v>
      </c>
      <c r="S42" s="20" t="s">
        <v>169</v>
      </c>
      <c r="T42" s="20" t="s">
        <v>169</v>
      </c>
      <c r="U42" s="20" t="s">
        <v>169</v>
      </c>
      <c r="V42" s="20" t="s">
        <v>169</v>
      </c>
      <c r="W42" s="20" t="s">
        <v>169</v>
      </c>
      <c r="X42" s="20" t="s">
        <v>169</v>
      </c>
      <c r="Y42" s="20" t="s">
        <v>169</v>
      </c>
      <c r="Z42" s="20" t="s">
        <v>169</v>
      </c>
      <c r="AA42" s="20" t="s">
        <v>169</v>
      </c>
      <c r="AB42" s="20" t="s">
        <v>169</v>
      </c>
      <c r="AC42" s="20" t="s">
        <v>169</v>
      </c>
      <c r="AD42" s="21" t="s">
        <v>169</v>
      </c>
      <c r="AE42" s="20" t="s">
        <v>169</v>
      </c>
      <c r="AF42" s="20" t="s">
        <v>169</v>
      </c>
      <c r="AG42" s="20" t="s">
        <v>169</v>
      </c>
      <c r="AH42" s="20" t="s">
        <v>169</v>
      </c>
      <c r="AI42" s="20" t="s">
        <v>169</v>
      </c>
      <c r="AJ42" s="20" t="s">
        <v>169</v>
      </c>
      <c r="AK42" s="20" t="s">
        <v>169</v>
      </c>
      <c r="AL42" s="20" t="s">
        <v>169</v>
      </c>
      <c r="AM42" s="20" t="s">
        <v>169</v>
      </c>
      <c r="AN42" s="20" t="s">
        <v>169</v>
      </c>
      <c r="AO42" s="20" t="s">
        <v>169</v>
      </c>
      <c r="AP42" s="20" t="s">
        <v>169</v>
      </c>
      <c r="AQ42" s="20" t="s">
        <v>169</v>
      </c>
      <c r="AR42" s="20" t="s">
        <v>169</v>
      </c>
      <c r="AS42" s="20" t="s">
        <v>169</v>
      </c>
      <c r="AT42" s="20" t="s">
        <v>169</v>
      </c>
      <c r="AU42" s="21" t="s">
        <v>169</v>
      </c>
      <c r="AV42" s="20" t="s">
        <v>169</v>
      </c>
      <c r="AW42" s="20" t="s">
        <v>169</v>
      </c>
      <c r="AX42" s="21" t="s">
        <v>169</v>
      </c>
      <c r="AY42" s="21" t="s">
        <v>169</v>
      </c>
      <c r="AZ42" s="20" t="s">
        <v>169</v>
      </c>
      <c r="BA42" s="21" t="s">
        <v>169</v>
      </c>
      <c r="BB42" s="21" t="s">
        <v>169</v>
      </c>
      <c r="BC42" s="20" t="s">
        <v>169</v>
      </c>
      <c r="BD42" s="21" t="s">
        <v>169</v>
      </c>
      <c r="BE42" s="20" t="s">
        <v>169</v>
      </c>
      <c r="BF42" s="20" t="s">
        <v>169</v>
      </c>
      <c r="BG42" s="20" t="s">
        <v>169</v>
      </c>
      <c r="BH42" s="20" t="s">
        <v>169</v>
      </c>
      <c r="BI42" s="20" t="s">
        <v>169</v>
      </c>
      <c r="BJ42" s="21" t="s">
        <v>169</v>
      </c>
      <c r="BK42" s="20" t="s">
        <v>169</v>
      </c>
      <c r="BL42" s="21" t="s">
        <v>169</v>
      </c>
      <c r="BM42" s="20" t="s">
        <v>169</v>
      </c>
      <c r="BN42" s="20" t="s">
        <v>169</v>
      </c>
      <c r="BO42" s="20" t="s">
        <v>169</v>
      </c>
      <c r="BP42" s="20" t="s">
        <v>169</v>
      </c>
      <c r="BQ42" s="20" t="s">
        <v>169</v>
      </c>
      <c r="BR42" s="20" t="s">
        <v>169</v>
      </c>
      <c r="BS42" s="21" t="s">
        <v>169</v>
      </c>
      <c r="BT42" s="20" t="s">
        <v>169</v>
      </c>
      <c r="BU42" s="20" t="s">
        <v>169</v>
      </c>
      <c r="BV42" s="20" t="s">
        <v>169</v>
      </c>
      <c r="BW42" s="20" t="s">
        <v>169</v>
      </c>
      <c r="BX42" s="20" t="s">
        <v>169</v>
      </c>
      <c r="BY42" s="20" t="s">
        <v>169</v>
      </c>
      <c r="BZ42" s="20" t="s">
        <v>169</v>
      </c>
      <c r="CA42" s="20" t="s">
        <v>169</v>
      </c>
      <c r="CB42" s="20" t="s">
        <v>169</v>
      </c>
      <c r="CC42" s="20" t="s">
        <v>169</v>
      </c>
      <c r="CD42" s="20" t="s">
        <v>169</v>
      </c>
      <c r="CE42" s="21" t="s">
        <v>169</v>
      </c>
      <c r="CF42" s="20" t="s">
        <v>169</v>
      </c>
      <c r="CG42" s="20" t="s">
        <v>169</v>
      </c>
      <c r="CH42" s="20" t="s">
        <v>169</v>
      </c>
      <c r="CI42" s="20" t="s">
        <v>169</v>
      </c>
      <c r="CJ42" s="20" t="s">
        <v>169</v>
      </c>
      <c r="CK42" s="20" t="s">
        <v>169</v>
      </c>
      <c r="CL42" s="20" t="s">
        <v>169</v>
      </c>
      <c r="CM42" s="21" t="s">
        <v>169</v>
      </c>
      <c r="CN42" s="20" t="s">
        <v>169</v>
      </c>
      <c r="CO42" s="20" t="s">
        <v>169</v>
      </c>
      <c r="CP42" s="20" t="s">
        <v>169</v>
      </c>
      <c r="CQ42" s="20" t="s">
        <v>169</v>
      </c>
      <c r="CR42" s="21" t="s">
        <v>169</v>
      </c>
      <c r="CS42" s="20" t="s">
        <v>169</v>
      </c>
      <c r="CT42" s="21" t="s">
        <v>169</v>
      </c>
      <c r="CU42" s="21" t="s">
        <v>169</v>
      </c>
      <c r="CV42" s="20" t="s">
        <v>169</v>
      </c>
      <c r="CW42" s="21" t="s">
        <v>169</v>
      </c>
      <c r="CX42" s="21" t="s">
        <v>169</v>
      </c>
    </row>
    <row r="43" spans="1:102" x14ac:dyDescent="0.25">
      <c r="A43" s="22" t="s">
        <v>40</v>
      </c>
      <c r="B43" s="22" t="s">
        <v>149</v>
      </c>
      <c r="C43" s="22" t="s">
        <v>94</v>
      </c>
      <c r="D43" s="6">
        <v>42865</v>
      </c>
      <c r="E43" s="18">
        <v>0.5625</v>
      </c>
      <c r="F43" s="19">
        <v>0.01</v>
      </c>
      <c r="G43" s="20" t="s">
        <v>169</v>
      </c>
      <c r="H43" s="20" t="s">
        <v>169</v>
      </c>
      <c r="I43" s="20" t="s">
        <v>169</v>
      </c>
      <c r="J43" s="20" t="s">
        <v>169</v>
      </c>
      <c r="K43" s="20" t="s">
        <v>169</v>
      </c>
      <c r="L43" s="20" t="s">
        <v>169</v>
      </c>
      <c r="M43" s="20" t="s">
        <v>169</v>
      </c>
      <c r="N43" s="20" t="s">
        <v>169</v>
      </c>
      <c r="O43" s="20" t="s">
        <v>169</v>
      </c>
      <c r="P43" s="20" t="s">
        <v>169</v>
      </c>
      <c r="Q43" s="20" t="s">
        <v>169</v>
      </c>
      <c r="R43" s="20" t="s">
        <v>169</v>
      </c>
      <c r="S43" s="20" t="s">
        <v>169</v>
      </c>
      <c r="T43" s="20" t="s">
        <v>169</v>
      </c>
      <c r="U43" s="20" t="s">
        <v>169</v>
      </c>
      <c r="V43" s="20" t="s">
        <v>169</v>
      </c>
      <c r="W43" s="20" t="s">
        <v>169</v>
      </c>
      <c r="X43" s="20" t="s">
        <v>169</v>
      </c>
      <c r="Y43" s="20" t="s">
        <v>169</v>
      </c>
      <c r="Z43" s="20" t="s">
        <v>169</v>
      </c>
      <c r="AA43" s="20" t="s">
        <v>169</v>
      </c>
      <c r="AB43" s="20" t="s">
        <v>169</v>
      </c>
      <c r="AC43" s="20" t="s">
        <v>169</v>
      </c>
      <c r="AD43" s="20" t="s">
        <v>169</v>
      </c>
      <c r="AE43" s="20" t="s">
        <v>169</v>
      </c>
      <c r="AF43" s="20" t="s">
        <v>169</v>
      </c>
      <c r="AG43" s="20" t="s">
        <v>169</v>
      </c>
      <c r="AH43" s="20" t="s">
        <v>169</v>
      </c>
      <c r="AI43" s="20" t="s">
        <v>169</v>
      </c>
      <c r="AJ43" s="20" t="s">
        <v>169</v>
      </c>
      <c r="AK43" s="20" t="s">
        <v>169</v>
      </c>
      <c r="AL43" s="20" t="s">
        <v>169</v>
      </c>
      <c r="AM43" s="20" t="s">
        <v>169</v>
      </c>
      <c r="AN43" s="20" t="s">
        <v>169</v>
      </c>
      <c r="AO43" s="20" t="s">
        <v>169</v>
      </c>
      <c r="AP43" s="20" t="s">
        <v>169</v>
      </c>
      <c r="AQ43" s="20" t="s">
        <v>169</v>
      </c>
      <c r="AR43" s="20" t="s">
        <v>169</v>
      </c>
      <c r="AS43" s="20" t="s">
        <v>169</v>
      </c>
      <c r="AT43" s="20" t="s">
        <v>169</v>
      </c>
      <c r="AU43" s="20" t="s">
        <v>169</v>
      </c>
      <c r="AV43" s="20" t="s">
        <v>169</v>
      </c>
      <c r="AW43" s="20" t="s">
        <v>169</v>
      </c>
      <c r="AX43" s="20" t="s">
        <v>169</v>
      </c>
      <c r="AY43" s="20" t="s">
        <v>169</v>
      </c>
      <c r="AZ43" s="20" t="s">
        <v>169</v>
      </c>
      <c r="BA43" s="20" t="s">
        <v>169</v>
      </c>
      <c r="BB43" s="20" t="s">
        <v>169</v>
      </c>
      <c r="BC43" s="20" t="s">
        <v>169</v>
      </c>
      <c r="BD43" s="20" t="s">
        <v>169</v>
      </c>
      <c r="BE43" s="20" t="s">
        <v>169</v>
      </c>
      <c r="BF43" s="20" t="s">
        <v>169</v>
      </c>
      <c r="BG43" s="20" t="s">
        <v>169</v>
      </c>
      <c r="BH43" s="20" t="s">
        <v>169</v>
      </c>
      <c r="BI43" s="20" t="s">
        <v>169</v>
      </c>
      <c r="BJ43" s="20" t="s">
        <v>169</v>
      </c>
      <c r="BK43" s="20" t="s">
        <v>169</v>
      </c>
      <c r="BL43" s="20" t="s">
        <v>169</v>
      </c>
      <c r="BM43" s="20" t="s">
        <v>169</v>
      </c>
      <c r="BN43" s="20" t="s">
        <v>169</v>
      </c>
      <c r="BO43" s="20" t="s">
        <v>169</v>
      </c>
      <c r="BP43" s="20" t="s">
        <v>169</v>
      </c>
      <c r="BQ43" s="20" t="s">
        <v>169</v>
      </c>
      <c r="BR43" s="20" t="s">
        <v>169</v>
      </c>
      <c r="BS43" s="20" t="s">
        <v>169</v>
      </c>
      <c r="BT43" s="20" t="s">
        <v>169</v>
      </c>
      <c r="BU43" s="20" t="s">
        <v>169</v>
      </c>
      <c r="BV43" s="20" t="s">
        <v>169</v>
      </c>
      <c r="BW43" s="20" t="s">
        <v>169</v>
      </c>
      <c r="BX43" s="20" t="s">
        <v>169</v>
      </c>
      <c r="BY43" s="20" t="s">
        <v>169</v>
      </c>
      <c r="BZ43" s="20" t="s">
        <v>169</v>
      </c>
      <c r="CA43" s="20" t="s">
        <v>169</v>
      </c>
      <c r="CB43" s="20" t="s">
        <v>169</v>
      </c>
      <c r="CC43" s="20" t="s">
        <v>169</v>
      </c>
      <c r="CD43" s="20" t="s">
        <v>169</v>
      </c>
      <c r="CE43" s="20" t="s">
        <v>169</v>
      </c>
      <c r="CF43" s="20" t="s">
        <v>169</v>
      </c>
      <c r="CG43" s="20" t="s">
        <v>169</v>
      </c>
      <c r="CH43" s="20" t="s">
        <v>169</v>
      </c>
      <c r="CI43" s="20" t="s">
        <v>169</v>
      </c>
      <c r="CJ43" s="20" t="s">
        <v>169</v>
      </c>
      <c r="CK43" s="20" t="s">
        <v>169</v>
      </c>
      <c r="CL43" s="20" t="s">
        <v>169</v>
      </c>
      <c r="CM43" s="20" t="s">
        <v>169</v>
      </c>
      <c r="CN43" s="20" t="s">
        <v>169</v>
      </c>
      <c r="CO43" s="20" t="s">
        <v>169</v>
      </c>
      <c r="CP43" s="20" t="s">
        <v>169</v>
      </c>
      <c r="CQ43" s="20" t="s">
        <v>169</v>
      </c>
      <c r="CR43" s="20" t="s">
        <v>169</v>
      </c>
      <c r="CS43" s="20" t="s">
        <v>169</v>
      </c>
      <c r="CT43" s="20" t="s">
        <v>169</v>
      </c>
      <c r="CU43" s="20" t="s">
        <v>169</v>
      </c>
      <c r="CV43" s="20" t="s">
        <v>169</v>
      </c>
      <c r="CW43" s="20" t="s">
        <v>169</v>
      </c>
      <c r="CX43" s="20" t="s">
        <v>169</v>
      </c>
    </row>
    <row r="44" spans="1:102" x14ac:dyDescent="0.25">
      <c r="A44" s="22" t="s">
        <v>41</v>
      </c>
      <c r="B44" s="22" t="s">
        <v>150</v>
      </c>
      <c r="C44" s="22" t="s">
        <v>95</v>
      </c>
      <c r="D44" s="6">
        <v>42866</v>
      </c>
      <c r="E44" s="18">
        <v>0.39583333333333331</v>
      </c>
      <c r="F44" s="19">
        <v>5.0199999999999996</v>
      </c>
      <c r="G44" s="20" t="s">
        <v>169</v>
      </c>
      <c r="H44" s="20" t="s">
        <v>169</v>
      </c>
      <c r="I44" s="20" t="s">
        <v>169</v>
      </c>
      <c r="J44" s="20" t="s">
        <v>169</v>
      </c>
      <c r="K44" s="20">
        <v>2.0039279015226339</v>
      </c>
      <c r="L44" s="20" t="s">
        <v>169</v>
      </c>
      <c r="M44" s="20" t="s">
        <v>169</v>
      </c>
      <c r="N44" s="20" t="s">
        <v>169</v>
      </c>
      <c r="O44" s="20">
        <v>5.5429550625795629</v>
      </c>
      <c r="P44" s="20" t="s">
        <v>169</v>
      </c>
      <c r="Q44" s="20" t="s">
        <v>169</v>
      </c>
      <c r="R44" s="20" t="s">
        <v>169</v>
      </c>
      <c r="S44" s="20" t="s">
        <v>169</v>
      </c>
      <c r="T44" s="20" t="s">
        <v>169</v>
      </c>
      <c r="U44" s="20" t="s">
        <v>169</v>
      </c>
      <c r="V44" s="20" t="s">
        <v>169</v>
      </c>
      <c r="W44" s="20" t="s">
        <v>169</v>
      </c>
      <c r="X44" s="20" t="s">
        <v>169</v>
      </c>
      <c r="Y44" s="20" t="s">
        <v>169</v>
      </c>
      <c r="Z44" s="20">
        <v>1.4414534922958606</v>
      </c>
      <c r="AA44" s="20" t="s">
        <v>169</v>
      </c>
      <c r="AB44" s="20" t="s">
        <v>169</v>
      </c>
      <c r="AC44" s="20" t="s">
        <v>169</v>
      </c>
      <c r="AD44" s="20" t="s">
        <v>169</v>
      </c>
      <c r="AE44" s="20" t="s">
        <v>169</v>
      </c>
      <c r="AF44" s="20" t="s">
        <v>169</v>
      </c>
      <c r="AG44" s="20" t="s">
        <v>169</v>
      </c>
      <c r="AH44" s="20">
        <v>1.9493825180351834</v>
      </c>
      <c r="AI44" s="20" t="s">
        <v>169</v>
      </c>
      <c r="AJ44" s="20" t="s">
        <v>169</v>
      </c>
      <c r="AK44" s="20" t="s">
        <v>169</v>
      </c>
      <c r="AL44" s="20" t="s">
        <v>169</v>
      </c>
      <c r="AM44" s="20" t="s">
        <v>169</v>
      </c>
      <c r="AN44" s="20" t="s">
        <v>169</v>
      </c>
      <c r="AO44" s="20" t="s">
        <v>169</v>
      </c>
      <c r="AP44" s="20" t="s">
        <v>169</v>
      </c>
      <c r="AQ44" s="20" t="s">
        <v>169</v>
      </c>
      <c r="AR44" s="20" t="s">
        <v>169</v>
      </c>
      <c r="AS44" s="20">
        <v>1.5856573705179287</v>
      </c>
      <c r="AT44" s="20">
        <v>7.9328412114877294</v>
      </c>
      <c r="AU44" s="20" t="s">
        <v>169</v>
      </c>
      <c r="AV44" s="20" t="s">
        <v>169</v>
      </c>
      <c r="AW44" s="20" t="s">
        <v>169</v>
      </c>
      <c r="AX44" s="20" t="s">
        <v>169</v>
      </c>
      <c r="AY44" s="20" t="s">
        <v>169</v>
      </c>
      <c r="AZ44" s="20" t="s">
        <v>169</v>
      </c>
      <c r="BA44" s="20" t="s">
        <v>169</v>
      </c>
      <c r="BB44" s="20" t="s">
        <v>169</v>
      </c>
      <c r="BC44" s="20" t="s">
        <v>169</v>
      </c>
      <c r="BD44" s="20" t="s">
        <v>169</v>
      </c>
      <c r="BE44" s="20" t="s">
        <v>169</v>
      </c>
      <c r="BF44" s="20" t="s">
        <v>169</v>
      </c>
      <c r="BG44" s="20" t="s">
        <v>169</v>
      </c>
      <c r="BH44" s="20">
        <v>2.2828685258964145</v>
      </c>
      <c r="BI44" s="20" t="s">
        <v>169</v>
      </c>
      <c r="BJ44" s="20" t="s">
        <v>169</v>
      </c>
      <c r="BK44" s="20" t="s">
        <v>169</v>
      </c>
      <c r="BL44" s="20" t="s">
        <v>169</v>
      </c>
      <c r="BM44" s="20">
        <v>3.8645418326693233</v>
      </c>
      <c r="BN44" s="20" t="s">
        <v>169</v>
      </c>
      <c r="BO44" s="20">
        <v>2.9203187250996017</v>
      </c>
      <c r="BP44" s="20">
        <v>4.674983648268964</v>
      </c>
      <c r="BQ44" s="20">
        <v>3.6459908189453749</v>
      </c>
      <c r="BR44" s="20" t="s">
        <v>169</v>
      </c>
      <c r="BS44" s="20" t="s">
        <v>169</v>
      </c>
      <c r="BT44" s="20" t="s">
        <v>169</v>
      </c>
      <c r="BU44" s="20">
        <v>3.1833058117539244</v>
      </c>
      <c r="BV44" s="20" t="s">
        <v>169</v>
      </c>
      <c r="BW44" s="20" t="s">
        <v>169</v>
      </c>
      <c r="BX44" s="20" t="s">
        <v>169</v>
      </c>
      <c r="BY44" s="20" t="s">
        <v>169</v>
      </c>
      <c r="BZ44" s="20">
        <v>5.4914181575898011</v>
      </c>
      <c r="CA44" s="20" t="s">
        <v>169</v>
      </c>
      <c r="CB44" s="20" t="s">
        <v>169</v>
      </c>
      <c r="CC44" s="20" t="s">
        <v>169</v>
      </c>
      <c r="CD44" s="20" t="s">
        <v>169</v>
      </c>
      <c r="CE44" s="20" t="s">
        <v>169</v>
      </c>
      <c r="CF44" s="20" t="s">
        <v>169</v>
      </c>
      <c r="CG44" s="20" t="s">
        <v>169</v>
      </c>
      <c r="CH44" s="20" t="s">
        <v>169</v>
      </c>
      <c r="CI44" s="20" t="s">
        <v>169</v>
      </c>
      <c r="CJ44" s="20" t="s">
        <v>169</v>
      </c>
      <c r="CK44" s="20" t="s">
        <v>169</v>
      </c>
      <c r="CL44" s="20" t="s">
        <v>169</v>
      </c>
      <c r="CM44" s="20" t="s">
        <v>169</v>
      </c>
      <c r="CN44" s="20" t="s">
        <v>169</v>
      </c>
      <c r="CO44" s="20" t="s">
        <v>169</v>
      </c>
      <c r="CP44" s="20" t="s">
        <v>169</v>
      </c>
      <c r="CQ44" s="20" t="s">
        <v>169</v>
      </c>
      <c r="CR44" s="20" t="s">
        <v>169</v>
      </c>
      <c r="CS44" s="20" t="s">
        <v>169</v>
      </c>
      <c r="CT44" s="20" t="s">
        <v>169</v>
      </c>
      <c r="CU44" s="20" t="s">
        <v>169</v>
      </c>
      <c r="CV44" s="20" t="s">
        <v>169</v>
      </c>
      <c r="CW44" s="20" t="s">
        <v>169</v>
      </c>
      <c r="CX44" s="20" t="s">
        <v>169</v>
      </c>
    </row>
    <row r="45" spans="1:102" x14ac:dyDescent="0.25">
      <c r="A45" s="22" t="s">
        <v>42</v>
      </c>
      <c r="B45" s="22" t="s">
        <v>151</v>
      </c>
      <c r="C45" s="22" t="s">
        <v>96</v>
      </c>
      <c r="D45" s="6">
        <v>42867</v>
      </c>
      <c r="E45" s="18">
        <v>0.4375</v>
      </c>
      <c r="F45" s="19">
        <v>0.48</v>
      </c>
      <c r="G45" s="20" t="s">
        <v>169</v>
      </c>
      <c r="H45" s="20" t="s">
        <v>169</v>
      </c>
      <c r="I45" s="20" t="s">
        <v>169</v>
      </c>
      <c r="J45" s="20" t="s">
        <v>169</v>
      </c>
      <c r="K45" s="20" t="s">
        <v>169</v>
      </c>
      <c r="L45" s="20" t="s">
        <v>169</v>
      </c>
      <c r="M45" s="21" t="s">
        <v>169</v>
      </c>
      <c r="N45" s="20" t="s">
        <v>169</v>
      </c>
      <c r="O45" s="20" t="s">
        <v>169</v>
      </c>
      <c r="P45" s="20">
        <v>5.041666666666667</v>
      </c>
      <c r="Q45" s="20" t="s">
        <v>169</v>
      </c>
      <c r="R45" s="20" t="s">
        <v>169</v>
      </c>
      <c r="S45" s="20" t="s">
        <v>169</v>
      </c>
      <c r="T45" s="20" t="s">
        <v>169</v>
      </c>
      <c r="U45" s="20" t="s">
        <v>169</v>
      </c>
      <c r="V45" s="20" t="s">
        <v>169</v>
      </c>
      <c r="W45" s="20" t="s">
        <v>169</v>
      </c>
      <c r="X45" s="20" t="s">
        <v>169</v>
      </c>
      <c r="Y45" s="20" t="s">
        <v>169</v>
      </c>
      <c r="Z45" s="20" t="s">
        <v>169</v>
      </c>
      <c r="AA45" s="20" t="s">
        <v>169</v>
      </c>
      <c r="AB45" s="20" t="s">
        <v>169</v>
      </c>
      <c r="AC45" s="20" t="s">
        <v>169</v>
      </c>
      <c r="AD45" s="21" t="s">
        <v>169</v>
      </c>
      <c r="AE45" s="20" t="s">
        <v>169</v>
      </c>
      <c r="AF45" s="20" t="s">
        <v>169</v>
      </c>
      <c r="AG45" s="20" t="s">
        <v>169</v>
      </c>
      <c r="AH45" s="20" t="s">
        <v>169</v>
      </c>
      <c r="AI45" s="20" t="s">
        <v>169</v>
      </c>
      <c r="AJ45" s="20" t="s">
        <v>169</v>
      </c>
      <c r="AK45" s="20" t="s">
        <v>169</v>
      </c>
      <c r="AL45" s="20" t="s">
        <v>169</v>
      </c>
      <c r="AM45" s="20" t="s">
        <v>169</v>
      </c>
      <c r="AN45" s="20" t="s">
        <v>169</v>
      </c>
      <c r="AO45" s="20" t="s">
        <v>169</v>
      </c>
      <c r="AP45" s="20" t="s">
        <v>169</v>
      </c>
      <c r="AQ45" s="20" t="s">
        <v>169</v>
      </c>
      <c r="AR45" s="20" t="s">
        <v>169</v>
      </c>
      <c r="AS45" s="20" t="s">
        <v>169</v>
      </c>
      <c r="AT45" s="20" t="s">
        <v>169</v>
      </c>
      <c r="AU45" s="21" t="s">
        <v>169</v>
      </c>
      <c r="AV45" s="20" t="s">
        <v>169</v>
      </c>
      <c r="AW45" s="20" t="s">
        <v>169</v>
      </c>
      <c r="AX45" s="21" t="s">
        <v>169</v>
      </c>
      <c r="AY45" s="21" t="s">
        <v>169</v>
      </c>
      <c r="AZ45" s="20" t="s">
        <v>169</v>
      </c>
      <c r="BA45" s="21" t="s">
        <v>169</v>
      </c>
      <c r="BB45" s="21" t="s">
        <v>169</v>
      </c>
      <c r="BC45" s="20" t="s">
        <v>169</v>
      </c>
      <c r="BD45" s="21" t="s">
        <v>169</v>
      </c>
      <c r="BE45" s="20" t="s">
        <v>169</v>
      </c>
      <c r="BF45" s="20" t="s">
        <v>169</v>
      </c>
      <c r="BG45" s="20" t="s">
        <v>169</v>
      </c>
      <c r="BH45" s="20" t="s">
        <v>169</v>
      </c>
      <c r="BI45" s="20" t="s">
        <v>169</v>
      </c>
      <c r="BJ45" s="21" t="s">
        <v>169</v>
      </c>
      <c r="BK45" s="20" t="s">
        <v>169</v>
      </c>
      <c r="BL45" s="21" t="s">
        <v>169</v>
      </c>
      <c r="BM45" s="20" t="s">
        <v>169</v>
      </c>
      <c r="BN45" s="20" t="s">
        <v>169</v>
      </c>
      <c r="BO45" s="20" t="s">
        <v>169</v>
      </c>
      <c r="BP45" s="20">
        <v>9.443156393652167</v>
      </c>
      <c r="BQ45" s="20" t="s">
        <v>169</v>
      </c>
      <c r="BR45" s="20" t="s">
        <v>169</v>
      </c>
      <c r="BS45" s="21" t="s">
        <v>169</v>
      </c>
      <c r="BT45" s="20" t="s">
        <v>169</v>
      </c>
      <c r="BU45" s="20">
        <v>9.0076358969422508</v>
      </c>
      <c r="BV45" s="20" t="s">
        <v>169</v>
      </c>
      <c r="BW45" s="20" t="s">
        <v>169</v>
      </c>
      <c r="BX45" s="20" t="s">
        <v>169</v>
      </c>
      <c r="BY45" s="20" t="s">
        <v>169</v>
      </c>
      <c r="BZ45" s="20" t="s">
        <v>169</v>
      </c>
      <c r="CA45" s="20" t="s">
        <v>169</v>
      </c>
      <c r="CB45" s="20" t="s">
        <v>169</v>
      </c>
      <c r="CC45" s="20" t="s">
        <v>169</v>
      </c>
      <c r="CD45" s="20" t="s">
        <v>169</v>
      </c>
      <c r="CE45" s="21" t="s">
        <v>169</v>
      </c>
      <c r="CF45" s="20" t="s">
        <v>169</v>
      </c>
      <c r="CG45" s="20" t="s">
        <v>169</v>
      </c>
      <c r="CH45" s="20" t="s">
        <v>169</v>
      </c>
      <c r="CI45" s="20" t="s">
        <v>169</v>
      </c>
      <c r="CJ45" s="20" t="s">
        <v>169</v>
      </c>
      <c r="CK45" s="20" t="s">
        <v>169</v>
      </c>
      <c r="CL45" s="20" t="s">
        <v>169</v>
      </c>
      <c r="CM45" s="21" t="s">
        <v>169</v>
      </c>
      <c r="CN45" s="20" t="s">
        <v>169</v>
      </c>
      <c r="CO45" s="20" t="s">
        <v>169</v>
      </c>
      <c r="CP45" s="20" t="s">
        <v>169</v>
      </c>
      <c r="CQ45" s="20" t="s">
        <v>169</v>
      </c>
      <c r="CR45" s="21" t="s">
        <v>169</v>
      </c>
      <c r="CS45" s="20" t="s">
        <v>169</v>
      </c>
      <c r="CT45" s="21" t="s">
        <v>169</v>
      </c>
      <c r="CU45" s="21" t="s">
        <v>169</v>
      </c>
      <c r="CV45" s="20" t="s">
        <v>169</v>
      </c>
      <c r="CW45" s="21" t="s">
        <v>169</v>
      </c>
      <c r="CX45" s="21" t="s">
        <v>169</v>
      </c>
    </row>
    <row r="46" spans="1:102" x14ac:dyDescent="0.25">
      <c r="A46" s="22" t="s">
        <v>43</v>
      </c>
      <c r="B46" s="22" t="s">
        <v>152</v>
      </c>
      <c r="C46" s="22" t="s">
        <v>97</v>
      </c>
      <c r="D46" s="6">
        <v>42864</v>
      </c>
      <c r="E46" s="18">
        <v>0.625</v>
      </c>
      <c r="F46" s="19">
        <v>2.41</v>
      </c>
      <c r="G46" s="20" t="s">
        <v>169</v>
      </c>
      <c r="H46" s="20" t="s">
        <v>169</v>
      </c>
      <c r="I46" s="20" t="s">
        <v>169</v>
      </c>
      <c r="J46" s="20" t="s">
        <v>169</v>
      </c>
      <c r="K46" s="20" t="s">
        <v>169</v>
      </c>
      <c r="L46" s="20" t="s">
        <v>169</v>
      </c>
      <c r="M46" s="20" t="s">
        <v>169</v>
      </c>
      <c r="N46" s="20" t="s">
        <v>169</v>
      </c>
      <c r="O46" s="20">
        <v>3.1444928695878005</v>
      </c>
      <c r="P46" s="20" t="s">
        <v>169</v>
      </c>
      <c r="Q46" s="20" t="s">
        <v>169</v>
      </c>
      <c r="R46" s="20" t="s">
        <v>169</v>
      </c>
      <c r="S46" s="20" t="s">
        <v>169</v>
      </c>
      <c r="T46" s="20" t="s">
        <v>169</v>
      </c>
      <c r="U46" s="20" t="s">
        <v>169</v>
      </c>
      <c r="V46" s="20" t="s">
        <v>169</v>
      </c>
      <c r="W46" s="20" t="s">
        <v>169</v>
      </c>
      <c r="X46" s="20" t="s">
        <v>169</v>
      </c>
      <c r="Y46" s="20" t="s">
        <v>169</v>
      </c>
      <c r="Z46" s="20" t="s">
        <v>169</v>
      </c>
      <c r="AA46" s="20" t="s">
        <v>169</v>
      </c>
      <c r="AB46" s="20" t="s">
        <v>169</v>
      </c>
      <c r="AC46" s="20" t="s">
        <v>169</v>
      </c>
      <c r="AD46" s="20" t="s">
        <v>169</v>
      </c>
      <c r="AE46" s="20" t="s">
        <v>169</v>
      </c>
      <c r="AF46" s="20" t="s">
        <v>169</v>
      </c>
      <c r="AG46" s="20" t="s">
        <v>169</v>
      </c>
      <c r="AH46" s="20" t="s">
        <v>169</v>
      </c>
      <c r="AI46" s="20" t="s">
        <v>169</v>
      </c>
      <c r="AJ46" s="20" t="s">
        <v>169</v>
      </c>
      <c r="AK46" s="20" t="s">
        <v>169</v>
      </c>
      <c r="AL46" s="20" t="s">
        <v>169</v>
      </c>
      <c r="AM46" s="20" t="s">
        <v>169</v>
      </c>
      <c r="AN46" s="20" t="s">
        <v>169</v>
      </c>
      <c r="AO46" s="20" t="s">
        <v>169</v>
      </c>
      <c r="AP46" s="20" t="s">
        <v>169</v>
      </c>
      <c r="AQ46" s="20" t="s">
        <v>169</v>
      </c>
      <c r="AR46" s="20" t="s">
        <v>169</v>
      </c>
      <c r="AS46" s="20" t="s">
        <v>169</v>
      </c>
      <c r="AT46" s="20" t="s">
        <v>169</v>
      </c>
      <c r="AU46" s="20" t="s">
        <v>169</v>
      </c>
      <c r="AV46" s="20" t="s">
        <v>169</v>
      </c>
      <c r="AW46" s="20" t="s">
        <v>169</v>
      </c>
      <c r="AX46" s="20" t="s">
        <v>169</v>
      </c>
      <c r="AY46" s="20" t="s">
        <v>169</v>
      </c>
      <c r="AZ46" s="20" t="s">
        <v>169</v>
      </c>
      <c r="BA46" s="20" t="s">
        <v>169</v>
      </c>
      <c r="BB46" s="20" t="s">
        <v>169</v>
      </c>
      <c r="BC46" s="20" t="s">
        <v>169</v>
      </c>
      <c r="BD46" s="20" t="s">
        <v>169</v>
      </c>
      <c r="BE46" s="20" t="s">
        <v>169</v>
      </c>
      <c r="BF46" s="20" t="s">
        <v>169</v>
      </c>
      <c r="BG46" s="20" t="s">
        <v>169</v>
      </c>
      <c r="BH46" s="20" t="s">
        <v>169</v>
      </c>
      <c r="BI46" s="20" t="s">
        <v>169</v>
      </c>
      <c r="BJ46" s="20" t="s">
        <v>169</v>
      </c>
      <c r="BK46" s="20" t="s">
        <v>169</v>
      </c>
      <c r="BL46" s="20" t="s">
        <v>169</v>
      </c>
      <c r="BM46" s="20" t="s">
        <v>169</v>
      </c>
      <c r="BN46" s="20" t="s">
        <v>169</v>
      </c>
      <c r="BO46" s="20">
        <v>2.9858599122111533</v>
      </c>
      <c r="BP46" s="20">
        <v>4.3058290582999836</v>
      </c>
      <c r="BQ46" s="20">
        <v>4.9495534563911283</v>
      </c>
      <c r="BR46" s="20" t="s">
        <v>169</v>
      </c>
      <c r="BS46" s="20" t="s">
        <v>169</v>
      </c>
      <c r="BT46" s="20" t="s">
        <v>169</v>
      </c>
      <c r="BU46" s="20">
        <v>7.527723076592987</v>
      </c>
      <c r="BV46" s="20" t="s">
        <v>169</v>
      </c>
      <c r="BW46" s="20" t="s">
        <v>169</v>
      </c>
      <c r="BX46" s="20" t="s">
        <v>169</v>
      </c>
      <c r="BY46" s="20" t="s">
        <v>169</v>
      </c>
      <c r="BZ46" s="20" t="s">
        <v>169</v>
      </c>
      <c r="CA46" s="20" t="s">
        <v>169</v>
      </c>
      <c r="CB46" s="20" t="s">
        <v>169</v>
      </c>
      <c r="CC46" s="20" t="s">
        <v>169</v>
      </c>
      <c r="CD46" s="20" t="s">
        <v>169</v>
      </c>
      <c r="CE46" s="20" t="s">
        <v>169</v>
      </c>
      <c r="CF46" s="20" t="s">
        <v>169</v>
      </c>
      <c r="CG46" s="20" t="s">
        <v>169</v>
      </c>
      <c r="CH46" s="20" t="s">
        <v>169</v>
      </c>
      <c r="CI46" s="20" t="s">
        <v>169</v>
      </c>
      <c r="CJ46" s="20" t="s">
        <v>169</v>
      </c>
      <c r="CK46" s="20" t="s">
        <v>169</v>
      </c>
      <c r="CL46" s="20" t="s">
        <v>169</v>
      </c>
      <c r="CM46" s="20" t="s">
        <v>169</v>
      </c>
      <c r="CN46" s="20" t="s">
        <v>169</v>
      </c>
      <c r="CO46" s="20" t="s">
        <v>169</v>
      </c>
      <c r="CP46" s="20" t="s">
        <v>169</v>
      </c>
      <c r="CQ46" s="20" t="s">
        <v>169</v>
      </c>
      <c r="CR46" s="20" t="s">
        <v>169</v>
      </c>
      <c r="CS46" s="20" t="s">
        <v>169</v>
      </c>
      <c r="CT46" s="20" t="s">
        <v>169</v>
      </c>
      <c r="CU46" s="20" t="s">
        <v>169</v>
      </c>
      <c r="CV46" s="20" t="s">
        <v>169</v>
      </c>
      <c r="CW46" s="20" t="s">
        <v>169</v>
      </c>
      <c r="CX46" s="20" t="s">
        <v>169</v>
      </c>
    </row>
    <row r="47" spans="1:102" x14ac:dyDescent="0.25">
      <c r="A47" s="22" t="s">
        <v>44</v>
      </c>
      <c r="B47" s="22" t="s">
        <v>153</v>
      </c>
      <c r="C47" s="22" t="s">
        <v>98</v>
      </c>
      <c r="D47" s="6">
        <v>42867</v>
      </c>
      <c r="E47" s="18">
        <v>0.72916666666666663</v>
      </c>
      <c r="F47" s="19">
        <v>1.48</v>
      </c>
      <c r="G47" s="20" t="s">
        <v>169</v>
      </c>
      <c r="H47" s="20" t="s">
        <v>169</v>
      </c>
      <c r="I47" s="20" t="s">
        <v>169</v>
      </c>
      <c r="J47" s="20" t="s">
        <v>169</v>
      </c>
      <c r="K47" s="20" t="s">
        <v>169</v>
      </c>
      <c r="L47" s="20" t="s">
        <v>169</v>
      </c>
      <c r="M47" s="21" t="s">
        <v>169</v>
      </c>
      <c r="N47" s="20" t="s">
        <v>169</v>
      </c>
      <c r="O47" s="20">
        <v>3.7111893079000007</v>
      </c>
      <c r="P47" s="21" t="s">
        <v>169</v>
      </c>
      <c r="Q47" s="20" t="s">
        <v>169</v>
      </c>
      <c r="R47" s="20" t="s">
        <v>169</v>
      </c>
      <c r="S47" s="20" t="s">
        <v>169</v>
      </c>
      <c r="T47" s="20" t="s">
        <v>169</v>
      </c>
      <c r="U47" s="20" t="s">
        <v>169</v>
      </c>
      <c r="V47" s="20" t="s">
        <v>169</v>
      </c>
      <c r="W47" s="20" t="s">
        <v>169</v>
      </c>
      <c r="X47" s="20" t="s">
        <v>169</v>
      </c>
      <c r="Y47" s="20" t="s">
        <v>169</v>
      </c>
      <c r="Z47" s="20">
        <v>16.418918918918919</v>
      </c>
      <c r="AA47" s="20" t="s">
        <v>169</v>
      </c>
      <c r="AB47" s="20" t="s">
        <v>169</v>
      </c>
      <c r="AC47" s="20" t="s">
        <v>169</v>
      </c>
      <c r="AD47" s="21" t="s">
        <v>169</v>
      </c>
      <c r="AE47" s="20" t="s">
        <v>169</v>
      </c>
      <c r="AF47" s="20" t="s">
        <v>169</v>
      </c>
      <c r="AG47" s="20" t="s">
        <v>169</v>
      </c>
      <c r="AH47" s="20" t="s">
        <v>169</v>
      </c>
      <c r="AI47" s="20" t="s">
        <v>169</v>
      </c>
      <c r="AJ47" s="20" t="s">
        <v>169</v>
      </c>
      <c r="AK47" s="20" t="s">
        <v>169</v>
      </c>
      <c r="AL47" s="20" t="s">
        <v>169</v>
      </c>
      <c r="AM47" s="20" t="s">
        <v>169</v>
      </c>
      <c r="AN47" s="20" t="s">
        <v>169</v>
      </c>
      <c r="AO47" s="20" t="s">
        <v>169</v>
      </c>
      <c r="AP47" s="20" t="s">
        <v>169</v>
      </c>
      <c r="AQ47" s="20" t="s">
        <v>169</v>
      </c>
      <c r="AR47" s="20" t="s">
        <v>169</v>
      </c>
      <c r="AS47" s="20" t="s">
        <v>169</v>
      </c>
      <c r="AT47" s="20" t="s">
        <v>169</v>
      </c>
      <c r="AU47" s="21" t="s">
        <v>169</v>
      </c>
      <c r="AV47" s="20" t="s">
        <v>169</v>
      </c>
      <c r="AW47" s="20" t="s">
        <v>169</v>
      </c>
      <c r="AX47" s="21" t="s">
        <v>169</v>
      </c>
      <c r="AY47" s="21" t="s">
        <v>169</v>
      </c>
      <c r="AZ47" s="20" t="s">
        <v>169</v>
      </c>
      <c r="BA47" s="21" t="s">
        <v>169</v>
      </c>
      <c r="BB47" s="21" t="s">
        <v>169</v>
      </c>
      <c r="BC47" s="20" t="s">
        <v>169</v>
      </c>
      <c r="BD47" s="21" t="s">
        <v>169</v>
      </c>
      <c r="BE47" s="20" t="s">
        <v>169</v>
      </c>
      <c r="BF47" s="20" t="s">
        <v>169</v>
      </c>
      <c r="BG47" s="20" t="s">
        <v>169</v>
      </c>
      <c r="BH47" s="20" t="s">
        <v>169</v>
      </c>
      <c r="BI47" s="20" t="s">
        <v>169</v>
      </c>
      <c r="BJ47" s="20">
        <v>1.4245658058171757</v>
      </c>
      <c r="BK47" s="20" t="s">
        <v>169</v>
      </c>
      <c r="BL47" s="21" t="s">
        <v>169</v>
      </c>
      <c r="BM47" s="20">
        <v>1.9594882825322566</v>
      </c>
      <c r="BN47" s="20">
        <v>9.0405405405405403</v>
      </c>
      <c r="BO47" s="20">
        <v>4.1486486486486491</v>
      </c>
      <c r="BP47" s="20">
        <v>3.6231973987379194</v>
      </c>
      <c r="BQ47" s="20" t="s">
        <v>169</v>
      </c>
      <c r="BR47" s="20" t="s">
        <v>169</v>
      </c>
      <c r="BS47" s="21" t="s">
        <v>169</v>
      </c>
      <c r="BT47" s="20" t="s">
        <v>169</v>
      </c>
      <c r="BU47" s="20">
        <v>27.849869006397299</v>
      </c>
      <c r="BV47" s="20">
        <v>6.9469004574761213</v>
      </c>
      <c r="BW47" s="20" t="s">
        <v>169</v>
      </c>
      <c r="BX47" s="20" t="s">
        <v>169</v>
      </c>
      <c r="BY47" s="20" t="s">
        <v>169</v>
      </c>
      <c r="BZ47" s="20">
        <v>27.331032540801353</v>
      </c>
      <c r="CA47" s="20" t="s">
        <v>169</v>
      </c>
      <c r="CB47" s="20" t="s">
        <v>169</v>
      </c>
      <c r="CC47" s="20" t="s">
        <v>169</v>
      </c>
      <c r="CD47" s="20" t="s">
        <v>169</v>
      </c>
      <c r="CE47" s="21" t="s">
        <v>169</v>
      </c>
      <c r="CF47" s="20" t="s">
        <v>169</v>
      </c>
      <c r="CG47" s="20" t="s">
        <v>169</v>
      </c>
      <c r="CH47" s="20" t="s">
        <v>169</v>
      </c>
      <c r="CI47" s="20">
        <v>7.2027027027027026</v>
      </c>
      <c r="CJ47" s="20" t="s">
        <v>169</v>
      </c>
      <c r="CK47" s="20" t="s">
        <v>169</v>
      </c>
      <c r="CL47" s="20" t="s">
        <v>169</v>
      </c>
      <c r="CM47" s="21" t="s">
        <v>169</v>
      </c>
      <c r="CN47" s="20" t="s">
        <v>169</v>
      </c>
      <c r="CO47" s="20" t="s">
        <v>169</v>
      </c>
      <c r="CP47" s="20" t="s">
        <v>169</v>
      </c>
      <c r="CQ47" s="20" t="s">
        <v>169</v>
      </c>
      <c r="CR47" s="21" t="s">
        <v>169</v>
      </c>
      <c r="CS47" s="20" t="s">
        <v>169</v>
      </c>
      <c r="CT47" s="21" t="s">
        <v>169</v>
      </c>
      <c r="CU47" s="21" t="s">
        <v>169</v>
      </c>
      <c r="CV47" s="20" t="s">
        <v>169</v>
      </c>
      <c r="CW47" s="21" t="s">
        <v>169</v>
      </c>
      <c r="CX47" s="21" t="s">
        <v>169</v>
      </c>
    </row>
    <row r="48" spans="1:102" x14ac:dyDescent="0.25">
      <c r="A48" s="22" t="s">
        <v>45</v>
      </c>
      <c r="B48" s="22" t="s">
        <v>154</v>
      </c>
      <c r="C48" s="22" t="s">
        <v>99</v>
      </c>
      <c r="D48" s="6">
        <v>42866</v>
      </c>
      <c r="E48" s="18">
        <v>0.4375</v>
      </c>
      <c r="F48" s="19">
        <v>1.85</v>
      </c>
      <c r="G48" s="20" t="s">
        <v>169</v>
      </c>
      <c r="H48" s="20" t="s">
        <v>169</v>
      </c>
      <c r="I48" s="20" t="s">
        <v>169</v>
      </c>
      <c r="J48" s="20" t="s">
        <v>169</v>
      </c>
      <c r="K48" s="20">
        <v>9.404314639451135</v>
      </c>
      <c r="L48" s="20" t="s">
        <v>169</v>
      </c>
      <c r="M48" s="20" t="s">
        <v>169</v>
      </c>
      <c r="N48" s="20" t="s">
        <v>169</v>
      </c>
      <c r="O48" s="20" t="s">
        <v>169</v>
      </c>
      <c r="P48" s="20" t="s">
        <v>169</v>
      </c>
      <c r="Q48" s="20" t="s">
        <v>169</v>
      </c>
      <c r="R48" s="20" t="s">
        <v>169</v>
      </c>
      <c r="S48" s="20" t="s">
        <v>169</v>
      </c>
      <c r="T48" s="20" t="s">
        <v>169</v>
      </c>
      <c r="U48" s="20" t="s">
        <v>169</v>
      </c>
      <c r="V48" s="20" t="s">
        <v>169</v>
      </c>
      <c r="W48" s="20" t="s">
        <v>169</v>
      </c>
      <c r="X48" s="20" t="s">
        <v>169</v>
      </c>
      <c r="Y48" s="20" t="s">
        <v>169</v>
      </c>
      <c r="Z48" s="20" t="s">
        <v>169</v>
      </c>
      <c r="AA48" s="20" t="s">
        <v>169</v>
      </c>
      <c r="AB48" s="20" t="s">
        <v>169</v>
      </c>
      <c r="AC48" s="20" t="s">
        <v>169</v>
      </c>
      <c r="AD48" s="20" t="s">
        <v>169</v>
      </c>
      <c r="AE48" s="20" t="s">
        <v>169</v>
      </c>
      <c r="AF48" s="20" t="s">
        <v>169</v>
      </c>
      <c r="AG48" s="20" t="s">
        <v>169</v>
      </c>
      <c r="AH48" s="20" t="s">
        <v>169</v>
      </c>
      <c r="AI48" s="20" t="s">
        <v>169</v>
      </c>
      <c r="AJ48" s="20" t="s">
        <v>169</v>
      </c>
      <c r="AK48" s="20" t="s">
        <v>169</v>
      </c>
      <c r="AL48" s="20" t="s">
        <v>169</v>
      </c>
      <c r="AM48" s="20" t="s">
        <v>169</v>
      </c>
      <c r="AN48" s="20" t="s">
        <v>169</v>
      </c>
      <c r="AO48" s="20" t="s">
        <v>169</v>
      </c>
      <c r="AP48" s="20" t="s">
        <v>169</v>
      </c>
      <c r="AQ48" s="20" t="s">
        <v>169</v>
      </c>
      <c r="AR48" s="20" t="s">
        <v>169</v>
      </c>
      <c r="AS48" s="20" t="s">
        <v>169</v>
      </c>
      <c r="AT48" s="20" t="s">
        <v>169</v>
      </c>
      <c r="AU48" s="20" t="s">
        <v>169</v>
      </c>
      <c r="AV48" s="20" t="s">
        <v>169</v>
      </c>
      <c r="AW48" s="20" t="s">
        <v>169</v>
      </c>
      <c r="AX48" s="20" t="s">
        <v>169</v>
      </c>
      <c r="AY48" s="20" t="s">
        <v>169</v>
      </c>
      <c r="AZ48" s="20" t="s">
        <v>169</v>
      </c>
      <c r="BA48" s="20" t="s">
        <v>169</v>
      </c>
      <c r="BB48" s="20" t="s">
        <v>169</v>
      </c>
      <c r="BC48" s="20" t="s">
        <v>169</v>
      </c>
      <c r="BD48" s="20" t="s">
        <v>169</v>
      </c>
      <c r="BE48" s="20" t="s">
        <v>169</v>
      </c>
      <c r="BF48" s="20" t="s">
        <v>169</v>
      </c>
      <c r="BG48" s="20" t="s">
        <v>169</v>
      </c>
      <c r="BH48" s="20">
        <v>11.290194655980107</v>
      </c>
      <c r="BI48" s="20" t="s">
        <v>169</v>
      </c>
      <c r="BJ48" s="20" t="s">
        <v>169</v>
      </c>
      <c r="BK48" s="20" t="s">
        <v>169</v>
      </c>
      <c r="BL48" s="20" t="s">
        <v>169</v>
      </c>
      <c r="BM48" s="20" t="s">
        <v>169</v>
      </c>
      <c r="BN48" s="20">
        <v>7.0162162162162165</v>
      </c>
      <c r="BO48" s="20">
        <v>2.4324324324324325</v>
      </c>
      <c r="BP48" s="20">
        <v>3.0046563563017727</v>
      </c>
      <c r="BQ48" s="20">
        <v>9.6646394301456855</v>
      </c>
      <c r="BR48" s="20" t="s">
        <v>169</v>
      </c>
      <c r="BS48" s="20" t="s">
        <v>169</v>
      </c>
      <c r="BT48" s="20" t="s">
        <v>169</v>
      </c>
      <c r="BU48" s="20">
        <v>9.0217602260251351</v>
      </c>
      <c r="BV48" s="20" t="s">
        <v>169</v>
      </c>
      <c r="BW48" s="20" t="s">
        <v>169</v>
      </c>
      <c r="BX48" s="20" t="s">
        <v>169</v>
      </c>
      <c r="BY48" s="20" t="s">
        <v>169</v>
      </c>
      <c r="BZ48" s="20">
        <v>2.6576174283428</v>
      </c>
      <c r="CA48" s="20" t="s">
        <v>169</v>
      </c>
      <c r="CB48" s="20" t="s">
        <v>169</v>
      </c>
      <c r="CC48" s="20" t="s">
        <v>169</v>
      </c>
      <c r="CD48" s="20" t="s">
        <v>169</v>
      </c>
      <c r="CE48" s="20" t="s">
        <v>169</v>
      </c>
      <c r="CF48" s="20" t="s">
        <v>169</v>
      </c>
      <c r="CG48" s="20" t="s">
        <v>169</v>
      </c>
      <c r="CH48" s="20" t="s">
        <v>169</v>
      </c>
      <c r="CI48" s="20" t="s">
        <v>169</v>
      </c>
      <c r="CJ48" s="20" t="s">
        <v>169</v>
      </c>
      <c r="CK48" s="20" t="s">
        <v>169</v>
      </c>
      <c r="CL48" s="20" t="s">
        <v>169</v>
      </c>
      <c r="CM48" s="20" t="s">
        <v>169</v>
      </c>
      <c r="CN48" s="20" t="s">
        <v>169</v>
      </c>
      <c r="CO48" s="20" t="s">
        <v>169</v>
      </c>
      <c r="CP48" s="20" t="s">
        <v>169</v>
      </c>
      <c r="CQ48" s="20" t="s">
        <v>169</v>
      </c>
      <c r="CR48" s="20" t="s">
        <v>169</v>
      </c>
      <c r="CS48" s="20" t="s">
        <v>169</v>
      </c>
      <c r="CT48" s="20" t="s">
        <v>169</v>
      </c>
      <c r="CU48" s="20" t="s">
        <v>169</v>
      </c>
      <c r="CV48" s="20" t="s">
        <v>169</v>
      </c>
      <c r="CW48" s="20" t="s">
        <v>169</v>
      </c>
      <c r="CX48" s="20" t="s">
        <v>169</v>
      </c>
    </row>
    <row r="49" spans="1:102" x14ac:dyDescent="0.25">
      <c r="A49" s="22" t="s">
        <v>46</v>
      </c>
      <c r="B49" s="22" t="s">
        <v>155</v>
      </c>
      <c r="C49" s="22" t="s">
        <v>100</v>
      </c>
      <c r="D49" s="6">
        <v>42866</v>
      </c>
      <c r="E49" s="18">
        <v>0.64583333333333337</v>
      </c>
      <c r="F49" s="19">
        <v>1.79</v>
      </c>
      <c r="G49" s="20" t="s">
        <v>169</v>
      </c>
      <c r="H49" s="20" t="s">
        <v>169</v>
      </c>
      <c r="I49" s="20" t="s">
        <v>169</v>
      </c>
      <c r="J49" s="20" t="s">
        <v>169</v>
      </c>
      <c r="K49" s="20" t="s">
        <v>169</v>
      </c>
      <c r="L49" s="20" t="s">
        <v>169</v>
      </c>
      <c r="M49" s="20" t="s">
        <v>169</v>
      </c>
      <c r="N49" s="20" t="s">
        <v>169</v>
      </c>
      <c r="O49" s="20">
        <v>2.6398219875384359</v>
      </c>
      <c r="P49" s="20" t="s">
        <v>169</v>
      </c>
      <c r="Q49" s="20" t="s">
        <v>169</v>
      </c>
      <c r="R49" s="20" t="s">
        <v>169</v>
      </c>
      <c r="S49" s="20" t="s">
        <v>169</v>
      </c>
      <c r="T49" s="20" t="s">
        <v>169</v>
      </c>
      <c r="U49" s="20" t="s">
        <v>169</v>
      </c>
      <c r="V49" s="20" t="s">
        <v>169</v>
      </c>
      <c r="W49" s="20" t="s">
        <v>169</v>
      </c>
      <c r="X49" s="20" t="s">
        <v>169</v>
      </c>
      <c r="Y49" s="20" t="s">
        <v>169</v>
      </c>
      <c r="Z49" s="20" t="s">
        <v>169</v>
      </c>
      <c r="AA49" s="20" t="s">
        <v>169</v>
      </c>
      <c r="AB49" s="20" t="s">
        <v>169</v>
      </c>
      <c r="AC49" s="20" t="s">
        <v>169</v>
      </c>
      <c r="AD49" s="20" t="s">
        <v>169</v>
      </c>
      <c r="AE49" s="20" t="s">
        <v>169</v>
      </c>
      <c r="AF49" s="20" t="s">
        <v>169</v>
      </c>
      <c r="AG49" s="20" t="s">
        <v>169</v>
      </c>
      <c r="AH49" s="20" t="s">
        <v>169</v>
      </c>
      <c r="AI49" s="20" t="s">
        <v>169</v>
      </c>
      <c r="AJ49" s="20" t="s">
        <v>169</v>
      </c>
      <c r="AK49" s="20" t="s">
        <v>169</v>
      </c>
      <c r="AL49" s="20" t="s">
        <v>169</v>
      </c>
      <c r="AM49" s="20" t="s">
        <v>169</v>
      </c>
      <c r="AN49" s="20" t="s">
        <v>169</v>
      </c>
      <c r="AO49" s="20" t="s">
        <v>169</v>
      </c>
      <c r="AP49" s="20" t="s">
        <v>169</v>
      </c>
      <c r="AQ49" s="20" t="s">
        <v>169</v>
      </c>
      <c r="AR49" s="20" t="s">
        <v>169</v>
      </c>
      <c r="AS49" s="20" t="s">
        <v>169</v>
      </c>
      <c r="AT49" s="20" t="s">
        <v>169</v>
      </c>
      <c r="AU49" s="20" t="s">
        <v>169</v>
      </c>
      <c r="AV49" s="20" t="s">
        <v>169</v>
      </c>
      <c r="AW49" s="20" t="s">
        <v>169</v>
      </c>
      <c r="AX49" s="20" t="s">
        <v>169</v>
      </c>
      <c r="AY49" s="20" t="s">
        <v>169</v>
      </c>
      <c r="AZ49" s="20" t="s">
        <v>169</v>
      </c>
      <c r="BA49" s="20" t="s">
        <v>169</v>
      </c>
      <c r="BB49" s="20" t="s">
        <v>169</v>
      </c>
      <c r="BC49" s="20" t="s">
        <v>169</v>
      </c>
      <c r="BD49" s="20" t="s">
        <v>169</v>
      </c>
      <c r="BE49" s="20" t="s">
        <v>169</v>
      </c>
      <c r="BF49" s="20" t="s">
        <v>169</v>
      </c>
      <c r="BG49" s="20" t="s">
        <v>169</v>
      </c>
      <c r="BH49" s="20" t="s">
        <v>169</v>
      </c>
      <c r="BI49" s="20" t="s">
        <v>169</v>
      </c>
      <c r="BJ49" s="20" t="s">
        <v>169</v>
      </c>
      <c r="BK49" s="20" t="s">
        <v>169</v>
      </c>
      <c r="BL49" s="20" t="s">
        <v>169</v>
      </c>
      <c r="BM49" s="20" t="s">
        <v>169</v>
      </c>
      <c r="BN49" s="20">
        <v>6.5302812830472732</v>
      </c>
      <c r="BO49" s="20">
        <v>2.3463687150837989</v>
      </c>
      <c r="BP49" s="20">
        <v>9.3107020775903688</v>
      </c>
      <c r="BQ49" s="20">
        <v>4.4485947973703572</v>
      </c>
      <c r="BR49" s="20" t="s">
        <v>169</v>
      </c>
      <c r="BS49" s="20" t="s">
        <v>169</v>
      </c>
      <c r="BT49" s="20" t="s">
        <v>169</v>
      </c>
      <c r="BU49" s="20">
        <v>7.9202289202316081</v>
      </c>
      <c r="BV49" s="20" t="s">
        <v>169</v>
      </c>
      <c r="BW49" s="20" t="s">
        <v>169</v>
      </c>
      <c r="BX49" s="20" t="s">
        <v>169</v>
      </c>
      <c r="BY49" s="20" t="s">
        <v>169</v>
      </c>
      <c r="BZ49" s="20" t="s">
        <v>169</v>
      </c>
      <c r="CA49" s="20" t="s">
        <v>169</v>
      </c>
      <c r="CB49" s="20" t="s">
        <v>169</v>
      </c>
      <c r="CC49" s="20" t="s">
        <v>169</v>
      </c>
      <c r="CD49" s="20" t="s">
        <v>169</v>
      </c>
      <c r="CE49" s="20" t="s">
        <v>169</v>
      </c>
      <c r="CF49" s="20" t="s">
        <v>169</v>
      </c>
      <c r="CG49" s="20" t="s">
        <v>169</v>
      </c>
      <c r="CH49" s="20" t="s">
        <v>169</v>
      </c>
      <c r="CI49" s="20" t="s">
        <v>169</v>
      </c>
      <c r="CJ49" s="20" t="s">
        <v>169</v>
      </c>
      <c r="CK49" s="20" t="s">
        <v>169</v>
      </c>
      <c r="CL49" s="20" t="s">
        <v>169</v>
      </c>
      <c r="CM49" s="20" t="s">
        <v>169</v>
      </c>
      <c r="CN49" s="20" t="s">
        <v>169</v>
      </c>
      <c r="CO49" s="20" t="s">
        <v>169</v>
      </c>
      <c r="CP49" s="20" t="s">
        <v>169</v>
      </c>
      <c r="CQ49" s="20" t="s">
        <v>169</v>
      </c>
      <c r="CR49" s="20" t="s">
        <v>169</v>
      </c>
      <c r="CS49" s="20" t="s">
        <v>169</v>
      </c>
      <c r="CT49" s="20" t="s">
        <v>169</v>
      </c>
      <c r="CU49" s="20" t="s">
        <v>169</v>
      </c>
      <c r="CV49" s="20" t="s">
        <v>169</v>
      </c>
      <c r="CW49" s="20" t="s">
        <v>169</v>
      </c>
      <c r="CX49" s="20" t="s">
        <v>169</v>
      </c>
    </row>
    <row r="50" spans="1:102" x14ac:dyDescent="0.25">
      <c r="A50" s="22" t="s">
        <v>47</v>
      </c>
      <c r="B50" s="22" t="s">
        <v>156</v>
      </c>
      <c r="C50" s="22" t="s">
        <v>101</v>
      </c>
      <c r="D50" s="6">
        <v>42868</v>
      </c>
      <c r="E50" s="18">
        <v>0.5625</v>
      </c>
      <c r="F50" s="19">
        <v>3</v>
      </c>
      <c r="G50" s="20" t="s">
        <v>169</v>
      </c>
      <c r="H50" s="20" t="s">
        <v>169</v>
      </c>
      <c r="I50" s="20" t="s">
        <v>169</v>
      </c>
      <c r="J50" s="20" t="s">
        <v>169</v>
      </c>
      <c r="K50" s="20" t="s">
        <v>169</v>
      </c>
      <c r="L50" s="20" t="s">
        <v>169</v>
      </c>
      <c r="M50" s="21" t="s">
        <v>169</v>
      </c>
      <c r="N50" s="20" t="s">
        <v>169</v>
      </c>
      <c r="O50" s="20" t="s">
        <v>169</v>
      </c>
      <c r="P50" s="20">
        <v>7.5085778660759344</v>
      </c>
      <c r="Q50" s="20" t="s">
        <v>169</v>
      </c>
      <c r="R50" s="20" t="s">
        <v>169</v>
      </c>
      <c r="S50" s="20" t="s">
        <v>169</v>
      </c>
      <c r="T50" s="20" t="s">
        <v>169</v>
      </c>
      <c r="U50" s="20" t="s">
        <v>169</v>
      </c>
      <c r="V50" s="20" t="s">
        <v>169</v>
      </c>
      <c r="W50" s="20" t="s">
        <v>169</v>
      </c>
      <c r="X50" s="20" t="s">
        <v>169</v>
      </c>
      <c r="Y50" s="20" t="s">
        <v>169</v>
      </c>
      <c r="Z50" s="20" t="s">
        <v>169</v>
      </c>
      <c r="AA50" s="20" t="s">
        <v>169</v>
      </c>
      <c r="AB50" s="20" t="s">
        <v>169</v>
      </c>
      <c r="AC50" s="20" t="s">
        <v>169</v>
      </c>
      <c r="AD50" s="21" t="s">
        <v>169</v>
      </c>
      <c r="AE50" s="20" t="s">
        <v>169</v>
      </c>
      <c r="AF50" s="20" t="s">
        <v>169</v>
      </c>
      <c r="AG50" s="20" t="s">
        <v>169</v>
      </c>
      <c r="AH50" s="20" t="s">
        <v>169</v>
      </c>
      <c r="AI50" s="20" t="s">
        <v>169</v>
      </c>
      <c r="AJ50" s="20" t="s">
        <v>169</v>
      </c>
      <c r="AK50" s="20" t="s">
        <v>169</v>
      </c>
      <c r="AL50" s="20" t="s">
        <v>169</v>
      </c>
      <c r="AM50" s="20" t="s">
        <v>169</v>
      </c>
      <c r="AN50" s="20" t="s">
        <v>169</v>
      </c>
      <c r="AO50" s="20" t="s">
        <v>169</v>
      </c>
      <c r="AP50" s="20" t="s">
        <v>169</v>
      </c>
      <c r="AQ50" s="20" t="s">
        <v>169</v>
      </c>
      <c r="AR50" s="20" t="s">
        <v>169</v>
      </c>
      <c r="AS50" s="20" t="s">
        <v>169</v>
      </c>
      <c r="AT50" s="20" t="s">
        <v>169</v>
      </c>
      <c r="AU50" s="21" t="s">
        <v>169</v>
      </c>
      <c r="AV50" s="20" t="s">
        <v>169</v>
      </c>
      <c r="AW50" s="20" t="s">
        <v>169</v>
      </c>
      <c r="AX50" s="21" t="s">
        <v>169</v>
      </c>
      <c r="AY50" s="21" t="s">
        <v>169</v>
      </c>
      <c r="AZ50" s="20" t="s">
        <v>169</v>
      </c>
      <c r="BA50" s="21" t="s">
        <v>169</v>
      </c>
      <c r="BB50" s="21" t="s">
        <v>169</v>
      </c>
      <c r="BC50" s="20" t="s">
        <v>169</v>
      </c>
      <c r="BD50" s="21" t="s">
        <v>169</v>
      </c>
      <c r="BE50" s="20" t="s">
        <v>169</v>
      </c>
      <c r="BF50" s="20" t="s">
        <v>169</v>
      </c>
      <c r="BG50" s="20" t="s">
        <v>169</v>
      </c>
      <c r="BH50" s="20" t="s">
        <v>169</v>
      </c>
      <c r="BI50" s="20" t="s">
        <v>169</v>
      </c>
      <c r="BJ50" s="21" t="s">
        <v>169</v>
      </c>
      <c r="BK50" s="20" t="s">
        <v>169</v>
      </c>
      <c r="BL50" s="21" t="s">
        <v>169</v>
      </c>
      <c r="BM50" s="20" t="s">
        <v>169</v>
      </c>
      <c r="BN50" s="20">
        <v>4.2333333333333334</v>
      </c>
      <c r="BO50" s="20">
        <v>17.600000000000001</v>
      </c>
      <c r="BP50" s="20">
        <v>39.550371899146668</v>
      </c>
      <c r="BQ50" s="20">
        <v>3.76</v>
      </c>
      <c r="BR50" s="20" t="s">
        <v>169</v>
      </c>
      <c r="BS50" s="21" t="s">
        <v>169</v>
      </c>
      <c r="BT50" s="20" t="s">
        <v>169</v>
      </c>
      <c r="BU50" s="20">
        <v>7.6194824227681996</v>
      </c>
      <c r="BV50" s="20" t="s">
        <v>169</v>
      </c>
      <c r="BW50" s="20" t="s">
        <v>169</v>
      </c>
      <c r="BX50" s="20" t="s">
        <v>169</v>
      </c>
      <c r="BY50" s="20" t="s">
        <v>169</v>
      </c>
      <c r="BZ50" s="20" t="s">
        <v>169</v>
      </c>
      <c r="CA50" s="20" t="s">
        <v>169</v>
      </c>
      <c r="CB50" s="20" t="s">
        <v>169</v>
      </c>
      <c r="CC50" s="20" t="s">
        <v>169</v>
      </c>
      <c r="CD50" s="20" t="s">
        <v>169</v>
      </c>
      <c r="CE50" s="21" t="s">
        <v>169</v>
      </c>
      <c r="CF50" s="20" t="s">
        <v>169</v>
      </c>
      <c r="CG50" s="20" t="s">
        <v>169</v>
      </c>
      <c r="CH50" s="20" t="s">
        <v>169</v>
      </c>
      <c r="CI50" s="20" t="s">
        <v>169</v>
      </c>
      <c r="CJ50" s="20" t="s">
        <v>169</v>
      </c>
      <c r="CK50" s="20" t="s">
        <v>169</v>
      </c>
      <c r="CL50" s="20" t="s">
        <v>169</v>
      </c>
      <c r="CM50" s="21" t="s">
        <v>169</v>
      </c>
      <c r="CN50" s="20" t="s">
        <v>169</v>
      </c>
      <c r="CO50" s="20" t="s">
        <v>169</v>
      </c>
      <c r="CP50" s="20" t="s">
        <v>169</v>
      </c>
      <c r="CQ50" s="20" t="s">
        <v>169</v>
      </c>
      <c r="CR50" s="21" t="s">
        <v>169</v>
      </c>
      <c r="CS50" s="20" t="s">
        <v>169</v>
      </c>
      <c r="CT50" s="21" t="s">
        <v>169</v>
      </c>
      <c r="CU50" s="21" t="s">
        <v>169</v>
      </c>
      <c r="CV50" s="20" t="s">
        <v>169</v>
      </c>
      <c r="CW50" s="21" t="s">
        <v>169</v>
      </c>
      <c r="CX50" s="21" t="s">
        <v>169</v>
      </c>
    </row>
    <row r="51" spans="1:102" x14ac:dyDescent="0.25">
      <c r="A51" s="22" t="s">
        <v>48</v>
      </c>
      <c r="B51" s="22" t="s">
        <v>157</v>
      </c>
      <c r="C51" s="22" t="s">
        <v>102</v>
      </c>
      <c r="D51" s="6">
        <v>42868</v>
      </c>
      <c r="E51" s="18">
        <v>0.39583333333333331</v>
      </c>
      <c r="F51" s="19">
        <v>0.25</v>
      </c>
      <c r="G51" s="20" t="s">
        <v>169</v>
      </c>
      <c r="H51" s="20" t="s">
        <v>169</v>
      </c>
      <c r="I51" s="20" t="s">
        <v>169</v>
      </c>
      <c r="J51" s="20" t="s">
        <v>169</v>
      </c>
      <c r="K51" s="20" t="s">
        <v>169</v>
      </c>
      <c r="L51" s="20" t="s">
        <v>169</v>
      </c>
      <c r="M51" s="21" t="s">
        <v>169</v>
      </c>
      <c r="N51" s="20" t="s">
        <v>169</v>
      </c>
      <c r="O51" s="20" t="s">
        <v>169</v>
      </c>
      <c r="P51" s="20">
        <v>9.8272040399261602</v>
      </c>
      <c r="Q51" s="20" t="s">
        <v>169</v>
      </c>
      <c r="R51" s="20" t="s">
        <v>169</v>
      </c>
      <c r="S51" s="20" t="s">
        <v>169</v>
      </c>
      <c r="T51" s="20" t="s">
        <v>169</v>
      </c>
      <c r="U51" s="20" t="s">
        <v>169</v>
      </c>
      <c r="V51" s="20" t="s">
        <v>169</v>
      </c>
      <c r="W51" s="20" t="s">
        <v>169</v>
      </c>
      <c r="X51" s="20" t="s">
        <v>169</v>
      </c>
      <c r="Y51" s="20" t="s">
        <v>169</v>
      </c>
      <c r="Z51" s="20" t="s">
        <v>169</v>
      </c>
      <c r="AA51" s="20" t="s">
        <v>169</v>
      </c>
      <c r="AB51" s="20" t="s">
        <v>169</v>
      </c>
      <c r="AC51" s="20" t="s">
        <v>169</v>
      </c>
      <c r="AD51" s="21" t="s">
        <v>169</v>
      </c>
      <c r="AE51" s="20" t="s">
        <v>169</v>
      </c>
      <c r="AF51" s="20" t="s">
        <v>169</v>
      </c>
      <c r="AG51" s="20" t="s">
        <v>169</v>
      </c>
      <c r="AH51" s="20" t="s">
        <v>169</v>
      </c>
      <c r="AI51" s="20" t="s">
        <v>169</v>
      </c>
      <c r="AJ51" s="20" t="s">
        <v>169</v>
      </c>
      <c r="AK51" s="20" t="s">
        <v>169</v>
      </c>
      <c r="AL51" s="20" t="s">
        <v>169</v>
      </c>
      <c r="AM51" s="20" t="s">
        <v>169</v>
      </c>
      <c r="AN51" s="20" t="s">
        <v>169</v>
      </c>
      <c r="AO51" s="20" t="s">
        <v>169</v>
      </c>
      <c r="AP51" s="20" t="s">
        <v>169</v>
      </c>
      <c r="AQ51" s="20" t="s">
        <v>169</v>
      </c>
      <c r="AR51" s="20" t="s">
        <v>169</v>
      </c>
      <c r="AS51" s="20" t="s">
        <v>169</v>
      </c>
      <c r="AT51" s="20" t="s">
        <v>169</v>
      </c>
      <c r="AU51" s="21" t="s">
        <v>169</v>
      </c>
      <c r="AV51" s="20" t="s">
        <v>169</v>
      </c>
      <c r="AW51" s="20" t="s">
        <v>169</v>
      </c>
      <c r="AX51" s="21" t="s">
        <v>169</v>
      </c>
      <c r="AY51" s="21" t="s">
        <v>169</v>
      </c>
      <c r="AZ51" s="20" t="s">
        <v>169</v>
      </c>
      <c r="BA51" s="21" t="s">
        <v>169</v>
      </c>
      <c r="BB51" s="21" t="s">
        <v>169</v>
      </c>
      <c r="BC51" s="20" t="s">
        <v>169</v>
      </c>
      <c r="BD51" s="21" t="s">
        <v>169</v>
      </c>
      <c r="BE51" s="20" t="s">
        <v>169</v>
      </c>
      <c r="BF51" s="20" t="s">
        <v>169</v>
      </c>
      <c r="BG51" s="20" t="s">
        <v>169</v>
      </c>
      <c r="BH51" s="20" t="s">
        <v>169</v>
      </c>
      <c r="BI51" s="20" t="s">
        <v>169</v>
      </c>
      <c r="BJ51" s="21" t="s">
        <v>169</v>
      </c>
      <c r="BK51" s="20" t="s">
        <v>169</v>
      </c>
      <c r="BL51" s="21" t="s">
        <v>169</v>
      </c>
      <c r="BM51" s="20" t="s">
        <v>169</v>
      </c>
      <c r="BN51" s="20" t="s">
        <v>169</v>
      </c>
      <c r="BO51" s="20" t="s">
        <v>169</v>
      </c>
      <c r="BP51" s="20">
        <v>14.3076167359616</v>
      </c>
      <c r="BQ51" s="20" t="s">
        <v>169</v>
      </c>
      <c r="BR51" s="20" t="s">
        <v>169</v>
      </c>
      <c r="BS51" s="21" t="s">
        <v>169</v>
      </c>
      <c r="BT51" s="20" t="s">
        <v>169</v>
      </c>
      <c r="BU51" s="20" t="s">
        <v>169</v>
      </c>
      <c r="BV51" s="20" t="s">
        <v>169</v>
      </c>
      <c r="BW51" s="20" t="s">
        <v>169</v>
      </c>
      <c r="BX51" s="20" t="s">
        <v>169</v>
      </c>
      <c r="BY51" s="20" t="s">
        <v>169</v>
      </c>
      <c r="BZ51" s="20" t="s">
        <v>169</v>
      </c>
      <c r="CA51" s="20" t="s">
        <v>169</v>
      </c>
      <c r="CB51" s="20" t="s">
        <v>169</v>
      </c>
      <c r="CC51" s="20" t="s">
        <v>169</v>
      </c>
      <c r="CD51" s="20" t="s">
        <v>169</v>
      </c>
      <c r="CE51" s="21" t="s">
        <v>169</v>
      </c>
      <c r="CF51" s="20" t="s">
        <v>169</v>
      </c>
      <c r="CG51" s="20" t="s">
        <v>169</v>
      </c>
      <c r="CH51" s="20" t="s">
        <v>169</v>
      </c>
      <c r="CI51" s="20" t="s">
        <v>169</v>
      </c>
      <c r="CJ51" s="20" t="s">
        <v>169</v>
      </c>
      <c r="CK51" s="20" t="s">
        <v>169</v>
      </c>
      <c r="CL51" s="20" t="s">
        <v>169</v>
      </c>
      <c r="CM51" s="21" t="s">
        <v>169</v>
      </c>
      <c r="CN51" s="20" t="s">
        <v>169</v>
      </c>
      <c r="CO51" s="20" t="s">
        <v>169</v>
      </c>
      <c r="CP51" s="20" t="s">
        <v>169</v>
      </c>
      <c r="CQ51" s="20" t="s">
        <v>169</v>
      </c>
      <c r="CR51" s="21" t="s">
        <v>169</v>
      </c>
      <c r="CS51" s="20" t="s">
        <v>169</v>
      </c>
      <c r="CT51" s="21" t="s">
        <v>169</v>
      </c>
      <c r="CU51" s="21" t="s">
        <v>169</v>
      </c>
      <c r="CV51" s="20" t="s">
        <v>169</v>
      </c>
      <c r="CW51" s="21" t="s">
        <v>169</v>
      </c>
      <c r="CX51" s="21" t="s">
        <v>169</v>
      </c>
    </row>
    <row r="52" spans="1:102" x14ac:dyDescent="0.25">
      <c r="A52" s="22" t="s">
        <v>49</v>
      </c>
      <c r="B52" s="22" t="s">
        <v>158</v>
      </c>
      <c r="C52" s="22" t="s">
        <v>103</v>
      </c>
      <c r="D52" s="6">
        <v>42872</v>
      </c>
      <c r="E52" s="18">
        <v>0.35416666666666669</v>
      </c>
      <c r="F52" s="19">
        <v>1.2800000000000001E-2</v>
      </c>
      <c r="G52" s="20" t="s">
        <v>169</v>
      </c>
      <c r="H52" s="20" t="s">
        <v>169</v>
      </c>
      <c r="I52" s="20" t="s">
        <v>169</v>
      </c>
      <c r="J52" s="20" t="s">
        <v>169</v>
      </c>
      <c r="K52" s="20" t="s">
        <v>169</v>
      </c>
      <c r="L52" s="20" t="s">
        <v>169</v>
      </c>
      <c r="M52" s="21" t="s">
        <v>169</v>
      </c>
      <c r="N52" s="20" t="s">
        <v>169</v>
      </c>
      <c r="O52" s="20" t="s">
        <v>169</v>
      </c>
      <c r="P52" s="21" t="s">
        <v>169</v>
      </c>
      <c r="Q52" s="20" t="s">
        <v>169</v>
      </c>
      <c r="R52" s="20" t="s">
        <v>169</v>
      </c>
      <c r="S52" s="20" t="s">
        <v>169</v>
      </c>
      <c r="T52" s="20" t="s">
        <v>169</v>
      </c>
      <c r="U52" s="20" t="s">
        <v>169</v>
      </c>
      <c r="V52" s="20" t="s">
        <v>169</v>
      </c>
      <c r="W52" s="20" t="s">
        <v>169</v>
      </c>
      <c r="X52" s="20" t="s">
        <v>169</v>
      </c>
      <c r="Y52" s="20" t="s">
        <v>169</v>
      </c>
      <c r="Z52" s="20" t="s">
        <v>169</v>
      </c>
      <c r="AA52" s="20" t="s">
        <v>169</v>
      </c>
      <c r="AB52" s="20" t="s">
        <v>169</v>
      </c>
      <c r="AC52" s="20" t="s">
        <v>169</v>
      </c>
      <c r="AD52" s="21" t="s">
        <v>169</v>
      </c>
      <c r="AE52" s="20" t="s">
        <v>169</v>
      </c>
      <c r="AF52" s="20" t="s">
        <v>169</v>
      </c>
      <c r="AG52" s="20" t="s">
        <v>169</v>
      </c>
      <c r="AH52" s="20" t="s">
        <v>169</v>
      </c>
      <c r="AI52" s="20" t="s">
        <v>169</v>
      </c>
      <c r="AJ52" s="20" t="s">
        <v>169</v>
      </c>
      <c r="AK52" s="20" t="s">
        <v>169</v>
      </c>
      <c r="AL52" s="20" t="s">
        <v>169</v>
      </c>
      <c r="AM52" s="20" t="s">
        <v>169</v>
      </c>
      <c r="AN52" s="20" t="s">
        <v>169</v>
      </c>
      <c r="AO52" s="20" t="s">
        <v>169</v>
      </c>
      <c r="AP52" s="20" t="s">
        <v>169</v>
      </c>
      <c r="AQ52" s="20" t="s">
        <v>169</v>
      </c>
      <c r="AR52" s="20" t="s">
        <v>169</v>
      </c>
      <c r="AS52" s="20" t="s">
        <v>169</v>
      </c>
      <c r="AT52" s="20" t="s">
        <v>169</v>
      </c>
      <c r="AU52" s="21" t="s">
        <v>169</v>
      </c>
      <c r="AV52" s="20" t="s">
        <v>169</v>
      </c>
      <c r="AW52" s="20" t="s">
        <v>169</v>
      </c>
      <c r="AX52" s="21" t="s">
        <v>169</v>
      </c>
      <c r="AY52" s="21" t="s">
        <v>169</v>
      </c>
      <c r="AZ52" s="20" t="s">
        <v>169</v>
      </c>
      <c r="BA52" s="21" t="s">
        <v>169</v>
      </c>
      <c r="BB52" s="21" t="s">
        <v>169</v>
      </c>
      <c r="BC52" s="20" t="s">
        <v>169</v>
      </c>
      <c r="BD52" s="21" t="s">
        <v>169</v>
      </c>
      <c r="BE52" s="20" t="s">
        <v>169</v>
      </c>
      <c r="BF52" s="20" t="s">
        <v>169</v>
      </c>
      <c r="BG52" s="20" t="s">
        <v>169</v>
      </c>
      <c r="BH52" s="20" t="s">
        <v>169</v>
      </c>
      <c r="BI52" s="20" t="s">
        <v>169</v>
      </c>
      <c r="BJ52" s="21" t="s">
        <v>169</v>
      </c>
      <c r="BK52" s="20" t="s">
        <v>169</v>
      </c>
      <c r="BL52" s="21" t="s">
        <v>169</v>
      </c>
      <c r="BM52" s="20" t="s">
        <v>169</v>
      </c>
      <c r="BN52" s="20" t="s">
        <v>169</v>
      </c>
      <c r="BO52" s="20" t="s">
        <v>169</v>
      </c>
      <c r="BP52" s="20" t="s">
        <v>169</v>
      </c>
      <c r="BQ52" s="20" t="s">
        <v>169</v>
      </c>
      <c r="BR52" s="20" t="s">
        <v>169</v>
      </c>
      <c r="BS52" s="21" t="s">
        <v>169</v>
      </c>
      <c r="BT52" s="20" t="s">
        <v>169</v>
      </c>
      <c r="BU52" s="20" t="s">
        <v>169</v>
      </c>
      <c r="BV52" s="20" t="s">
        <v>169</v>
      </c>
      <c r="BW52" s="20" t="s">
        <v>169</v>
      </c>
      <c r="BX52" s="20" t="s">
        <v>169</v>
      </c>
      <c r="BY52" s="20" t="s">
        <v>169</v>
      </c>
      <c r="BZ52" s="20" t="s">
        <v>169</v>
      </c>
      <c r="CA52" s="20" t="s">
        <v>169</v>
      </c>
      <c r="CB52" s="20" t="s">
        <v>169</v>
      </c>
      <c r="CC52" s="20" t="s">
        <v>169</v>
      </c>
      <c r="CD52" s="20" t="s">
        <v>169</v>
      </c>
      <c r="CE52" s="21" t="s">
        <v>169</v>
      </c>
      <c r="CF52" s="20" t="s">
        <v>169</v>
      </c>
      <c r="CG52" s="20" t="s">
        <v>169</v>
      </c>
      <c r="CH52" s="20" t="s">
        <v>169</v>
      </c>
      <c r="CI52" s="20" t="s">
        <v>169</v>
      </c>
      <c r="CJ52" s="20" t="s">
        <v>169</v>
      </c>
      <c r="CK52" s="20" t="s">
        <v>169</v>
      </c>
      <c r="CL52" s="20" t="s">
        <v>169</v>
      </c>
      <c r="CM52" s="21" t="s">
        <v>169</v>
      </c>
      <c r="CN52" s="20" t="s">
        <v>169</v>
      </c>
      <c r="CO52" s="20" t="s">
        <v>169</v>
      </c>
      <c r="CP52" s="20" t="s">
        <v>169</v>
      </c>
      <c r="CQ52" s="20" t="s">
        <v>169</v>
      </c>
      <c r="CR52" s="21" t="s">
        <v>169</v>
      </c>
      <c r="CS52" s="20" t="s">
        <v>169</v>
      </c>
      <c r="CT52" s="21" t="s">
        <v>169</v>
      </c>
      <c r="CU52" s="21" t="s">
        <v>169</v>
      </c>
      <c r="CV52" s="20" t="s">
        <v>169</v>
      </c>
      <c r="CW52" s="21" t="s">
        <v>169</v>
      </c>
      <c r="CX52" s="21" t="s">
        <v>169</v>
      </c>
    </row>
    <row r="53" spans="1:102" x14ac:dyDescent="0.25">
      <c r="A53" s="22" t="s">
        <v>50</v>
      </c>
      <c r="B53" s="22" t="s">
        <v>159</v>
      </c>
      <c r="C53" s="22" t="s">
        <v>104</v>
      </c>
      <c r="D53" s="6">
        <v>42866</v>
      </c>
      <c r="E53" s="18">
        <v>0.39583333333333331</v>
      </c>
      <c r="F53" s="19">
        <v>0.22</v>
      </c>
      <c r="G53" s="20" t="s">
        <v>169</v>
      </c>
      <c r="H53" s="20" t="s">
        <v>169</v>
      </c>
      <c r="I53" s="20" t="s">
        <v>169</v>
      </c>
      <c r="J53" s="20" t="s">
        <v>169</v>
      </c>
      <c r="K53" s="20" t="s">
        <v>169</v>
      </c>
      <c r="L53" s="20" t="s">
        <v>169</v>
      </c>
      <c r="M53" s="20" t="s">
        <v>169</v>
      </c>
      <c r="N53" s="20" t="s">
        <v>169</v>
      </c>
      <c r="O53" s="20" t="s">
        <v>169</v>
      </c>
      <c r="P53" s="20" t="s">
        <v>169</v>
      </c>
      <c r="Q53" s="20" t="s">
        <v>169</v>
      </c>
      <c r="R53" s="20" t="s">
        <v>169</v>
      </c>
      <c r="S53" s="20" t="s">
        <v>169</v>
      </c>
      <c r="T53" s="20" t="s">
        <v>169</v>
      </c>
      <c r="U53" s="20" t="s">
        <v>169</v>
      </c>
      <c r="V53" s="20" t="s">
        <v>169</v>
      </c>
      <c r="W53" s="20" t="s">
        <v>169</v>
      </c>
      <c r="X53" s="20" t="s">
        <v>169</v>
      </c>
      <c r="Y53" s="20" t="s">
        <v>169</v>
      </c>
      <c r="Z53" s="20" t="s">
        <v>169</v>
      </c>
      <c r="AA53" s="20" t="s">
        <v>169</v>
      </c>
      <c r="AB53" s="20" t="s">
        <v>169</v>
      </c>
      <c r="AC53" s="20" t="s">
        <v>169</v>
      </c>
      <c r="AD53" s="20" t="s">
        <v>169</v>
      </c>
      <c r="AE53" s="20" t="s">
        <v>169</v>
      </c>
      <c r="AF53" s="20" t="s">
        <v>169</v>
      </c>
      <c r="AG53" s="20" t="s">
        <v>169</v>
      </c>
      <c r="AH53" s="20" t="s">
        <v>169</v>
      </c>
      <c r="AI53" s="20" t="s">
        <v>169</v>
      </c>
      <c r="AJ53" s="20" t="s">
        <v>169</v>
      </c>
      <c r="AK53" s="20" t="s">
        <v>169</v>
      </c>
      <c r="AL53" s="20" t="s">
        <v>169</v>
      </c>
      <c r="AM53" s="20" t="s">
        <v>169</v>
      </c>
      <c r="AN53" s="20" t="s">
        <v>169</v>
      </c>
      <c r="AO53" s="20" t="s">
        <v>169</v>
      </c>
      <c r="AP53" s="20" t="s">
        <v>169</v>
      </c>
      <c r="AQ53" s="20" t="s">
        <v>169</v>
      </c>
      <c r="AR53" s="20" t="s">
        <v>169</v>
      </c>
      <c r="AS53" s="20" t="s">
        <v>169</v>
      </c>
      <c r="AT53" s="20" t="s">
        <v>169</v>
      </c>
      <c r="AU53" s="20" t="s">
        <v>169</v>
      </c>
      <c r="AV53" s="20" t="s">
        <v>169</v>
      </c>
      <c r="AW53" s="20" t="s">
        <v>169</v>
      </c>
      <c r="AX53" s="20" t="s">
        <v>169</v>
      </c>
      <c r="AY53" s="20" t="s">
        <v>169</v>
      </c>
      <c r="AZ53" s="20" t="s">
        <v>169</v>
      </c>
      <c r="BA53" s="20" t="s">
        <v>169</v>
      </c>
      <c r="BB53" s="20" t="s">
        <v>169</v>
      </c>
      <c r="BC53" s="20" t="s">
        <v>169</v>
      </c>
      <c r="BD53" s="20" t="s">
        <v>169</v>
      </c>
      <c r="BE53" s="20" t="s">
        <v>169</v>
      </c>
      <c r="BF53" s="20" t="s">
        <v>169</v>
      </c>
      <c r="BG53" s="20" t="s">
        <v>169</v>
      </c>
      <c r="BH53" s="20" t="s">
        <v>169</v>
      </c>
      <c r="BI53" s="20" t="s">
        <v>169</v>
      </c>
      <c r="BJ53" s="20" t="s">
        <v>169</v>
      </c>
      <c r="BK53" s="20" t="s">
        <v>169</v>
      </c>
      <c r="BL53" s="20" t="s">
        <v>169</v>
      </c>
      <c r="BM53" s="20" t="s">
        <v>169</v>
      </c>
      <c r="BN53" s="20" t="s">
        <v>169</v>
      </c>
      <c r="BO53" s="20" t="s">
        <v>169</v>
      </c>
      <c r="BP53" s="20" t="s">
        <v>169</v>
      </c>
      <c r="BQ53" s="20" t="s">
        <v>169</v>
      </c>
      <c r="BR53" s="20" t="s">
        <v>169</v>
      </c>
      <c r="BS53" s="20" t="s">
        <v>169</v>
      </c>
      <c r="BT53" s="20" t="s">
        <v>169</v>
      </c>
      <c r="BU53" s="20" t="s">
        <v>169</v>
      </c>
      <c r="BV53" s="20" t="s">
        <v>169</v>
      </c>
      <c r="BW53" s="20" t="s">
        <v>169</v>
      </c>
      <c r="BX53" s="20" t="s">
        <v>169</v>
      </c>
      <c r="BY53" s="20" t="s">
        <v>169</v>
      </c>
      <c r="BZ53" s="20" t="s">
        <v>169</v>
      </c>
      <c r="CA53" s="20" t="s">
        <v>169</v>
      </c>
      <c r="CB53" s="20" t="s">
        <v>169</v>
      </c>
      <c r="CC53" s="20" t="s">
        <v>169</v>
      </c>
      <c r="CD53" s="20" t="s">
        <v>169</v>
      </c>
      <c r="CE53" s="20" t="s">
        <v>169</v>
      </c>
      <c r="CF53" s="20" t="s">
        <v>169</v>
      </c>
      <c r="CG53" s="20" t="s">
        <v>169</v>
      </c>
      <c r="CH53" s="20" t="s">
        <v>169</v>
      </c>
      <c r="CI53" s="20" t="s">
        <v>169</v>
      </c>
      <c r="CJ53" s="20" t="s">
        <v>169</v>
      </c>
      <c r="CK53" s="20" t="s">
        <v>169</v>
      </c>
      <c r="CL53" s="20" t="s">
        <v>169</v>
      </c>
      <c r="CM53" s="20" t="s">
        <v>169</v>
      </c>
      <c r="CN53" s="20" t="s">
        <v>169</v>
      </c>
      <c r="CO53" s="20" t="s">
        <v>169</v>
      </c>
      <c r="CP53" s="20" t="s">
        <v>169</v>
      </c>
      <c r="CQ53" s="20" t="s">
        <v>169</v>
      </c>
      <c r="CR53" s="20" t="s">
        <v>169</v>
      </c>
      <c r="CS53" s="20" t="s">
        <v>169</v>
      </c>
      <c r="CT53" s="20" t="s">
        <v>169</v>
      </c>
      <c r="CU53" s="20" t="s">
        <v>169</v>
      </c>
      <c r="CV53" s="20" t="s">
        <v>169</v>
      </c>
      <c r="CW53" s="20" t="s">
        <v>169</v>
      </c>
      <c r="CX53" s="20" t="s">
        <v>169</v>
      </c>
    </row>
    <row r="54" spans="1:102" x14ac:dyDescent="0.25">
      <c r="A54" s="22" t="s">
        <v>51</v>
      </c>
      <c r="B54" s="22" t="s">
        <v>160</v>
      </c>
      <c r="C54" s="22" t="s">
        <v>105</v>
      </c>
      <c r="D54" s="6">
        <v>42865</v>
      </c>
      <c r="E54" s="18">
        <v>0.64583333333333337</v>
      </c>
      <c r="F54" s="19">
        <v>0.3</v>
      </c>
      <c r="G54" s="20" t="s">
        <v>169</v>
      </c>
      <c r="H54" s="20" t="s">
        <v>169</v>
      </c>
      <c r="I54" s="20" t="s">
        <v>169</v>
      </c>
      <c r="J54" s="20" t="s">
        <v>169</v>
      </c>
      <c r="K54" s="20" t="s">
        <v>169</v>
      </c>
      <c r="L54" s="20" t="s">
        <v>169</v>
      </c>
      <c r="M54" s="20" t="s">
        <v>169</v>
      </c>
      <c r="N54" s="20" t="s">
        <v>169</v>
      </c>
      <c r="O54" s="20" t="s">
        <v>169</v>
      </c>
      <c r="P54" s="20" t="s">
        <v>169</v>
      </c>
      <c r="Q54" s="20" t="s">
        <v>169</v>
      </c>
      <c r="R54" s="20" t="s">
        <v>169</v>
      </c>
      <c r="S54" s="20" t="s">
        <v>169</v>
      </c>
      <c r="T54" s="20" t="s">
        <v>169</v>
      </c>
      <c r="U54" s="20" t="s">
        <v>169</v>
      </c>
      <c r="V54" s="20" t="s">
        <v>169</v>
      </c>
      <c r="W54" s="20" t="s">
        <v>169</v>
      </c>
      <c r="X54" s="20" t="s">
        <v>169</v>
      </c>
      <c r="Y54" s="20" t="s">
        <v>169</v>
      </c>
      <c r="Z54" s="20" t="s">
        <v>169</v>
      </c>
      <c r="AA54" s="20" t="s">
        <v>169</v>
      </c>
      <c r="AB54" s="20" t="s">
        <v>169</v>
      </c>
      <c r="AC54" s="20" t="s">
        <v>169</v>
      </c>
      <c r="AD54" s="20" t="s">
        <v>169</v>
      </c>
      <c r="AE54" s="20" t="s">
        <v>169</v>
      </c>
      <c r="AF54" s="20" t="s">
        <v>169</v>
      </c>
      <c r="AG54" s="20" t="s">
        <v>169</v>
      </c>
      <c r="AH54" s="20" t="s">
        <v>169</v>
      </c>
      <c r="AI54" s="20" t="s">
        <v>169</v>
      </c>
      <c r="AJ54" s="20" t="s">
        <v>169</v>
      </c>
      <c r="AK54" s="20" t="s">
        <v>169</v>
      </c>
      <c r="AL54" s="20" t="s">
        <v>169</v>
      </c>
      <c r="AM54" s="20" t="s">
        <v>169</v>
      </c>
      <c r="AN54" s="20" t="s">
        <v>169</v>
      </c>
      <c r="AO54" s="20" t="s">
        <v>169</v>
      </c>
      <c r="AP54" s="20" t="s">
        <v>169</v>
      </c>
      <c r="AQ54" s="20" t="s">
        <v>169</v>
      </c>
      <c r="AR54" s="20" t="s">
        <v>169</v>
      </c>
      <c r="AS54" s="20" t="s">
        <v>169</v>
      </c>
      <c r="AT54" s="20" t="s">
        <v>169</v>
      </c>
      <c r="AU54" s="20" t="s">
        <v>169</v>
      </c>
      <c r="AV54" s="20" t="s">
        <v>169</v>
      </c>
      <c r="AW54" s="20" t="s">
        <v>169</v>
      </c>
      <c r="AX54" s="20" t="s">
        <v>169</v>
      </c>
      <c r="AY54" s="20" t="s">
        <v>169</v>
      </c>
      <c r="AZ54" s="20" t="s">
        <v>169</v>
      </c>
      <c r="BA54" s="20" t="s">
        <v>169</v>
      </c>
      <c r="BB54" s="20" t="s">
        <v>169</v>
      </c>
      <c r="BC54" s="20" t="s">
        <v>169</v>
      </c>
      <c r="BD54" s="20" t="s">
        <v>169</v>
      </c>
      <c r="BE54" s="20" t="s">
        <v>169</v>
      </c>
      <c r="BF54" s="20" t="s">
        <v>169</v>
      </c>
      <c r="BG54" s="20" t="s">
        <v>169</v>
      </c>
      <c r="BH54" s="20" t="s">
        <v>169</v>
      </c>
      <c r="BI54" s="20" t="s">
        <v>169</v>
      </c>
      <c r="BJ54" s="20" t="s">
        <v>169</v>
      </c>
      <c r="BK54" s="20" t="s">
        <v>169</v>
      </c>
      <c r="BL54" s="20" t="s">
        <v>169</v>
      </c>
      <c r="BM54" s="20" t="s">
        <v>169</v>
      </c>
      <c r="BN54" s="20" t="s">
        <v>169</v>
      </c>
      <c r="BO54" s="20" t="s">
        <v>169</v>
      </c>
      <c r="BP54" s="20" t="s">
        <v>169</v>
      </c>
      <c r="BQ54" s="20" t="s">
        <v>169</v>
      </c>
      <c r="BR54" s="20" t="s">
        <v>169</v>
      </c>
      <c r="BS54" s="20" t="s">
        <v>169</v>
      </c>
      <c r="BT54" s="20" t="s">
        <v>169</v>
      </c>
      <c r="BU54" s="20" t="s">
        <v>169</v>
      </c>
      <c r="BV54" s="20" t="s">
        <v>169</v>
      </c>
      <c r="BW54" s="20" t="s">
        <v>169</v>
      </c>
      <c r="BX54" s="20" t="s">
        <v>169</v>
      </c>
      <c r="BY54" s="20" t="s">
        <v>169</v>
      </c>
      <c r="BZ54" s="20" t="s">
        <v>169</v>
      </c>
      <c r="CA54" s="20" t="s">
        <v>169</v>
      </c>
      <c r="CB54" s="20" t="s">
        <v>169</v>
      </c>
      <c r="CC54" s="20" t="s">
        <v>169</v>
      </c>
      <c r="CD54" s="20" t="s">
        <v>169</v>
      </c>
      <c r="CE54" s="20" t="s">
        <v>169</v>
      </c>
      <c r="CF54" s="20" t="s">
        <v>169</v>
      </c>
      <c r="CG54" s="20" t="s">
        <v>169</v>
      </c>
      <c r="CH54" s="20" t="s">
        <v>169</v>
      </c>
      <c r="CI54" s="20" t="s">
        <v>169</v>
      </c>
      <c r="CJ54" s="20" t="s">
        <v>169</v>
      </c>
      <c r="CK54" s="20" t="s">
        <v>169</v>
      </c>
      <c r="CL54" s="20" t="s">
        <v>169</v>
      </c>
      <c r="CM54" s="20" t="s">
        <v>169</v>
      </c>
      <c r="CN54" s="20" t="s">
        <v>169</v>
      </c>
      <c r="CO54" s="20" t="s">
        <v>169</v>
      </c>
      <c r="CP54" s="20" t="s">
        <v>169</v>
      </c>
      <c r="CQ54" s="20" t="s">
        <v>169</v>
      </c>
      <c r="CR54" s="20" t="s">
        <v>169</v>
      </c>
      <c r="CS54" s="20" t="s">
        <v>169</v>
      </c>
      <c r="CT54" s="20" t="s">
        <v>169</v>
      </c>
      <c r="CU54" s="20" t="s">
        <v>169</v>
      </c>
      <c r="CV54" s="20" t="s">
        <v>169</v>
      </c>
      <c r="CW54" s="20" t="s">
        <v>169</v>
      </c>
      <c r="CX54" s="20" t="s">
        <v>169</v>
      </c>
    </row>
    <row r="55" spans="1:102" x14ac:dyDescent="0.25">
      <c r="A55" s="22" t="s">
        <v>52</v>
      </c>
      <c r="B55" s="22" t="s">
        <v>161</v>
      </c>
      <c r="C55" s="22" t="s">
        <v>106</v>
      </c>
      <c r="D55" s="6">
        <v>42870</v>
      </c>
      <c r="E55" s="18">
        <v>0.5625</v>
      </c>
      <c r="F55" s="19">
        <v>5.0599999999999996</v>
      </c>
      <c r="G55" s="20" t="s">
        <v>169</v>
      </c>
      <c r="H55" s="20" t="s">
        <v>169</v>
      </c>
      <c r="I55" s="20" t="s">
        <v>169</v>
      </c>
      <c r="J55" s="20" t="s">
        <v>169</v>
      </c>
      <c r="K55" s="20" t="s">
        <v>169</v>
      </c>
      <c r="L55" s="20" t="s">
        <v>169</v>
      </c>
      <c r="M55" s="21" t="s">
        <v>169</v>
      </c>
      <c r="N55" s="20" t="s">
        <v>169</v>
      </c>
      <c r="O55" s="20" t="s">
        <v>169</v>
      </c>
      <c r="P55" s="20" t="s">
        <v>169</v>
      </c>
      <c r="Q55" s="20" t="s">
        <v>169</v>
      </c>
      <c r="R55" s="20" t="s">
        <v>169</v>
      </c>
      <c r="S55" s="20" t="s">
        <v>169</v>
      </c>
      <c r="T55" s="20" t="s">
        <v>169</v>
      </c>
      <c r="U55" s="20" t="s">
        <v>169</v>
      </c>
      <c r="V55" s="20" t="s">
        <v>169</v>
      </c>
      <c r="W55" s="20" t="s">
        <v>169</v>
      </c>
      <c r="X55" s="20" t="s">
        <v>169</v>
      </c>
      <c r="Y55" s="20" t="s">
        <v>169</v>
      </c>
      <c r="Z55" s="20" t="s">
        <v>169</v>
      </c>
      <c r="AA55" s="20" t="s">
        <v>169</v>
      </c>
      <c r="AB55" s="20" t="s">
        <v>169</v>
      </c>
      <c r="AC55" s="20" t="s">
        <v>169</v>
      </c>
      <c r="AD55" s="21" t="s">
        <v>169</v>
      </c>
      <c r="AE55" s="20" t="s">
        <v>169</v>
      </c>
      <c r="AF55" s="20" t="s">
        <v>169</v>
      </c>
      <c r="AG55" s="20" t="s">
        <v>169</v>
      </c>
      <c r="AH55" s="20" t="s">
        <v>169</v>
      </c>
      <c r="AI55" s="20" t="s">
        <v>169</v>
      </c>
      <c r="AJ55" s="20" t="s">
        <v>169</v>
      </c>
      <c r="AK55" s="20" t="s">
        <v>169</v>
      </c>
      <c r="AL55" s="20" t="s">
        <v>169</v>
      </c>
      <c r="AM55" s="20" t="s">
        <v>169</v>
      </c>
      <c r="AN55" s="20" t="s">
        <v>169</v>
      </c>
      <c r="AO55" s="20" t="s">
        <v>169</v>
      </c>
      <c r="AP55" s="20" t="s">
        <v>169</v>
      </c>
      <c r="AQ55" s="20" t="s">
        <v>169</v>
      </c>
      <c r="AR55" s="20" t="s">
        <v>169</v>
      </c>
      <c r="AS55" s="20" t="s">
        <v>169</v>
      </c>
      <c r="AT55" s="20" t="s">
        <v>169</v>
      </c>
      <c r="AU55" s="21" t="s">
        <v>169</v>
      </c>
      <c r="AV55" s="20" t="s">
        <v>169</v>
      </c>
      <c r="AW55" s="20" t="s">
        <v>169</v>
      </c>
      <c r="AX55" s="21" t="s">
        <v>169</v>
      </c>
      <c r="AY55" s="21" t="s">
        <v>169</v>
      </c>
      <c r="AZ55" s="20" t="s">
        <v>169</v>
      </c>
      <c r="BA55" s="21" t="s">
        <v>169</v>
      </c>
      <c r="BB55" s="21" t="s">
        <v>169</v>
      </c>
      <c r="BC55" s="20" t="s">
        <v>169</v>
      </c>
      <c r="BD55" s="21" t="s">
        <v>169</v>
      </c>
      <c r="BE55" s="20" t="s">
        <v>169</v>
      </c>
      <c r="BF55" s="20" t="s">
        <v>169</v>
      </c>
      <c r="BG55" s="20" t="s">
        <v>169</v>
      </c>
      <c r="BH55" s="20" t="s">
        <v>169</v>
      </c>
      <c r="BI55" s="20" t="s">
        <v>169</v>
      </c>
      <c r="BJ55" s="21" t="s">
        <v>169</v>
      </c>
      <c r="BK55" s="20" t="s">
        <v>169</v>
      </c>
      <c r="BL55" s="21" t="s">
        <v>169</v>
      </c>
      <c r="BM55" s="20" t="s">
        <v>169</v>
      </c>
      <c r="BN55" s="20" t="s">
        <v>169</v>
      </c>
      <c r="BO55" s="20" t="s">
        <v>169</v>
      </c>
      <c r="BP55" s="20" t="s">
        <v>169</v>
      </c>
      <c r="BQ55" s="20" t="s">
        <v>169</v>
      </c>
      <c r="BR55" s="20" t="s">
        <v>169</v>
      </c>
      <c r="BS55" s="21" t="s">
        <v>169</v>
      </c>
      <c r="BT55" s="20" t="s">
        <v>169</v>
      </c>
      <c r="BU55" s="20">
        <v>0.83951214784792494</v>
      </c>
      <c r="BV55" s="20" t="s">
        <v>169</v>
      </c>
      <c r="BW55" s="20" t="s">
        <v>169</v>
      </c>
      <c r="BX55" s="20" t="s">
        <v>169</v>
      </c>
      <c r="BY55" s="20" t="s">
        <v>169</v>
      </c>
      <c r="BZ55" s="20" t="s">
        <v>169</v>
      </c>
      <c r="CA55" s="20" t="s">
        <v>169</v>
      </c>
      <c r="CB55" s="20" t="s">
        <v>169</v>
      </c>
      <c r="CC55" s="20" t="s">
        <v>169</v>
      </c>
      <c r="CD55" s="20" t="s">
        <v>169</v>
      </c>
      <c r="CE55" s="21" t="s">
        <v>169</v>
      </c>
      <c r="CF55" s="20" t="s">
        <v>169</v>
      </c>
      <c r="CG55" s="20" t="s">
        <v>169</v>
      </c>
      <c r="CH55" s="20" t="s">
        <v>169</v>
      </c>
      <c r="CI55" s="20" t="s">
        <v>169</v>
      </c>
      <c r="CJ55" s="20" t="s">
        <v>169</v>
      </c>
      <c r="CK55" s="20" t="s">
        <v>169</v>
      </c>
      <c r="CL55" s="20" t="s">
        <v>169</v>
      </c>
      <c r="CM55" s="21" t="s">
        <v>169</v>
      </c>
      <c r="CN55" s="20" t="s">
        <v>169</v>
      </c>
      <c r="CO55" s="20" t="s">
        <v>169</v>
      </c>
      <c r="CP55" s="20" t="s">
        <v>169</v>
      </c>
      <c r="CQ55" s="20" t="s">
        <v>169</v>
      </c>
      <c r="CR55" s="21" t="s">
        <v>169</v>
      </c>
      <c r="CS55" s="20" t="s">
        <v>169</v>
      </c>
      <c r="CT55" s="21" t="s">
        <v>169</v>
      </c>
      <c r="CU55" s="21" t="s">
        <v>169</v>
      </c>
      <c r="CV55" s="20" t="s">
        <v>169</v>
      </c>
      <c r="CW55" s="21" t="s">
        <v>169</v>
      </c>
      <c r="CX55" s="21" t="s">
        <v>169</v>
      </c>
    </row>
    <row r="56" spans="1:102" x14ac:dyDescent="0.25">
      <c r="A56" s="22" t="s">
        <v>53</v>
      </c>
      <c r="B56" s="22" t="s">
        <v>162</v>
      </c>
      <c r="C56" s="22" t="s">
        <v>107</v>
      </c>
      <c r="D56" s="6">
        <v>42870</v>
      </c>
      <c r="E56" s="18">
        <v>0.4375</v>
      </c>
      <c r="F56" s="19">
        <v>0.19</v>
      </c>
      <c r="G56" s="20" t="s">
        <v>169</v>
      </c>
      <c r="H56" s="20" t="s">
        <v>169</v>
      </c>
      <c r="I56" s="20" t="s">
        <v>169</v>
      </c>
      <c r="J56" s="20" t="s">
        <v>169</v>
      </c>
      <c r="K56" s="20" t="s">
        <v>169</v>
      </c>
      <c r="L56" s="20" t="s">
        <v>169</v>
      </c>
      <c r="M56" s="21" t="s">
        <v>169</v>
      </c>
      <c r="N56" s="20" t="s">
        <v>169</v>
      </c>
      <c r="O56" s="20" t="s">
        <v>169</v>
      </c>
      <c r="P56" s="21" t="s">
        <v>169</v>
      </c>
      <c r="Q56" s="20" t="s">
        <v>169</v>
      </c>
      <c r="R56" s="20" t="s">
        <v>169</v>
      </c>
      <c r="S56" s="20" t="s">
        <v>169</v>
      </c>
      <c r="T56" s="20" t="s">
        <v>169</v>
      </c>
      <c r="U56" s="20" t="s">
        <v>169</v>
      </c>
      <c r="V56" s="20" t="s">
        <v>169</v>
      </c>
      <c r="W56" s="20" t="s">
        <v>169</v>
      </c>
      <c r="X56" s="20" t="s">
        <v>169</v>
      </c>
      <c r="Y56" s="20" t="s">
        <v>169</v>
      </c>
      <c r="Z56" s="20" t="s">
        <v>169</v>
      </c>
      <c r="AA56" s="20" t="s">
        <v>169</v>
      </c>
      <c r="AB56" s="20" t="s">
        <v>169</v>
      </c>
      <c r="AC56" s="20" t="s">
        <v>169</v>
      </c>
      <c r="AD56" s="21" t="s">
        <v>169</v>
      </c>
      <c r="AE56" s="20" t="s">
        <v>169</v>
      </c>
      <c r="AF56" s="20" t="s">
        <v>169</v>
      </c>
      <c r="AG56" s="20" t="s">
        <v>169</v>
      </c>
      <c r="AH56" s="20" t="s">
        <v>169</v>
      </c>
      <c r="AI56" s="20" t="s">
        <v>169</v>
      </c>
      <c r="AJ56" s="20" t="s">
        <v>169</v>
      </c>
      <c r="AK56" s="20" t="s">
        <v>169</v>
      </c>
      <c r="AL56" s="20" t="s">
        <v>169</v>
      </c>
      <c r="AM56" s="20" t="s">
        <v>169</v>
      </c>
      <c r="AN56" s="20" t="s">
        <v>169</v>
      </c>
      <c r="AO56" s="20" t="s">
        <v>169</v>
      </c>
      <c r="AP56" s="20" t="s">
        <v>169</v>
      </c>
      <c r="AQ56" s="20" t="s">
        <v>169</v>
      </c>
      <c r="AR56" s="20" t="s">
        <v>169</v>
      </c>
      <c r="AS56" s="20" t="s">
        <v>169</v>
      </c>
      <c r="AT56" s="20" t="s">
        <v>169</v>
      </c>
      <c r="AU56" s="21" t="s">
        <v>169</v>
      </c>
      <c r="AV56" s="20" t="s">
        <v>169</v>
      </c>
      <c r="AW56" s="20" t="s">
        <v>169</v>
      </c>
      <c r="AX56" s="21" t="s">
        <v>169</v>
      </c>
      <c r="AY56" s="21" t="s">
        <v>169</v>
      </c>
      <c r="AZ56" s="20" t="s">
        <v>169</v>
      </c>
      <c r="BA56" s="21" t="s">
        <v>169</v>
      </c>
      <c r="BB56" s="21" t="s">
        <v>169</v>
      </c>
      <c r="BC56" s="20" t="s">
        <v>169</v>
      </c>
      <c r="BD56" s="21" t="s">
        <v>169</v>
      </c>
      <c r="BE56" s="20" t="s">
        <v>169</v>
      </c>
      <c r="BF56" s="20" t="s">
        <v>169</v>
      </c>
      <c r="BG56" s="20" t="s">
        <v>169</v>
      </c>
      <c r="BH56" s="20" t="s">
        <v>169</v>
      </c>
      <c r="BI56" s="20" t="s">
        <v>169</v>
      </c>
      <c r="BJ56" s="21" t="s">
        <v>169</v>
      </c>
      <c r="BK56" s="20" t="s">
        <v>169</v>
      </c>
      <c r="BL56" s="21" t="s">
        <v>169</v>
      </c>
      <c r="BM56" s="20" t="s">
        <v>169</v>
      </c>
      <c r="BN56" s="20" t="s">
        <v>169</v>
      </c>
      <c r="BO56" s="20" t="s">
        <v>169</v>
      </c>
      <c r="BP56" s="20" t="s">
        <v>169</v>
      </c>
      <c r="BQ56" s="20" t="s">
        <v>169</v>
      </c>
      <c r="BR56" s="20" t="s">
        <v>169</v>
      </c>
      <c r="BS56" s="21" t="s">
        <v>169</v>
      </c>
      <c r="BT56" s="20" t="s">
        <v>169</v>
      </c>
      <c r="BU56" s="20" t="s">
        <v>169</v>
      </c>
      <c r="BV56" s="20" t="s">
        <v>169</v>
      </c>
      <c r="BW56" s="20" t="s">
        <v>169</v>
      </c>
      <c r="BX56" s="20" t="s">
        <v>169</v>
      </c>
      <c r="BY56" s="20" t="s">
        <v>169</v>
      </c>
      <c r="BZ56" s="20" t="s">
        <v>169</v>
      </c>
      <c r="CA56" s="20" t="s">
        <v>169</v>
      </c>
      <c r="CB56" s="20" t="s">
        <v>169</v>
      </c>
      <c r="CC56" s="20" t="s">
        <v>169</v>
      </c>
      <c r="CD56" s="20" t="s">
        <v>169</v>
      </c>
      <c r="CE56" s="21" t="s">
        <v>169</v>
      </c>
      <c r="CF56" s="20" t="s">
        <v>169</v>
      </c>
      <c r="CG56" s="20" t="s">
        <v>169</v>
      </c>
      <c r="CH56" s="20" t="s">
        <v>169</v>
      </c>
      <c r="CI56" s="20" t="s">
        <v>169</v>
      </c>
      <c r="CJ56" s="20" t="s">
        <v>169</v>
      </c>
      <c r="CK56" s="20" t="s">
        <v>169</v>
      </c>
      <c r="CL56" s="20" t="s">
        <v>169</v>
      </c>
      <c r="CM56" s="21" t="s">
        <v>169</v>
      </c>
      <c r="CN56" s="20" t="s">
        <v>169</v>
      </c>
      <c r="CO56" s="20" t="s">
        <v>169</v>
      </c>
      <c r="CP56" s="20" t="s">
        <v>169</v>
      </c>
      <c r="CQ56" s="20" t="s">
        <v>169</v>
      </c>
      <c r="CR56" s="21" t="s">
        <v>169</v>
      </c>
      <c r="CS56" s="20" t="s">
        <v>169</v>
      </c>
      <c r="CT56" s="21" t="s">
        <v>169</v>
      </c>
      <c r="CU56" s="21" t="s">
        <v>169</v>
      </c>
      <c r="CV56" s="20" t="s">
        <v>169</v>
      </c>
      <c r="CW56" s="21" t="s">
        <v>169</v>
      </c>
      <c r="CX56" s="21" t="s">
        <v>169</v>
      </c>
    </row>
    <row r="57" spans="1:102" x14ac:dyDescent="0.25">
      <c r="A57" s="22" t="s">
        <v>54</v>
      </c>
      <c r="B57" s="22" t="s">
        <v>163</v>
      </c>
      <c r="C57" s="22" t="s">
        <v>108</v>
      </c>
      <c r="D57" s="6">
        <v>42865</v>
      </c>
      <c r="E57" s="18">
        <v>0.39583333333333331</v>
      </c>
      <c r="F57" s="19">
        <v>5</v>
      </c>
      <c r="G57" s="20" t="s">
        <v>169</v>
      </c>
      <c r="H57" s="20" t="s">
        <v>169</v>
      </c>
      <c r="I57" s="20" t="s">
        <v>169</v>
      </c>
      <c r="J57" s="20" t="s">
        <v>169</v>
      </c>
      <c r="K57" s="20" t="s">
        <v>169</v>
      </c>
      <c r="L57" s="20" t="s">
        <v>169</v>
      </c>
      <c r="M57" s="20" t="s">
        <v>169</v>
      </c>
      <c r="N57" s="20" t="s">
        <v>169</v>
      </c>
      <c r="O57" s="20" t="s">
        <v>169</v>
      </c>
      <c r="P57" s="20">
        <v>4.6990291262135919</v>
      </c>
      <c r="Q57" s="20" t="s">
        <v>169</v>
      </c>
      <c r="R57" s="20" t="s">
        <v>169</v>
      </c>
      <c r="S57" s="20" t="s">
        <v>169</v>
      </c>
      <c r="T57" s="20" t="s">
        <v>169</v>
      </c>
      <c r="U57" s="20" t="s">
        <v>169</v>
      </c>
      <c r="V57" s="20" t="s">
        <v>169</v>
      </c>
      <c r="W57" s="20" t="s">
        <v>169</v>
      </c>
      <c r="X57" s="20" t="s">
        <v>169</v>
      </c>
      <c r="Y57" s="20" t="s">
        <v>169</v>
      </c>
      <c r="Z57" s="20" t="s">
        <v>169</v>
      </c>
      <c r="AA57" s="20" t="s">
        <v>169</v>
      </c>
      <c r="AB57" s="20" t="s">
        <v>169</v>
      </c>
      <c r="AC57" s="20" t="s">
        <v>169</v>
      </c>
      <c r="AD57" s="20" t="s">
        <v>169</v>
      </c>
      <c r="AE57" s="20" t="s">
        <v>169</v>
      </c>
      <c r="AF57" s="20" t="s">
        <v>169</v>
      </c>
      <c r="AG57" s="20" t="s">
        <v>169</v>
      </c>
      <c r="AH57" s="20" t="s">
        <v>169</v>
      </c>
      <c r="AI57" s="20" t="s">
        <v>169</v>
      </c>
      <c r="AJ57" s="20" t="s">
        <v>169</v>
      </c>
      <c r="AK57" s="20" t="s">
        <v>169</v>
      </c>
      <c r="AL57" s="20" t="s">
        <v>169</v>
      </c>
      <c r="AM57" s="20" t="s">
        <v>169</v>
      </c>
      <c r="AN57" s="20" t="s">
        <v>169</v>
      </c>
      <c r="AO57" s="20" t="s">
        <v>169</v>
      </c>
      <c r="AP57" s="20" t="s">
        <v>169</v>
      </c>
      <c r="AQ57" s="20" t="s">
        <v>169</v>
      </c>
      <c r="AR57" s="20" t="s">
        <v>169</v>
      </c>
      <c r="AS57" s="20" t="s">
        <v>169</v>
      </c>
      <c r="AT57" s="20" t="s">
        <v>169</v>
      </c>
      <c r="AU57" s="20" t="s">
        <v>169</v>
      </c>
      <c r="AV57" s="20" t="s">
        <v>169</v>
      </c>
      <c r="AW57" s="20" t="s">
        <v>169</v>
      </c>
      <c r="AX57" s="20" t="s">
        <v>169</v>
      </c>
      <c r="AY57" s="20" t="s">
        <v>169</v>
      </c>
      <c r="AZ57" s="20" t="s">
        <v>169</v>
      </c>
      <c r="BA57" s="20" t="s">
        <v>169</v>
      </c>
      <c r="BB57" s="20" t="s">
        <v>169</v>
      </c>
      <c r="BC57" s="20" t="s">
        <v>169</v>
      </c>
      <c r="BD57" s="20" t="s">
        <v>169</v>
      </c>
      <c r="BE57" s="20" t="s">
        <v>169</v>
      </c>
      <c r="BF57" s="20" t="s">
        <v>169</v>
      </c>
      <c r="BG57" s="20" t="s">
        <v>169</v>
      </c>
      <c r="BH57" s="20" t="s">
        <v>169</v>
      </c>
      <c r="BI57" s="20" t="s">
        <v>169</v>
      </c>
      <c r="BJ57" s="20" t="s">
        <v>169</v>
      </c>
      <c r="BK57" s="20" t="s">
        <v>169</v>
      </c>
      <c r="BL57" s="20" t="s">
        <v>169</v>
      </c>
      <c r="BM57" s="20" t="s">
        <v>169</v>
      </c>
      <c r="BN57" s="20" t="s">
        <v>169</v>
      </c>
      <c r="BO57" s="20" t="s">
        <v>169</v>
      </c>
      <c r="BP57" s="20" t="s">
        <v>169</v>
      </c>
      <c r="BQ57" s="20" t="s">
        <v>169</v>
      </c>
      <c r="BR57" s="20" t="s">
        <v>169</v>
      </c>
      <c r="BS57" s="20" t="s">
        <v>169</v>
      </c>
      <c r="BT57" s="20" t="s">
        <v>169</v>
      </c>
      <c r="BU57" s="20">
        <v>1.9084904456713399</v>
      </c>
      <c r="BV57" s="20" t="s">
        <v>169</v>
      </c>
      <c r="BW57" s="20" t="s">
        <v>169</v>
      </c>
      <c r="BX57" s="20" t="s">
        <v>169</v>
      </c>
      <c r="BY57" s="20" t="s">
        <v>169</v>
      </c>
      <c r="BZ57" s="20" t="s">
        <v>169</v>
      </c>
      <c r="CA57" s="20" t="s">
        <v>169</v>
      </c>
      <c r="CB57" s="20" t="s">
        <v>169</v>
      </c>
      <c r="CC57" s="20" t="s">
        <v>169</v>
      </c>
      <c r="CD57" s="20" t="s">
        <v>169</v>
      </c>
      <c r="CE57" s="20" t="s">
        <v>169</v>
      </c>
      <c r="CF57" s="20" t="s">
        <v>169</v>
      </c>
      <c r="CG57" s="20" t="s">
        <v>169</v>
      </c>
      <c r="CH57" s="20" t="s">
        <v>169</v>
      </c>
      <c r="CI57" s="20" t="s">
        <v>169</v>
      </c>
      <c r="CJ57" s="20" t="s">
        <v>169</v>
      </c>
      <c r="CK57" s="20" t="s">
        <v>169</v>
      </c>
      <c r="CL57" s="20" t="s">
        <v>169</v>
      </c>
      <c r="CM57" s="20" t="s">
        <v>169</v>
      </c>
      <c r="CN57" s="20" t="s">
        <v>169</v>
      </c>
      <c r="CO57" s="20" t="s">
        <v>169</v>
      </c>
      <c r="CP57" s="20" t="s">
        <v>169</v>
      </c>
      <c r="CQ57" s="20" t="s">
        <v>169</v>
      </c>
      <c r="CR57" s="20" t="s">
        <v>169</v>
      </c>
      <c r="CS57" s="20" t="s">
        <v>169</v>
      </c>
      <c r="CT57" s="20" t="s">
        <v>169</v>
      </c>
      <c r="CU57" s="20" t="s">
        <v>169</v>
      </c>
      <c r="CV57" s="20" t="s">
        <v>169</v>
      </c>
      <c r="CW57" s="20" t="s">
        <v>169</v>
      </c>
      <c r="CX57" s="20" t="s">
        <v>169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workbookViewId="0">
      <pane xSplit="1" ySplit="5" topLeftCell="B6" activePane="bottomRight" state="frozen"/>
      <selection pane="topRight" activeCell="B1" sqref="B1"/>
      <selection pane="bottomLeft" activeCell="A4" sqref="A4"/>
      <selection pane="bottomRight" activeCell="A5" sqref="A5:K5"/>
    </sheetView>
  </sheetViews>
  <sheetFormatPr defaultRowHeight="15" x14ac:dyDescent="0.25"/>
  <cols>
    <col min="1" max="1" width="27.28515625" customWidth="1"/>
    <col min="2" max="2" width="16.5703125" customWidth="1"/>
    <col min="3" max="3" width="25.7109375" bestFit="1" customWidth="1"/>
    <col min="4" max="4" width="13.7109375" bestFit="1" customWidth="1"/>
    <col min="5" max="5" width="10.28515625" bestFit="1" customWidth="1"/>
    <col min="6" max="6" width="10" customWidth="1"/>
    <col min="7" max="7" width="9.42578125" style="23" customWidth="1"/>
    <col min="8" max="8" width="8.85546875" style="23"/>
    <col min="10" max="10" width="13.7109375" bestFit="1" customWidth="1"/>
    <col min="11" max="11" width="14.7109375" bestFit="1" customWidth="1"/>
  </cols>
  <sheetData>
    <row r="1" spans="1:11" x14ac:dyDescent="0.25">
      <c r="A1" t="s">
        <v>859</v>
      </c>
    </row>
    <row r="2" spans="1:11" x14ac:dyDescent="0.25">
      <c r="A2" t="s">
        <v>602</v>
      </c>
    </row>
    <row r="3" spans="1:11" x14ac:dyDescent="0.25">
      <c r="A3" t="s">
        <v>603</v>
      </c>
    </row>
    <row r="4" spans="1:11" x14ac:dyDescent="0.25">
      <c r="A4" t="s">
        <v>604</v>
      </c>
    </row>
    <row r="5" spans="1:11" ht="45" x14ac:dyDescent="0.25">
      <c r="A5" s="43" t="s">
        <v>383</v>
      </c>
      <c r="B5" s="43" t="s">
        <v>384</v>
      </c>
      <c r="C5" s="43" t="s">
        <v>385</v>
      </c>
      <c r="D5" s="43" t="s">
        <v>386</v>
      </c>
      <c r="E5" s="44" t="s">
        <v>387</v>
      </c>
      <c r="F5" s="45" t="s">
        <v>849</v>
      </c>
      <c r="G5" s="46" t="s">
        <v>601</v>
      </c>
      <c r="H5" s="46" t="s">
        <v>388</v>
      </c>
      <c r="I5" s="43" t="s">
        <v>389</v>
      </c>
      <c r="J5" s="43" t="s">
        <v>390</v>
      </c>
      <c r="K5" s="43" t="s">
        <v>391</v>
      </c>
    </row>
    <row r="6" spans="1:11" x14ac:dyDescent="0.25">
      <c r="A6" t="s">
        <v>600</v>
      </c>
      <c r="B6" t="s">
        <v>392</v>
      </c>
      <c r="C6" t="s">
        <v>393</v>
      </c>
      <c r="D6" t="s">
        <v>394</v>
      </c>
      <c r="E6" s="36">
        <v>225.7</v>
      </c>
      <c r="F6" s="37">
        <v>1.2814337997432865</v>
      </c>
      <c r="G6" s="23" t="s">
        <v>395</v>
      </c>
      <c r="I6" t="s">
        <v>479</v>
      </c>
    </row>
    <row r="7" spans="1:11" x14ac:dyDescent="0.25">
      <c r="A7" t="s">
        <v>396</v>
      </c>
      <c r="B7" t="s">
        <v>397</v>
      </c>
      <c r="C7" t="s">
        <v>398</v>
      </c>
      <c r="D7" t="s">
        <v>394</v>
      </c>
      <c r="E7" s="36">
        <v>162</v>
      </c>
      <c r="F7" s="37">
        <v>1.3079599404671167</v>
      </c>
      <c r="G7" s="23" t="s">
        <v>395</v>
      </c>
      <c r="I7" t="s">
        <v>399</v>
      </c>
      <c r="J7">
        <f>630*1000</f>
        <v>630000</v>
      </c>
      <c r="K7">
        <f>6300*1000</f>
        <v>6300000</v>
      </c>
    </row>
    <row r="8" spans="1:11" x14ac:dyDescent="0.25">
      <c r="A8" t="s">
        <v>400</v>
      </c>
      <c r="B8" t="s">
        <v>401</v>
      </c>
      <c r="C8" t="s">
        <v>398</v>
      </c>
      <c r="D8" t="s">
        <v>394</v>
      </c>
      <c r="E8" s="36">
        <v>162</v>
      </c>
      <c r="F8" s="37">
        <v>1.4918336098462504</v>
      </c>
      <c r="G8" s="23" t="s">
        <v>395</v>
      </c>
      <c r="I8" t="s">
        <v>402</v>
      </c>
      <c r="J8">
        <f>35*1000</f>
        <v>35000</v>
      </c>
      <c r="K8">
        <f>350*1000</f>
        <v>350000</v>
      </c>
    </row>
    <row r="9" spans="1:11" x14ac:dyDescent="0.25">
      <c r="A9" t="s">
        <v>172</v>
      </c>
      <c r="B9" t="s">
        <v>403</v>
      </c>
      <c r="C9" t="s">
        <v>393</v>
      </c>
      <c r="D9" t="s">
        <v>404</v>
      </c>
      <c r="E9" s="36">
        <v>269.8</v>
      </c>
      <c r="F9" s="37">
        <v>0.57021232256091392</v>
      </c>
      <c r="G9" s="23" t="s">
        <v>395</v>
      </c>
      <c r="I9" t="s">
        <v>402</v>
      </c>
      <c r="J9">
        <f>19*1000</f>
        <v>19000</v>
      </c>
      <c r="K9">
        <f>420*1000</f>
        <v>420000</v>
      </c>
    </row>
    <row r="10" spans="1:11" x14ac:dyDescent="0.25">
      <c r="A10" t="s">
        <v>173</v>
      </c>
      <c r="B10" t="s">
        <v>405</v>
      </c>
      <c r="C10" t="s">
        <v>406</v>
      </c>
      <c r="D10" t="s">
        <v>407</v>
      </c>
      <c r="E10" s="36">
        <v>302.39999999999998</v>
      </c>
      <c r="F10" s="37">
        <v>1.7152505221103889</v>
      </c>
      <c r="G10" s="23" t="s">
        <v>395</v>
      </c>
      <c r="I10" t="s">
        <v>402</v>
      </c>
      <c r="J10">
        <f>0.29*1000</f>
        <v>290</v>
      </c>
      <c r="K10">
        <f>2.9*1000</f>
        <v>2900</v>
      </c>
    </row>
    <row r="11" spans="1:11" x14ac:dyDescent="0.25">
      <c r="A11" t="s">
        <v>174</v>
      </c>
      <c r="B11" t="s">
        <v>408</v>
      </c>
      <c r="C11" t="s">
        <v>409</v>
      </c>
      <c r="D11" t="s">
        <v>404</v>
      </c>
      <c r="E11" s="36">
        <v>215.7</v>
      </c>
      <c r="F11" s="37">
        <v>1.4680975487384453</v>
      </c>
      <c r="G11" s="23" t="s">
        <v>395</v>
      </c>
      <c r="H11" s="23" t="s">
        <v>395</v>
      </c>
      <c r="I11" t="s">
        <v>399</v>
      </c>
      <c r="J11">
        <f>130*1000</f>
        <v>130000</v>
      </c>
      <c r="K11">
        <f>1500*1000</f>
        <v>1500000</v>
      </c>
    </row>
    <row r="12" spans="1:11" x14ac:dyDescent="0.25">
      <c r="A12" t="s">
        <v>594</v>
      </c>
      <c r="B12" t="s">
        <v>410</v>
      </c>
      <c r="C12" t="s">
        <v>411</v>
      </c>
      <c r="D12" t="s">
        <v>407</v>
      </c>
      <c r="E12" s="36">
        <v>317.3</v>
      </c>
      <c r="F12" s="37">
        <v>1.6786596252963126</v>
      </c>
      <c r="G12" s="23" t="s">
        <v>395</v>
      </c>
      <c r="I12" t="s">
        <v>402</v>
      </c>
      <c r="J12">
        <f>0.015*1000</f>
        <v>15</v>
      </c>
      <c r="K12">
        <f>0.065*1000</f>
        <v>65</v>
      </c>
    </row>
    <row r="13" spans="1:11" x14ac:dyDescent="0.25">
      <c r="A13" t="s">
        <v>176</v>
      </c>
      <c r="B13" t="s">
        <v>412</v>
      </c>
      <c r="C13" t="s">
        <v>413</v>
      </c>
      <c r="D13" t="s">
        <v>414</v>
      </c>
      <c r="E13" s="36">
        <v>403.4</v>
      </c>
      <c r="F13" s="37">
        <v>0.93074858961310636</v>
      </c>
      <c r="G13" s="23" t="s">
        <v>395</v>
      </c>
      <c r="H13" s="23" t="s">
        <v>395</v>
      </c>
      <c r="I13" t="s">
        <v>402</v>
      </c>
      <c r="J13">
        <v>19000</v>
      </c>
      <c r="K13">
        <v>110000</v>
      </c>
    </row>
    <row r="14" spans="1:11" x14ac:dyDescent="0.25">
      <c r="A14" t="s">
        <v>415</v>
      </c>
      <c r="B14" t="s">
        <v>416</v>
      </c>
      <c r="C14" t="s">
        <v>417</v>
      </c>
      <c r="D14" t="s">
        <v>404</v>
      </c>
      <c r="E14" s="36">
        <v>335.3</v>
      </c>
      <c r="F14" s="37">
        <v>1.678788345334286</v>
      </c>
      <c r="G14" s="23" t="s">
        <v>395</v>
      </c>
      <c r="I14" t="s">
        <v>402</v>
      </c>
      <c r="J14">
        <f>140*1000</f>
        <v>140000</v>
      </c>
      <c r="K14">
        <f>19000*1000</f>
        <v>19000000</v>
      </c>
    </row>
    <row r="15" spans="1:11" x14ac:dyDescent="0.25">
      <c r="A15" t="s">
        <v>178</v>
      </c>
      <c r="B15" t="s">
        <v>418</v>
      </c>
      <c r="C15" t="s">
        <v>406</v>
      </c>
      <c r="D15" t="s">
        <v>407</v>
      </c>
      <c r="E15" s="36">
        <v>422.9</v>
      </c>
      <c r="F15" s="37">
        <v>0.61380273005857477</v>
      </c>
      <c r="G15" s="23" t="s">
        <v>395</v>
      </c>
      <c r="H15" s="23" t="s">
        <v>395</v>
      </c>
      <c r="I15" s="24" t="s">
        <v>399</v>
      </c>
      <c r="J15" s="24">
        <v>170</v>
      </c>
      <c r="K15" s="24">
        <v>600</v>
      </c>
    </row>
    <row r="16" spans="1:11" x14ac:dyDescent="0.25">
      <c r="A16" t="s">
        <v>179</v>
      </c>
      <c r="B16" t="s">
        <v>419</v>
      </c>
      <c r="C16" t="s">
        <v>420</v>
      </c>
      <c r="D16" t="s">
        <v>414</v>
      </c>
      <c r="E16" s="36">
        <v>343.2</v>
      </c>
      <c r="F16" s="37">
        <v>1.192369075524466</v>
      </c>
      <c r="G16" s="23" t="s">
        <v>395</v>
      </c>
      <c r="H16" s="23" t="s">
        <v>395</v>
      </c>
      <c r="I16" s="24" t="s">
        <v>402</v>
      </c>
      <c r="J16" s="24">
        <v>240000</v>
      </c>
      <c r="K16" s="24">
        <v>860000</v>
      </c>
    </row>
    <row r="17" spans="1:11" x14ac:dyDescent="0.25">
      <c r="A17" t="s">
        <v>180</v>
      </c>
      <c r="B17" t="s">
        <v>421</v>
      </c>
      <c r="C17" t="s">
        <v>417</v>
      </c>
      <c r="D17" t="s">
        <v>404</v>
      </c>
      <c r="E17" s="36">
        <v>295.3</v>
      </c>
      <c r="F17" s="37">
        <v>1.5999191657914047</v>
      </c>
      <c r="G17" s="23" t="s">
        <v>395</v>
      </c>
      <c r="I17" s="24" t="s">
        <v>402</v>
      </c>
      <c r="J17" s="24">
        <f>560*1000</f>
        <v>560000</v>
      </c>
      <c r="K17" s="24">
        <f>5600*1000</f>
        <v>5600000</v>
      </c>
    </row>
    <row r="18" spans="1:11" x14ac:dyDescent="0.25">
      <c r="A18" t="s">
        <v>181</v>
      </c>
      <c r="B18" t="s">
        <v>422</v>
      </c>
      <c r="C18" t="s">
        <v>423</v>
      </c>
      <c r="D18" t="s">
        <v>404</v>
      </c>
      <c r="E18" s="36">
        <v>217.4</v>
      </c>
      <c r="F18" s="37">
        <v>1.2619843693650901</v>
      </c>
      <c r="G18" s="23" t="s">
        <v>395</v>
      </c>
      <c r="I18" s="24" t="s">
        <v>402</v>
      </c>
      <c r="J18" s="24">
        <f>360*1000</f>
        <v>360000</v>
      </c>
      <c r="K18" s="24">
        <f>3600*1000</f>
        <v>3600000</v>
      </c>
    </row>
    <row r="19" spans="1:11" x14ac:dyDescent="0.25">
      <c r="A19" t="s">
        <v>595</v>
      </c>
      <c r="B19" t="s">
        <v>424</v>
      </c>
      <c r="C19" t="s">
        <v>425</v>
      </c>
      <c r="D19" t="s">
        <v>414</v>
      </c>
      <c r="E19" s="36">
        <v>300.60000000000002</v>
      </c>
      <c r="F19" s="37">
        <v>3.1307633796248742</v>
      </c>
      <c r="I19" s="24" t="s">
        <v>402</v>
      </c>
      <c r="J19" s="24">
        <f>54*1000</f>
        <v>54000</v>
      </c>
      <c r="K19" s="24">
        <f>810*1000</f>
        <v>810000</v>
      </c>
    </row>
    <row r="20" spans="1:11" x14ac:dyDescent="0.25">
      <c r="A20" t="s">
        <v>182</v>
      </c>
      <c r="B20" t="s">
        <v>426</v>
      </c>
      <c r="C20" t="s">
        <v>427</v>
      </c>
      <c r="D20" t="s">
        <v>407</v>
      </c>
      <c r="E20" s="36">
        <v>201.2</v>
      </c>
      <c r="F20" s="37">
        <v>1.1812427946926369</v>
      </c>
      <c r="G20" s="23" t="s">
        <v>395</v>
      </c>
      <c r="I20" s="24" t="s">
        <v>402</v>
      </c>
      <c r="J20" s="24">
        <f>0.11*1000</f>
        <v>110</v>
      </c>
      <c r="K20">
        <f>0.39*1000</f>
        <v>390</v>
      </c>
    </row>
    <row r="21" spans="1:11" x14ac:dyDescent="0.25">
      <c r="A21" t="s">
        <v>183</v>
      </c>
      <c r="B21" t="s">
        <v>428</v>
      </c>
      <c r="C21" t="s">
        <v>427</v>
      </c>
      <c r="D21" t="s">
        <v>407</v>
      </c>
      <c r="E21" s="36">
        <v>221.3</v>
      </c>
      <c r="F21" s="37">
        <v>1.2262879674856684</v>
      </c>
      <c r="G21" s="23" t="s">
        <v>395</v>
      </c>
      <c r="I21" s="24" t="s">
        <v>399</v>
      </c>
      <c r="J21" s="24">
        <f>0.043*1000</f>
        <v>43</v>
      </c>
      <c r="K21" s="24">
        <f>0.43*1000</f>
        <v>430</v>
      </c>
    </row>
    <row r="22" spans="1:11" x14ac:dyDescent="0.25">
      <c r="A22" t="s">
        <v>429</v>
      </c>
      <c r="B22" t="s">
        <v>430</v>
      </c>
      <c r="C22" t="s">
        <v>431</v>
      </c>
      <c r="D22" t="s">
        <v>414</v>
      </c>
      <c r="E22" s="36">
        <v>265.89999999999998</v>
      </c>
      <c r="F22" s="37">
        <v>1.1221763141591801</v>
      </c>
      <c r="I22" s="24" t="s">
        <v>402</v>
      </c>
      <c r="J22" s="24">
        <f>0.95*1000</f>
        <v>950</v>
      </c>
      <c r="K22" s="24">
        <f>5.7*1000</f>
        <v>5700</v>
      </c>
    </row>
    <row r="23" spans="1:11" x14ac:dyDescent="0.25">
      <c r="A23" t="s">
        <v>185</v>
      </c>
      <c r="B23" t="s">
        <v>432</v>
      </c>
      <c r="C23" t="s">
        <v>411</v>
      </c>
      <c r="D23" t="s">
        <v>407</v>
      </c>
      <c r="E23" s="36">
        <v>350.6</v>
      </c>
      <c r="F23" s="37">
        <v>0.89446089267967088</v>
      </c>
      <c r="G23" s="23" t="s">
        <v>395</v>
      </c>
      <c r="H23" s="23" t="s">
        <v>395</v>
      </c>
      <c r="I23" s="24" t="s">
        <v>399</v>
      </c>
      <c r="J23" s="24">
        <v>410</v>
      </c>
      <c r="K23" s="24">
        <v>4100</v>
      </c>
    </row>
    <row r="24" spans="1:11" x14ac:dyDescent="0.25">
      <c r="A24" t="s">
        <v>186</v>
      </c>
      <c r="B24" t="s">
        <v>433</v>
      </c>
      <c r="C24" t="s">
        <v>434</v>
      </c>
      <c r="D24" t="s">
        <v>404</v>
      </c>
      <c r="E24" s="36">
        <v>239.7</v>
      </c>
      <c r="F24" s="37">
        <v>1.9604372813320836</v>
      </c>
      <c r="G24" s="23" t="s">
        <v>395</v>
      </c>
      <c r="I24" s="24" t="s">
        <v>402</v>
      </c>
      <c r="J24" s="24">
        <f>630*1000</f>
        <v>630000</v>
      </c>
      <c r="K24" s="24">
        <f>1500*1000</f>
        <v>1500000</v>
      </c>
    </row>
    <row r="25" spans="1:11" x14ac:dyDescent="0.25">
      <c r="A25" t="s">
        <v>187</v>
      </c>
      <c r="B25" t="s">
        <v>435</v>
      </c>
      <c r="C25" t="s">
        <v>411</v>
      </c>
      <c r="D25" t="s">
        <v>407</v>
      </c>
      <c r="E25" s="36">
        <v>362.8</v>
      </c>
      <c r="F25" s="37">
        <v>1.1989785363662044</v>
      </c>
      <c r="G25" s="23" t="s">
        <v>395</v>
      </c>
      <c r="I25" s="24" t="s">
        <v>402</v>
      </c>
      <c r="J25" s="24">
        <f>0.61*1000</f>
        <v>610</v>
      </c>
      <c r="K25" s="24">
        <f>0.61*1000</f>
        <v>610</v>
      </c>
    </row>
    <row r="26" spans="1:11" x14ac:dyDescent="0.25">
      <c r="A26" t="s">
        <v>188</v>
      </c>
      <c r="B26" t="s">
        <v>438</v>
      </c>
      <c r="C26" t="s">
        <v>423</v>
      </c>
      <c r="D26" t="s">
        <v>404</v>
      </c>
      <c r="E26" s="36">
        <v>215.4</v>
      </c>
      <c r="F26" s="37">
        <v>0.80312868176062169</v>
      </c>
      <c r="G26" s="23" t="s">
        <v>395</v>
      </c>
      <c r="H26" s="23" t="s">
        <v>395</v>
      </c>
      <c r="I26" s="24" t="s">
        <v>399</v>
      </c>
      <c r="J26" s="24">
        <f>0.046*1000</f>
        <v>46</v>
      </c>
      <c r="K26" s="24">
        <f>0.46*1000</f>
        <v>460</v>
      </c>
    </row>
    <row r="27" spans="1:11" x14ac:dyDescent="0.25">
      <c r="A27" t="s">
        <v>189</v>
      </c>
      <c r="B27" t="s">
        <v>439</v>
      </c>
      <c r="C27" t="s">
        <v>406</v>
      </c>
      <c r="D27" t="s">
        <v>407</v>
      </c>
      <c r="E27" s="36">
        <v>434.3</v>
      </c>
      <c r="F27" s="37">
        <v>1.2897064203402471</v>
      </c>
      <c r="G27" s="23" t="s">
        <v>395</v>
      </c>
      <c r="I27" s="24" t="s">
        <v>402</v>
      </c>
      <c r="J27" s="24">
        <f>52000*1000</f>
        <v>52000000</v>
      </c>
      <c r="K27" s="24">
        <f>520000*1000</f>
        <v>520000000</v>
      </c>
    </row>
    <row r="28" spans="1:11" x14ac:dyDescent="0.25">
      <c r="A28" t="s">
        <v>191</v>
      </c>
      <c r="B28" t="s">
        <v>436</v>
      </c>
      <c r="C28" t="s">
        <v>437</v>
      </c>
      <c r="D28" t="s">
        <v>404</v>
      </c>
      <c r="E28" s="36">
        <v>357.4</v>
      </c>
      <c r="F28" s="37">
        <v>0.79984196772416127</v>
      </c>
      <c r="G28" s="23" t="s">
        <v>395</v>
      </c>
      <c r="H28" s="23" t="s">
        <v>395</v>
      </c>
      <c r="I28" s="24" t="s">
        <v>402</v>
      </c>
      <c r="J28" s="24">
        <v>71000</v>
      </c>
      <c r="K28" s="24">
        <v>710000</v>
      </c>
    </row>
    <row r="29" spans="1:11" x14ac:dyDescent="0.25">
      <c r="A29" t="s">
        <v>190</v>
      </c>
      <c r="B29" t="s">
        <v>440</v>
      </c>
      <c r="C29" t="s">
        <v>406</v>
      </c>
      <c r="D29" t="s">
        <v>407</v>
      </c>
      <c r="E29" s="36">
        <v>449.9</v>
      </c>
      <c r="F29" s="37">
        <v>0.6902343683127441</v>
      </c>
      <c r="G29" s="23" t="s">
        <v>395</v>
      </c>
      <c r="H29" s="23" t="s">
        <v>395</v>
      </c>
      <c r="I29" s="24" t="s">
        <v>399</v>
      </c>
      <c r="J29" s="24">
        <v>23</v>
      </c>
      <c r="K29" s="24">
        <v>230</v>
      </c>
    </row>
    <row r="30" spans="1:11" x14ac:dyDescent="0.25">
      <c r="A30" t="s">
        <v>192</v>
      </c>
      <c r="B30" t="s">
        <v>441</v>
      </c>
      <c r="C30" t="s">
        <v>406</v>
      </c>
      <c r="D30" t="s">
        <v>407</v>
      </c>
      <c r="E30" s="36">
        <v>416.3</v>
      </c>
      <c r="F30" s="37">
        <v>1.236982097633738</v>
      </c>
      <c r="G30" s="23" t="s">
        <v>395</v>
      </c>
      <c r="H30" s="23" t="s">
        <v>395</v>
      </c>
      <c r="I30" s="24" t="s">
        <v>399</v>
      </c>
      <c r="J30" s="24">
        <f>0.049*1000</f>
        <v>49</v>
      </c>
      <c r="K30" s="24">
        <f>0.49*1000</f>
        <v>490</v>
      </c>
    </row>
    <row r="31" spans="1:11" x14ac:dyDescent="0.25">
      <c r="A31" t="s">
        <v>442</v>
      </c>
      <c r="B31" t="s">
        <v>443</v>
      </c>
      <c r="C31" t="s">
        <v>444</v>
      </c>
      <c r="D31" t="s">
        <v>414</v>
      </c>
      <c r="E31" s="36">
        <v>391.8</v>
      </c>
      <c r="F31" s="37">
        <v>0.99524288612820722</v>
      </c>
      <c r="I31" s="24" t="s">
        <v>399</v>
      </c>
      <c r="J31" s="24">
        <f>2200*1000</f>
        <v>2200000</v>
      </c>
      <c r="K31" s="24">
        <f>22000*1000</f>
        <v>22000000</v>
      </c>
    </row>
    <row r="32" spans="1:11" x14ac:dyDescent="0.25">
      <c r="A32" t="s">
        <v>193</v>
      </c>
      <c r="B32" t="s">
        <v>445</v>
      </c>
      <c r="C32" t="s">
        <v>446</v>
      </c>
      <c r="D32" t="s">
        <v>414</v>
      </c>
      <c r="E32" s="36">
        <v>225.3</v>
      </c>
      <c r="F32" s="37">
        <v>1.6812364282402432</v>
      </c>
      <c r="G32" s="23" t="s">
        <v>395</v>
      </c>
      <c r="I32" s="24" t="s">
        <v>399</v>
      </c>
      <c r="J32" s="24">
        <f>5700*1000</f>
        <v>5700000</v>
      </c>
      <c r="K32" s="24">
        <f>57000*1000</f>
        <v>57000000</v>
      </c>
    </row>
    <row r="33" spans="1:11" x14ac:dyDescent="0.25">
      <c r="A33" t="s">
        <v>447</v>
      </c>
      <c r="B33" t="s">
        <v>448</v>
      </c>
      <c r="C33" t="s">
        <v>449</v>
      </c>
      <c r="D33" t="s">
        <v>404</v>
      </c>
      <c r="E33" s="36">
        <v>332</v>
      </c>
      <c r="F33" s="37">
        <v>1.7290754551011549</v>
      </c>
      <c r="G33" s="23" t="s">
        <v>395</v>
      </c>
      <c r="H33" s="23" t="s">
        <v>395</v>
      </c>
      <c r="I33" s="24" t="s">
        <v>402</v>
      </c>
      <c r="J33" s="24">
        <v>15000000</v>
      </c>
      <c r="K33" s="24">
        <v>150000000</v>
      </c>
    </row>
    <row r="34" spans="1:11" x14ac:dyDescent="0.25">
      <c r="A34" t="s">
        <v>195</v>
      </c>
      <c r="B34" t="s">
        <v>450</v>
      </c>
      <c r="C34" t="s">
        <v>406</v>
      </c>
      <c r="D34" t="s">
        <v>407</v>
      </c>
      <c r="E34" s="36">
        <v>505.2</v>
      </c>
      <c r="F34" s="37">
        <v>1.2580976795147194</v>
      </c>
      <c r="G34" s="23" t="s">
        <v>395</v>
      </c>
      <c r="H34" s="23" t="s">
        <v>395</v>
      </c>
      <c r="I34" s="24" t="s">
        <v>399</v>
      </c>
      <c r="J34" s="24">
        <v>20</v>
      </c>
      <c r="K34" s="24">
        <v>220</v>
      </c>
    </row>
    <row r="35" spans="1:11" x14ac:dyDescent="0.25">
      <c r="A35" t="s">
        <v>196</v>
      </c>
      <c r="B35" t="s">
        <v>451</v>
      </c>
      <c r="C35" t="s">
        <v>411</v>
      </c>
      <c r="D35" t="s">
        <v>407</v>
      </c>
      <c r="E35" s="36">
        <v>304.39999999999998</v>
      </c>
      <c r="F35" s="37">
        <v>1.5784499574606832</v>
      </c>
      <c r="G35" s="23" t="s">
        <v>395</v>
      </c>
      <c r="I35" s="24" t="s">
        <v>399</v>
      </c>
      <c r="J35" s="24">
        <f>1.9*1000</f>
        <v>1900</v>
      </c>
      <c r="K35" s="24">
        <f>19*1000</f>
        <v>19000</v>
      </c>
    </row>
    <row r="36" spans="1:11" x14ac:dyDescent="0.25">
      <c r="A36" t="s">
        <v>452</v>
      </c>
      <c r="B36" t="s">
        <v>453</v>
      </c>
      <c r="C36" t="s">
        <v>444</v>
      </c>
      <c r="D36" t="s">
        <v>414</v>
      </c>
      <c r="E36" s="36">
        <v>406.3</v>
      </c>
      <c r="F36" s="37">
        <v>0.9952281914551887</v>
      </c>
      <c r="I36" s="24" t="s">
        <v>402</v>
      </c>
      <c r="J36" s="24">
        <f>21*1000</f>
        <v>21000</v>
      </c>
      <c r="K36" s="24">
        <f>2900*1000</f>
        <v>2900000</v>
      </c>
    </row>
    <row r="37" spans="1:11" x14ac:dyDescent="0.25">
      <c r="A37" t="s">
        <v>454</v>
      </c>
      <c r="B37" t="s">
        <v>455</v>
      </c>
      <c r="C37" t="s">
        <v>456</v>
      </c>
      <c r="D37" t="s">
        <v>414</v>
      </c>
      <c r="E37" s="36">
        <v>388</v>
      </c>
      <c r="F37" s="37">
        <v>1.4604767510188359</v>
      </c>
      <c r="I37" s="24" t="s">
        <v>402</v>
      </c>
      <c r="J37" s="24">
        <f>38*1000</f>
        <v>38000</v>
      </c>
      <c r="K37" s="24">
        <f>3700*1000</f>
        <v>3700000</v>
      </c>
    </row>
    <row r="38" spans="1:11" x14ac:dyDescent="0.25">
      <c r="A38" t="s">
        <v>197</v>
      </c>
      <c r="B38" t="s">
        <v>457</v>
      </c>
      <c r="C38" t="s">
        <v>420</v>
      </c>
      <c r="D38" t="s">
        <v>404</v>
      </c>
      <c r="E38" s="36">
        <v>401.4</v>
      </c>
      <c r="F38" s="37">
        <v>1.258899093108053</v>
      </c>
      <c r="G38" s="23" t="s">
        <v>395</v>
      </c>
      <c r="H38" s="23" t="s">
        <v>395</v>
      </c>
      <c r="I38" s="24" t="s">
        <v>402</v>
      </c>
      <c r="J38" s="24">
        <v>420000</v>
      </c>
      <c r="K38" s="24">
        <v>4200000</v>
      </c>
    </row>
    <row r="39" spans="1:11" x14ac:dyDescent="0.25">
      <c r="A39" t="s">
        <v>198</v>
      </c>
      <c r="B39" t="s">
        <v>458</v>
      </c>
      <c r="C39" t="s">
        <v>423</v>
      </c>
      <c r="D39" t="s">
        <v>404</v>
      </c>
      <c r="E39" s="36">
        <v>189.3</v>
      </c>
      <c r="F39" s="37">
        <v>0.79464966637308343</v>
      </c>
      <c r="G39" s="23" t="s">
        <v>395</v>
      </c>
      <c r="I39" s="24" t="s">
        <v>402</v>
      </c>
      <c r="J39" s="24">
        <f>160*1000</f>
        <v>160000</v>
      </c>
      <c r="K39" s="24">
        <f>1300*1000</f>
        <v>1300000</v>
      </c>
    </row>
    <row r="40" spans="1:11" x14ac:dyDescent="0.25">
      <c r="A40" t="s">
        <v>199</v>
      </c>
      <c r="B40" t="s">
        <v>459</v>
      </c>
      <c r="C40" t="s">
        <v>406</v>
      </c>
      <c r="D40" t="s">
        <v>407</v>
      </c>
      <c r="E40" s="36">
        <v>419.9</v>
      </c>
      <c r="F40" s="37">
        <v>0.98420144523372288</v>
      </c>
      <c r="G40" s="23" t="s">
        <v>395</v>
      </c>
      <c r="H40" s="23" t="s">
        <v>395</v>
      </c>
      <c r="I40" s="24" t="s">
        <v>399</v>
      </c>
      <c r="J40" s="24">
        <v>55</v>
      </c>
      <c r="K40" s="24">
        <v>550</v>
      </c>
    </row>
    <row r="41" spans="1:11" x14ac:dyDescent="0.25">
      <c r="A41" t="s">
        <v>200</v>
      </c>
      <c r="B41" t="s">
        <v>460</v>
      </c>
      <c r="C41" t="s">
        <v>398</v>
      </c>
      <c r="D41" t="s">
        <v>404</v>
      </c>
      <c r="E41" s="36">
        <v>333.3</v>
      </c>
      <c r="F41" s="37">
        <v>1.1702002946838967</v>
      </c>
      <c r="G41" s="23" t="s">
        <v>395</v>
      </c>
      <c r="I41" s="24" t="s">
        <v>402</v>
      </c>
      <c r="J41" s="24">
        <f>120*1000</f>
        <v>120000</v>
      </c>
      <c r="K41" s="24">
        <f>310*1000</f>
        <v>310000</v>
      </c>
    </row>
    <row r="42" spans="1:11" x14ac:dyDescent="0.25">
      <c r="A42" t="s">
        <v>201</v>
      </c>
      <c r="B42" t="s">
        <v>461</v>
      </c>
      <c r="C42" t="s">
        <v>406</v>
      </c>
      <c r="D42" t="s">
        <v>407</v>
      </c>
      <c r="E42" s="36">
        <v>376.5</v>
      </c>
      <c r="F42" s="37">
        <v>1.0076290965760566</v>
      </c>
      <c r="G42" s="23" t="s">
        <v>395</v>
      </c>
      <c r="I42" s="24" t="s">
        <v>399</v>
      </c>
      <c r="J42" s="24">
        <f>180*1000</f>
        <v>180000</v>
      </c>
      <c r="K42" s="24">
        <f>1800*1000</f>
        <v>1800000</v>
      </c>
    </row>
    <row r="43" spans="1:11" x14ac:dyDescent="0.25">
      <c r="A43" t="s">
        <v>462</v>
      </c>
      <c r="B43" t="s">
        <v>463</v>
      </c>
      <c r="C43" t="s">
        <v>464</v>
      </c>
      <c r="D43" t="s">
        <v>414</v>
      </c>
      <c r="E43" s="36">
        <v>374.4</v>
      </c>
      <c r="F43" s="37">
        <v>1.7115166987596284</v>
      </c>
      <c r="I43" s="24" t="s">
        <v>402</v>
      </c>
      <c r="J43" s="24">
        <f>4.5*1000</f>
        <v>4500</v>
      </c>
      <c r="K43" s="24">
        <f>45*1000</f>
        <v>45000</v>
      </c>
    </row>
    <row r="44" spans="1:11" x14ac:dyDescent="0.25">
      <c r="A44" t="s">
        <v>465</v>
      </c>
      <c r="B44" t="s">
        <v>466</v>
      </c>
      <c r="C44" t="s">
        <v>446</v>
      </c>
      <c r="D44" t="s">
        <v>414</v>
      </c>
      <c r="E44" s="36">
        <v>331.2</v>
      </c>
      <c r="F44" s="37">
        <v>1.4106700645200303</v>
      </c>
      <c r="I44" s="24" t="s">
        <v>402</v>
      </c>
      <c r="J44" s="24">
        <f>83*1000</f>
        <v>83000</v>
      </c>
      <c r="K44" s="24">
        <f>5000*1000</f>
        <v>5000000</v>
      </c>
    </row>
    <row r="45" spans="1:11" x14ac:dyDescent="0.25">
      <c r="A45" t="s">
        <v>467</v>
      </c>
      <c r="B45" t="s">
        <v>468</v>
      </c>
      <c r="C45" t="s">
        <v>444</v>
      </c>
      <c r="D45" t="s">
        <v>414</v>
      </c>
      <c r="E45" s="36">
        <v>336.8</v>
      </c>
      <c r="F45" s="37">
        <v>1.8328113955074294</v>
      </c>
      <c r="I45" s="24" t="s">
        <v>402</v>
      </c>
      <c r="J45" s="24">
        <f>1000*1000</f>
        <v>1000000</v>
      </c>
      <c r="K45" s="24">
        <f>10000*1000</f>
        <v>10000000</v>
      </c>
    </row>
    <row r="46" spans="1:11" x14ac:dyDescent="0.25">
      <c r="A46" t="s">
        <v>469</v>
      </c>
      <c r="B46" t="s">
        <v>470</v>
      </c>
      <c r="C46" t="s">
        <v>471</v>
      </c>
      <c r="D46" t="s">
        <v>414</v>
      </c>
      <c r="E46" s="36">
        <v>302.2</v>
      </c>
      <c r="F46" s="37">
        <v>2.4891290068616314</v>
      </c>
      <c r="I46" s="24" t="s">
        <v>399</v>
      </c>
      <c r="J46" s="24">
        <f>5100*1000</f>
        <v>5100000</v>
      </c>
      <c r="K46" s="24">
        <f>51000*1000</f>
        <v>51000000</v>
      </c>
    </row>
    <row r="47" spans="1:11" x14ac:dyDescent="0.25">
      <c r="A47" t="s">
        <v>202</v>
      </c>
      <c r="B47" t="s">
        <v>472</v>
      </c>
      <c r="C47" t="s">
        <v>406</v>
      </c>
      <c r="D47" t="s">
        <v>407</v>
      </c>
      <c r="E47" s="36">
        <v>349.4</v>
      </c>
      <c r="F47" s="37">
        <v>1.0493772317158465</v>
      </c>
      <c r="G47" s="23" t="s">
        <v>395</v>
      </c>
      <c r="H47" s="23" t="s">
        <v>395</v>
      </c>
      <c r="I47" s="24" t="s">
        <v>399</v>
      </c>
      <c r="J47" s="24">
        <v>110</v>
      </c>
      <c r="K47" s="24">
        <v>1100</v>
      </c>
    </row>
    <row r="48" spans="1:11" x14ac:dyDescent="0.25">
      <c r="A48" t="s">
        <v>203</v>
      </c>
      <c r="B48" t="s">
        <v>473</v>
      </c>
      <c r="C48" t="s">
        <v>474</v>
      </c>
      <c r="D48" t="s">
        <v>407</v>
      </c>
      <c r="E48" s="36">
        <v>421.5</v>
      </c>
      <c r="F48" s="37">
        <v>1.8909813264721878</v>
      </c>
      <c r="G48" s="23" t="s">
        <v>395</v>
      </c>
      <c r="I48" s="24" t="s">
        <v>402</v>
      </c>
      <c r="J48" s="24">
        <f>29*1000</f>
        <v>29000</v>
      </c>
      <c r="K48" s="24">
        <f>83*1000</f>
        <v>83000</v>
      </c>
    </row>
    <row r="49" spans="1:11" x14ac:dyDescent="0.25">
      <c r="A49" t="s">
        <v>204</v>
      </c>
      <c r="B49" t="s">
        <v>475</v>
      </c>
      <c r="C49" t="s">
        <v>411</v>
      </c>
      <c r="D49" t="s">
        <v>407</v>
      </c>
      <c r="E49" s="36">
        <v>278.3</v>
      </c>
      <c r="F49" s="37">
        <v>2.0079399250871224</v>
      </c>
      <c r="G49" s="23" t="s">
        <v>395</v>
      </c>
      <c r="I49" s="24" t="s">
        <v>402</v>
      </c>
      <c r="J49" s="24">
        <f>0.02*1000</f>
        <v>20</v>
      </c>
      <c r="K49" s="24">
        <f>7.9*1000</f>
        <v>7900</v>
      </c>
    </row>
    <row r="50" spans="1:11" x14ac:dyDescent="0.25">
      <c r="A50" t="s">
        <v>205</v>
      </c>
      <c r="B50" t="s">
        <v>476</v>
      </c>
      <c r="C50" t="s">
        <v>477</v>
      </c>
      <c r="D50" t="s">
        <v>407</v>
      </c>
      <c r="E50" s="36">
        <v>437.2</v>
      </c>
      <c r="F50" s="37">
        <v>1.6151720111214942</v>
      </c>
      <c r="G50" s="23" t="s">
        <v>395</v>
      </c>
      <c r="I50" s="24" t="s">
        <v>399</v>
      </c>
      <c r="J50" s="24">
        <f>0.01*1000</f>
        <v>10</v>
      </c>
      <c r="K50" s="24">
        <f>0.1*1000</f>
        <v>100</v>
      </c>
    </row>
    <row r="51" spans="1:11" x14ac:dyDescent="0.25">
      <c r="A51" t="s">
        <v>478</v>
      </c>
      <c r="B51" t="s">
        <v>479</v>
      </c>
      <c r="C51" t="s">
        <v>477</v>
      </c>
      <c r="D51" t="s">
        <v>407</v>
      </c>
      <c r="E51" s="36">
        <v>389.1</v>
      </c>
      <c r="F51" s="37">
        <v>1.7722857263393814</v>
      </c>
      <c r="G51" s="23" t="s">
        <v>395</v>
      </c>
      <c r="I51" s="24" t="s">
        <v>479</v>
      </c>
      <c r="J51" s="24"/>
      <c r="K51" s="24"/>
    </row>
    <row r="52" spans="1:11" x14ac:dyDescent="0.25">
      <c r="A52" t="s">
        <v>480</v>
      </c>
      <c r="B52" t="s">
        <v>479</v>
      </c>
      <c r="C52" t="s">
        <v>477</v>
      </c>
      <c r="D52" t="s">
        <v>407</v>
      </c>
      <c r="E52" s="36">
        <v>421.1</v>
      </c>
      <c r="F52" s="37">
        <v>1.9796504538596871</v>
      </c>
      <c r="G52" s="23" t="s">
        <v>395</v>
      </c>
      <c r="I52" s="24" t="s">
        <v>479</v>
      </c>
      <c r="J52" s="24"/>
      <c r="K52" s="24"/>
    </row>
    <row r="53" spans="1:11" x14ac:dyDescent="0.25">
      <c r="A53" t="s">
        <v>481</v>
      </c>
      <c r="B53" t="s">
        <v>482</v>
      </c>
      <c r="C53" t="s">
        <v>477</v>
      </c>
      <c r="D53" t="s">
        <v>407</v>
      </c>
      <c r="E53" s="36">
        <v>421.1</v>
      </c>
      <c r="F53" s="37">
        <v>1.4737074676608544</v>
      </c>
      <c r="G53" s="23" t="s">
        <v>395</v>
      </c>
      <c r="H53" s="23" t="s">
        <v>395</v>
      </c>
      <c r="I53" s="24" t="s">
        <v>399</v>
      </c>
      <c r="J53" s="24">
        <v>60</v>
      </c>
      <c r="K53" s="24">
        <v>13000</v>
      </c>
    </row>
    <row r="54" spans="1:11" x14ac:dyDescent="0.25">
      <c r="A54" t="s">
        <v>483</v>
      </c>
      <c r="B54" t="s">
        <v>484</v>
      </c>
      <c r="C54" t="s">
        <v>477</v>
      </c>
      <c r="D54" t="s">
        <v>407</v>
      </c>
      <c r="E54" s="36">
        <v>453.2</v>
      </c>
      <c r="F54" s="37">
        <v>0.96208076219178196</v>
      </c>
      <c r="G54" s="23" t="s">
        <v>395</v>
      </c>
      <c r="H54" s="23" t="s">
        <v>395</v>
      </c>
      <c r="I54" s="24" t="s">
        <v>399</v>
      </c>
      <c r="J54" s="24">
        <f>0.026*1000</f>
        <v>26</v>
      </c>
      <c r="K54" s="24">
        <f>0.26*1000</f>
        <v>260</v>
      </c>
    </row>
    <row r="55" spans="1:11" x14ac:dyDescent="0.25">
      <c r="A55" t="s">
        <v>485</v>
      </c>
      <c r="B55" t="s">
        <v>486</v>
      </c>
      <c r="C55" t="s">
        <v>420</v>
      </c>
      <c r="D55" t="s">
        <v>414</v>
      </c>
      <c r="E55" s="36">
        <v>465.2</v>
      </c>
      <c r="F55" s="37">
        <v>2.0502476071603555</v>
      </c>
      <c r="I55" s="24" t="s">
        <v>402</v>
      </c>
      <c r="J55" s="24">
        <f>1100*1000</f>
        <v>1100000</v>
      </c>
      <c r="K55" s="24">
        <f>3000*1000</f>
        <v>3000000</v>
      </c>
    </row>
    <row r="56" spans="1:11" x14ac:dyDescent="0.25">
      <c r="A56" t="s">
        <v>210</v>
      </c>
      <c r="B56" t="s">
        <v>487</v>
      </c>
      <c r="C56" t="s">
        <v>488</v>
      </c>
      <c r="D56" t="s">
        <v>414</v>
      </c>
      <c r="E56" s="36">
        <v>248.2</v>
      </c>
      <c r="F56" s="37">
        <v>2.5475484598492324</v>
      </c>
      <c r="G56" s="23" t="s">
        <v>395</v>
      </c>
      <c r="H56" s="23" t="s">
        <v>395</v>
      </c>
      <c r="I56" s="24" t="s">
        <v>402</v>
      </c>
      <c r="J56" s="24">
        <v>1400000</v>
      </c>
      <c r="K56" s="24">
        <v>68000000</v>
      </c>
    </row>
    <row r="57" spans="1:11" x14ac:dyDescent="0.25">
      <c r="A57" t="s">
        <v>211</v>
      </c>
      <c r="B57" t="s">
        <v>489</v>
      </c>
      <c r="C57" t="s">
        <v>471</v>
      </c>
      <c r="D57" t="s">
        <v>404</v>
      </c>
      <c r="E57" s="36">
        <v>363.3</v>
      </c>
      <c r="F57" s="37">
        <v>0.99522819145500063</v>
      </c>
      <c r="G57" s="23" t="s">
        <v>395</v>
      </c>
      <c r="I57" s="24" t="s">
        <v>402</v>
      </c>
      <c r="J57" s="24">
        <f>620*1000</f>
        <v>620000</v>
      </c>
      <c r="K57" s="24">
        <f>6200*1000</f>
        <v>6200000</v>
      </c>
    </row>
    <row r="58" spans="1:11" x14ac:dyDescent="0.25">
      <c r="A58" t="s">
        <v>212</v>
      </c>
      <c r="B58" t="s">
        <v>490</v>
      </c>
      <c r="C58" t="s">
        <v>417</v>
      </c>
      <c r="D58" t="s">
        <v>491</v>
      </c>
      <c r="E58" s="36">
        <v>421.7</v>
      </c>
      <c r="F58" s="37">
        <v>1.2481876974237724</v>
      </c>
      <c r="G58" s="23" t="s">
        <v>395</v>
      </c>
      <c r="I58" s="24" t="s">
        <v>402</v>
      </c>
      <c r="J58" s="24">
        <f>17*1000</f>
        <v>17000</v>
      </c>
      <c r="K58" s="24">
        <f>170*1000</f>
        <v>170000</v>
      </c>
    </row>
    <row r="59" spans="1:11" x14ac:dyDescent="0.25">
      <c r="A59" t="s">
        <v>492</v>
      </c>
      <c r="B59" t="s">
        <v>493</v>
      </c>
      <c r="C59" t="s">
        <v>413</v>
      </c>
      <c r="D59" t="s">
        <v>414</v>
      </c>
      <c r="E59" s="36">
        <v>458.8</v>
      </c>
      <c r="F59" s="37">
        <v>1.2333259849150282</v>
      </c>
      <c r="I59" s="24" t="s">
        <v>402</v>
      </c>
      <c r="J59" s="24">
        <f>48*1000</f>
        <v>48000</v>
      </c>
      <c r="K59" s="24">
        <f>480*1000</f>
        <v>480000</v>
      </c>
    </row>
    <row r="60" spans="1:11" x14ac:dyDescent="0.25">
      <c r="A60" t="s">
        <v>213</v>
      </c>
      <c r="B60" t="s">
        <v>494</v>
      </c>
      <c r="C60" t="s">
        <v>444</v>
      </c>
      <c r="D60" t="s">
        <v>414</v>
      </c>
      <c r="E60" s="36">
        <v>315.39999999999998</v>
      </c>
      <c r="F60" s="37">
        <v>2.1552997754681651</v>
      </c>
      <c r="G60" s="23" t="s">
        <v>395</v>
      </c>
      <c r="I60" s="24" t="s">
        <v>402</v>
      </c>
      <c r="J60" s="24">
        <f>570*1000</f>
        <v>570000</v>
      </c>
      <c r="K60" s="24">
        <f>5700*1000</f>
        <v>5700000</v>
      </c>
    </row>
    <row r="61" spans="1:11" x14ac:dyDescent="0.25">
      <c r="A61" t="s">
        <v>214</v>
      </c>
      <c r="B61" t="s">
        <v>495</v>
      </c>
      <c r="C61" t="s">
        <v>471</v>
      </c>
      <c r="D61" t="s">
        <v>414</v>
      </c>
      <c r="E61" s="36">
        <v>323.3</v>
      </c>
      <c r="F61" s="37">
        <v>2.1245245277002796</v>
      </c>
      <c r="G61" s="23" t="s">
        <v>395</v>
      </c>
      <c r="I61" s="24" t="s">
        <v>402</v>
      </c>
      <c r="J61">
        <f>390*1000</f>
        <v>390000</v>
      </c>
      <c r="K61">
        <f>5000*1000</f>
        <v>5000000</v>
      </c>
    </row>
    <row r="62" spans="1:11" x14ac:dyDescent="0.25">
      <c r="A62" t="s">
        <v>496</v>
      </c>
      <c r="B62" t="s">
        <v>497</v>
      </c>
      <c r="C62" t="s">
        <v>444</v>
      </c>
      <c r="D62" t="s">
        <v>414</v>
      </c>
      <c r="E62" s="36">
        <v>301.3</v>
      </c>
      <c r="F62" s="37">
        <v>1.0536363256203884</v>
      </c>
      <c r="I62" s="24" t="s">
        <v>402</v>
      </c>
      <c r="J62">
        <f>78*1000</f>
        <v>78000</v>
      </c>
      <c r="K62">
        <f>17000*1000</f>
        <v>17000000</v>
      </c>
    </row>
    <row r="63" spans="1:11" x14ac:dyDescent="0.25">
      <c r="A63" t="s">
        <v>215</v>
      </c>
      <c r="B63" t="s">
        <v>498</v>
      </c>
      <c r="C63" t="s">
        <v>499</v>
      </c>
      <c r="D63" t="s">
        <v>404</v>
      </c>
      <c r="E63" s="36">
        <v>252.3</v>
      </c>
      <c r="F63" s="37">
        <v>0.92407354996271651</v>
      </c>
      <c r="G63" s="23" t="s">
        <v>395</v>
      </c>
      <c r="I63" s="24" t="s">
        <v>402</v>
      </c>
      <c r="J63">
        <f>760*1000</f>
        <v>760000</v>
      </c>
      <c r="K63">
        <f>5800*1000</f>
        <v>5800000</v>
      </c>
    </row>
    <row r="64" spans="1:11" x14ac:dyDescent="0.25">
      <c r="A64" t="s">
        <v>500</v>
      </c>
      <c r="B64" t="s">
        <v>501</v>
      </c>
      <c r="C64" t="s">
        <v>444</v>
      </c>
      <c r="D64" t="s">
        <v>414</v>
      </c>
      <c r="E64" s="36">
        <v>297.2</v>
      </c>
      <c r="F64" s="37">
        <v>1.8268065889963148</v>
      </c>
      <c r="I64" s="24" t="s">
        <v>402</v>
      </c>
      <c r="J64">
        <f>1500*1000</f>
        <v>1500000</v>
      </c>
      <c r="K64">
        <f>15000*1000</f>
        <v>15000000</v>
      </c>
    </row>
    <row r="65" spans="1:11" x14ac:dyDescent="0.25">
      <c r="A65" t="s">
        <v>596</v>
      </c>
      <c r="B65" t="s">
        <v>502</v>
      </c>
      <c r="C65" t="s">
        <v>503</v>
      </c>
      <c r="D65" t="s">
        <v>407</v>
      </c>
      <c r="E65" s="36">
        <v>527.9</v>
      </c>
      <c r="F65" s="37">
        <v>2.4157813452932109</v>
      </c>
      <c r="I65" s="24" t="s">
        <v>399</v>
      </c>
      <c r="J65">
        <f>1.1*1000</f>
        <v>1100</v>
      </c>
      <c r="K65">
        <f>11*1000</f>
        <v>11000</v>
      </c>
    </row>
    <row r="66" spans="1:11" x14ac:dyDescent="0.25">
      <c r="A66" t="s">
        <v>216</v>
      </c>
      <c r="B66" t="s">
        <v>504</v>
      </c>
      <c r="C66" t="s">
        <v>505</v>
      </c>
      <c r="D66" t="s">
        <v>414</v>
      </c>
      <c r="E66" s="36">
        <v>330.2</v>
      </c>
      <c r="F66" s="37">
        <v>0.87058155245017577</v>
      </c>
      <c r="G66" s="23" t="s">
        <v>395</v>
      </c>
      <c r="I66" s="24" t="s">
        <v>402</v>
      </c>
      <c r="J66">
        <f>16*1000</f>
        <v>16000</v>
      </c>
      <c r="K66">
        <f>160*1000</f>
        <v>160000</v>
      </c>
    </row>
    <row r="67" spans="1:11" x14ac:dyDescent="0.25">
      <c r="A67" t="s">
        <v>217</v>
      </c>
      <c r="B67" t="s">
        <v>506</v>
      </c>
      <c r="C67" t="s">
        <v>413</v>
      </c>
      <c r="D67" t="s">
        <v>414</v>
      </c>
      <c r="E67" s="36">
        <v>313.39999999999998</v>
      </c>
      <c r="F67" s="37">
        <v>0.51324975077111745</v>
      </c>
      <c r="G67" s="23" t="s">
        <v>395</v>
      </c>
      <c r="I67" s="24" t="s">
        <v>402</v>
      </c>
      <c r="J67">
        <f>17*1000</f>
        <v>17000</v>
      </c>
      <c r="K67">
        <f>100*1000</f>
        <v>100000</v>
      </c>
    </row>
    <row r="68" spans="1:11" x14ac:dyDescent="0.25">
      <c r="A68" t="s">
        <v>218</v>
      </c>
      <c r="B68" t="s">
        <v>507</v>
      </c>
      <c r="C68" t="s">
        <v>411</v>
      </c>
      <c r="D68" t="s">
        <v>407</v>
      </c>
      <c r="E68" s="36">
        <v>330.4</v>
      </c>
      <c r="F68" s="37">
        <v>0.98037036239716713</v>
      </c>
      <c r="G68" s="23" t="s">
        <v>395</v>
      </c>
      <c r="I68" s="24" t="s">
        <v>402</v>
      </c>
      <c r="J68">
        <f>0.064*1000</f>
        <v>64</v>
      </c>
      <c r="K68">
        <f>1.1*1000</f>
        <v>1100</v>
      </c>
    </row>
    <row r="69" spans="1:11" x14ac:dyDescent="0.25">
      <c r="A69" t="s">
        <v>597</v>
      </c>
      <c r="B69" t="s">
        <v>508</v>
      </c>
      <c r="C69" t="s">
        <v>509</v>
      </c>
      <c r="D69" t="s">
        <v>414</v>
      </c>
      <c r="E69" s="36">
        <v>279.3</v>
      </c>
      <c r="F69" s="37">
        <v>1.8869969534686848</v>
      </c>
      <c r="I69" s="24" t="s">
        <v>402</v>
      </c>
      <c r="J69">
        <f>5*1000</f>
        <v>5000</v>
      </c>
      <c r="K69">
        <f>1400*1000</f>
        <v>1400000</v>
      </c>
    </row>
    <row r="70" spans="1:11" x14ac:dyDescent="0.25">
      <c r="A70" t="s">
        <v>219</v>
      </c>
      <c r="B70" t="s">
        <v>510</v>
      </c>
      <c r="C70" t="s">
        <v>511</v>
      </c>
      <c r="D70" t="s">
        <v>414</v>
      </c>
      <c r="E70" s="36">
        <v>319.8</v>
      </c>
      <c r="F70" s="37">
        <v>1.2161188001178405</v>
      </c>
      <c r="G70" s="23" t="s">
        <v>395</v>
      </c>
      <c r="H70" s="23" t="s">
        <v>395</v>
      </c>
      <c r="I70" s="24" t="s">
        <v>402</v>
      </c>
      <c r="J70">
        <f>470*1000</f>
        <v>470000</v>
      </c>
      <c r="K70">
        <f>4700*1000</f>
        <v>4700000</v>
      </c>
    </row>
    <row r="71" spans="1:11" x14ac:dyDescent="0.25">
      <c r="A71" t="s">
        <v>220</v>
      </c>
      <c r="B71" t="s">
        <v>512</v>
      </c>
      <c r="C71" t="s">
        <v>411</v>
      </c>
      <c r="D71" t="s">
        <v>407</v>
      </c>
      <c r="E71" s="36">
        <v>302.3</v>
      </c>
      <c r="F71" s="37">
        <v>1.7767279484357386</v>
      </c>
      <c r="G71" s="23" t="s">
        <v>395</v>
      </c>
      <c r="I71" s="24" t="s">
        <v>402</v>
      </c>
      <c r="J71">
        <f>0.26*1000</f>
        <v>260</v>
      </c>
      <c r="K71">
        <f>1.2*1000</f>
        <v>1200</v>
      </c>
    </row>
    <row r="72" spans="1:11" x14ac:dyDescent="0.25">
      <c r="A72" t="s">
        <v>221</v>
      </c>
      <c r="B72" t="s">
        <v>513</v>
      </c>
      <c r="C72" t="s">
        <v>514</v>
      </c>
      <c r="D72" t="s">
        <v>407</v>
      </c>
      <c r="E72" s="36">
        <v>310.5</v>
      </c>
      <c r="F72" s="37">
        <v>1.6251026219686118</v>
      </c>
      <c r="G72" s="23" t="s">
        <v>395</v>
      </c>
      <c r="I72" s="24" t="s">
        <v>402</v>
      </c>
      <c r="J72">
        <f>130*1000</f>
        <v>130000</v>
      </c>
      <c r="K72">
        <f>840*1000</f>
        <v>840000</v>
      </c>
    </row>
    <row r="73" spans="1:11" x14ac:dyDescent="0.25">
      <c r="A73" t="s">
        <v>515</v>
      </c>
      <c r="B73" t="s">
        <v>516</v>
      </c>
      <c r="C73" t="s">
        <v>411</v>
      </c>
      <c r="D73" t="s">
        <v>407</v>
      </c>
      <c r="E73" s="36">
        <v>263.2</v>
      </c>
      <c r="F73" s="37">
        <v>1.0984024328691897</v>
      </c>
      <c r="G73" s="23" t="s">
        <v>395</v>
      </c>
      <c r="I73" s="24" t="s">
        <v>399</v>
      </c>
      <c r="J73">
        <f>0.52*1000</f>
        <v>520</v>
      </c>
      <c r="K73">
        <f>5.2*1000</f>
        <v>5200</v>
      </c>
    </row>
    <row r="74" spans="1:11" x14ac:dyDescent="0.25">
      <c r="A74" t="s">
        <v>223</v>
      </c>
      <c r="B74" t="s">
        <v>517</v>
      </c>
      <c r="C74" t="s">
        <v>393</v>
      </c>
      <c r="D74" t="s">
        <v>404</v>
      </c>
      <c r="E74" s="36">
        <v>283.8</v>
      </c>
      <c r="F74" s="37">
        <v>0.73101097848583074</v>
      </c>
      <c r="G74" s="23" t="s">
        <v>395</v>
      </c>
      <c r="H74" s="23" t="s">
        <v>395</v>
      </c>
      <c r="I74" s="24" t="s">
        <v>402</v>
      </c>
      <c r="J74">
        <f>0.18*1000</f>
        <v>180</v>
      </c>
      <c r="K74">
        <f>200*1000</f>
        <v>200000</v>
      </c>
    </row>
    <row r="75" spans="1:11" x14ac:dyDescent="0.25">
      <c r="A75" t="s">
        <v>224</v>
      </c>
      <c r="B75" t="s">
        <v>518</v>
      </c>
      <c r="C75" t="s">
        <v>423</v>
      </c>
      <c r="D75" t="s">
        <v>404</v>
      </c>
      <c r="E75" s="36">
        <v>187.3</v>
      </c>
      <c r="F75" s="37">
        <v>0.97972022191680208</v>
      </c>
      <c r="G75" s="23" t="s">
        <v>395</v>
      </c>
      <c r="I75" s="24" t="s">
        <v>402</v>
      </c>
      <c r="J75">
        <f>28*1000</f>
        <v>28000</v>
      </c>
      <c r="K75">
        <f>28*1000</f>
        <v>28000</v>
      </c>
    </row>
    <row r="76" spans="1:11" x14ac:dyDescent="0.25">
      <c r="A76" t="s">
        <v>225</v>
      </c>
      <c r="B76" t="s">
        <v>519</v>
      </c>
      <c r="C76" t="s">
        <v>444</v>
      </c>
      <c r="D76" t="s">
        <v>414</v>
      </c>
      <c r="E76" s="36">
        <v>288.8</v>
      </c>
      <c r="F76" s="37">
        <v>1.7491257015026596</v>
      </c>
      <c r="G76" s="23" t="s">
        <v>395</v>
      </c>
      <c r="H76" s="23" t="s">
        <v>395</v>
      </c>
      <c r="I76" t="s">
        <v>402</v>
      </c>
      <c r="J76">
        <v>550000</v>
      </c>
      <c r="K76">
        <v>5500000</v>
      </c>
    </row>
    <row r="77" spans="1:11" x14ac:dyDescent="0.25">
      <c r="A77" t="s">
        <v>226</v>
      </c>
      <c r="B77" t="s">
        <v>520</v>
      </c>
      <c r="C77" t="s">
        <v>521</v>
      </c>
      <c r="D77" t="s">
        <v>404</v>
      </c>
      <c r="E77" s="36">
        <v>271.39999999999998</v>
      </c>
      <c r="F77" s="37">
        <v>0.86503280909597025</v>
      </c>
      <c r="G77" s="23" t="s">
        <v>395</v>
      </c>
      <c r="I77" t="s">
        <v>402</v>
      </c>
      <c r="J77">
        <f>510*1000</f>
        <v>510000</v>
      </c>
      <c r="K77">
        <f>6600*1000</f>
        <v>6600000</v>
      </c>
    </row>
    <row r="78" spans="1:11" x14ac:dyDescent="0.25">
      <c r="A78" t="s">
        <v>227</v>
      </c>
      <c r="B78" t="s">
        <v>522</v>
      </c>
      <c r="C78" t="s">
        <v>523</v>
      </c>
      <c r="D78" t="s">
        <v>404</v>
      </c>
      <c r="E78" s="36">
        <v>492.7</v>
      </c>
      <c r="F78" s="37">
        <v>1.1377817107572226</v>
      </c>
      <c r="G78" s="23" t="s">
        <v>395</v>
      </c>
      <c r="H78" s="23" t="s">
        <v>395</v>
      </c>
      <c r="I78" t="s">
        <v>399</v>
      </c>
      <c r="J78">
        <v>46</v>
      </c>
      <c r="K78">
        <v>460</v>
      </c>
    </row>
    <row r="79" spans="1:11" x14ac:dyDescent="0.25">
      <c r="A79" t="s">
        <v>598</v>
      </c>
      <c r="B79" t="s">
        <v>524</v>
      </c>
      <c r="C79" t="s">
        <v>525</v>
      </c>
      <c r="D79" t="s">
        <v>404</v>
      </c>
      <c r="E79" s="36">
        <v>345.2</v>
      </c>
      <c r="F79" s="37">
        <v>1.3656687633537443</v>
      </c>
      <c r="G79" s="23" t="s">
        <v>395</v>
      </c>
      <c r="H79" s="23" t="s">
        <v>395</v>
      </c>
      <c r="I79" t="s">
        <v>402</v>
      </c>
      <c r="J79">
        <v>39000</v>
      </c>
      <c r="K79">
        <v>2800000</v>
      </c>
    </row>
    <row r="80" spans="1:11" x14ac:dyDescent="0.25">
      <c r="A80" t="s">
        <v>526</v>
      </c>
      <c r="B80" t="s">
        <v>527</v>
      </c>
      <c r="C80" t="s">
        <v>528</v>
      </c>
      <c r="D80" t="s">
        <v>404</v>
      </c>
      <c r="E80" s="36">
        <v>361.7</v>
      </c>
      <c r="F80" s="37">
        <v>1.8940248749457442</v>
      </c>
      <c r="G80" s="23" t="s">
        <v>395</v>
      </c>
      <c r="H80" s="23" t="s">
        <v>395</v>
      </c>
      <c r="I80" t="s">
        <v>399</v>
      </c>
      <c r="J80">
        <v>63000</v>
      </c>
      <c r="K80">
        <v>630000</v>
      </c>
    </row>
    <row r="81" spans="1:11" x14ac:dyDescent="0.25">
      <c r="A81" t="s">
        <v>229</v>
      </c>
      <c r="B81" t="s">
        <v>529</v>
      </c>
      <c r="C81" t="s">
        <v>530</v>
      </c>
      <c r="D81" t="s">
        <v>394</v>
      </c>
      <c r="E81" s="36">
        <v>320</v>
      </c>
      <c r="F81" s="37">
        <v>0.97682575750390366</v>
      </c>
      <c r="G81" s="23" t="s">
        <v>395</v>
      </c>
      <c r="H81" s="23" t="s">
        <v>395</v>
      </c>
      <c r="I81" t="s">
        <v>399</v>
      </c>
      <c r="J81">
        <v>66000</v>
      </c>
      <c r="K81">
        <v>240000</v>
      </c>
    </row>
    <row r="82" spans="1:11" x14ac:dyDescent="0.25">
      <c r="A82" t="s">
        <v>230</v>
      </c>
      <c r="B82" t="s">
        <v>531</v>
      </c>
      <c r="C82" t="s">
        <v>530</v>
      </c>
      <c r="D82" t="s">
        <v>394</v>
      </c>
      <c r="E82" s="36">
        <v>318</v>
      </c>
      <c r="F82" s="37">
        <v>0.96762017561999203</v>
      </c>
      <c r="G82" s="23" t="s">
        <v>395</v>
      </c>
      <c r="H82" s="23" t="s">
        <v>395</v>
      </c>
      <c r="I82" t="s">
        <v>402</v>
      </c>
      <c r="J82">
        <v>55000</v>
      </c>
      <c r="K82">
        <v>550000</v>
      </c>
    </row>
    <row r="83" spans="1:11" x14ac:dyDescent="0.25">
      <c r="A83" t="s">
        <v>231</v>
      </c>
      <c r="B83" t="s">
        <v>532</v>
      </c>
      <c r="C83" t="s">
        <v>530</v>
      </c>
      <c r="D83" t="s">
        <v>407</v>
      </c>
      <c r="E83" s="36">
        <v>354.5</v>
      </c>
      <c r="F83" s="37">
        <v>0.83977805290049556</v>
      </c>
      <c r="G83" s="23" t="s">
        <v>395</v>
      </c>
      <c r="H83" s="23" t="s">
        <v>395</v>
      </c>
      <c r="I83" t="s">
        <v>399</v>
      </c>
      <c r="J83">
        <v>33000</v>
      </c>
      <c r="K83">
        <v>200000</v>
      </c>
    </row>
    <row r="84" spans="1:11" x14ac:dyDescent="0.25">
      <c r="A84" t="s">
        <v>234</v>
      </c>
      <c r="B84" t="s">
        <v>533</v>
      </c>
      <c r="C84" t="s">
        <v>423</v>
      </c>
      <c r="D84" t="s">
        <v>404</v>
      </c>
      <c r="E84" s="36">
        <v>203.4</v>
      </c>
      <c r="F84" s="37">
        <v>0.89907695421474798</v>
      </c>
      <c r="G84" s="23" t="s">
        <v>395</v>
      </c>
      <c r="I84" t="s">
        <v>402</v>
      </c>
      <c r="J84">
        <f>280*1000</f>
        <v>280000</v>
      </c>
      <c r="K84">
        <f>2800*1000</f>
        <v>2800000</v>
      </c>
    </row>
    <row r="85" spans="1:11" x14ac:dyDescent="0.25">
      <c r="A85" t="s">
        <v>235</v>
      </c>
      <c r="B85" t="s">
        <v>534</v>
      </c>
      <c r="C85" t="s">
        <v>398</v>
      </c>
      <c r="D85" t="s">
        <v>404</v>
      </c>
      <c r="E85" s="36">
        <v>281.3</v>
      </c>
      <c r="F85" s="37">
        <v>0.81059112948508916</v>
      </c>
      <c r="G85" s="23" t="s">
        <v>395</v>
      </c>
      <c r="H85" s="23" t="s">
        <v>395</v>
      </c>
      <c r="I85" t="s">
        <v>402</v>
      </c>
      <c r="J85">
        <v>190000</v>
      </c>
      <c r="K85">
        <v>3800000</v>
      </c>
    </row>
    <row r="86" spans="1:11" x14ac:dyDescent="0.25">
      <c r="A86" t="s">
        <v>535</v>
      </c>
      <c r="B86" t="s">
        <v>536</v>
      </c>
      <c r="C86" t="s">
        <v>530</v>
      </c>
      <c r="D86" t="s">
        <v>407</v>
      </c>
      <c r="E86" s="36">
        <v>280.39999999999998</v>
      </c>
      <c r="F86" s="37">
        <v>1.1163538979015388</v>
      </c>
      <c r="G86" s="23" t="s">
        <v>395</v>
      </c>
      <c r="I86" t="s">
        <v>402</v>
      </c>
      <c r="J86">
        <f>110*1000</f>
        <v>110000</v>
      </c>
      <c r="K86">
        <f>1100*1000</f>
        <v>1100000</v>
      </c>
    </row>
    <row r="87" spans="1:11" x14ac:dyDescent="0.25">
      <c r="A87" t="s">
        <v>537</v>
      </c>
      <c r="B87" t="s">
        <v>538</v>
      </c>
      <c r="C87" t="s">
        <v>530</v>
      </c>
      <c r="D87" t="s">
        <v>414</v>
      </c>
      <c r="E87" s="36">
        <v>361.7</v>
      </c>
      <c r="F87" s="37">
        <v>1.0867891723766223</v>
      </c>
      <c r="G87" s="23" t="s">
        <v>395</v>
      </c>
      <c r="H87" s="23" t="s">
        <v>395</v>
      </c>
      <c r="I87" t="s">
        <v>402</v>
      </c>
      <c r="J87">
        <v>81000</v>
      </c>
      <c r="K87">
        <v>3500000</v>
      </c>
    </row>
    <row r="88" spans="1:11" x14ac:dyDescent="0.25">
      <c r="A88" t="s">
        <v>236</v>
      </c>
      <c r="B88" t="s">
        <v>539</v>
      </c>
      <c r="C88" t="s">
        <v>406</v>
      </c>
      <c r="D88" t="s">
        <v>407</v>
      </c>
      <c r="E88" s="36">
        <v>391.3</v>
      </c>
      <c r="F88" s="37">
        <v>0.93155688207091814</v>
      </c>
      <c r="G88" s="23" t="s">
        <v>395</v>
      </c>
      <c r="H88" s="23" t="s">
        <v>395</v>
      </c>
      <c r="I88" s="24" t="s">
        <v>399</v>
      </c>
      <c r="J88" s="24">
        <v>420</v>
      </c>
      <c r="K88" s="24">
        <v>9300</v>
      </c>
    </row>
    <row r="89" spans="1:11" x14ac:dyDescent="0.25">
      <c r="A89" t="s">
        <v>237</v>
      </c>
      <c r="B89" t="s">
        <v>540</v>
      </c>
      <c r="C89" t="s">
        <v>406</v>
      </c>
      <c r="D89" t="s">
        <v>407</v>
      </c>
      <c r="E89" s="36">
        <v>350.5</v>
      </c>
      <c r="F89" s="37">
        <v>0.89108873781852305</v>
      </c>
      <c r="G89" s="23" t="s">
        <v>395</v>
      </c>
      <c r="I89" s="24" t="s">
        <v>479</v>
      </c>
    </row>
    <row r="90" spans="1:11" x14ac:dyDescent="0.25">
      <c r="A90" t="s">
        <v>238</v>
      </c>
      <c r="B90" t="s">
        <v>541</v>
      </c>
      <c r="C90" t="s">
        <v>411</v>
      </c>
      <c r="D90" t="s">
        <v>407</v>
      </c>
      <c r="E90" s="36">
        <v>317.3</v>
      </c>
      <c r="F90" s="37">
        <v>0.92791402130418532</v>
      </c>
      <c r="G90" s="23" t="s">
        <v>395</v>
      </c>
      <c r="I90" t="s">
        <v>402</v>
      </c>
      <c r="J90">
        <f>0.5*1000</f>
        <v>500</v>
      </c>
      <c r="K90">
        <f>1.3*1000</f>
        <v>1300</v>
      </c>
    </row>
    <row r="91" spans="1:11" x14ac:dyDescent="0.25">
      <c r="A91" t="s">
        <v>542</v>
      </c>
      <c r="B91" s="25" t="s">
        <v>543</v>
      </c>
      <c r="C91" t="s">
        <v>544</v>
      </c>
      <c r="D91" t="s">
        <v>545</v>
      </c>
      <c r="E91" s="36">
        <v>338.4</v>
      </c>
      <c r="F91" s="37">
        <v>1.2317994018508127</v>
      </c>
      <c r="G91" s="23" t="s">
        <v>395</v>
      </c>
      <c r="I91" t="s">
        <v>402</v>
      </c>
      <c r="J91">
        <f>2700*1000</f>
        <v>2700000</v>
      </c>
      <c r="K91">
        <f>45000*1000</f>
        <v>45000000</v>
      </c>
    </row>
    <row r="92" spans="1:11" x14ac:dyDescent="0.25">
      <c r="A92" t="s">
        <v>240</v>
      </c>
      <c r="B92" t="s">
        <v>546</v>
      </c>
      <c r="C92" t="s">
        <v>417</v>
      </c>
      <c r="D92" t="s">
        <v>404</v>
      </c>
      <c r="E92" s="36">
        <v>350.3</v>
      </c>
      <c r="F92" s="37">
        <v>1.4347406074501088</v>
      </c>
      <c r="G92" s="23" t="s">
        <v>395</v>
      </c>
      <c r="H92" s="23" t="s">
        <v>395</v>
      </c>
      <c r="I92" t="s">
        <v>402</v>
      </c>
      <c r="J92">
        <v>19000</v>
      </c>
      <c r="K92">
        <v>170000</v>
      </c>
    </row>
    <row r="93" spans="1:11" x14ac:dyDescent="0.25">
      <c r="A93" t="s">
        <v>241</v>
      </c>
      <c r="B93" t="s">
        <v>547</v>
      </c>
      <c r="C93" t="s">
        <v>409</v>
      </c>
      <c r="D93" t="s">
        <v>404</v>
      </c>
      <c r="E93" s="36">
        <v>225.3</v>
      </c>
      <c r="F93" s="37">
        <v>2.6860459466906823</v>
      </c>
      <c r="G93" s="23" t="s">
        <v>395</v>
      </c>
      <c r="I93" t="s">
        <v>402</v>
      </c>
      <c r="J93">
        <f>1200*1000</f>
        <v>1200000</v>
      </c>
      <c r="K93">
        <f>8900*1000</f>
        <v>8900000</v>
      </c>
    </row>
    <row r="94" spans="1:11" x14ac:dyDescent="0.25">
      <c r="A94" t="s">
        <v>242</v>
      </c>
      <c r="B94" t="s">
        <v>548</v>
      </c>
      <c r="C94" t="s">
        <v>409</v>
      </c>
      <c r="D94" t="s">
        <v>404</v>
      </c>
      <c r="E94" s="36">
        <v>241.4</v>
      </c>
      <c r="F94" s="37">
        <v>1.3378291362750923</v>
      </c>
      <c r="G94" s="23" t="s">
        <v>395</v>
      </c>
      <c r="I94" t="s">
        <v>402</v>
      </c>
      <c r="J94">
        <f>400*1000</f>
        <v>400000</v>
      </c>
      <c r="K94">
        <f>3900*1000</f>
        <v>3900000</v>
      </c>
    </row>
    <row r="95" spans="1:11" x14ac:dyDescent="0.25">
      <c r="A95" t="s">
        <v>243</v>
      </c>
      <c r="B95" t="s">
        <v>550</v>
      </c>
      <c r="C95" t="s">
        <v>471</v>
      </c>
      <c r="D95" t="s">
        <v>404</v>
      </c>
      <c r="E95" s="36">
        <v>218.1</v>
      </c>
      <c r="F95" s="37">
        <v>2.222690591512916</v>
      </c>
      <c r="G95" s="23" t="s">
        <v>395</v>
      </c>
      <c r="I95" s="24" t="s">
        <v>399</v>
      </c>
      <c r="J95">
        <f>1800*1000</f>
        <v>1800000</v>
      </c>
      <c r="K95">
        <f>18000*1000</f>
        <v>18000000</v>
      </c>
    </row>
    <row r="96" spans="1:11" x14ac:dyDescent="0.25">
      <c r="A96" t="s">
        <v>244</v>
      </c>
      <c r="B96" t="s">
        <v>551</v>
      </c>
      <c r="C96" t="s">
        <v>552</v>
      </c>
      <c r="D96" t="s">
        <v>407</v>
      </c>
      <c r="E96" s="36">
        <v>350.5</v>
      </c>
      <c r="F96" s="37">
        <v>2.1835746038701731</v>
      </c>
      <c r="G96" s="23" t="s">
        <v>395</v>
      </c>
      <c r="I96" s="24" t="s">
        <v>399</v>
      </c>
      <c r="J96">
        <f>58*1000</f>
        <v>58000</v>
      </c>
      <c r="K96">
        <f>580*1000</f>
        <v>580000</v>
      </c>
    </row>
    <row r="97" spans="1:11" x14ac:dyDescent="0.25">
      <c r="A97" t="s">
        <v>245</v>
      </c>
      <c r="B97" t="s">
        <v>553</v>
      </c>
      <c r="C97" t="s">
        <v>511</v>
      </c>
      <c r="D97" t="s">
        <v>414</v>
      </c>
      <c r="E97" s="36">
        <v>342.2</v>
      </c>
      <c r="F97" s="37">
        <v>1.0994297775362907</v>
      </c>
      <c r="G97" s="23" t="s">
        <v>395</v>
      </c>
      <c r="I97" t="s">
        <v>402</v>
      </c>
      <c r="J97">
        <f>170*1000</f>
        <v>170000</v>
      </c>
      <c r="K97">
        <f>840*1000</f>
        <v>840000</v>
      </c>
    </row>
    <row r="98" spans="1:11" x14ac:dyDescent="0.25">
      <c r="A98" t="s">
        <v>246</v>
      </c>
      <c r="B98" t="s">
        <v>549</v>
      </c>
      <c r="C98" t="s">
        <v>554</v>
      </c>
      <c r="D98" t="s">
        <v>404</v>
      </c>
      <c r="E98" s="36">
        <v>256.10000000000002</v>
      </c>
      <c r="F98" s="37">
        <v>1.4602190577216023</v>
      </c>
      <c r="G98" s="23" t="s">
        <v>395</v>
      </c>
      <c r="H98" s="23" t="s">
        <v>395</v>
      </c>
      <c r="I98" t="s">
        <v>399</v>
      </c>
      <c r="J98">
        <v>890000</v>
      </c>
      <c r="K98">
        <v>8900000</v>
      </c>
    </row>
    <row r="99" spans="1:11" x14ac:dyDescent="0.25">
      <c r="A99" t="s">
        <v>555</v>
      </c>
      <c r="B99" t="s">
        <v>556</v>
      </c>
      <c r="C99" t="s">
        <v>413</v>
      </c>
      <c r="D99" t="s">
        <v>414</v>
      </c>
      <c r="E99" s="36">
        <v>387.8</v>
      </c>
      <c r="F99" s="37">
        <v>1.0932512284617573</v>
      </c>
      <c r="I99" t="s">
        <v>399</v>
      </c>
      <c r="J99">
        <f>35*1000</f>
        <v>35000</v>
      </c>
      <c r="K99">
        <f>350*1000</f>
        <v>350000</v>
      </c>
    </row>
    <row r="100" spans="1:11" x14ac:dyDescent="0.25">
      <c r="A100" t="s">
        <v>247</v>
      </c>
      <c r="B100" t="s">
        <v>557</v>
      </c>
      <c r="C100" t="s">
        <v>558</v>
      </c>
      <c r="D100" t="s">
        <v>407</v>
      </c>
      <c r="E100" s="36">
        <v>364.9</v>
      </c>
      <c r="F100" s="37">
        <v>1.2484891556330113</v>
      </c>
      <c r="G100" s="23" t="s">
        <v>395</v>
      </c>
      <c r="I100" t="s">
        <v>402</v>
      </c>
      <c r="J100">
        <f>2.9*1000</f>
        <v>2900</v>
      </c>
      <c r="K100">
        <f>35*1000</f>
        <v>35000</v>
      </c>
    </row>
    <row r="101" spans="1:11" x14ac:dyDescent="0.25">
      <c r="A101" t="s">
        <v>559</v>
      </c>
      <c r="B101" t="s">
        <v>560</v>
      </c>
      <c r="C101" t="s">
        <v>561</v>
      </c>
      <c r="D101" t="s">
        <v>414</v>
      </c>
      <c r="E101" s="36">
        <v>199.1</v>
      </c>
      <c r="F101" s="37">
        <v>1.0589802465894473</v>
      </c>
      <c r="I101" t="s">
        <v>402</v>
      </c>
      <c r="J101">
        <f>300*1000</f>
        <v>300000</v>
      </c>
      <c r="K101">
        <f>900*1000</f>
        <v>900000</v>
      </c>
    </row>
    <row r="102" spans="1:11" x14ac:dyDescent="0.25">
      <c r="A102" t="s">
        <v>248</v>
      </c>
      <c r="B102" t="s">
        <v>562</v>
      </c>
      <c r="C102" t="s">
        <v>406</v>
      </c>
      <c r="D102" t="s">
        <v>407</v>
      </c>
      <c r="E102" s="36">
        <v>338.4</v>
      </c>
      <c r="F102" s="37">
        <v>1.3179915540447704</v>
      </c>
      <c r="G102" s="23" t="s">
        <v>395</v>
      </c>
      <c r="I102" t="s">
        <v>402</v>
      </c>
      <c r="J102">
        <f>31*1000</f>
        <v>31000</v>
      </c>
      <c r="K102">
        <f>310*1000</f>
        <v>310000</v>
      </c>
    </row>
    <row r="103" spans="1:11" x14ac:dyDescent="0.25">
      <c r="A103" t="s">
        <v>249</v>
      </c>
      <c r="B103" t="s">
        <v>563</v>
      </c>
      <c r="C103" t="s">
        <v>409</v>
      </c>
      <c r="D103" t="s">
        <v>404</v>
      </c>
      <c r="E103" s="36">
        <v>201.7</v>
      </c>
      <c r="F103" s="37">
        <v>1.3341673168434593</v>
      </c>
      <c r="G103" s="23" t="s">
        <v>395</v>
      </c>
      <c r="H103" s="23" t="s">
        <v>395</v>
      </c>
      <c r="I103" t="s">
        <v>402</v>
      </c>
      <c r="J103">
        <f>5.2*1000</f>
        <v>5200</v>
      </c>
      <c r="K103">
        <f>130*1000</f>
        <v>130000</v>
      </c>
    </row>
    <row r="104" spans="1:11" x14ac:dyDescent="0.25">
      <c r="A104" t="s">
        <v>250</v>
      </c>
      <c r="B104" t="s">
        <v>564</v>
      </c>
      <c r="C104" t="s">
        <v>406</v>
      </c>
      <c r="D104" t="s">
        <v>407</v>
      </c>
      <c r="E104" s="36">
        <v>502.9</v>
      </c>
      <c r="F104" s="37">
        <v>1.1538746744193313</v>
      </c>
      <c r="G104" s="23" t="s">
        <v>395</v>
      </c>
      <c r="H104" s="23" t="s">
        <v>395</v>
      </c>
      <c r="I104" t="s">
        <v>402</v>
      </c>
      <c r="J104">
        <f>75*1000</f>
        <v>75000</v>
      </c>
      <c r="K104">
        <f>710*1000</f>
        <v>710000</v>
      </c>
    </row>
    <row r="105" spans="1:11" x14ac:dyDescent="0.25">
      <c r="A105" t="s">
        <v>565</v>
      </c>
      <c r="B105" t="s">
        <v>566</v>
      </c>
      <c r="C105" t="s">
        <v>511</v>
      </c>
      <c r="D105" t="s">
        <v>414</v>
      </c>
      <c r="E105" s="36">
        <v>307.8</v>
      </c>
      <c r="F105" s="37">
        <v>1.2035732861822146</v>
      </c>
      <c r="H105" s="23" t="s">
        <v>395</v>
      </c>
      <c r="I105" t="s">
        <v>402</v>
      </c>
      <c r="J105">
        <f>92*1000</f>
        <v>92000</v>
      </c>
      <c r="K105">
        <f>2200*1000</f>
        <v>2200000</v>
      </c>
    </row>
    <row r="106" spans="1:11" x14ac:dyDescent="0.25">
      <c r="A106" t="s">
        <v>567</v>
      </c>
      <c r="B106" t="s">
        <v>479</v>
      </c>
      <c r="C106" t="s">
        <v>411</v>
      </c>
      <c r="D106" t="s">
        <v>394</v>
      </c>
      <c r="E106" s="36">
        <v>302.39999999999998</v>
      </c>
      <c r="F106" s="37">
        <v>2</v>
      </c>
      <c r="I106" t="s">
        <v>479</v>
      </c>
    </row>
    <row r="107" spans="1:11" x14ac:dyDescent="0.25">
      <c r="A107" t="s">
        <v>251</v>
      </c>
      <c r="B107" t="s">
        <v>568</v>
      </c>
      <c r="C107" t="s">
        <v>411</v>
      </c>
      <c r="D107" t="s">
        <v>407</v>
      </c>
      <c r="E107" s="36">
        <v>318.39999999999998</v>
      </c>
      <c r="F107" s="37">
        <v>1.5</v>
      </c>
      <c r="G107" s="23" t="s">
        <v>395</v>
      </c>
      <c r="I107" t="s">
        <v>402</v>
      </c>
      <c r="J107">
        <f>0.046*1000</f>
        <v>46</v>
      </c>
      <c r="K107">
        <f>0.32*1000</f>
        <v>320</v>
      </c>
    </row>
    <row r="108" spans="1:11" x14ac:dyDescent="0.25">
      <c r="A108" t="s">
        <v>252</v>
      </c>
      <c r="B108" t="s">
        <v>569</v>
      </c>
      <c r="C108" t="s">
        <v>406</v>
      </c>
      <c r="D108" t="s">
        <v>407</v>
      </c>
      <c r="E108" s="36">
        <v>418.7</v>
      </c>
      <c r="F108" s="37">
        <v>0.66070671657947067</v>
      </c>
      <c r="G108" s="23" t="s">
        <v>395</v>
      </c>
      <c r="I108" t="s">
        <v>399</v>
      </c>
      <c r="J108">
        <f>0.29*1000</f>
        <v>290</v>
      </c>
      <c r="K108">
        <f>2.9*1000</f>
        <v>2900</v>
      </c>
    </row>
    <row r="109" spans="1:11" x14ac:dyDescent="0.25">
      <c r="A109" t="s">
        <v>570</v>
      </c>
      <c r="B109" t="s">
        <v>571</v>
      </c>
      <c r="C109" t="s">
        <v>511</v>
      </c>
      <c r="D109" t="s">
        <v>414</v>
      </c>
      <c r="E109" s="36">
        <v>372.2</v>
      </c>
      <c r="F109" s="37">
        <v>1.1052333596122343</v>
      </c>
      <c r="G109" s="23" t="s">
        <v>395</v>
      </c>
      <c r="I109" t="s">
        <v>402</v>
      </c>
      <c r="J109">
        <v>220000</v>
      </c>
      <c r="K109">
        <v>3000000</v>
      </c>
    </row>
    <row r="110" spans="1:11" x14ac:dyDescent="0.25">
      <c r="A110" t="s">
        <v>254</v>
      </c>
      <c r="B110" t="s">
        <v>572</v>
      </c>
      <c r="C110" t="s">
        <v>573</v>
      </c>
      <c r="D110" t="s">
        <v>407</v>
      </c>
      <c r="E110" s="36">
        <v>356</v>
      </c>
      <c r="F110" s="37">
        <v>1.9567060769229108</v>
      </c>
      <c r="G110" s="23" t="s">
        <v>395</v>
      </c>
      <c r="I110" t="s">
        <v>479</v>
      </c>
    </row>
    <row r="111" spans="1:11" x14ac:dyDescent="0.25">
      <c r="A111" t="s">
        <v>255</v>
      </c>
      <c r="B111" t="s">
        <v>574</v>
      </c>
      <c r="C111" t="s">
        <v>406</v>
      </c>
      <c r="D111" t="s">
        <v>407</v>
      </c>
      <c r="E111" s="36">
        <v>331.4</v>
      </c>
      <c r="F111" s="37">
        <v>0.94280021694238081</v>
      </c>
      <c r="G111" s="23" t="s">
        <v>395</v>
      </c>
      <c r="I111" t="s">
        <v>402</v>
      </c>
      <c r="J111" s="38">
        <f>6.4*1000</f>
        <v>6400</v>
      </c>
      <c r="K111" s="38">
        <f>64*1000</f>
        <v>64000</v>
      </c>
    </row>
    <row r="112" spans="1:11" x14ac:dyDescent="0.25">
      <c r="A112" t="s">
        <v>256</v>
      </c>
      <c r="B112" t="s">
        <v>575</v>
      </c>
      <c r="C112" t="s">
        <v>420</v>
      </c>
      <c r="D112" t="s">
        <v>404</v>
      </c>
      <c r="E112" s="36">
        <v>396.4</v>
      </c>
      <c r="F112" s="37">
        <v>1.8675521573082701</v>
      </c>
      <c r="G112" s="23" t="s">
        <v>395</v>
      </c>
      <c r="I112" t="s">
        <v>402</v>
      </c>
      <c r="J112" s="38">
        <f>240*1000</f>
        <v>240000</v>
      </c>
      <c r="K112" s="38">
        <f>2400*1000</f>
        <v>2400000</v>
      </c>
    </row>
    <row r="113" spans="1:11" x14ac:dyDescent="0.25">
      <c r="A113" t="s">
        <v>576</v>
      </c>
      <c r="B113" t="s">
        <v>577</v>
      </c>
      <c r="C113" t="s">
        <v>423</v>
      </c>
      <c r="D113" t="s">
        <v>404</v>
      </c>
      <c r="E113" s="36">
        <v>257.8</v>
      </c>
      <c r="F113" s="37">
        <v>0.60510634417256137</v>
      </c>
      <c r="G113" s="23" t="s">
        <v>395</v>
      </c>
      <c r="I113" t="s">
        <v>402</v>
      </c>
      <c r="J113" s="38">
        <f>0.9*1000</f>
        <v>900</v>
      </c>
      <c r="K113" s="38">
        <f>90*1000</f>
        <v>90000</v>
      </c>
    </row>
    <row r="114" spans="1:11" x14ac:dyDescent="0.25">
      <c r="A114" t="s">
        <v>578</v>
      </c>
      <c r="B114" t="s">
        <v>579</v>
      </c>
      <c r="C114" t="s">
        <v>444</v>
      </c>
      <c r="D114" t="s">
        <v>414</v>
      </c>
      <c r="E114" s="36">
        <v>293.8</v>
      </c>
      <c r="F114" s="37">
        <v>1.4930429633071916</v>
      </c>
      <c r="G114" s="23" t="s">
        <v>395</v>
      </c>
      <c r="I114" t="s">
        <v>402</v>
      </c>
      <c r="J114" s="38">
        <f>16*1000</f>
        <v>16000</v>
      </c>
      <c r="K114" s="38">
        <f>480*1000</f>
        <v>480000</v>
      </c>
    </row>
    <row r="115" spans="1:11" x14ac:dyDescent="0.25">
      <c r="A115" t="s">
        <v>580</v>
      </c>
      <c r="B115" t="s">
        <v>581</v>
      </c>
      <c r="C115" t="s">
        <v>444</v>
      </c>
      <c r="D115" t="s">
        <v>414</v>
      </c>
      <c r="E115" s="36">
        <v>295.8</v>
      </c>
      <c r="F115" s="37">
        <v>1.5457868115254183</v>
      </c>
      <c r="I115" t="s">
        <v>402</v>
      </c>
      <c r="J115" s="38">
        <f>68*1000</f>
        <v>68000</v>
      </c>
      <c r="K115" s="38">
        <f>680*1000</f>
        <v>680000</v>
      </c>
    </row>
    <row r="116" spans="1:11" x14ac:dyDescent="0.25">
      <c r="A116" t="s">
        <v>259</v>
      </c>
      <c r="B116" t="s">
        <v>582</v>
      </c>
      <c r="C116" t="s">
        <v>427</v>
      </c>
      <c r="D116" t="s">
        <v>404</v>
      </c>
      <c r="E116" s="36">
        <v>304.7</v>
      </c>
      <c r="F116" s="37">
        <v>1.357181416526811</v>
      </c>
      <c r="G116" s="23" t="s">
        <v>395</v>
      </c>
      <c r="I116" t="s">
        <v>402</v>
      </c>
      <c r="J116" s="38">
        <f>31*1000</f>
        <v>31000</v>
      </c>
      <c r="K116" s="38">
        <f>220*1000</f>
        <v>220000</v>
      </c>
    </row>
    <row r="117" spans="1:11" x14ac:dyDescent="0.25">
      <c r="A117" t="s">
        <v>599</v>
      </c>
      <c r="B117" t="s">
        <v>583</v>
      </c>
      <c r="C117" t="s">
        <v>411</v>
      </c>
      <c r="D117" t="s">
        <v>404</v>
      </c>
      <c r="E117" s="36">
        <v>314.5</v>
      </c>
      <c r="F117" s="37">
        <v>2.2033048086908411</v>
      </c>
      <c r="G117" s="23" t="s">
        <v>395</v>
      </c>
      <c r="I117" t="s">
        <v>402</v>
      </c>
      <c r="J117" s="38">
        <f>12*1000</f>
        <v>12000</v>
      </c>
      <c r="K117" s="38">
        <f>52*1000</f>
        <v>52000</v>
      </c>
    </row>
    <row r="118" spans="1:11" x14ac:dyDescent="0.25">
      <c r="A118" t="s">
        <v>584</v>
      </c>
      <c r="B118" t="s">
        <v>585</v>
      </c>
      <c r="C118" t="s">
        <v>413</v>
      </c>
      <c r="D118" t="s">
        <v>414</v>
      </c>
      <c r="E118" s="36">
        <v>408.4</v>
      </c>
      <c r="F118" s="37">
        <v>1.0275987338775379</v>
      </c>
      <c r="G118" s="23" t="s">
        <v>395</v>
      </c>
      <c r="I118" t="s">
        <v>402</v>
      </c>
      <c r="J118" s="38">
        <f>6.6*1000</f>
        <v>6600</v>
      </c>
      <c r="K118" s="38">
        <f>60*1000</f>
        <v>60000</v>
      </c>
    </row>
    <row r="119" spans="1:11" x14ac:dyDescent="0.25">
      <c r="A119" t="s">
        <v>586</v>
      </c>
      <c r="B119" t="s">
        <v>587</v>
      </c>
      <c r="C119" t="s">
        <v>511</v>
      </c>
      <c r="D119" t="s">
        <v>414</v>
      </c>
      <c r="E119" s="36">
        <v>345.6</v>
      </c>
      <c r="F119" s="37">
        <v>1.0539934299608162</v>
      </c>
      <c r="I119" t="s">
        <v>402</v>
      </c>
      <c r="J119" s="38">
        <f>92*1000</f>
        <v>92000</v>
      </c>
      <c r="K119" s="38">
        <f>1900*1000</f>
        <v>1900000</v>
      </c>
    </row>
    <row r="120" spans="1:11" x14ac:dyDescent="0.25">
      <c r="A120" t="s">
        <v>262</v>
      </c>
      <c r="B120" s="25" t="s">
        <v>588</v>
      </c>
      <c r="C120" t="s">
        <v>398</v>
      </c>
      <c r="D120" t="s">
        <v>404</v>
      </c>
      <c r="E120" s="36">
        <v>335.5</v>
      </c>
      <c r="F120" s="37">
        <v>0.87573523350439575</v>
      </c>
      <c r="G120" s="23" t="s">
        <v>395</v>
      </c>
      <c r="I120" t="s">
        <v>399</v>
      </c>
      <c r="J120" s="38">
        <f>21000*1000</f>
        <v>21000000</v>
      </c>
      <c r="K120" s="38">
        <f>210000*1000</f>
        <v>210000000</v>
      </c>
    </row>
    <row r="121" spans="1:11" x14ac:dyDescent="0.25">
      <c r="A121" t="s">
        <v>589</v>
      </c>
      <c r="B121" t="s">
        <v>590</v>
      </c>
      <c r="C121" t="s">
        <v>511</v>
      </c>
      <c r="D121" t="s">
        <v>414</v>
      </c>
      <c r="E121" s="36">
        <v>317.8</v>
      </c>
      <c r="F121" s="37">
        <v>1.7726498770673025</v>
      </c>
      <c r="I121" t="s">
        <v>402</v>
      </c>
      <c r="J121" s="38">
        <f>450*1000</f>
        <v>450000</v>
      </c>
      <c r="K121" s="38">
        <f>4500*1000</f>
        <v>4500000</v>
      </c>
    </row>
    <row r="122" spans="1:11" x14ac:dyDescent="0.25">
      <c r="A122" t="s">
        <v>591</v>
      </c>
      <c r="B122" t="s">
        <v>592</v>
      </c>
      <c r="C122" t="s">
        <v>464</v>
      </c>
      <c r="D122" t="s">
        <v>414</v>
      </c>
      <c r="E122" s="36">
        <v>286.10000000000002</v>
      </c>
      <c r="F122" s="37">
        <v>1.1533195194311328</v>
      </c>
      <c r="G122" s="23" t="s">
        <v>395</v>
      </c>
      <c r="I122" t="s">
        <v>402</v>
      </c>
      <c r="J122" s="38">
        <f>240*1000</f>
        <v>240000</v>
      </c>
      <c r="K122" s="38">
        <f>1200*1000</f>
        <v>1200000</v>
      </c>
    </row>
    <row r="123" spans="1:11" x14ac:dyDescent="0.25">
      <c r="A123" t="s">
        <v>264</v>
      </c>
      <c r="B123" t="s">
        <v>593</v>
      </c>
      <c r="C123" t="s">
        <v>554</v>
      </c>
      <c r="D123" t="s">
        <v>414</v>
      </c>
      <c r="E123" s="36">
        <v>336.6</v>
      </c>
      <c r="F123" s="37">
        <v>1.1231344073914815</v>
      </c>
      <c r="G123" s="23" t="s">
        <v>395</v>
      </c>
      <c r="I123" t="s">
        <v>402</v>
      </c>
      <c r="J123" s="38">
        <f>48*1000</f>
        <v>48000</v>
      </c>
      <c r="K123" s="38">
        <f>950*1000</f>
        <v>950000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22" workbookViewId="0">
      <selection activeCell="C13" sqref="C13"/>
    </sheetView>
  </sheetViews>
  <sheetFormatPr defaultRowHeight="15" x14ac:dyDescent="0.25"/>
  <cols>
    <col min="1" max="1" width="19.140625" customWidth="1"/>
    <col min="2" max="2" width="19" customWidth="1"/>
    <col min="3" max="3" width="74.42578125" customWidth="1"/>
  </cols>
  <sheetData>
    <row r="1" spans="1:3" x14ac:dyDescent="0.25">
      <c r="A1" t="s">
        <v>860</v>
      </c>
    </row>
    <row r="2" spans="1:3" x14ac:dyDescent="0.25">
      <c r="A2" t="s">
        <v>844</v>
      </c>
    </row>
    <row r="3" spans="1:3" x14ac:dyDescent="0.25">
      <c r="A3" t="s">
        <v>845</v>
      </c>
    </row>
    <row r="4" spans="1:3" x14ac:dyDescent="0.25">
      <c r="A4" s="42" t="s">
        <v>740</v>
      </c>
      <c r="B4" s="42" t="s">
        <v>739</v>
      </c>
      <c r="C4" s="42" t="s">
        <v>736</v>
      </c>
    </row>
    <row r="5" spans="1:3" x14ac:dyDescent="0.25">
      <c r="A5" t="s">
        <v>741</v>
      </c>
      <c r="B5" t="s">
        <v>742</v>
      </c>
      <c r="C5" s="28" t="s">
        <v>749</v>
      </c>
    </row>
    <row r="6" spans="1:3" x14ac:dyDescent="0.25">
      <c r="B6" t="s">
        <v>743</v>
      </c>
      <c r="C6" s="28" t="s">
        <v>812</v>
      </c>
    </row>
    <row r="7" spans="1:3" ht="30" x14ac:dyDescent="0.25">
      <c r="B7" t="s">
        <v>747</v>
      </c>
      <c r="C7" s="28" t="s">
        <v>750</v>
      </c>
    </row>
    <row r="8" spans="1:3" ht="30" x14ac:dyDescent="0.25">
      <c r="B8" t="s">
        <v>746</v>
      </c>
      <c r="C8" s="28" t="s">
        <v>748</v>
      </c>
    </row>
    <row r="9" spans="1:3" x14ac:dyDescent="0.25">
      <c r="B9" t="s">
        <v>744</v>
      </c>
      <c r="C9" s="28" t="s">
        <v>813</v>
      </c>
    </row>
    <row r="10" spans="1:3" x14ac:dyDescent="0.25">
      <c r="B10" t="s">
        <v>745</v>
      </c>
      <c r="C10" s="28" t="s">
        <v>751</v>
      </c>
    </row>
    <row r="12" spans="1:3" x14ac:dyDescent="0.25">
      <c r="A12" t="s">
        <v>752</v>
      </c>
      <c r="B12" t="s">
        <v>753</v>
      </c>
      <c r="C12" s="28" t="s">
        <v>759</v>
      </c>
    </row>
    <row r="13" spans="1:3" x14ac:dyDescent="0.25">
      <c r="B13" t="s">
        <v>754</v>
      </c>
      <c r="C13" s="28" t="s">
        <v>760</v>
      </c>
    </row>
    <row r="14" spans="1:3" ht="17.25" x14ac:dyDescent="0.25">
      <c r="B14" t="s">
        <v>755</v>
      </c>
      <c r="C14" s="28" t="s">
        <v>768</v>
      </c>
    </row>
    <row r="15" spans="1:3" x14ac:dyDescent="0.25">
      <c r="B15" t="s">
        <v>673</v>
      </c>
      <c r="C15" s="28" t="s">
        <v>761</v>
      </c>
    </row>
    <row r="16" spans="1:3" ht="30" x14ac:dyDescent="0.25">
      <c r="B16" t="s">
        <v>756</v>
      </c>
      <c r="C16" s="28" t="s">
        <v>823</v>
      </c>
    </row>
    <row r="17" spans="1:3" x14ac:dyDescent="0.25">
      <c r="B17" t="s">
        <v>672</v>
      </c>
      <c r="C17" s="28" t="s">
        <v>762</v>
      </c>
    </row>
    <row r="18" spans="1:3" x14ac:dyDescent="0.25">
      <c r="B18" t="s">
        <v>670</v>
      </c>
      <c r="C18" s="28" t="s">
        <v>763</v>
      </c>
    </row>
    <row r="19" spans="1:3" x14ac:dyDescent="0.25">
      <c r="B19" t="s">
        <v>757</v>
      </c>
      <c r="C19" s="28" t="s">
        <v>764</v>
      </c>
    </row>
    <row r="20" spans="1:3" x14ac:dyDescent="0.25">
      <c r="B20" t="s">
        <v>668</v>
      </c>
      <c r="C20" s="28" t="s">
        <v>765</v>
      </c>
    </row>
    <row r="21" spans="1:3" x14ac:dyDescent="0.25">
      <c r="B21" t="s">
        <v>665</v>
      </c>
      <c r="C21" s="28" t="s">
        <v>766</v>
      </c>
    </row>
    <row r="22" spans="1:3" ht="30" x14ac:dyDescent="0.25">
      <c r="B22" t="s">
        <v>758</v>
      </c>
      <c r="C22" s="28" t="s">
        <v>767</v>
      </c>
    </row>
    <row r="24" spans="1:3" x14ac:dyDescent="0.25">
      <c r="A24" t="s">
        <v>769</v>
      </c>
      <c r="B24" t="s">
        <v>836</v>
      </c>
      <c r="C24" t="s">
        <v>834</v>
      </c>
    </row>
    <row r="25" spans="1:3" x14ac:dyDescent="0.25">
      <c r="B25" t="s">
        <v>832</v>
      </c>
      <c r="C25" s="28" t="s">
        <v>846</v>
      </c>
    </row>
    <row r="26" spans="1:3" x14ac:dyDescent="0.25">
      <c r="B26" t="s">
        <v>833</v>
      </c>
      <c r="C26" s="28" t="s">
        <v>847</v>
      </c>
    </row>
    <row r="27" spans="1:3" x14ac:dyDescent="0.25">
      <c r="B27" t="s">
        <v>770</v>
      </c>
      <c r="C27" s="28" t="s">
        <v>771</v>
      </c>
    </row>
    <row r="28" spans="1:3" x14ac:dyDescent="0.25">
      <c r="B28" t="s">
        <v>772</v>
      </c>
      <c r="C28" s="28" t="s">
        <v>773</v>
      </c>
    </row>
    <row r="29" spans="1:3" x14ac:dyDescent="0.25">
      <c r="B29" t="s">
        <v>774</v>
      </c>
      <c r="C29" s="28" t="s">
        <v>778</v>
      </c>
    </row>
    <row r="30" spans="1:3" x14ac:dyDescent="0.25">
      <c r="B30" t="s">
        <v>776</v>
      </c>
      <c r="C30" t="s">
        <v>777</v>
      </c>
    </row>
    <row r="31" spans="1:3" x14ac:dyDescent="0.25">
      <c r="B31" t="s">
        <v>775</v>
      </c>
      <c r="C31" s="28" t="s">
        <v>779</v>
      </c>
    </row>
    <row r="32" spans="1:3" x14ac:dyDescent="0.25">
      <c r="B32" t="s">
        <v>780</v>
      </c>
      <c r="C32" s="28" t="s">
        <v>781</v>
      </c>
    </row>
    <row r="33" spans="2:3" x14ac:dyDescent="0.25">
      <c r="B33" t="s">
        <v>660</v>
      </c>
      <c r="C33" s="28" t="s">
        <v>782</v>
      </c>
    </row>
    <row r="34" spans="2:3" x14ac:dyDescent="0.25">
      <c r="B34" t="s">
        <v>783</v>
      </c>
      <c r="C34" s="28" t="s">
        <v>786</v>
      </c>
    </row>
    <row r="35" spans="2:3" x14ac:dyDescent="0.25">
      <c r="B35" t="s">
        <v>799</v>
      </c>
      <c r="C35" s="28" t="s">
        <v>811</v>
      </c>
    </row>
    <row r="36" spans="2:3" x14ac:dyDescent="0.25">
      <c r="B36" t="s">
        <v>784</v>
      </c>
      <c r="C36" s="28" t="s">
        <v>787</v>
      </c>
    </row>
    <row r="37" spans="2:3" x14ac:dyDescent="0.25">
      <c r="B37" t="s">
        <v>785</v>
      </c>
      <c r="C37" s="28" t="s">
        <v>788</v>
      </c>
    </row>
    <row r="38" spans="2:3" x14ac:dyDescent="0.25">
      <c r="B38" t="s">
        <v>789</v>
      </c>
      <c r="C38" s="28" t="s">
        <v>790</v>
      </c>
    </row>
    <row r="39" spans="2:3" ht="30" x14ac:dyDescent="0.25">
      <c r="B39" t="s">
        <v>791</v>
      </c>
      <c r="C39" s="28" t="s">
        <v>792</v>
      </c>
    </row>
    <row r="40" spans="2:3" x14ac:dyDescent="0.25">
      <c r="B40" t="s">
        <v>830</v>
      </c>
      <c r="C40" s="28" t="s">
        <v>793</v>
      </c>
    </row>
    <row r="41" spans="2:3" x14ac:dyDescent="0.25">
      <c r="B41" t="s">
        <v>831</v>
      </c>
      <c r="C41" s="28" t="s">
        <v>835</v>
      </c>
    </row>
    <row r="42" spans="2:3" x14ac:dyDescent="0.25">
      <c r="B42" t="s">
        <v>794</v>
      </c>
      <c r="C42" s="28" t="s">
        <v>795</v>
      </c>
    </row>
    <row r="43" spans="2:3" x14ac:dyDescent="0.25">
      <c r="B43" t="s">
        <v>801</v>
      </c>
      <c r="C43" s="28" t="s">
        <v>804</v>
      </c>
    </row>
    <row r="44" spans="2:3" x14ac:dyDescent="0.25">
      <c r="B44" t="s">
        <v>796</v>
      </c>
      <c r="C44" s="28" t="s">
        <v>808</v>
      </c>
    </row>
    <row r="45" spans="2:3" x14ac:dyDescent="0.25">
      <c r="B45" t="s">
        <v>803</v>
      </c>
      <c r="C45" s="28" t="s">
        <v>805</v>
      </c>
    </row>
    <row r="46" spans="2:3" x14ac:dyDescent="0.25">
      <c r="B46" t="s">
        <v>797</v>
      </c>
      <c r="C46" s="28" t="s">
        <v>809</v>
      </c>
    </row>
    <row r="47" spans="2:3" x14ac:dyDescent="0.25">
      <c r="B47" t="s">
        <v>802</v>
      </c>
      <c r="C47" s="28" t="s">
        <v>806</v>
      </c>
    </row>
    <row r="48" spans="2:3" x14ac:dyDescent="0.25">
      <c r="B48" t="s">
        <v>800</v>
      </c>
      <c r="C48" s="28" t="s">
        <v>810</v>
      </c>
    </row>
    <row r="49" spans="2:3" x14ac:dyDescent="0.25">
      <c r="B49" t="s">
        <v>798</v>
      </c>
      <c r="C49" s="28" t="s">
        <v>807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0" workbookViewId="0">
      <selection activeCell="L16" sqref="L15:L16"/>
    </sheetView>
  </sheetViews>
  <sheetFormatPr defaultRowHeight="15" x14ac:dyDescent="0.25"/>
  <cols>
    <col min="1" max="1" width="16.140625" customWidth="1"/>
  </cols>
  <sheetData>
    <row r="1" spans="1:3" x14ac:dyDescent="0.25">
      <c r="A1" t="s">
        <v>872</v>
      </c>
    </row>
    <row r="2" spans="1:3" x14ac:dyDescent="0.25">
      <c r="A2" t="s">
        <v>861</v>
      </c>
    </row>
    <row r="3" spans="1:3" x14ac:dyDescent="0.25">
      <c r="A3" s="39"/>
      <c r="B3" s="39"/>
      <c r="C3" s="39"/>
    </row>
    <row r="4" spans="1:3" x14ac:dyDescent="0.25">
      <c r="A4" s="40" t="s">
        <v>383</v>
      </c>
      <c r="B4" s="40" t="s">
        <v>815</v>
      </c>
      <c r="C4" s="40" t="s">
        <v>814</v>
      </c>
    </row>
    <row r="5" spans="1:3" x14ac:dyDescent="0.25">
      <c r="A5" t="s">
        <v>174</v>
      </c>
      <c r="B5" s="33" t="s">
        <v>169</v>
      </c>
      <c r="C5" s="33">
        <v>8.6956521739130405E-2</v>
      </c>
    </row>
    <row r="6" spans="1:3" x14ac:dyDescent="0.25">
      <c r="A6" t="s">
        <v>176</v>
      </c>
      <c r="B6" s="33">
        <v>4.3478260869565202E-2</v>
      </c>
      <c r="C6" s="33">
        <v>2.1739130434782601E-2</v>
      </c>
    </row>
    <row r="7" spans="1:3" x14ac:dyDescent="0.25">
      <c r="A7" s="35" t="s">
        <v>178</v>
      </c>
      <c r="B7" s="33">
        <v>0.36956521739130399</v>
      </c>
      <c r="C7" s="33">
        <v>0.5</v>
      </c>
    </row>
    <row r="8" spans="1:3" x14ac:dyDescent="0.25">
      <c r="A8" s="35" t="s">
        <v>179</v>
      </c>
      <c r="B8" s="33">
        <v>8.6956521739130405E-2</v>
      </c>
      <c r="C8" s="33">
        <v>0.282608695652174</v>
      </c>
    </row>
    <row r="9" spans="1:3" x14ac:dyDescent="0.25">
      <c r="A9" s="35" t="s">
        <v>185</v>
      </c>
      <c r="B9" s="33">
        <v>4.3478260869565202E-2</v>
      </c>
      <c r="C9" s="33">
        <v>4.3478260869565202E-2</v>
      </c>
    </row>
    <row r="10" spans="1:3" x14ac:dyDescent="0.25">
      <c r="A10" s="35" t="s">
        <v>188</v>
      </c>
      <c r="B10" s="33">
        <v>2.1739130434782601E-2</v>
      </c>
      <c r="C10" s="33">
        <v>2.1739130434782601E-2</v>
      </c>
    </row>
    <row r="11" spans="1:3" x14ac:dyDescent="0.25">
      <c r="A11" s="35" t="s">
        <v>189</v>
      </c>
      <c r="B11" s="33" t="s">
        <v>169</v>
      </c>
      <c r="C11" s="33">
        <v>8.6956521739130405E-2</v>
      </c>
    </row>
    <row r="12" spans="1:3" x14ac:dyDescent="0.25">
      <c r="A12" s="35" t="s">
        <v>190</v>
      </c>
      <c r="B12" s="33">
        <v>4.3478260869565202E-2</v>
      </c>
      <c r="C12" s="33">
        <v>8.6956521739130405E-2</v>
      </c>
    </row>
    <row r="13" spans="1:3" x14ac:dyDescent="0.25">
      <c r="A13" s="35" t="s">
        <v>192</v>
      </c>
      <c r="B13" s="33" t="s">
        <v>169</v>
      </c>
      <c r="C13" s="33">
        <v>2.1739130434782601E-2</v>
      </c>
    </row>
    <row r="14" spans="1:3" x14ac:dyDescent="0.25">
      <c r="A14" s="35" t="s">
        <v>194</v>
      </c>
      <c r="B14" s="33">
        <v>4.3478260869565202E-2</v>
      </c>
      <c r="C14" s="33">
        <v>6.5217391304347797E-2</v>
      </c>
    </row>
    <row r="15" spans="1:3" x14ac:dyDescent="0.25">
      <c r="A15" s="35" t="s">
        <v>824</v>
      </c>
      <c r="B15" s="33">
        <v>0.32608695652173902</v>
      </c>
      <c r="C15" s="33">
        <v>0.47826086956521702</v>
      </c>
    </row>
    <row r="16" spans="1:3" x14ac:dyDescent="0.25">
      <c r="A16" s="35" t="s">
        <v>825</v>
      </c>
      <c r="B16" s="33">
        <v>0.63043478260869601</v>
      </c>
      <c r="C16" s="33">
        <v>0.69565217391304301</v>
      </c>
    </row>
    <row r="17" spans="1:3" x14ac:dyDescent="0.25">
      <c r="A17" s="35" t="s">
        <v>826</v>
      </c>
      <c r="B17" s="33">
        <v>0.65217391304347805</v>
      </c>
      <c r="C17" s="33">
        <v>0.45652173913043498</v>
      </c>
    </row>
    <row r="18" spans="1:3" x14ac:dyDescent="0.25">
      <c r="A18" s="35" t="s">
        <v>195</v>
      </c>
      <c r="B18" s="33" t="s">
        <v>169</v>
      </c>
      <c r="C18" s="33">
        <v>2.1739130434782601E-2</v>
      </c>
    </row>
    <row r="19" spans="1:3" x14ac:dyDescent="0.25">
      <c r="A19" s="35" t="s">
        <v>197</v>
      </c>
      <c r="B19" s="33">
        <v>0.108695652173913</v>
      </c>
      <c r="C19" s="33">
        <v>0.108695652173913</v>
      </c>
    </row>
    <row r="20" spans="1:3" x14ac:dyDescent="0.25">
      <c r="A20" t="s">
        <v>199</v>
      </c>
      <c r="B20" s="33">
        <v>6.5217391304347797E-2</v>
      </c>
      <c r="C20" s="33">
        <v>6.5217391304347797E-2</v>
      </c>
    </row>
    <row r="21" spans="1:3" x14ac:dyDescent="0.25">
      <c r="A21" t="s">
        <v>202</v>
      </c>
      <c r="B21" s="33">
        <v>4.3478260869565202E-2</v>
      </c>
      <c r="C21" s="33">
        <v>4.3478260869565202E-2</v>
      </c>
    </row>
    <row r="22" spans="1:3" x14ac:dyDescent="0.25">
      <c r="A22" t="s">
        <v>481</v>
      </c>
      <c r="B22" s="33">
        <v>2.1739130434782601E-2</v>
      </c>
      <c r="C22" s="33">
        <v>2.1739130434782601E-2</v>
      </c>
    </row>
    <row r="23" spans="1:3" x14ac:dyDescent="0.25">
      <c r="A23" t="s">
        <v>827</v>
      </c>
      <c r="B23" s="33" t="s">
        <v>169</v>
      </c>
      <c r="C23" s="33">
        <v>2.1739130434782601E-2</v>
      </c>
    </row>
    <row r="24" spans="1:3" x14ac:dyDescent="0.25">
      <c r="A24" t="s">
        <v>210</v>
      </c>
      <c r="B24" s="33">
        <v>4.3478260869565202E-2</v>
      </c>
      <c r="C24" s="33">
        <v>4.3478260869565202E-2</v>
      </c>
    </row>
    <row r="25" spans="1:3" x14ac:dyDescent="0.25">
      <c r="A25" t="s">
        <v>219</v>
      </c>
      <c r="B25" s="33" t="s">
        <v>169</v>
      </c>
      <c r="C25" s="33">
        <v>4.3478260869565202E-2</v>
      </c>
    </row>
    <row r="26" spans="1:3" x14ac:dyDescent="0.25">
      <c r="A26" t="s">
        <v>223</v>
      </c>
      <c r="B26" s="33" t="s">
        <v>169</v>
      </c>
      <c r="C26" s="33">
        <v>0.108695652173913</v>
      </c>
    </row>
    <row r="27" spans="1:3" x14ac:dyDescent="0.25">
      <c r="A27" t="s">
        <v>225</v>
      </c>
      <c r="B27" s="33">
        <v>2.1739130434782601E-2</v>
      </c>
      <c r="C27" s="33">
        <v>6.5217391304347797E-2</v>
      </c>
    </row>
    <row r="28" spans="1:3" x14ac:dyDescent="0.25">
      <c r="A28" t="s">
        <v>227</v>
      </c>
      <c r="B28" s="33">
        <v>4.3478260869565202E-2</v>
      </c>
      <c r="C28" s="33">
        <v>4.3478260869565202E-2</v>
      </c>
    </row>
    <row r="29" spans="1:3" x14ac:dyDescent="0.25">
      <c r="A29" t="s">
        <v>598</v>
      </c>
      <c r="B29" s="33">
        <v>0.19565217391304299</v>
      </c>
      <c r="C29" s="33">
        <v>0.282608695652174</v>
      </c>
    </row>
    <row r="30" spans="1:3" x14ac:dyDescent="0.25">
      <c r="A30" t="s">
        <v>228</v>
      </c>
      <c r="B30" s="33">
        <v>0.13043478260869601</v>
      </c>
      <c r="C30" s="33">
        <v>0.23913043478260901</v>
      </c>
    </row>
    <row r="31" spans="1:3" x14ac:dyDescent="0.25">
      <c r="A31" t="s">
        <v>233</v>
      </c>
      <c r="B31" s="33">
        <v>2.1739130434782601E-2</v>
      </c>
      <c r="C31" s="33">
        <v>2.1739130434782601E-2</v>
      </c>
    </row>
    <row r="32" spans="1:3" x14ac:dyDescent="0.25">
      <c r="A32" t="s">
        <v>235</v>
      </c>
      <c r="B32" s="33">
        <v>0.13043478260869601</v>
      </c>
      <c r="C32" s="33">
        <v>0.63043478260869601</v>
      </c>
    </row>
    <row r="33" spans="1:3" x14ac:dyDescent="0.25">
      <c r="A33" t="s">
        <v>236</v>
      </c>
      <c r="B33" s="33">
        <v>2.1739130434782601E-2</v>
      </c>
      <c r="C33" s="33">
        <v>0.108695652173913</v>
      </c>
    </row>
    <row r="34" spans="1:3" x14ac:dyDescent="0.25">
      <c r="A34" t="s">
        <v>240</v>
      </c>
      <c r="B34" s="33">
        <v>4.3478260869565202E-2</v>
      </c>
      <c r="C34" s="33">
        <v>0.15217391304347799</v>
      </c>
    </row>
    <row r="35" spans="1:3" x14ac:dyDescent="0.25">
      <c r="A35" t="s">
        <v>246</v>
      </c>
      <c r="B35" s="33">
        <v>2.1739130434782601E-2</v>
      </c>
      <c r="C35" s="33">
        <v>4.3478260869565202E-2</v>
      </c>
    </row>
    <row r="36" spans="1:3" x14ac:dyDescent="0.25">
      <c r="A36" t="s">
        <v>249</v>
      </c>
      <c r="B36" s="33" t="s">
        <v>169</v>
      </c>
      <c r="C36" s="33">
        <v>2.1739130434782601E-2</v>
      </c>
    </row>
    <row r="37" spans="1:3" x14ac:dyDescent="0.25">
      <c r="A37" t="s">
        <v>828</v>
      </c>
      <c r="B37" s="33" t="s">
        <v>169</v>
      </c>
      <c r="C37" s="33">
        <v>4.3478260869565202E-2</v>
      </c>
    </row>
    <row r="38" spans="1:3" x14ac:dyDescent="0.25">
      <c r="A38" t="s">
        <v>570</v>
      </c>
      <c r="B38" s="33">
        <v>2.1739130434782601E-2</v>
      </c>
      <c r="C38" s="33">
        <v>2.1739130434782601E-2</v>
      </c>
    </row>
  </sheetData>
  <sortState ref="A5:C38">
    <sortCondition ref="A5:A38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4" workbookViewId="0">
      <selection activeCell="E4" sqref="A4:E4"/>
    </sheetView>
  </sheetViews>
  <sheetFormatPr defaultRowHeight="15" x14ac:dyDescent="0.25"/>
  <cols>
    <col min="1" max="1" width="17" customWidth="1"/>
    <col min="2" max="2" width="19.28515625" customWidth="1"/>
    <col min="3" max="3" width="12" customWidth="1"/>
  </cols>
  <sheetData>
    <row r="1" spans="1:5" x14ac:dyDescent="0.25">
      <c r="A1" t="s">
        <v>862</v>
      </c>
    </row>
    <row r="2" spans="1:5" x14ac:dyDescent="0.25">
      <c r="A2" t="s">
        <v>863</v>
      </c>
    </row>
    <row r="3" spans="1:5" x14ac:dyDescent="0.25">
      <c r="A3" t="s">
        <v>864</v>
      </c>
    </row>
    <row r="4" spans="1:5" s="28" customFormat="1" ht="75" x14ac:dyDescent="0.25">
      <c r="A4" s="40" t="s">
        <v>0</v>
      </c>
      <c r="B4" s="41" t="s">
        <v>109</v>
      </c>
      <c r="C4" s="40" t="s">
        <v>848</v>
      </c>
      <c r="D4" s="42" t="s">
        <v>662</v>
      </c>
      <c r="E4" s="42" t="s">
        <v>661</v>
      </c>
    </row>
    <row r="5" spans="1:5" x14ac:dyDescent="0.25">
      <c r="A5">
        <v>11135250</v>
      </c>
      <c r="B5" s="3" t="s">
        <v>110</v>
      </c>
      <c r="C5" s="26">
        <v>0.432638791489939</v>
      </c>
      <c r="D5">
        <v>1</v>
      </c>
      <c r="E5">
        <v>0</v>
      </c>
    </row>
    <row r="6" spans="1:5" x14ac:dyDescent="0.25">
      <c r="A6">
        <v>11141280</v>
      </c>
      <c r="B6" s="3" t="s">
        <v>111</v>
      </c>
      <c r="C6" s="26">
        <v>4.3084877208099998E-5</v>
      </c>
      <c r="D6">
        <v>0</v>
      </c>
      <c r="E6">
        <v>0</v>
      </c>
    </row>
    <row r="7" spans="1:5" x14ac:dyDescent="0.25">
      <c r="A7">
        <v>11148900</v>
      </c>
      <c r="B7" s="3" t="s">
        <v>112</v>
      </c>
      <c r="C7" s="26">
        <v>0.64324986390854699</v>
      </c>
      <c r="D7">
        <v>1</v>
      </c>
      <c r="E7">
        <v>0</v>
      </c>
    </row>
    <row r="8" spans="1:5" x14ac:dyDescent="0.25">
      <c r="A8">
        <v>11152000</v>
      </c>
      <c r="B8" s="3" t="s">
        <v>113</v>
      </c>
      <c r="C8" s="26">
        <v>1.5340909090909101E-3</v>
      </c>
      <c r="D8">
        <v>0</v>
      </c>
      <c r="E8">
        <v>0</v>
      </c>
    </row>
    <row r="9" spans="1:5" x14ac:dyDescent="0.25">
      <c r="A9">
        <v>11152650</v>
      </c>
      <c r="B9" s="3" t="s">
        <v>114</v>
      </c>
      <c r="C9" s="26">
        <v>29.4406167971892</v>
      </c>
      <c r="D9">
        <v>7</v>
      </c>
      <c r="E9">
        <v>5</v>
      </c>
    </row>
    <row r="10" spans="1:5" x14ac:dyDescent="0.25">
      <c r="A10">
        <v>11153650</v>
      </c>
      <c r="B10" s="3" t="s">
        <v>115</v>
      </c>
      <c r="C10" s="26">
        <v>0.57618495945250303</v>
      </c>
      <c r="D10">
        <v>1</v>
      </c>
      <c r="E10">
        <v>0</v>
      </c>
    </row>
    <row r="11" spans="1:5" x14ac:dyDescent="0.25">
      <c r="A11">
        <v>11159200</v>
      </c>
      <c r="B11" s="3" t="s">
        <v>116</v>
      </c>
      <c r="C11" s="26">
        <v>3.6686510033893803E-2</v>
      </c>
      <c r="D11">
        <v>0</v>
      </c>
      <c r="E11">
        <v>0</v>
      </c>
    </row>
    <row r="12" spans="1:5" x14ac:dyDescent="0.25">
      <c r="A12">
        <v>11176900</v>
      </c>
      <c r="B12" s="3" t="s">
        <v>117</v>
      </c>
      <c r="C12" s="26">
        <v>0</v>
      </c>
      <c r="D12">
        <v>0</v>
      </c>
      <c r="E12">
        <v>0</v>
      </c>
    </row>
    <row r="13" spans="1:5" x14ac:dyDescent="0.25">
      <c r="A13">
        <v>11182400</v>
      </c>
      <c r="B13" s="3" t="s">
        <v>118</v>
      </c>
      <c r="C13" s="26">
        <v>1.0276716747305001E-2</v>
      </c>
      <c r="D13">
        <v>0</v>
      </c>
      <c r="E13">
        <v>0</v>
      </c>
    </row>
    <row r="14" spans="1:5" x14ac:dyDescent="0.25">
      <c r="A14">
        <v>11182500</v>
      </c>
      <c r="B14" s="3" t="s">
        <v>119</v>
      </c>
      <c r="C14" s="26">
        <v>0</v>
      </c>
      <c r="D14">
        <v>0</v>
      </c>
      <c r="E14">
        <v>0</v>
      </c>
    </row>
    <row r="15" spans="1:5" x14ac:dyDescent="0.25">
      <c r="A15">
        <v>11456500</v>
      </c>
      <c r="B15" s="3" t="s">
        <v>120</v>
      </c>
      <c r="C15" s="26">
        <v>3.2608695652173899E-4</v>
      </c>
      <c r="D15">
        <v>0</v>
      </c>
      <c r="E15">
        <v>0</v>
      </c>
    </row>
    <row r="16" spans="1:5" x14ac:dyDescent="0.25">
      <c r="A16">
        <v>11458300</v>
      </c>
      <c r="B16" s="3" t="s">
        <v>121</v>
      </c>
      <c r="C16" s="26">
        <v>4.5951766574037302E-2</v>
      </c>
      <c r="D16">
        <v>0</v>
      </c>
      <c r="E16">
        <v>0</v>
      </c>
    </row>
    <row r="17" spans="1:5" x14ac:dyDescent="0.25">
      <c r="A17">
        <v>11459500</v>
      </c>
      <c r="B17" s="3" t="s">
        <v>122</v>
      </c>
      <c r="C17" s="26">
        <v>4.2857142857142903E-3</v>
      </c>
      <c r="D17">
        <v>0</v>
      </c>
      <c r="E17">
        <v>0</v>
      </c>
    </row>
    <row r="18" spans="1:5" x14ac:dyDescent="0.25">
      <c r="A18">
        <v>11460000</v>
      </c>
      <c r="B18" s="3" t="s">
        <v>123</v>
      </c>
      <c r="C18" s="26">
        <v>9.2227272727272696E-3</v>
      </c>
      <c r="D18">
        <v>0</v>
      </c>
      <c r="E18">
        <v>0</v>
      </c>
    </row>
    <row r="19" spans="1:5" x14ac:dyDescent="0.25">
      <c r="A19">
        <v>11465660</v>
      </c>
      <c r="B19" s="3" t="s">
        <v>124</v>
      </c>
      <c r="C19" s="26">
        <v>0</v>
      </c>
      <c r="D19">
        <v>0</v>
      </c>
      <c r="E19">
        <v>0</v>
      </c>
    </row>
    <row r="20" spans="1:5" x14ac:dyDescent="0.25">
      <c r="A20">
        <v>11465690</v>
      </c>
      <c r="B20" s="3" t="s">
        <v>125</v>
      </c>
      <c r="C20" s="26">
        <v>0.24960778382738499</v>
      </c>
      <c r="D20">
        <v>0</v>
      </c>
      <c r="E20">
        <v>0</v>
      </c>
    </row>
    <row r="21" spans="1:5" x14ac:dyDescent="0.25">
      <c r="A21">
        <v>11466170</v>
      </c>
      <c r="B21" s="3" t="s">
        <v>126</v>
      </c>
      <c r="C21" s="26">
        <v>0.189594330400782</v>
      </c>
      <c r="D21">
        <v>0</v>
      </c>
      <c r="E21">
        <v>0</v>
      </c>
    </row>
    <row r="22" spans="1:5" x14ac:dyDescent="0.25">
      <c r="A22">
        <v>11466200</v>
      </c>
      <c r="B22" s="3" t="s">
        <v>127</v>
      </c>
      <c r="C22" s="26">
        <v>3.8461538461538498E-3</v>
      </c>
      <c r="D22">
        <v>0</v>
      </c>
      <c r="E22">
        <v>0</v>
      </c>
    </row>
    <row r="23" spans="1:5" x14ac:dyDescent="0.25">
      <c r="A23">
        <v>11466320</v>
      </c>
      <c r="B23" s="3" t="s">
        <v>128</v>
      </c>
      <c r="C23" s="26">
        <v>2.1925133689839598E-3</v>
      </c>
      <c r="D23">
        <v>0</v>
      </c>
      <c r="E23">
        <v>0</v>
      </c>
    </row>
    <row r="24" spans="1:5" x14ac:dyDescent="0.25">
      <c r="A24" s="34">
        <v>351436120405201</v>
      </c>
      <c r="B24" s="3" t="s">
        <v>129</v>
      </c>
      <c r="C24" s="26">
        <v>7.2016460905349799E-2</v>
      </c>
      <c r="D24">
        <v>0</v>
      </c>
      <c r="E24">
        <v>0</v>
      </c>
    </row>
    <row r="25" spans="1:5" x14ac:dyDescent="0.25">
      <c r="A25" s="34">
        <v>352934120395501</v>
      </c>
      <c r="B25" s="3" t="s">
        <v>130</v>
      </c>
      <c r="C25" s="26">
        <v>9.5343545343545305E-2</v>
      </c>
      <c r="D25">
        <v>0</v>
      </c>
      <c r="E25">
        <v>0</v>
      </c>
    </row>
    <row r="26" spans="1:5" x14ac:dyDescent="0.25">
      <c r="A26" s="34">
        <v>363608121255201</v>
      </c>
      <c r="B26" s="3" t="s">
        <v>131</v>
      </c>
      <c r="C26" s="26">
        <v>1.4959723820483301E-4</v>
      </c>
      <c r="D26">
        <v>0</v>
      </c>
      <c r="E26">
        <v>0</v>
      </c>
    </row>
    <row r="27" spans="1:5" x14ac:dyDescent="0.25">
      <c r="A27" s="34">
        <v>364138121373701</v>
      </c>
      <c r="B27" s="3" t="s">
        <v>132</v>
      </c>
      <c r="C27" s="26">
        <v>0.70167794283427398</v>
      </c>
      <c r="D27">
        <v>1</v>
      </c>
      <c r="E27">
        <v>0</v>
      </c>
    </row>
    <row r="28" spans="1:5" x14ac:dyDescent="0.25">
      <c r="A28" s="34">
        <v>364155121363901</v>
      </c>
      <c r="B28" s="3" t="s">
        <v>133</v>
      </c>
      <c r="C28" s="26">
        <v>15.6399368831182</v>
      </c>
      <c r="D28">
        <v>5</v>
      </c>
      <c r="E28">
        <v>4</v>
      </c>
    </row>
    <row r="29" spans="1:5" x14ac:dyDescent="0.25">
      <c r="A29" s="34">
        <v>365634121264001</v>
      </c>
      <c r="B29" s="3" t="s">
        <v>134</v>
      </c>
      <c r="C29" s="26">
        <v>5.6181506181506198E-3</v>
      </c>
      <c r="D29">
        <v>0</v>
      </c>
      <c r="E29">
        <v>0</v>
      </c>
    </row>
    <row r="30" spans="1:5" x14ac:dyDescent="0.25">
      <c r="A30" s="34">
        <v>365736121250801</v>
      </c>
      <c r="B30" s="3" t="s">
        <v>135</v>
      </c>
      <c r="C30" s="26">
        <v>0.36582008070258698</v>
      </c>
      <c r="D30">
        <v>1</v>
      </c>
      <c r="E30">
        <v>0</v>
      </c>
    </row>
    <row r="31" spans="1:5" x14ac:dyDescent="0.25">
      <c r="A31" s="34">
        <v>365955121350601</v>
      </c>
      <c r="B31" s="3" t="s">
        <v>136</v>
      </c>
      <c r="C31" s="26">
        <v>2.5893769152196102E-3</v>
      </c>
      <c r="D31">
        <v>0</v>
      </c>
      <c r="E31">
        <v>0</v>
      </c>
    </row>
    <row r="32" spans="1:5" x14ac:dyDescent="0.25">
      <c r="A32" s="34">
        <v>371554121474101</v>
      </c>
      <c r="B32" s="3" t="s">
        <v>137</v>
      </c>
      <c r="C32" s="26">
        <v>2.5239692001987099E-2</v>
      </c>
      <c r="D32">
        <v>1</v>
      </c>
      <c r="E32">
        <v>0</v>
      </c>
    </row>
    <row r="33" spans="1:5" x14ac:dyDescent="0.25">
      <c r="A33" s="34">
        <v>371620122005801</v>
      </c>
      <c r="B33" s="3" t="s">
        <v>138</v>
      </c>
      <c r="C33" s="26">
        <v>0</v>
      </c>
      <c r="D33">
        <v>0</v>
      </c>
      <c r="E33">
        <v>0</v>
      </c>
    </row>
    <row r="34" spans="1:5" x14ac:dyDescent="0.25">
      <c r="A34" s="34">
        <v>371738121555901</v>
      </c>
      <c r="B34" s="3" t="s">
        <v>139</v>
      </c>
      <c r="C34" s="26">
        <v>0.19908786002439299</v>
      </c>
      <c r="D34">
        <v>0</v>
      </c>
      <c r="E34">
        <v>0</v>
      </c>
    </row>
    <row r="35" spans="1:5" x14ac:dyDescent="0.25">
      <c r="A35" s="34">
        <v>372500122081201</v>
      </c>
      <c r="B35" s="3" t="s">
        <v>140</v>
      </c>
      <c r="C35" s="26">
        <v>5.0756708130125901E-2</v>
      </c>
      <c r="D35">
        <v>0</v>
      </c>
      <c r="E35">
        <v>0</v>
      </c>
    </row>
    <row r="36" spans="1:5" x14ac:dyDescent="0.25">
      <c r="A36" s="34">
        <v>374708122132801</v>
      </c>
      <c r="B36" s="3" t="s">
        <v>141</v>
      </c>
      <c r="C36" s="26">
        <v>1.6041226215644799E-2</v>
      </c>
      <c r="D36">
        <v>0</v>
      </c>
      <c r="E36">
        <v>0</v>
      </c>
    </row>
    <row r="37" spans="1:5" x14ac:dyDescent="0.25">
      <c r="A37" s="34">
        <v>374933122001301</v>
      </c>
      <c r="B37" s="3" t="s">
        <v>142</v>
      </c>
      <c r="C37" s="26">
        <v>0.46950871496924101</v>
      </c>
      <c r="D37">
        <v>1</v>
      </c>
      <c r="E37">
        <v>0</v>
      </c>
    </row>
    <row r="38" spans="1:5" x14ac:dyDescent="0.25">
      <c r="A38" s="34">
        <v>375220122104201</v>
      </c>
      <c r="B38" s="29" t="s">
        <v>143</v>
      </c>
      <c r="C38" s="26">
        <v>0.46552341597796099</v>
      </c>
      <c r="D38" s="24">
        <v>1</v>
      </c>
      <c r="E38" s="24">
        <v>0</v>
      </c>
    </row>
    <row r="39" spans="1:5" x14ac:dyDescent="0.25">
      <c r="A39" s="34">
        <v>375257122050001</v>
      </c>
      <c r="B39" s="3" t="s">
        <v>854</v>
      </c>
      <c r="C39" s="26">
        <v>1.42951251646904E-3</v>
      </c>
      <c r="D39">
        <v>0</v>
      </c>
      <c r="E39">
        <v>0</v>
      </c>
    </row>
    <row r="40" spans="1:5" x14ac:dyDescent="0.25">
      <c r="A40" s="34">
        <v>375312122113501</v>
      </c>
      <c r="B40" s="3" t="s">
        <v>145</v>
      </c>
      <c r="C40" s="26">
        <v>0.51102603768780197</v>
      </c>
      <c r="D40">
        <v>1</v>
      </c>
      <c r="E40">
        <v>1</v>
      </c>
    </row>
    <row r="41" spans="1:5" x14ac:dyDescent="0.25">
      <c r="A41" s="34">
        <v>375413122033301</v>
      </c>
      <c r="B41" s="3" t="s">
        <v>146</v>
      </c>
      <c r="C41" s="26">
        <v>0.59254437229437196</v>
      </c>
      <c r="D41">
        <v>1</v>
      </c>
      <c r="E41">
        <v>0</v>
      </c>
    </row>
    <row r="42" spans="1:5" x14ac:dyDescent="0.25">
      <c r="A42" s="34">
        <v>375701121564401</v>
      </c>
      <c r="B42" s="3" t="s">
        <v>147</v>
      </c>
      <c r="C42" s="26">
        <v>0.14478991596638699</v>
      </c>
      <c r="D42">
        <v>0</v>
      </c>
      <c r="E42">
        <v>0</v>
      </c>
    </row>
    <row r="43" spans="1:5" x14ac:dyDescent="0.25">
      <c r="A43" s="34">
        <v>375808122172601</v>
      </c>
      <c r="B43" s="3" t="s">
        <v>148</v>
      </c>
      <c r="C43" s="26">
        <v>2.8716450216450199E-3</v>
      </c>
      <c r="D43">
        <v>0</v>
      </c>
      <c r="E43">
        <v>0</v>
      </c>
    </row>
    <row r="44" spans="1:5" x14ac:dyDescent="0.25">
      <c r="A44" s="34">
        <v>380345122345201</v>
      </c>
      <c r="B44" s="3" t="s">
        <v>149</v>
      </c>
      <c r="C44" s="26">
        <v>0</v>
      </c>
      <c r="D44">
        <v>0</v>
      </c>
      <c r="E44">
        <v>0</v>
      </c>
    </row>
    <row r="45" spans="1:5" x14ac:dyDescent="0.25">
      <c r="A45" s="34">
        <v>380410122315501</v>
      </c>
      <c r="B45" s="3" t="s">
        <v>150</v>
      </c>
      <c r="C45" s="26">
        <v>0.13575260325260299</v>
      </c>
      <c r="D45">
        <v>0</v>
      </c>
      <c r="E45">
        <v>0</v>
      </c>
    </row>
    <row r="46" spans="1:5" x14ac:dyDescent="0.25">
      <c r="A46" s="34">
        <v>381441122064301</v>
      </c>
      <c r="B46" s="3" t="s">
        <v>151</v>
      </c>
      <c r="C46" s="26">
        <v>4.4772727272727299E-3</v>
      </c>
      <c r="D46">
        <v>0</v>
      </c>
      <c r="E46">
        <v>0</v>
      </c>
    </row>
    <row r="47" spans="1:5" x14ac:dyDescent="0.25">
      <c r="A47" s="34">
        <v>381740122395901</v>
      </c>
      <c r="B47" s="3" t="s">
        <v>152</v>
      </c>
      <c r="C47" s="26">
        <v>1.2637362637362599E-3</v>
      </c>
      <c r="D47">
        <v>0</v>
      </c>
      <c r="E47">
        <v>0</v>
      </c>
    </row>
    <row r="48" spans="1:5" x14ac:dyDescent="0.25">
      <c r="A48" s="34">
        <v>382017122161101</v>
      </c>
      <c r="B48" s="3" t="s">
        <v>153</v>
      </c>
      <c r="C48" s="26">
        <v>0</v>
      </c>
      <c r="D48">
        <v>0</v>
      </c>
      <c r="E48">
        <v>0</v>
      </c>
    </row>
    <row r="49" spans="1:5" x14ac:dyDescent="0.25">
      <c r="A49" s="34">
        <v>382035121575501</v>
      </c>
      <c r="B49" s="3" t="s">
        <v>154</v>
      </c>
      <c r="C49" s="26">
        <v>0.50047368421052596</v>
      </c>
      <c r="D49">
        <v>1</v>
      </c>
      <c r="E49">
        <v>0</v>
      </c>
    </row>
    <row r="50" spans="1:5" x14ac:dyDescent="0.25">
      <c r="A50" s="34">
        <v>382245122001601</v>
      </c>
      <c r="B50" s="3" t="s">
        <v>155</v>
      </c>
      <c r="C50" s="26">
        <v>9.0909090909090898E-4</v>
      </c>
      <c r="D50">
        <v>0</v>
      </c>
      <c r="E50">
        <v>0</v>
      </c>
    </row>
    <row r="51" spans="1:5" x14ac:dyDescent="0.25">
      <c r="A51" s="34">
        <v>382346122521201</v>
      </c>
      <c r="B51" s="3" t="s">
        <v>156</v>
      </c>
      <c r="C51" s="26">
        <v>9.7898328523328502E-3</v>
      </c>
      <c r="D51">
        <v>0</v>
      </c>
      <c r="E51">
        <v>0</v>
      </c>
    </row>
    <row r="52" spans="1:5" x14ac:dyDescent="0.25">
      <c r="A52" s="34">
        <v>382619122531401</v>
      </c>
      <c r="B52" s="3" t="s">
        <v>157</v>
      </c>
      <c r="C52" s="26">
        <v>1.03825757575758E-2</v>
      </c>
      <c r="D52">
        <v>0</v>
      </c>
      <c r="E52">
        <v>0</v>
      </c>
    </row>
    <row r="53" spans="1:5" x14ac:dyDescent="0.25">
      <c r="A53" s="34">
        <v>382634122315201</v>
      </c>
      <c r="B53" s="3" t="s">
        <v>158</v>
      </c>
      <c r="C53" s="26">
        <v>0</v>
      </c>
      <c r="D53">
        <v>0</v>
      </c>
      <c r="E53">
        <v>0</v>
      </c>
    </row>
    <row r="54" spans="1:5" x14ac:dyDescent="0.25">
      <c r="A54" s="34">
        <v>383039122502401</v>
      </c>
      <c r="B54" s="3" t="s">
        <v>159</v>
      </c>
      <c r="C54" s="26">
        <v>0</v>
      </c>
      <c r="D54">
        <v>0</v>
      </c>
      <c r="E54">
        <v>0</v>
      </c>
    </row>
    <row r="55" spans="1:5" x14ac:dyDescent="0.25">
      <c r="A55" s="34">
        <v>383109122363301</v>
      </c>
      <c r="B55" s="3" t="s">
        <v>160</v>
      </c>
      <c r="C55" s="26">
        <v>0</v>
      </c>
      <c r="D55">
        <v>0</v>
      </c>
      <c r="E55">
        <v>0</v>
      </c>
    </row>
    <row r="56" spans="1:5" x14ac:dyDescent="0.25">
      <c r="A56" s="34">
        <v>383305122311901</v>
      </c>
      <c r="B56" s="3" t="s">
        <v>161</v>
      </c>
      <c r="C56" s="26">
        <v>0</v>
      </c>
      <c r="D56">
        <v>0</v>
      </c>
      <c r="E56">
        <v>0</v>
      </c>
    </row>
    <row r="57" spans="1:5" x14ac:dyDescent="0.25">
      <c r="A57" s="34">
        <v>383321122302101</v>
      </c>
      <c r="B57" s="3" t="s">
        <v>162</v>
      </c>
      <c r="C57" s="26">
        <v>0</v>
      </c>
      <c r="D57">
        <v>0</v>
      </c>
      <c r="E57">
        <v>0</v>
      </c>
    </row>
    <row r="58" spans="1:5" x14ac:dyDescent="0.25">
      <c r="A58" s="34">
        <v>383719122462501</v>
      </c>
      <c r="B58" s="3" t="s">
        <v>163</v>
      </c>
      <c r="C58" s="26">
        <v>0.14705882352941199</v>
      </c>
      <c r="D58">
        <v>0</v>
      </c>
      <c r="E5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12" sqref="G12"/>
    </sheetView>
  </sheetViews>
  <sheetFormatPr defaultRowHeight="15" x14ac:dyDescent="0.25"/>
  <cols>
    <col min="1" max="1" width="19.42578125" customWidth="1"/>
    <col min="2" max="2" width="19.85546875" customWidth="1"/>
    <col min="3" max="3" width="16.28515625" customWidth="1"/>
    <col min="5" max="5" width="8.7109375" bestFit="1" customWidth="1"/>
  </cols>
  <sheetData>
    <row r="1" spans="1:5" x14ac:dyDescent="0.25">
      <c r="A1" t="s">
        <v>865</v>
      </c>
    </row>
    <row r="2" spans="1:5" ht="18" x14ac:dyDescent="0.35">
      <c r="A2" t="s">
        <v>866</v>
      </c>
    </row>
    <row r="4" spans="1:5" ht="61.5" x14ac:dyDescent="0.35">
      <c r="A4" s="42" t="s">
        <v>819</v>
      </c>
      <c r="B4" s="42" t="s">
        <v>820</v>
      </c>
      <c r="C4" s="42" t="s">
        <v>821</v>
      </c>
      <c r="D4" s="42" t="s">
        <v>822</v>
      </c>
      <c r="E4" s="42" t="s">
        <v>868</v>
      </c>
    </row>
    <row r="5" spans="1:5" x14ac:dyDescent="0.25">
      <c r="A5">
        <v>11153650</v>
      </c>
      <c r="B5" t="s">
        <v>115</v>
      </c>
      <c r="C5" t="s">
        <v>178</v>
      </c>
      <c r="D5">
        <v>2.4</v>
      </c>
      <c r="E5" s="26">
        <v>0.55555555555555602</v>
      </c>
    </row>
    <row r="6" spans="1:5" x14ac:dyDescent="0.25">
      <c r="A6" s="34">
        <v>374933122001301</v>
      </c>
      <c r="B6" t="s">
        <v>142</v>
      </c>
      <c r="C6" t="s">
        <v>178</v>
      </c>
      <c r="D6">
        <v>3.2</v>
      </c>
      <c r="E6" s="26">
        <v>0.46783625730994199</v>
      </c>
    </row>
    <row r="7" spans="1:5" x14ac:dyDescent="0.25">
      <c r="A7" s="34">
        <v>375220122104201</v>
      </c>
      <c r="B7" t="s">
        <v>143</v>
      </c>
      <c r="C7" t="s">
        <v>178</v>
      </c>
      <c r="D7">
        <v>0.6</v>
      </c>
      <c r="E7" s="26">
        <v>0.45454545454545497</v>
      </c>
    </row>
    <row r="8" spans="1:5" x14ac:dyDescent="0.25">
      <c r="A8" s="34">
        <v>375312122113501</v>
      </c>
      <c r="B8" t="s">
        <v>145</v>
      </c>
      <c r="C8" t="s">
        <v>178</v>
      </c>
      <c r="D8">
        <v>0.6</v>
      </c>
      <c r="E8" s="26">
        <v>0.5</v>
      </c>
    </row>
    <row r="9" spans="1:5" x14ac:dyDescent="0.25">
      <c r="A9" s="34">
        <v>375413122033301</v>
      </c>
      <c r="B9" t="s">
        <v>146</v>
      </c>
      <c r="C9" t="s">
        <v>178</v>
      </c>
      <c r="D9">
        <v>0.7</v>
      </c>
      <c r="E9" s="26">
        <v>0.58333333333333304</v>
      </c>
    </row>
    <row r="10" spans="1:5" x14ac:dyDescent="0.25">
      <c r="A10" s="34">
        <v>382035121575501</v>
      </c>
      <c r="B10" t="s">
        <v>154</v>
      </c>
      <c r="C10" t="s">
        <v>178</v>
      </c>
      <c r="D10">
        <v>0.6</v>
      </c>
      <c r="E10" s="26">
        <v>0.5</v>
      </c>
    </row>
    <row r="11" spans="1:5" x14ac:dyDescent="0.25">
      <c r="A11">
        <v>11135250</v>
      </c>
      <c r="B11" t="s">
        <v>110</v>
      </c>
      <c r="C11" t="s">
        <v>190</v>
      </c>
      <c r="D11">
        <v>1.7</v>
      </c>
      <c r="E11" s="26">
        <v>0.42972699696663302</v>
      </c>
    </row>
    <row r="12" spans="1:5" x14ac:dyDescent="0.25">
      <c r="A12">
        <v>11148900</v>
      </c>
      <c r="B12" t="s">
        <v>112</v>
      </c>
      <c r="C12" t="s">
        <v>199</v>
      </c>
      <c r="D12">
        <v>5.9</v>
      </c>
      <c r="E12" s="26">
        <v>0.64235166031573199</v>
      </c>
    </row>
    <row r="13" spans="1:5" x14ac:dyDescent="0.25">
      <c r="A13">
        <v>11152650</v>
      </c>
      <c r="B13" t="s">
        <v>114</v>
      </c>
      <c r="C13" t="s">
        <v>199</v>
      </c>
      <c r="D13">
        <v>48.8</v>
      </c>
      <c r="E13" s="26">
        <v>12.154420921544199</v>
      </c>
    </row>
    <row r="14" spans="1:5" x14ac:dyDescent="0.25">
      <c r="A14" s="34">
        <v>364138121373701</v>
      </c>
      <c r="B14" t="s">
        <v>132</v>
      </c>
      <c r="C14" t="s">
        <v>199</v>
      </c>
      <c r="D14">
        <v>1.9</v>
      </c>
      <c r="E14" s="26">
        <v>0.42648709315375999</v>
      </c>
    </row>
    <row r="15" spans="1:5" x14ac:dyDescent="0.25">
      <c r="A15" s="34">
        <v>365736121250801</v>
      </c>
      <c r="B15" t="s">
        <v>135</v>
      </c>
      <c r="C15" t="s">
        <v>199</v>
      </c>
      <c r="D15">
        <v>7.7</v>
      </c>
      <c r="E15" s="26">
        <v>0.36553524804177501</v>
      </c>
    </row>
    <row r="16" spans="1:5" x14ac:dyDescent="0.25">
      <c r="A16" s="34">
        <v>371554121474101</v>
      </c>
      <c r="B16" t="s">
        <v>137</v>
      </c>
      <c r="C16" t="s">
        <v>663</v>
      </c>
      <c r="D16">
        <v>5.2</v>
      </c>
      <c r="E16" s="26">
        <v>2.1857923497267801E-2</v>
      </c>
    </row>
    <row r="17" spans="1:5" x14ac:dyDescent="0.25">
      <c r="A17" s="34">
        <v>364155121363901</v>
      </c>
      <c r="B17" t="s">
        <v>133</v>
      </c>
      <c r="C17" t="s">
        <v>227</v>
      </c>
      <c r="D17">
        <v>12.7</v>
      </c>
      <c r="E17" s="26">
        <v>6.0018903591682404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28" workbookViewId="0">
      <selection activeCell="A2" sqref="A2"/>
    </sheetView>
  </sheetViews>
  <sheetFormatPr defaultRowHeight="15" x14ac:dyDescent="0.25"/>
  <cols>
    <col min="1" max="1" width="14.42578125" customWidth="1"/>
    <col min="2" max="2" width="16.28515625" customWidth="1"/>
    <col min="3" max="3" width="10.85546875" customWidth="1"/>
    <col min="4" max="4" width="10.140625" customWidth="1"/>
    <col min="5" max="5" width="44.28515625" customWidth="1"/>
  </cols>
  <sheetData>
    <row r="1" spans="1:5" x14ac:dyDescent="0.25">
      <c r="A1" t="s">
        <v>867</v>
      </c>
    </row>
    <row r="2" spans="1:5" ht="30" x14ac:dyDescent="0.25">
      <c r="A2" s="30" t="s">
        <v>740</v>
      </c>
      <c r="B2" s="30" t="s">
        <v>739</v>
      </c>
      <c r="C2" s="30" t="s">
        <v>738</v>
      </c>
      <c r="D2" s="30" t="s">
        <v>737</v>
      </c>
      <c r="E2" s="30" t="s">
        <v>736</v>
      </c>
    </row>
    <row r="3" spans="1:5" ht="30" x14ac:dyDescent="0.25">
      <c r="A3" t="s">
        <v>735</v>
      </c>
      <c r="B3" t="s">
        <v>734</v>
      </c>
      <c r="C3" t="s">
        <v>727</v>
      </c>
      <c r="D3" t="s">
        <v>671</v>
      </c>
      <c r="E3" s="28" t="s">
        <v>733</v>
      </c>
    </row>
    <row r="4" spans="1:5" ht="30" x14ac:dyDescent="0.25">
      <c r="B4" t="s">
        <v>732</v>
      </c>
      <c r="C4" t="s">
        <v>727</v>
      </c>
      <c r="D4" t="s">
        <v>671</v>
      </c>
      <c r="E4" s="28" t="s">
        <v>731</v>
      </c>
    </row>
    <row r="5" spans="1:5" ht="30" x14ac:dyDescent="0.25">
      <c r="B5" t="s">
        <v>730</v>
      </c>
      <c r="C5" t="s">
        <v>727</v>
      </c>
      <c r="D5" t="s">
        <v>671</v>
      </c>
      <c r="E5" s="28" t="s">
        <v>729</v>
      </c>
    </row>
    <row r="6" spans="1:5" ht="30" x14ac:dyDescent="0.25">
      <c r="B6" t="s">
        <v>728</v>
      </c>
      <c r="C6" t="s">
        <v>727</v>
      </c>
      <c r="D6" t="s">
        <v>671</v>
      </c>
      <c r="E6" s="28" t="s">
        <v>726</v>
      </c>
    </row>
    <row r="8" spans="1:5" ht="75" x14ac:dyDescent="0.25">
      <c r="A8" t="s">
        <v>725</v>
      </c>
      <c r="B8" t="s">
        <v>724</v>
      </c>
      <c r="C8" t="s">
        <v>676</v>
      </c>
      <c r="D8" t="s">
        <v>671</v>
      </c>
      <c r="E8" s="28" t="s">
        <v>723</v>
      </c>
    </row>
    <row r="9" spans="1:5" x14ac:dyDescent="0.25">
      <c r="B9" t="s">
        <v>722</v>
      </c>
      <c r="C9" t="s">
        <v>676</v>
      </c>
      <c r="D9" t="s">
        <v>671</v>
      </c>
      <c r="E9" s="28" t="s">
        <v>721</v>
      </c>
    </row>
    <row r="10" spans="1:5" ht="30" x14ac:dyDescent="0.25">
      <c r="B10" t="s">
        <v>720</v>
      </c>
      <c r="C10" t="s">
        <v>676</v>
      </c>
      <c r="D10" t="s">
        <v>671</v>
      </c>
      <c r="E10" s="28" t="s">
        <v>719</v>
      </c>
    </row>
    <row r="11" spans="1:5" x14ac:dyDescent="0.25">
      <c r="B11" t="s">
        <v>718</v>
      </c>
      <c r="C11" t="s">
        <v>676</v>
      </c>
      <c r="D11" t="s">
        <v>671</v>
      </c>
      <c r="E11" s="28" t="s">
        <v>717</v>
      </c>
    </row>
    <row r="12" spans="1:5" ht="30" x14ac:dyDescent="0.25">
      <c r="B12" t="s">
        <v>716</v>
      </c>
      <c r="C12" t="s">
        <v>676</v>
      </c>
      <c r="D12" t="s">
        <v>666</v>
      </c>
      <c r="E12" s="28" t="s">
        <v>715</v>
      </c>
    </row>
    <row r="13" spans="1:5" ht="30" x14ac:dyDescent="0.25">
      <c r="B13" t="s">
        <v>714</v>
      </c>
      <c r="C13" t="s">
        <v>676</v>
      </c>
      <c r="D13" t="s">
        <v>666</v>
      </c>
      <c r="E13" s="28" t="s">
        <v>713</v>
      </c>
    </row>
    <row r="14" spans="1:5" ht="45" x14ac:dyDescent="0.25">
      <c r="B14" t="s">
        <v>712</v>
      </c>
      <c r="C14" t="s">
        <v>676</v>
      </c>
      <c r="D14" t="s">
        <v>671</v>
      </c>
      <c r="E14" s="28" t="s">
        <v>711</v>
      </c>
    </row>
    <row r="15" spans="1:5" ht="45" x14ac:dyDescent="0.25">
      <c r="B15" t="s">
        <v>710</v>
      </c>
      <c r="C15" t="s">
        <v>676</v>
      </c>
      <c r="D15" t="s">
        <v>671</v>
      </c>
      <c r="E15" s="28" t="s">
        <v>709</v>
      </c>
    </row>
    <row r="17" spans="1:5" x14ac:dyDescent="0.25">
      <c r="A17" t="s">
        <v>708</v>
      </c>
      <c r="B17" t="s">
        <v>707</v>
      </c>
      <c r="C17" t="s">
        <v>667</v>
      </c>
      <c r="D17" t="s">
        <v>666</v>
      </c>
      <c r="E17" s="28" t="s">
        <v>706</v>
      </c>
    </row>
    <row r="18" spans="1:5" ht="30" x14ac:dyDescent="0.25">
      <c r="B18" t="s">
        <v>705</v>
      </c>
      <c r="C18" t="s">
        <v>667</v>
      </c>
      <c r="D18" t="s">
        <v>666</v>
      </c>
      <c r="E18" s="28" t="s">
        <v>704</v>
      </c>
    </row>
    <row r="19" spans="1:5" ht="30" x14ac:dyDescent="0.25">
      <c r="B19" t="s">
        <v>703</v>
      </c>
      <c r="C19" t="s">
        <v>667</v>
      </c>
      <c r="D19" t="s">
        <v>666</v>
      </c>
      <c r="E19" s="28" t="s">
        <v>702</v>
      </c>
    </row>
    <row r="20" spans="1:5" ht="30" x14ac:dyDescent="0.25">
      <c r="B20" t="s">
        <v>701</v>
      </c>
      <c r="C20" t="s">
        <v>667</v>
      </c>
      <c r="D20" t="s">
        <v>666</v>
      </c>
      <c r="E20" s="28" t="s">
        <v>700</v>
      </c>
    </row>
    <row r="22" spans="1:5" ht="60" x14ac:dyDescent="0.25">
      <c r="A22" t="s">
        <v>699</v>
      </c>
      <c r="B22" t="s">
        <v>698</v>
      </c>
      <c r="C22" s="28" t="s">
        <v>693</v>
      </c>
      <c r="D22" t="s">
        <v>664</v>
      </c>
      <c r="E22" s="28" t="s">
        <v>697</v>
      </c>
    </row>
    <row r="23" spans="1:5" ht="60" x14ac:dyDescent="0.25">
      <c r="B23" t="s">
        <v>696</v>
      </c>
      <c r="C23" s="28" t="s">
        <v>693</v>
      </c>
      <c r="D23" t="s">
        <v>666</v>
      </c>
      <c r="E23" s="28" t="s">
        <v>695</v>
      </c>
    </row>
    <row r="24" spans="1:5" ht="60" x14ac:dyDescent="0.25">
      <c r="B24" t="s">
        <v>694</v>
      </c>
      <c r="C24" s="28" t="s">
        <v>693</v>
      </c>
      <c r="D24" t="s">
        <v>664</v>
      </c>
      <c r="E24" s="28" t="s">
        <v>692</v>
      </c>
    </row>
    <row r="25" spans="1:5" ht="30" x14ac:dyDescent="0.25">
      <c r="B25" t="s">
        <v>691</v>
      </c>
      <c r="C25" s="28" t="s">
        <v>688</v>
      </c>
      <c r="D25" t="s">
        <v>671</v>
      </c>
      <c r="E25" s="28" t="s">
        <v>690</v>
      </c>
    </row>
    <row r="26" spans="1:5" ht="30" x14ac:dyDescent="0.25">
      <c r="B26" t="s">
        <v>689</v>
      </c>
      <c r="C26" s="28" t="s">
        <v>688</v>
      </c>
      <c r="D26" t="s">
        <v>671</v>
      </c>
      <c r="E26" s="28" t="s">
        <v>687</v>
      </c>
    </row>
    <row r="27" spans="1:5" x14ac:dyDescent="0.25">
      <c r="B27" t="s">
        <v>686</v>
      </c>
      <c r="C27" s="28" t="s">
        <v>676</v>
      </c>
      <c r="D27" t="s">
        <v>664</v>
      </c>
      <c r="E27" s="28" t="s">
        <v>685</v>
      </c>
    </row>
    <row r="28" spans="1:5" x14ac:dyDescent="0.25">
      <c r="B28" t="s">
        <v>684</v>
      </c>
      <c r="C28" s="28" t="s">
        <v>683</v>
      </c>
      <c r="D28" t="s">
        <v>671</v>
      </c>
      <c r="E28" s="28" t="s">
        <v>682</v>
      </c>
    </row>
    <row r="29" spans="1:5" x14ac:dyDescent="0.25">
      <c r="B29" t="s">
        <v>681</v>
      </c>
      <c r="C29" s="28" t="s">
        <v>676</v>
      </c>
      <c r="D29" t="s">
        <v>671</v>
      </c>
      <c r="E29" s="28" t="s">
        <v>680</v>
      </c>
    </row>
    <row r="30" spans="1:5" x14ac:dyDescent="0.25">
      <c r="B30" t="s">
        <v>679</v>
      </c>
      <c r="C30" s="28" t="s">
        <v>676</v>
      </c>
      <c r="D30" t="s">
        <v>664</v>
      </c>
      <c r="E30" s="28" t="s">
        <v>678</v>
      </c>
    </row>
    <row r="31" spans="1:5" x14ac:dyDescent="0.25">
      <c r="B31" t="s">
        <v>677</v>
      </c>
      <c r="C31" s="28" t="s">
        <v>676</v>
      </c>
      <c r="D31" t="s">
        <v>675</v>
      </c>
      <c r="E31" s="28" t="s">
        <v>674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 1 Site IDS for map</vt:lpstr>
      <vt:lpstr>SI 2 Sed data</vt:lpstr>
      <vt:lpstr>SI 3 Biofilm data</vt:lpstr>
      <vt:lpstr>SI 4 Compound list</vt:lpstr>
      <vt:lpstr>SI 5 GAM variables</vt:lpstr>
      <vt:lpstr>SI 6 Detection Frequencies</vt:lpstr>
      <vt:lpstr>SI 7 Benchmarks </vt:lpstr>
      <vt:lpstr>SI 8 TUmax</vt:lpstr>
      <vt:lpstr>SI 9 Tobit regression variables</vt:lpstr>
      <vt:lpstr>SI 10 GAM data</vt:lpstr>
      <vt:lpstr>SI 11 Pesticide use in g-km2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Vinyard, Megan L</cp:lastModifiedBy>
  <dcterms:created xsi:type="dcterms:W3CDTF">2019-07-17T19:17:15Z</dcterms:created>
  <dcterms:modified xsi:type="dcterms:W3CDTF">2020-04-15T19:44:38Z</dcterms:modified>
</cp:coreProperties>
</file>