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cours\Projet initiation à l'ingénierie (MPX12CI10)\rapport sous latex\version la plus aboutie\"/>
    </mc:Choice>
  </mc:AlternateContent>
  <xr:revisionPtr revIDLastSave="0" documentId="13_ncr:1_{C384E50E-1C5A-4708-BB68-12718B05B94F}" xr6:coauthVersionLast="46" xr6:coauthVersionMax="46" xr10:uidLastSave="{00000000-0000-0000-0000-000000000000}"/>
  <bookViews>
    <workbookView xWindow="-108" yWindow="-108" windowWidth="23256" windowHeight="12576" xr2:uid="{7AB51CDB-C189-4795-9405-7801AC17E0B0}"/>
  </bookViews>
  <sheets>
    <sheet name="Feuil1" sheetId="1" r:id="rId1"/>
  </sheets>
  <definedNames>
    <definedName name="solver_adj" localSheetId="0" hidden="1">Feuil1!$I$7:$I$15</definedName>
    <definedName name="solver_cvg" localSheetId="0" hidden="1">0.00000000000000001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hs1" localSheetId="0" hidden="1">Feuil1!$M$7</definedName>
    <definedName name="solver_lhs2" localSheetId="0" hidden="1">Feuil1!$M$8</definedName>
    <definedName name="solver_lhs3" localSheetId="0" hidden="1">Feuil1!$M$9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Feuil1!$Y$17</definedName>
    <definedName name="solver_pre" localSheetId="0" hidden="1">0.0000000000001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Feuil1!$N$7</definedName>
    <definedName name="solver_rhs2" localSheetId="0" hidden="1">Feuil1!$N$8</definedName>
    <definedName name="solver_rhs3" localSheetId="0" hidden="1">Feuil1!$N$9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Y8" i="1" s="1"/>
  <c r="W7" i="1"/>
  <c r="Y7" i="1" s="1"/>
  <c r="W9" i="1"/>
  <c r="Y9" i="1" s="1"/>
  <c r="K15" i="1"/>
  <c r="K14" i="1"/>
  <c r="K13" i="1"/>
  <c r="K12" i="1"/>
  <c r="K11" i="1"/>
  <c r="K10" i="1"/>
  <c r="K9" i="1"/>
  <c r="K8" i="1"/>
  <c r="K7" i="1"/>
  <c r="N9" i="1"/>
  <c r="N8" i="1"/>
  <c r="N7" i="1"/>
  <c r="H8" i="1"/>
  <c r="H7" i="1"/>
  <c r="H14" i="1"/>
  <c r="H13" i="1"/>
  <c r="H11" i="1"/>
  <c r="H10" i="1"/>
  <c r="B22" i="1"/>
  <c r="C22" i="1" s="1"/>
  <c r="E23" i="1" s="1"/>
  <c r="H15" i="1"/>
  <c r="H12" i="1"/>
  <c r="H9" i="1"/>
  <c r="B19" i="1"/>
  <c r="C19" i="1" s="1"/>
  <c r="B16" i="1"/>
  <c r="C16" i="1" s="1"/>
  <c r="E17" i="1" s="1"/>
  <c r="B13" i="1"/>
  <c r="C13" i="1" s="1"/>
  <c r="B10" i="1"/>
  <c r="C10" i="1" s="1"/>
  <c r="E11" i="1" s="1"/>
  <c r="B7" i="1"/>
  <c r="C7" i="1" s="1"/>
  <c r="L17" i="1" l="1"/>
  <c r="M8" i="1"/>
  <c r="L19" i="1"/>
  <c r="L18" i="1"/>
  <c r="M7" i="1"/>
  <c r="M9" i="1"/>
  <c r="E16" i="1"/>
  <c r="E7" i="1"/>
  <c r="E8" i="1"/>
  <c r="E14" i="1"/>
  <c r="E13" i="1"/>
  <c r="R9" i="1" s="1"/>
  <c r="E20" i="1"/>
  <c r="E19" i="1"/>
  <c r="E22" i="1"/>
  <c r="E10" i="1"/>
  <c r="R7" i="1" l="1"/>
  <c r="Q11" i="1"/>
  <c r="R11" i="1"/>
  <c r="Q10" i="1"/>
  <c r="R10" i="1"/>
  <c r="Q8" i="1"/>
  <c r="R8" i="1"/>
  <c r="Q12" i="1"/>
  <c r="R12" i="1"/>
  <c r="L20" i="1"/>
  <c r="Q9" i="1"/>
  <c r="S9" i="1" s="1"/>
  <c r="Q7" i="1"/>
  <c r="S12" i="1" l="1"/>
  <c r="S11" i="1"/>
  <c r="S7" i="1"/>
  <c r="S10" i="1"/>
  <c r="S8" i="1"/>
  <c r="W11" i="1"/>
  <c r="Y11" i="1" s="1"/>
  <c r="W13" i="1"/>
  <c r="W12" i="1"/>
  <c r="Y12" i="1" s="1"/>
  <c r="Y17" i="1" l="1"/>
</calcChain>
</file>

<file path=xl/sharedStrings.xml><?xml version="1.0" encoding="utf-8"?>
<sst xmlns="http://schemas.openxmlformats.org/spreadsheetml/2006/main" count="87" uniqueCount="84">
  <si>
    <t>Rayon Bas</t>
  </si>
  <si>
    <t xml:space="preserve">Rayon Haut </t>
  </si>
  <si>
    <t>H</t>
  </si>
  <si>
    <t>Delta Theta</t>
  </si>
  <si>
    <t>Points bas</t>
  </si>
  <si>
    <t>Angle</t>
  </si>
  <si>
    <t>Radians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</si>
  <si>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</si>
  <si>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</si>
  <si>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</si>
  <si>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</si>
  <si>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</si>
  <si>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</si>
  <si>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</si>
  <si>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</si>
  <si>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</si>
  <si>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</si>
  <si>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</si>
  <si>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</si>
  <si>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X5</t>
  </si>
  <si>
    <t>Y5</t>
  </si>
  <si>
    <t>Z5</t>
  </si>
  <si>
    <t>X6</t>
  </si>
  <si>
    <t>Y6</t>
  </si>
  <si>
    <t>Z6</t>
  </si>
  <si>
    <t>Theta 1</t>
  </si>
  <si>
    <t>Theta 2</t>
  </si>
  <si>
    <t>Theta 3</t>
  </si>
  <si>
    <t>Theta 4</t>
  </si>
  <si>
    <t>Theta 5</t>
  </si>
  <si>
    <t>Theta 6</t>
  </si>
  <si>
    <t>Coordonnées</t>
  </si>
  <si>
    <t>Points hauts</t>
  </si>
  <si>
    <t>XA</t>
  </si>
  <si>
    <t>YA</t>
  </si>
  <si>
    <t>ZA</t>
  </si>
  <si>
    <t>XB</t>
  </si>
  <si>
    <t>YB</t>
  </si>
  <si>
    <t>ZB</t>
  </si>
  <si>
    <t>XC</t>
  </si>
  <si>
    <t>YC</t>
  </si>
  <si>
    <t>ZC</t>
  </si>
  <si>
    <t>Théoriques</t>
  </si>
  <si>
    <t>Ajustées</t>
  </si>
  <si>
    <t>XAB</t>
  </si>
  <si>
    <t>YAB</t>
  </si>
  <si>
    <t>ZAB</t>
  </si>
  <si>
    <t>XAC</t>
  </si>
  <si>
    <t>YAC</t>
  </si>
  <si>
    <t>ZAC</t>
  </si>
  <si>
    <t>XBC</t>
  </si>
  <si>
    <t>YBC</t>
  </si>
  <si>
    <t>ZBC</t>
  </si>
  <si>
    <t>norme</t>
  </si>
  <si>
    <t>AC</t>
  </si>
  <si>
    <t>AB</t>
  </si>
  <si>
    <t>BC</t>
  </si>
  <si>
    <t>cible</t>
  </si>
  <si>
    <t>Barres</t>
  </si>
  <si>
    <t>1A</t>
  </si>
  <si>
    <t>2B</t>
  </si>
  <si>
    <t>3B</t>
  </si>
  <si>
    <t>4C</t>
  </si>
  <si>
    <t>5C</t>
  </si>
  <si>
    <t>6A</t>
  </si>
  <si>
    <t>Longueurs initiales</t>
  </si>
  <si>
    <t>Longueurs ajustées</t>
  </si>
  <si>
    <t>delta L</t>
  </si>
  <si>
    <t>Plateforme</t>
  </si>
  <si>
    <t>XG</t>
  </si>
  <si>
    <t>YG</t>
  </si>
  <si>
    <t>ZG</t>
  </si>
  <si>
    <t>Valeur</t>
  </si>
  <si>
    <t xml:space="preserve">Cible </t>
  </si>
  <si>
    <t>Ecart²</t>
  </si>
  <si>
    <t>AB^AC</t>
  </si>
  <si>
    <t>Nx</t>
  </si>
  <si>
    <t>Ny</t>
  </si>
  <si>
    <t>fonction coût</t>
  </si>
  <si>
    <t>Pondération</t>
  </si>
  <si>
    <t>Norme AB^AC</t>
  </si>
  <si>
    <t>Nz</t>
  </si>
  <si>
    <t>Degrés</t>
  </si>
  <si>
    <t>Millimètres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</si>
</sst>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/>
    <xf numFmtId="0" fontId="0" fillId="0" borderId="0" xfId="0" applyFill="1"/>
    <xf numFmtId="0" fontId="0" fillId="5" borderId="0" xfId="0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0A1D-5E04-49A7-B05D-5F15C225323E}">
  <dimension ref="A1:Z24"/>
  <sheetViews>
    <sheetView tabSelected="1" zoomScale="85" zoomScaleNormal="85" workbookViewId="0"/>
  </sheetViews>
  <sheetFormatPr baseColWidth="10" defaultRowHeight="14.4" x14ac:dyDescent="0.3"/>
  <cols>
    <col min="2" max="3" width="11.6640625" bestFit="1" customWidth="1"/>
    <col min="5" max="5" width="13.44140625" bestFit="1" customWidth="1"/>
    <col min="8" max="8" width="11.6640625" bestFit="1" customWidth="1"/>
    <col min="9" max="9" width="15.5546875" bestFit="1" customWidth="1"/>
    <col min="11" max="11" width="16.6640625" bestFit="1" customWidth="1"/>
    <col min="12" max="12" width="15.5546875" bestFit="1" customWidth="1"/>
    <col min="13" max="14" width="11.77734375" bestFit="1" customWidth="1"/>
    <col min="17" max="18" width="16.88671875" customWidth="1"/>
    <col min="19" max="19" width="11.77734375" bestFit="1" customWidth="1"/>
    <col min="23" max="23" width="16.6640625" bestFit="1" customWidth="1"/>
    <col min="24" max="24" width="11.77734375" bestFit="1" customWidth="1"/>
    <col min="25" max="25" width="15.5546875" bestFit="1" customWidth="1"/>
    <col min="26" max="26" width="11.77734375" bestFit="1" customWidth="1"/>
  </cols>
  <sheetData>
    <row r="1" spans="1:26" x14ac:dyDescent="0.3">
      <c r="A1" t="s">
        <v>0</v>
      </c>
      <c r="B1">
        <v>128.5</v>
      </c>
      <c r="C1" t="s">
        <v>83</v>
      </c>
    </row>
    <row r="2" spans="1:26" x14ac:dyDescent="0.3">
      <c r="A2" t="s">
        <v>1</v>
      </c>
      <c r="B2">
        <v>127</v>
      </c>
      <c r="C2" t="s">
        <v>83</v>
      </c>
    </row>
    <row r="3" spans="1:26" x14ac:dyDescent="0.3">
      <c r="A3" t="s">
        <v>2</v>
      </c>
      <c r="B3">
        <v>50</v>
      </c>
      <c r="C3" t="s">
        <v>83</v>
      </c>
    </row>
    <row r="4" spans="1:26" x14ac:dyDescent="0.3">
      <c r="A4" t="s">
        <v>3</v>
      </c>
      <c r="B4">
        <v>30</v>
      </c>
      <c r="C4" s="6" t="s">
        <v>82</v>
      </c>
    </row>
    <row r="5" spans="1:26" x14ac:dyDescent="0.3">
      <c r="A5" s="1"/>
      <c r="B5" s="1"/>
      <c r="C5" s="1" t="s">
        <v>4</v>
      </c>
      <c r="D5" s="1"/>
      <c r="E5" s="1"/>
      <c r="G5" s="9" t="s">
        <v>32</v>
      </c>
      <c r="H5" s="9"/>
      <c r="I5" s="9"/>
      <c r="J5" s="9"/>
      <c r="K5" s="9"/>
      <c r="L5" s="9"/>
      <c r="M5" s="9"/>
      <c r="N5" s="2"/>
      <c r="P5" s="10" t="s">
        <v>58</v>
      </c>
      <c r="Q5" s="10"/>
      <c r="R5" s="10"/>
      <c r="S5" s="10"/>
      <c r="U5" s="11" t="s">
        <v>68</v>
      </c>
      <c r="V5" s="11"/>
      <c r="W5" s="11"/>
      <c r="X5" s="11"/>
      <c r="Y5" s="11"/>
      <c r="Z5" s="4"/>
    </row>
    <row r="6" spans="1:26" x14ac:dyDescent="0.3">
      <c r="A6" s="1" t="s">
        <v>5</v>
      </c>
      <c r="B6" s="1" t="s">
        <v>82</v>
      </c>
      <c r="C6" s="1" t="s">
        <v>6</v>
      </c>
      <c r="D6" s="8" t="s">
        <v>31</v>
      </c>
      <c r="E6" s="8"/>
      <c r="G6" s="2"/>
      <c r="H6" s="2" t="s">
        <v>42</v>
      </c>
      <c r="I6" s="2" t="s">
        <v>43</v>
      </c>
      <c r="J6" s="2"/>
      <c r="K6" s="2"/>
      <c r="L6" s="2"/>
      <c r="M6" s="2" t="s">
        <v>53</v>
      </c>
      <c r="N6" s="2" t="s">
        <v>57</v>
      </c>
      <c r="P6" s="3"/>
      <c r="Q6" s="3" t="s">
        <v>65</v>
      </c>
      <c r="R6" s="3" t="s">
        <v>66</v>
      </c>
      <c r="S6" s="3" t="s">
        <v>67</v>
      </c>
      <c r="U6" s="4"/>
      <c r="V6" s="4"/>
      <c r="W6" s="4" t="s">
        <v>72</v>
      </c>
      <c r="X6" s="4" t="s">
        <v>73</v>
      </c>
      <c r="Y6" s="4" t="s">
        <v>74</v>
      </c>
      <c r="Z6" s="4" t="s">
        <v>79</v>
      </c>
    </row>
    <row r="7" spans="1:26" x14ac:dyDescent="0.3">
      <c r="A7" s="1" t="s">
        <v>25</v>
      </c>
      <c r="B7" s="1">
        <f>0+B4</f>
        <v>30</v>
      </c>
      <c r="C7" s="1">
        <f>RADIANS(B7)</f>
        <v>0.52359877559829882</v>
      </c>
      <c r="D7" s="1" t="s">
        <v>7</v>
      </c>
      <c r="E7" s="1">
        <f>COS(C7)*B1</f>
        <v>111.28426438630038</v>
      </c>
      <c r="G7" s="2" t="s">
        <v>33</v>
      </c>
      <c r="H7" s="2">
        <f>COS(RADIANS(0))*B2</f>
        <v>127</v>
      </c>
      <c r="I7" s="2">
        <v>126.99998623101769</v>
      </c>
      <c r="J7" s="2" t="s">
        <v>44</v>
      </c>
      <c r="K7" s="2">
        <f>I10-I7</f>
        <v>-190.50011012340434</v>
      </c>
      <c r="L7" s="2" t="s">
        <v>55</v>
      </c>
      <c r="M7" s="2">
        <f>SQRT(K7^2+K8^2+K9^2)</f>
        <v>219.97045256124741</v>
      </c>
      <c r="N7" s="2">
        <f>SQRT(3)*B2</f>
        <v>219.97045256124741</v>
      </c>
      <c r="P7" s="3" t="s">
        <v>59</v>
      </c>
      <c r="Q7" s="3">
        <f>SQRT((H7-E7)^2+(H8-E8)^2+(H9-E9)^2)</f>
        <v>82.915902249687335</v>
      </c>
      <c r="R7" s="3">
        <f>SQRT((I7-E7)^2+(I8-E8)^2+(I9-E9)^2)</f>
        <v>96.306964056719238</v>
      </c>
      <c r="S7" s="3">
        <f>R7-Q7</f>
        <v>13.391061807031903</v>
      </c>
      <c r="U7" s="4"/>
      <c r="V7" s="4" t="s">
        <v>69</v>
      </c>
      <c r="W7" s="4">
        <f>(I7+I10+I13)/3</f>
        <v>-1.3768918667741067E-5</v>
      </c>
      <c r="X7" s="4">
        <v>0</v>
      </c>
      <c r="Y7" s="4">
        <f>(X7-W7)^2</f>
        <v>1.8958312127886845E-10</v>
      </c>
      <c r="Z7" s="7">
        <v>1</v>
      </c>
    </row>
    <row r="8" spans="1:26" x14ac:dyDescent="0.3">
      <c r="A8" s="1"/>
      <c r="B8" s="1"/>
      <c r="C8" s="1"/>
      <c r="D8" s="1" t="s">
        <v>8</v>
      </c>
      <c r="E8" s="1">
        <f>SIN(C7)*B1</f>
        <v>64.249999999999986</v>
      </c>
      <c r="G8" s="2" t="s">
        <v>34</v>
      </c>
      <c r="H8" s="2">
        <f>SIN(RADIANS(0))*B2</f>
        <v>0</v>
      </c>
      <c r="I8" s="2">
        <v>1.1605791183004348E-4</v>
      </c>
      <c r="J8" s="2" t="s">
        <v>45</v>
      </c>
      <c r="K8" s="2">
        <f>I11-I8</f>
        <v>109.98503554107177</v>
      </c>
      <c r="L8" s="2" t="s">
        <v>54</v>
      </c>
      <c r="M8" s="2">
        <f>SQRT(K10^2+K11^2+K12^2)</f>
        <v>219.97045256124744</v>
      </c>
      <c r="N8" s="2">
        <f>SQRT(3)*B2</f>
        <v>219.97045256124741</v>
      </c>
      <c r="P8" s="3" t="s">
        <v>60</v>
      </c>
      <c r="Q8" s="3">
        <f>SQRT((H10-E10)^2+(H11-E11)^2+(H12-E12)^2)</f>
        <v>82.915902249687335</v>
      </c>
      <c r="R8" s="3">
        <f>SQRT((I10-E10)^2+(I11-E11)^2+(I12-E12)^2)</f>
        <v>96.307140732667023</v>
      </c>
      <c r="S8" s="3">
        <f t="shared" ref="S8:S12" si="0">R8-Q8</f>
        <v>13.391238482979688</v>
      </c>
      <c r="U8" s="4"/>
      <c r="V8" s="4" t="s">
        <v>70</v>
      </c>
      <c r="W8" s="4">
        <f>(I8+I11+I14)/3</f>
        <v>-1.1101752709426668E-5</v>
      </c>
      <c r="X8" s="4">
        <v>0</v>
      </c>
      <c r="Y8" s="4">
        <f t="shared" ref="Y8:Y12" si="1">(X8-W8)^2</f>
        <v>1.2324891322126236E-10</v>
      </c>
      <c r="Z8" s="7"/>
    </row>
    <row r="9" spans="1:26" x14ac:dyDescent="0.3">
      <c r="A9" s="1"/>
      <c r="B9" s="1"/>
      <c r="C9" s="1"/>
      <c r="D9" s="1" t="s">
        <v>9</v>
      </c>
      <c r="E9" s="1">
        <v>0</v>
      </c>
      <c r="G9" s="2" t="s">
        <v>35</v>
      </c>
      <c r="H9" s="2">
        <f>B3</f>
        <v>50</v>
      </c>
      <c r="I9" s="2">
        <v>69.999998758213479</v>
      </c>
      <c r="J9" s="2" t="s">
        <v>46</v>
      </c>
      <c r="K9" s="2">
        <f>I12-I9</f>
        <v>1.316362627790113E-6</v>
      </c>
      <c r="L9" s="2" t="s">
        <v>56</v>
      </c>
      <c r="M9" s="2">
        <f>SQRT(K13^2+K14^2+K15^2)</f>
        <v>219.97045256124741</v>
      </c>
      <c r="N9" s="2">
        <f>SQRT(3)*B2</f>
        <v>219.97045256124741</v>
      </c>
      <c r="P9" s="3" t="s">
        <v>61</v>
      </c>
      <c r="Q9" s="3">
        <f>SQRT((H10-E13)^2+(H11-E14)^2+(H12-E15)^2)</f>
        <v>82.915902249687377</v>
      </c>
      <c r="R9" s="3">
        <f>SQRT((I10-E13)^2+(I11-E14)^2+(I12-E15)^2)</f>
        <v>96.306947750225959</v>
      </c>
      <c r="S9" s="3">
        <f t="shared" si="0"/>
        <v>13.391045500538581</v>
      </c>
      <c r="U9" s="4"/>
      <c r="V9" s="4" t="s">
        <v>71</v>
      </c>
      <c r="W9" s="4">
        <f>(I9+I12+I15)/3</f>
        <v>69.99999950063733</v>
      </c>
      <c r="X9" s="4">
        <v>70</v>
      </c>
      <c r="Y9" s="4">
        <f t="shared" si="1"/>
        <v>2.4936307651446816E-13</v>
      </c>
      <c r="Z9" s="7"/>
    </row>
    <row r="10" spans="1:26" x14ac:dyDescent="0.3">
      <c r="A10" s="1" t="s">
        <v>26</v>
      </c>
      <c r="B10" s="1">
        <f>120-B4</f>
        <v>90</v>
      </c>
      <c r="C10" s="1">
        <f>RADIANS(B10)</f>
        <v>1.5707963267948966</v>
      </c>
      <c r="D10" s="1" t="s">
        <v>10</v>
      </c>
      <c r="E10" s="1">
        <f>COS(C10)*B1</f>
        <v>7.8715788227878836E-15</v>
      </c>
      <c r="G10" s="2" t="s">
        <v>36</v>
      </c>
      <c r="H10" s="2">
        <f>COS(RADIANS(120))*B2</f>
        <v>-63.499999999999972</v>
      </c>
      <c r="I10" s="2">
        <v>-63.500123892386668</v>
      </c>
      <c r="J10" s="2" t="s">
        <v>47</v>
      </c>
      <c r="K10" s="2">
        <f>I13-I7</f>
        <v>-190.49988987640472</v>
      </c>
      <c r="L10" s="2"/>
      <c r="M10" s="2"/>
      <c r="N10" s="2"/>
      <c r="P10" s="3" t="s">
        <v>62</v>
      </c>
      <c r="Q10" s="3">
        <f>SQRT((H13-E16)^2+(H14-E17)^2+(H15-E18)^2)</f>
        <v>82.915902249687278</v>
      </c>
      <c r="R10" s="3">
        <f>SQRT((I13-E16)^2+(I14-E17)^2+(I15-E18)^2)</f>
        <v>96.307127665576459</v>
      </c>
      <c r="S10" s="3">
        <f t="shared" si="0"/>
        <v>13.391225415889181</v>
      </c>
      <c r="U10" s="4"/>
      <c r="V10" s="4"/>
      <c r="W10" s="4"/>
      <c r="X10" s="4"/>
      <c r="Y10" s="4"/>
      <c r="Z10" s="4"/>
    </row>
    <row r="11" spans="1:26" x14ac:dyDescent="0.3">
      <c r="A11" s="1"/>
      <c r="B11" s="1"/>
      <c r="C11" s="1"/>
      <c r="D11" s="1" t="s">
        <v>11</v>
      </c>
      <c r="E11" s="1">
        <f>SIN(C10)*B1</f>
        <v>128.5</v>
      </c>
      <c r="G11" s="2" t="s">
        <v>37</v>
      </c>
      <c r="H11" s="2">
        <f>SIN(RADIANS(120))*B2</f>
        <v>109.98522628062372</v>
      </c>
      <c r="I11" s="2">
        <v>109.98515159898359</v>
      </c>
      <c r="J11" s="2" t="s">
        <v>48</v>
      </c>
      <c r="K11" s="2">
        <f>I14-I8</f>
        <v>-109.98541702006537</v>
      </c>
      <c r="L11" s="2"/>
      <c r="M11" s="2"/>
      <c r="N11" s="2"/>
      <c r="P11" s="3" t="s">
        <v>63</v>
      </c>
      <c r="Q11" s="3">
        <f>SQRT((H13-E19)^2+(H14-E20)^2+(H15-E21)^2)</f>
        <v>82.915902249687377</v>
      </c>
      <c r="R11" s="3">
        <f>SQRT((I13-E19)^2+(I14-E20)^2+(I15-E21)^2)</f>
        <v>96.306966503532891</v>
      </c>
      <c r="S11" s="3">
        <f t="shared" si="0"/>
        <v>13.391064253845514</v>
      </c>
      <c r="U11" s="4"/>
      <c r="V11" s="4" t="s">
        <v>76</v>
      </c>
      <c r="W11" s="4">
        <f>L17/$L$20</f>
        <v>5.845859009872923E-9</v>
      </c>
      <c r="X11" s="4">
        <v>0</v>
      </c>
      <c r="Y11" s="4">
        <f t="shared" si="1"/>
        <v>3.4174067563312433E-17</v>
      </c>
      <c r="Z11" s="7">
        <v>1</v>
      </c>
    </row>
    <row r="12" spans="1:26" x14ac:dyDescent="0.3">
      <c r="A12" s="1"/>
      <c r="B12" s="1"/>
      <c r="C12" s="1"/>
      <c r="D12" s="1" t="s">
        <v>12</v>
      </c>
      <c r="E12" s="1">
        <v>0</v>
      </c>
      <c r="G12" s="2" t="s">
        <v>38</v>
      </c>
      <c r="H12" s="2">
        <f>B3</f>
        <v>50</v>
      </c>
      <c r="I12" s="2">
        <v>70.000000074576107</v>
      </c>
      <c r="J12" s="2" t="s">
        <v>49</v>
      </c>
      <c r="K12" s="2">
        <f>I15-I9</f>
        <v>9.1090895182333043E-7</v>
      </c>
      <c r="L12" s="2"/>
      <c r="M12" s="2"/>
      <c r="N12" s="2"/>
      <c r="P12" s="3" t="s">
        <v>64</v>
      </c>
      <c r="Q12" s="3">
        <f>SQRT((H7-E22)^2+(H8-E23)^2+(H9-E24)^2)</f>
        <v>82.915902249687335</v>
      </c>
      <c r="R12" s="3">
        <f>SQRT((I7-E22)^2+(I8-E23)^2+(I9-E24)^2)</f>
        <v>96.307118909795818</v>
      </c>
      <c r="S12" s="3">
        <f t="shared" si="0"/>
        <v>13.391216660108483</v>
      </c>
      <c r="U12" s="4"/>
      <c r="V12" s="4" t="s">
        <v>77</v>
      </c>
      <c r="W12" s="4">
        <f t="shared" ref="W12:W13" si="2">L18/$L$20</f>
        <v>6.8602778744840665E-10</v>
      </c>
      <c r="X12" s="4">
        <v>0</v>
      </c>
      <c r="Y12" s="4">
        <f t="shared" si="1"/>
        <v>4.7063412515135626E-19</v>
      </c>
      <c r="Z12" s="7"/>
    </row>
    <row r="13" spans="1:26" x14ac:dyDescent="0.3">
      <c r="A13" s="1" t="s">
        <v>27</v>
      </c>
      <c r="B13" s="1">
        <f>120+B4</f>
        <v>150</v>
      </c>
      <c r="C13" s="1">
        <f>RADIANS(B13)</f>
        <v>2.6179938779914944</v>
      </c>
      <c r="D13" s="1" t="s">
        <v>13</v>
      </c>
      <c r="E13" s="1">
        <f>COS(C13)*B1</f>
        <v>-111.28426438630038</v>
      </c>
      <c r="G13" s="2" t="s">
        <v>39</v>
      </c>
      <c r="H13" s="2">
        <f>COS(RADIANS(240))*B2</f>
        <v>-63.500000000000057</v>
      </c>
      <c r="I13" s="2">
        <v>-63.499903645387022</v>
      </c>
      <c r="J13" s="2" t="s">
        <v>50</v>
      </c>
      <c r="K13" s="2">
        <f>I13-I10</f>
        <v>2.2024699964617866E-4</v>
      </c>
      <c r="L13" s="2"/>
      <c r="M13" s="2"/>
      <c r="N13" s="2"/>
      <c r="P13" s="3"/>
      <c r="Q13" s="3"/>
      <c r="R13" s="3"/>
      <c r="S13" s="3"/>
      <c r="U13" s="4"/>
      <c r="V13" s="4" t="s">
        <v>81</v>
      </c>
      <c r="W13" s="4">
        <f t="shared" si="2"/>
        <v>1</v>
      </c>
      <c r="X13" s="4"/>
      <c r="Y13" s="4"/>
      <c r="Z13" s="5"/>
    </row>
    <row r="14" spans="1:26" x14ac:dyDescent="0.3">
      <c r="A14" s="1"/>
      <c r="B14" s="1"/>
      <c r="C14" s="1"/>
      <c r="D14" s="1" t="s">
        <v>14</v>
      </c>
      <c r="E14" s="1">
        <f>SIN(C13)*B1</f>
        <v>64.249999999999986</v>
      </c>
      <c r="G14" s="2" t="s">
        <v>40</v>
      </c>
      <c r="H14" s="2">
        <f>SIN(RADIANS(240))*B2</f>
        <v>-109.98522628062368</v>
      </c>
      <c r="I14" s="2">
        <v>-109.98530096215354</v>
      </c>
      <c r="J14" s="2" t="s">
        <v>51</v>
      </c>
      <c r="K14" s="2">
        <f>I14-I11</f>
        <v>-219.97045256113714</v>
      </c>
      <c r="L14" s="2"/>
      <c r="M14" s="2"/>
      <c r="N14" s="2"/>
      <c r="P14" s="3"/>
      <c r="Q14" s="3"/>
      <c r="R14" s="3"/>
      <c r="S14" s="3"/>
      <c r="U14" s="4"/>
      <c r="V14" s="4"/>
      <c r="W14" s="4"/>
      <c r="X14" s="4"/>
      <c r="Y14" s="4"/>
      <c r="Z14" s="4"/>
    </row>
    <row r="15" spans="1:26" x14ac:dyDescent="0.3">
      <c r="A15" s="1"/>
      <c r="B15" s="1"/>
      <c r="C15" s="1"/>
      <c r="D15" s="1" t="s">
        <v>15</v>
      </c>
      <c r="E15" s="1">
        <v>0</v>
      </c>
      <c r="G15" s="2" t="s">
        <v>41</v>
      </c>
      <c r="H15" s="2">
        <f>B3</f>
        <v>50</v>
      </c>
      <c r="I15" s="2">
        <v>69.999999669122431</v>
      </c>
      <c r="J15" s="2" t="s">
        <v>52</v>
      </c>
      <c r="K15" s="2">
        <f>I15-I12</f>
        <v>-4.0545367596678261E-7</v>
      </c>
      <c r="L15" s="2"/>
      <c r="M15" s="2"/>
      <c r="N15" s="2"/>
      <c r="P15" s="3"/>
      <c r="Q15" s="3"/>
      <c r="R15" s="3"/>
      <c r="S15" s="3"/>
      <c r="U15" s="4"/>
      <c r="V15" s="4"/>
      <c r="W15" s="4"/>
      <c r="X15" s="4"/>
      <c r="Y15" s="4"/>
      <c r="Z15" s="4"/>
    </row>
    <row r="16" spans="1:26" x14ac:dyDescent="0.3">
      <c r="A16" s="1" t="s">
        <v>28</v>
      </c>
      <c r="B16" s="1">
        <f>240-B4</f>
        <v>210</v>
      </c>
      <c r="C16" s="1">
        <f>RADIANS(B16)</f>
        <v>3.6651914291880923</v>
      </c>
      <c r="D16" s="1" t="s">
        <v>16</v>
      </c>
      <c r="E16" s="1">
        <f>COS(C16)*B1</f>
        <v>-111.28426438630036</v>
      </c>
      <c r="G16" s="2"/>
      <c r="H16" s="2"/>
      <c r="I16" s="2"/>
      <c r="J16" s="2"/>
      <c r="K16" s="2"/>
      <c r="L16" s="2"/>
      <c r="M16" s="2"/>
      <c r="N16" s="2"/>
      <c r="P16" s="3"/>
      <c r="Q16" s="3"/>
      <c r="R16" s="3"/>
      <c r="S16" s="3"/>
      <c r="U16" s="4"/>
      <c r="V16" s="4"/>
      <c r="W16" s="4"/>
      <c r="X16" s="4"/>
      <c r="Y16" s="4"/>
      <c r="Z16" s="4"/>
    </row>
    <row r="17" spans="1:26" x14ac:dyDescent="0.3">
      <c r="A17" s="1"/>
      <c r="B17" s="1"/>
      <c r="C17" s="1"/>
      <c r="D17" s="1" t="s">
        <v>17</v>
      </c>
      <c r="E17" s="1">
        <f>SIN(C16)*B1</f>
        <v>-64.250000000000014</v>
      </c>
      <c r="G17" s="2"/>
      <c r="H17" s="2"/>
      <c r="I17" s="2"/>
      <c r="J17" s="2"/>
      <c r="K17" s="2" t="s">
        <v>75</v>
      </c>
      <c r="L17" s="2">
        <f>K8*K12-K9*K11</f>
        <v>2.449670460080941E-4</v>
      </c>
      <c r="M17" s="2"/>
      <c r="N17" s="2"/>
      <c r="P17" s="3"/>
      <c r="Q17" s="3"/>
      <c r="R17" s="3"/>
      <c r="S17" s="3"/>
      <c r="U17" s="4"/>
      <c r="V17" s="4"/>
      <c r="W17" s="4"/>
      <c r="X17" s="4" t="s">
        <v>78</v>
      </c>
      <c r="Y17" s="4">
        <f>(Y7+Y8+Y9)*Z7+(Y11+Y12)*Z11</f>
        <v>3.1308143222134698E-10</v>
      </c>
      <c r="Z17" s="4"/>
    </row>
    <row r="18" spans="1:26" x14ac:dyDescent="0.3">
      <c r="A18" s="1"/>
      <c r="B18" s="1"/>
      <c r="C18" s="1"/>
      <c r="D18" s="1" t="s">
        <v>18</v>
      </c>
      <c r="E18" s="1">
        <v>0</v>
      </c>
      <c r="G18" s="2"/>
      <c r="H18" s="2"/>
      <c r="I18" s="2"/>
      <c r="J18" s="2"/>
      <c r="K18" s="2"/>
      <c r="L18" s="2">
        <f>K9*K11-K7*K12</f>
        <v>2.8747563067614589E-5</v>
      </c>
      <c r="M18" s="2"/>
      <c r="N18" s="2"/>
      <c r="P18" s="3"/>
      <c r="Q18" s="3"/>
      <c r="R18" s="3"/>
      <c r="S18" s="3"/>
      <c r="U18" s="4"/>
      <c r="V18" s="4"/>
      <c r="W18" s="4"/>
      <c r="X18" s="4"/>
      <c r="Y18" s="4"/>
      <c r="Z18" s="4"/>
    </row>
    <row r="19" spans="1:26" x14ac:dyDescent="0.3">
      <c r="A19" s="1" t="s">
        <v>29</v>
      </c>
      <c r="B19" s="1">
        <f>240+B4</f>
        <v>270</v>
      </c>
      <c r="C19" s="1">
        <f>RADIANS(B19)</f>
        <v>4.7123889803846897</v>
      </c>
      <c r="D19" s="1" t="s">
        <v>19</v>
      </c>
      <c r="E19" s="1">
        <f>COS(C19)*B1</f>
        <v>-2.3614736468363651E-14</v>
      </c>
      <c r="G19" s="2"/>
      <c r="H19" s="2"/>
      <c r="I19" s="2"/>
      <c r="J19" s="2"/>
      <c r="K19" s="2"/>
      <c r="L19" s="2">
        <f>K7*K11-K8*K10</f>
        <v>41904.371212917635</v>
      </c>
      <c r="M19" s="2"/>
      <c r="N19" s="2"/>
      <c r="P19" s="3"/>
      <c r="Q19" s="3"/>
      <c r="R19" s="3"/>
      <c r="S19" s="3"/>
      <c r="U19" s="4"/>
      <c r="V19" s="4"/>
      <c r="W19" s="4"/>
      <c r="X19" s="4"/>
      <c r="Y19" s="4"/>
      <c r="Z19" s="4"/>
    </row>
    <row r="20" spans="1:26" x14ac:dyDescent="0.3">
      <c r="A20" s="1"/>
      <c r="B20" s="1"/>
      <c r="C20" s="1"/>
      <c r="D20" s="1" t="s">
        <v>20</v>
      </c>
      <c r="E20" s="1">
        <f>SIN(C19)*B1</f>
        <v>-128.5</v>
      </c>
      <c r="G20" s="2"/>
      <c r="H20" s="2"/>
      <c r="I20" s="2"/>
      <c r="J20" s="2"/>
      <c r="K20" s="2" t="s">
        <v>80</v>
      </c>
      <c r="L20" s="2">
        <f>SQRT(L17^2+L18^2+L19^2)</f>
        <v>41904.371212917635</v>
      </c>
      <c r="M20" s="2"/>
      <c r="N20" s="2"/>
      <c r="P20" s="3"/>
      <c r="Q20" s="3"/>
      <c r="R20" s="3"/>
      <c r="S20" s="3"/>
      <c r="U20" s="4"/>
      <c r="V20" s="4"/>
      <c r="W20" s="4"/>
      <c r="X20" s="4"/>
      <c r="Y20" s="4"/>
      <c r="Z20" s="4"/>
    </row>
    <row r="21" spans="1:26" x14ac:dyDescent="0.3">
      <c r="A21" s="1"/>
      <c r="B21" s="1"/>
      <c r="C21" s="1"/>
      <c r="D21" s="1" t="s">
        <v>21</v>
      </c>
      <c r="E21" s="1">
        <v>0</v>
      </c>
      <c r="G21" s="2"/>
      <c r="H21" s="2"/>
      <c r="I21" s="2"/>
      <c r="J21" s="2"/>
      <c r="K21" s="2"/>
      <c r="L21" s="2"/>
      <c r="M21" s="2"/>
      <c r="N21" s="2"/>
      <c r="P21" s="3"/>
      <c r="Q21" s="3"/>
      <c r="R21" s="3"/>
      <c r="S21" s="3"/>
      <c r="U21" s="4"/>
      <c r="V21" s="4"/>
      <c r="W21" s="4"/>
      <c r="X21" s="4"/>
      <c r="Y21" s="4"/>
      <c r="Z21" s="4"/>
    </row>
    <row r="22" spans="1:26" x14ac:dyDescent="0.3">
      <c r="A22" s="1" t="s">
        <v>30</v>
      </c>
      <c r="B22" s="1">
        <f>0-B4</f>
        <v>-30</v>
      </c>
      <c r="C22" s="1">
        <f>RADIANS(B22)</f>
        <v>-0.52359877559829882</v>
      </c>
      <c r="D22" s="1" t="s">
        <v>22</v>
      </c>
      <c r="E22" s="1">
        <f>COS(C22)*B1</f>
        <v>111.28426438630038</v>
      </c>
      <c r="G22" s="2"/>
      <c r="H22" s="2"/>
      <c r="I22" s="2"/>
      <c r="J22" s="2"/>
      <c r="K22" s="2"/>
      <c r="L22" s="2"/>
      <c r="M22" s="2"/>
      <c r="N22" s="2"/>
      <c r="P22" s="3"/>
      <c r="Q22" s="3"/>
      <c r="R22" s="3"/>
      <c r="S22" s="3"/>
      <c r="U22" s="4"/>
      <c r="V22" s="4"/>
      <c r="W22" s="4"/>
      <c r="X22" s="4"/>
      <c r="Y22" s="4"/>
      <c r="Z22" s="4"/>
    </row>
    <row r="23" spans="1:26" x14ac:dyDescent="0.3">
      <c r="A23" s="1"/>
      <c r="B23" s="1"/>
      <c r="C23" s="1"/>
      <c r="D23" s="1" t="s">
        <v>23</v>
      </c>
      <c r="E23" s="1">
        <f>SIN(C22)*B1</f>
        <v>-64.249999999999986</v>
      </c>
      <c r="G23" s="2"/>
      <c r="H23" s="2"/>
      <c r="I23" s="2"/>
      <c r="J23" s="2"/>
      <c r="K23" s="2"/>
      <c r="L23" s="2"/>
      <c r="M23" s="2"/>
      <c r="N23" s="2"/>
      <c r="P23" s="3"/>
      <c r="Q23" s="3"/>
      <c r="R23" s="3"/>
      <c r="S23" s="3"/>
      <c r="U23" s="4"/>
      <c r="V23" s="4"/>
      <c r="W23" s="4"/>
      <c r="X23" s="4"/>
      <c r="Y23" s="4"/>
      <c r="Z23" s="4"/>
    </row>
    <row r="24" spans="1:26" x14ac:dyDescent="0.3">
      <c r="A24" s="1"/>
      <c r="B24" s="1"/>
      <c r="C24" s="1"/>
      <c r="D24" s="1" t="s">
        <v>24</v>
      </c>
      <c r="E24" s="1">
        <v>0</v>
      </c>
      <c r="G24" s="2"/>
      <c r="H24" s="2"/>
      <c r="I24" s="2"/>
      <c r="J24" s="2"/>
      <c r="K24" s="2"/>
      <c r="L24" s="2"/>
      <c r="M24" s="2"/>
      <c r="N24" s="2"/>
      <c r="P24" s="3"/>
      <c r="Q24" s="3"/>
      <c r="R24" s="3"/>
      <c r="S24" s="3"/>
      <c r="U24" s="4"/>
      <c r="V24" s="4"/>
      <c r="W24" s="4"/>
      <c r="X24" s="4"/>
      <c r="Y24" s="4"/>
      <c r="Z24" s="4"/>
    </row>
  </sheetData>
  <mergeCells count="6">
    <mergeCell ref="Z11:Z12"/>
    <mergeCell ref="D6:E6"/>
    <mergeCell ref="G5:M5"/>
    <mergeCell ref="P5:S5"/>
    <mergeCell ref="U5:Y5"/>
    <mergeCell ref="Z7:Z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2021-02-08T08:51:06Z</dcterms:created>
  <dcterms:modified xsi:type="dcterms:W3CDTF">2021-05-06T11:44:09Z</dcterms:modified>
</cp:coreProperties>
</file>