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3B035F30-E593-4721-9278-9CDB8F78ED5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Costo_Faltante">Hoja1!$B$3</definedName>
    <definedName name="_Costo_Frasco">Hoja1!$B$2</definedName>
    <definedName name="_GramosXFrasco">Hoja1!$B$7</definedName>
    <definedName name="_Max_Stock_Gramos">Hoja1!$C$6</definedName>
    <definedName name="_Media_M">Hoja1!$B$8</definedName>
    <definedName name="_Precio_cafe">Hoja1!$B$4</definedName>
    <definedName name="_Proxima_Compra">Hoja1!$B$10</definedName>
    <definedName name="_Sigma">Hoja1!$B$9</definedName>
    <definedName name="_Stock_Inicial">Hoja1!$B$11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C17" i="1"/>
  <c r="B17" i="1" l="1"/>
  <c r="C6" i="1"/>
  <c r="T16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H291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H307" i="1" s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H323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I339" i="1" s="1"/>
  <c r="G340" i="1"/>
  <c r="G341" i="1"/>
  <c r="G342" i="1"/>
  <c r="G343" i="1"/>
  <c r="G344" i="1"/>
  <c r="G345" i="1"/>
  <c r="G346" i="1"/>
  <c r="G347" i="1"/>
  <c r="H347" i="1" s="1"/>
  <c r="G348" i="1"/>
  <c r="G349" i="1"/>
  <c r="G350" i="1"/>
  <c r="G351" i="1"/>
  <c r="G352" i="1"/>
  <c r="G353" i="1"/>
  <c r="G354" i="1"/>
  <c r="G355" i="1"/>
  <c r="H355" i="1" s="1"/>
  <c r="G356" i="1"/>
  <c r="G357" i="1"/>
  <c r="G358" i="1"/>
  <c r="G359" i="1"/>
  <c r="G360" i="1"/>
  <c r="G361" i="1"/>
  <c r="G362" i="1"/>
  <c r="G363" i="1"/>
  <c r="H363" i="1" s="1"/>
  <c r="G364" i="1"/>
  <c r="G365" i="1"/>
  <c r="G366" i="1"/>
  <c r="G367" i="1"/>
  <c r="I367" i="1" s="1"/>
  <c r="G368" i="1"/>
  <c r="G369" i="1"/>
  <c r="G370" i="1"/>
  <c r="G371" i="1"/>
  <c r="G372" i="1"/>
  <c r="G373" i="1"/>
  <c r="G374" i="1"/>
  <c r="G375" i="1"/>
  <c r="H375" i="1" s="1"/>
  <c r="G376" i="1"/>
  <c r="G377" i="1"/>
  <c r="G378" i="1"/>
  <c r="G379" i="1"/>
  <c r="H379" i="1" s="1"/>
  <c r="G380" i="1"/>
  <c r="G381" i="1"/>
  <c r="G382" i="1"/>
  <c r="G383" i="1"/>
  <c r="H383" i="1" s="1"/>
  <c r="G384" i="1"/>
  <c r="G385" i="1"/>
  <c r="G386" i="1"/>
  <c r="G387" i="1"/>
  <c r="H387" i="1" s="1"/>
  <c r="G388" i="1"/>
  <c r="G389" i="1"/>
  <c r="G390" i="1"/>
  <c r="G391" i="1"/>
  <c r="H391" i="1" s="1"/>
  <c r="G392" i="1"/>
  <c r="G393" i="1"/>
  <c r="G394" i="1"/>
  <c r="G395" i="1"/>
  <c r="H395" i="1" s="1"/>
  <c r="G396" i="1"/>
  <c r="G397" i="1"/>
  <c r="G398" i="1"/>
  <c r="G399" i="1"/>
  <c r="H399" i="1" s="1"/>
  <c r="G400" i="1"/>
  <c r="G401" i="1"/>
  <c r="G402" i="1"/>
  <c r="G403" i="1"/>
  <c r="H403" i="1" s="1"/>
  <c r="G404" i="1"/>
  <c r="G405" i="1"/>
  <c r="G406" i="1"/>
  <c r="G407" i="1"/>
  <c r="H407" i="1" s="1"/>
  <c r="G408" i="1"/>
  <c r="G409" i="1"/>
  <c r="G410" i="1"/>
  <c r="G411" i="1"/>
  <c r="H411" i="1" s="1"/>
  <c r="G412" i="1"/>
  <c r="G413" i="1"/>
  <c r="G414" i="1"/>
  <c r="G415" i="1"/>
  <c r="H415" i="1" s="1"/>
  <c r="G416" i="1"/>
  <c r="G417" i="1"/>
  <c r="G418" i="1"/>
  <c r="G419" i="1"/>
  <c r="H419" i="1" s="1"/>
  <c r="G420" i="1"/>
  <c r="G421" i="1"/>
  <c r="G422" i="1"/>
  <c r="G423" i="1"/>
  <c r="H423" i="1" s="1"/>
  <c r="G424" i="1"/>
  <c r="G425" i="1"/>
  <c r="G426" i="1"/>
  <c r="G427" i="1"/>
  <c r="H427" i="1" s="1"/>
  <c r="G428" i="1"/>
  <c r="G429" i="1"/>
  <c r="G430" i="1"/>
  <c r="G431" i="1"/>
  <c r="H431" i="1" s="1"/>
  <c r="G432" i="1"/>
  <c r="G433" i="1"/>
  <c r="G434" i="1"/>
  <c r="G435" i="1"/>
  <c r="H435" i="1" s="1"/>
  <c r="G436" i="1"/>
  <c r="G437" i="1"/>
  <c r="G438" i="1"/>
  <c r="G439" i="1"/>
  <c r="H439" i="1" s="1"/>
  <c r="G440" i="1"/>
  <c r="G441" i="1"/>
  <c r="G442" i="1"/>
  <c r="G443" i="1"/>
  <c r="H443" i="1" s="1"/>
  <c r="G444" i="1"/>
  <c r="G445" i="1"/>
  <c r="G446" i="1"/>
  <c r="G447" i="1"/>
  <c r="H447" i="1" s="1"/>
  <c r="G448" i="1"/>
  <c r="G449" i="1"/>
  <c r="G450" i="1"/>
  <c r="G451" i="1"/>
  <c r="H451" i="1" s="1"/>
  <c r="G452" i="1"/>
  <c r="G453" i="1"/>
  <c r="G454" i="1"/>
  <c r="G455" i="1"/>
  <c r="H455" i="1" s="1"/>
  <c r="G456" i="1"/>
  <c r="G457" i="1"/>
  <c r="G458" i="1"/>
  <c r="G459" i="1"/>
  <c r="H459" i="1" s="1"/>
  <c r="G460" i="1"/>
  <c r="G461" i="1"/>
  <c r="G462" i="1"/>
  <c r="G463" i="1"/>
  <c r="H463" i="1" s="1"/>
  <c r="G464" i="1"/>
  <c r="G465" i="1"/>
  <c r="G466" i="1"/>
  <c r="G467" i="1"/>
  <c r="H467" i="1" s="1"/>
  <c r="G468" i="1"/>
  <c r="G469" i="1"/>
  <c r="G470" i="1"/>
  <c r="G471" i="1"/>
  <c r="H471" i="1" s="1"/>
  <c r="G472" i="1"/>
  <c r="G473" i="1"/>
  <c r="G474" i="1"/>
  <c r="G475" i="1"/>
  <c r="H475" i="1" s="1"/>
  <c r="G476" i="1"/>
  <c r="G477" i="1"/>
  <c r="G478" i="1"/>
  <c r="G479" i="1"/>
  <c r="H479" i="1" s="1"/>
  <c r="G480" i="1"/>
  <c r="G481" i="1"/>
  <c r="G482" i="1"/>
  <c r="G483" i="1"/>
  <c r="H483" i="1" s="1"/>
  <c r="G484" i="1"/>
  <c r="G485" i="1"/>
  <c r="G486" i="1"/>
  <c r="G487" i="1"/>
  <c r="H487" i="1" s="1"/>
  <c r="G488" i="1"/>
  <c r="G489" i="1"/>
  <c r="G490" i="1"/>
  <c r="G491" i="1"/>
  <c r="H491" i="1" s="1"/>
  <c r="G492" i="1"/>
  <c r="G493" i="1"/>
  <c r="G494" i="1"/>
  <c r="G495" i="1"/>
  <c r="H495" i="1" s="1"/>
  <c r="G496" i="1"/>
  <c r="G497" i="1"/>
  <c r="G498" i="1"/>
  <c r="G499" i="1"/>
  <c r="H499" i="1" s="1"/>
  <c r="G500" i="1"/>
  <c r="G501" i="1"/>
  <c r="G502" i="1"/>
  <c r="G503" i="1"/>
  <c r="H503" i="1" s="1"/>
  <c r="G504" i="1"/>
  <c r="G505" i="1"/>
  <c r="G506" i="1"/>
  <c r="G507" i="1"/>
  <c r="H507" i="1" s="1"/>
  <c r="G508" i="1"/>
  <c r="G509" i="1"/>
  <c r="G510" i="1"/>
  <c r="G511" i="1"/>
  <c r="H511" i="1" s="1"/>
  <c r="G512" i="1"/>
  <c r="G513" i="1"/>
  <c r="G514" i="1"/>
  <c r="G515" i="1"/>
  <c r="H515" i="1" s="1"/>
  <c r="G5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AD7" i="1"/>
  <c r="AD6" i="1"/>
  <c r="AE6" i="1" s="1"/>
  <c r="C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H17" i="1" l="1"/>
  <c r="I17" i="1"/>
  <c r="H21" i="1"/>
  <c r="H368" i="1"/>
  <c r="H27" i="1"/>
  <c r="H23" i="1"/>
  <c r="H19" i="1"/>
  <c r="H335" i="1"/>
  <c r="H319" i="1"/>
  <c r="H303" i="1"/>
  <c r="H287" i="1"/>
  <c r="I275" i="1"/>
  <c r="H271" i="1"/>
  <c r="H259" i="1"/>
  <c r="H255" i="1"/>
  <c r="H243" i="1"/>
  <c r="H239" i="1"/>
  <c r="H227" i="1"/>
  <c r="H223" i="1"/>
  <c r="I211" i="1"/>
  <c r="H207" i="1"/>
  <c r="H195" i="1"/>
  <c r="H191" i="1"/>
  <c r="H179" i="1"/>
  <c r="H175" i="1"/>
  <c r="H163" i="1"/>
  <c r="H159" i="1"/>
  <c r="H147" i="1"/>
  <c r="H143" i="1"/>
  <c r="H131" i="1"/>
  <c r="H127" i="1"/>
  <c r="H115" i="1"/>
  <c r="H111" i="1"/>
  <c r="H99" i="1"/>
  <c r="H95" i="1"/>
  <c r="I83" i="1"/>
  <c r="H79" i="1"/>
  <c r="H67" i="1"/>
  <c r="H63" i="1"/>
  <c r="H51" i="1"/>
  <c r="H47" i="1"/>
  <c r="I20" i="1"/>
  <c r="H22" i="1"/>
  <c r="H18" i="1"/>
  <c r="H373" i="1"/>
  <c r="H369" i="1"/>
  <c r="H33" i="1"/>
  <c r="H29" i="1"/>
  <c r="H25" i="1"/>
  <c r="H360" i="1"/>
  <c r="H352" i="1"/>
  <c r="H344" i="1"/>
  <c r="I32" i="1"/>
  <c r="H28" i="1"/>
  <c r="H24" i="1"/>
  <c r="H35" i="1"/>
  <c r="H31" i="1"/>
  <c r="H34" i="1"/>
  <c r="H30" i="1"/>
  <c r="H26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I355" i="1"/>
  <c r="J355" i="1" s="1"/>
  <c r="I195" i="1"/>
  <c r="J195" i="1" s="1"/>
  <c r="K195" i="1" s="1"/>
  <c r="I491" i="1"/>
  <c r="J491" i="1" s="1"/>
  <c r="K491" i="1" s="1"/>
  <c r="I427" i="1"/>
  <c r="J427" i="1" s="1"/>
  <c r="I323" i="1"/>
  <c r="J323" i="1" s="1"/>
  <c r="K323" i="1" s="1"/>
  <c r="H83" i="1"/>
  <c r="I459" i="1"/>
  <c r="J459" i="1" s="1"/>
  <c r="K459" i="1" s="1"/>
  <c r="I395" i="1"/>
  <c r="J395" i="1" s="1"/>
  <c r="I287" i="1"/>
  <c r="I115" i="1"/>
  <c r="H275" i="1"/>
  <c r="I475" i="1"/>
  <c r="J475" i="1" s="1"/>
  <c r="I411" i="1"/>
  <c r="J411" i="1" s="1"/>
  <c r="K411" i="1" s="1"/>
  <c r="I159" i="1"/>
  <c r="I507" i="1"/>
  <c r="J507" i="1" s="1"/>
  <c r="K507" i="1" s="1"/>
  <c r="I443" i="1"/>
  <c r="J443" i="1" s="1"/>
  <c r="K443" i="1" s="1"/>
  <c r="I379" i="1"/>
  <c r="J379" i="1" s="1"/>
  <c r="K379" i="1" s="1"/>
  <c r="I243" i="1"/>
  <c r="I67" i="1"/>
  <c r="H211" i="1"/>
  <c r="I503" i="1"/>
  <c r="J503" i="1" s="1"/>
  <c r="I487" i="1"/>
  <c r="J487" i="1" s="1"/>
  <c r="I471" i="1"/>
  <c r="J471" i="1" s="1"/>
  <c r="I455" i="1"/>
  <c r="J455" i="1" s="1"/>
  <c r="I439" i="1"/>
  <c r="J439" i="1" s="1"/>
  <c r="I423" i="1"/>
  <c r="J423" i="1" s="1"/>
  <c r="I407" i="1"/>
  <c r="J407" i="1" s="1"/>
  <c r="K407" i="1" s="1"/>
  <c r="I391" i="1"/>
  <c r="J391" i="1" s="1"/>
  <c r="K391" i="1" s="1"/>
  <c r="I375" i="1"/>
  <c r="J375" i="1" s="1"/>
  <c r="K375" i="1" s="1"/>
  <c r="I347" i="1"/>
  <c r="J347" i="1" s="1"/>
  <c r="K347" i="1" s="1"/>
  <c r="I319" i="1"/>
  <c r="I227" i="1"/>
  <c r="I191" i="1"/>
  <c r="I147" i="1"/>
  <c r="I99" i="1"/>
  <c r="I63" i="1"/>
  <c r="H339" i="1"/>
  <c r="J339" i="1" s="1"/>
  <c r="I515" i="1"/>
  <c r="J515" i="1" s="1"/>
  <c r="K515" i="1" s="1"/>
  <c r="I499" i="1"/>
  <c r="J499" i="1" s="1"/>
  <c r="I483" i="1"/>
  <c r="J483" i="1" s="1"/>
  <c r="K483" i="1" s="1"/>
  <c r="I467" i="1"/>
  <c r="J467" i="1" s="1"/>
  <c r="K467" i="1" s="1"/>
  <c r="I451" i="1"/>
  <c r="J451" i="1" s="1"/>
  <c r="I435" i="1"/>
  <c r="J435" i="1" s="1"/>
  <c r="I419" i="1"/>
  <c r="J419" i="1" s="1"/>
  <c r="K419" i="1" s="1"/>
  <c r="I403" i="1"/>
  <c r="J403" i="1" s="1"/>
  <c r="I387" i="1"/>
  <c r="J387" i="1" s="1"/>
  <c r="K387" i="1" s="1"/>
  <c r="I363" i="1"/>
  <c r="J363" i="1" s="1"/>
  <c r="K363" i="1" s="1"/>
  <c r="I344" i="1"/>
  <c r="J344" i="1" s="1"/>
  <c r="I307" i="1"/>
  <c r="J307" i="1" s="1"/>
  <c r="K307" i="1" s="1"/>
  <c r="I259" i="1"/>
  <c r="J259" i="1" s="1"/>
  <c r="K259" i="1" s="1"/>
  <c r="I223" i="1"/>
  <c r="I179" i="1"/>
  <c r="I131" i="1"/>
  <c r="I95" i="1"/>
  <c r="I51" i="1"/>
  <c r="I511" i="1"/>
  <c r="J511" i="1" s="1"/>
  <c r="I495" i="1"/>
  <c r="J495" i="1" s="1"/>
  <c r="K495" i="1" s="1"/>
  <c r="I479" i="1"/>
  <c r="J479" i="1" s="1"/>
  <c r="K479" i="1" s="1"/>
  <c r="I463" i="1"/>
  <c r="J463" i="1" s="1"/>
  <c r="K463" i="1" s="1"/>
  <c r="I447" i="1"/>
  <c r="J447" i="1" s="1"/>
  <c r="I431" i="1"/>
  <c r="J431" i="1" s="1"/>
  <c r="K431" i="1" s="1"/>
  <c r="I415" i="1"/>
  <c r="J415" i="1" s="1"/>
  <c r="K415" i="1" s="1"/>
  <c r="I399" i="1"/>
  <c r="J399" i="1" s="1"/>
  <c r="K399" i="1" s="1"/>
  <c r="I383" i="1"/>
  <c r="J383" i="1" s="1"/>
  <c r="I360" i="1"/>
  <c r="I291" i="1"/>
  <c r="J291" i="1" s="1"/>
  <c r="I255" i="1"/>
  <c r="J255" i="1" s="1"/>
  <c r="K255" i="1" s="1"/>
  <c r="I163" i="1"/>
  <c r="I127" i="1"/>
  <c r="H374" i="1"/>
  <c r="I374" i="1"/>
  <c r="H366" i="1"/>
  <c r="I366" i="1"/>
  <c r="H358" i="1"/>
  <c r="I358" i="1"/>
  <c r="H350" i="1"/>
  <c r="I350" i="1"/>
  <c r="H342" i="1"/>
  <c r="I342" i="1"/>
  <c r="H334" i="1"/>
  <c r="I334" i="1"/>
  <c r="H326" i="1"/>
  <c r="I326" i="1"/>
  <c r="H318" i="1"/>
  <c r="I318" i="1"/>
  <c r="H310" i="1"/>
  <c r="I310" i="1"/>
  <c r="H302" i="1"/>
  <c r="I302" i="1"/>
  <c r="H294" i="1"/>
  <c r="I294" i="1"/>
  <c r="H286" i="1"/>
  <c r="I286" i="1"/>
  <c r="H274" i="1"/>
  <c r="I274" i="1"/>
  <c r="H509" i="1"/>
  <c r="I509" i="1"/>
  <c r="H501" i="1"/>
  <c r="I501" i="1"/>
  <c r="H489" i="1"/>
  <c r="I489" i="1"/>
  <c r="H477" i="1"/>
  <c r="I477" i="1"/>
  <c r="H469" i="1"/>
  <c r="I469" i="1"/>
  <c r="H457" i="1"/>
  <c r="I457" i="1"/>
  <c r="H445" i="1"/>
  <c r="I445" i="1"/>
  <c r="H433" i="1"/>
  <c r="I433" i="1"/>
  <c r="H425" i="1"/>
  <c r="I425" i="1"/>
  <c r="H413" i="1"/>
  <c r="I413" i="1"/>
  <c r="H405" i="1"/>
  <c r="I405" i="1"/>
  <c r="H397" i="1"/>
  <c r="I397" i="1"/>
  <c r="H385" i="1"/>
  <c r="I385" i="1"/>
  <c r="H365" i="1"/>
  <c r="I365" i="1"/>
  <c r="H353" i="1"/>
  <c r="I353" i="1"/>
  <c r="H345" i="1"/>
  <c r="I345" i="1"/>
  <c r="H337" i="1"/>
  <c r="I337" i="1"/>
  <c r="H329" i="1"/>
  <c r="I329" i="1"/>
  <c r="H317" i="1"/>
  <c r="I317" i="1"/>
  <c r="H309" i="1"/>
  <c r="I309" i="1"/>
  <c r="H297" i="1"/>
  <c r="I297" i="1"/>
  <c r="H289" i="1"/>
  <c r="I289" i="1"/>
  <c r="H281" i="1"/>
  <c r="I281" i="1"/>
  <c r="H269" i="1"/>
  <c r="I269" i="1"/>
  <c r="I510" i="1"/>
  <c r="I486" i="1"/>
  <c r="I462" i="1"/>
  <c r="J462" i="1" s="1"/>
  <c r="K462" i="1" s="1"/>
  <c r="I446" i="1"/>
  <c r="I422" i="1"/>
  <c r="J422" i="1" s="1"/>
  <c r="K422" i="1" s="1"/>
  <c r="I406" i="1"/>
  <c r="I390" i="1"/>
  <c r="I382" i="1"/>
  <c r="H516" i="1"/>
  <c r="I516" i="1"/>
  <c r="H508" i="1"/>
  <c r="I508" i="1"/>
  <c r="H500" i="1"/>
  <c r="I500" i="1"/>
  <c r="H492" i="1"/>
  <c r="I492" i="1"/>
  <c r="H484" i="1"/>
  <c r="I484" i="1"/>
  <c r="H472" i="1"/>
  <c r="I472" i="1"/>
  <c r="H464" i="1"/>
  <c r="I464" i="1"/>
  <c r="H456" i="1"/>
  <c r="I456" i="1"/>
  <c r="H448" i="1"/>
  <c r="I448" i="1"/>
  <c r="H444" i="1"/>
  <c r="I444" i="1"/>
  <c r="H436" i="1"/>
  <c r="I436" i="1"/>
  <c r="H428" i="1"/>
  <c r="I428" i="1"/>
  <c r="H424" i="1"/>
  <c r="I424" i="1"/>
  <c r="H420" i="1"/>
  <c r="I420" i="1"/>
  <c r="H416" i="1"/>
  <c r="I416" i="1"/>
  <c r="H412" i="1"/>
  <c r="I412" i="1"/>
  <c r="H408" i="1"/>
  <c r="I408" i="1"/>
  <c r="H400" i="1"/>
  <c r="I400" i="1"/>
  <c r="H396" i="1"/>
  <c r="I396" i="1"/>
  <c r="H392" i="1"/>
  <c r="I392" i="1"/>
  <c r="H388" i="1"/>
  <c r="I388" i="1"/>
  <c r="H384" i="1"/>
  <c r="I384" i="1"/>
  <c r="H380" i="1"/>
  <c r="I380" i="1"/>
  <c r="H376" i="1"/>
  <c r="I376" i="1"/>
  <c r="H372" i="1"/>
  <c r="I372" i="1"/>
  <c r="H364" i="1"/>
  <c r="I364" i="1"/>
  <c r="H356" i="1"/>
  <c r="I356" i="1"/>
  <c r="H348" i="1"/>
  <c r="I348" i="1"/>
  <c r="H340" i="1"/>
  <c r="I340" i="1"/>
  <c r="H336" i="1"/>
  <c r="I336" i="1"/>
  <c r="H332" i="1"/>
  <c r="I332" i="1"/>
  <c r="H328" i="1"/>
  <c r="I328" i="1"/>
  <c r="H324" i="1"/>
  <c r="I324" i="1"/>
  <c r="H320" i="1"/>
  <c r="I320" i="1"/>
  <c r="H316" i="1"/>
  <c r="I316" i="1"/>
  <c r="H312" i="1"/>
  <c r="I312" i="1"/>
  <c r="H308" i="1"/>
  <c r="I308" i="1"/>
  <c r="H304" i="1"/>
  <c r="I304" i="1"/>
  <c r="H300" i="1"/>
  <c r="I300" i="1"/>
  <c r="H296" i="1"/>
  <c r="I296" i="1"/>
  <c r="H292" i="1"/>
  <c r="I292" i="1"/>
  <c r="H288" i="1"/>
  <c r="I288" i="1"/>
  <c r="H284" i="1"/>
  <c r="I284" i="1"/>
  <c r="H280" i="1"/>
  <c r="I280" i="1"/>
  <c r="H276" i="1"/>
  <c r="I276" i="1"/>
  <c r="H272" i="1"/>
  <c r="I272" i="1"/>
  <c r="H268" i="1"/>
  <c r="I268" i="1"/>
  <c r="H264" i="1"/>
  <c r="I264" i="1"/>
  <c r="H260" i="1"/>
  <c r="I260" i="1"/>
  <c r="H256" i="1"/>
  <c r="I256" i="1"/>
  <c r="H252" i="1"/>
  <c r="I252" i="1"/>
  <c r="H248" i="1"/>
  <c r="I248" i="1"/>
  <c r="H244" i="1"/>
  <c r="I244" i="1"/>
  <c r="H236" i="1"/>
  <c r="I236" i="1"/>
  <c r="H228" i="1"/>
  <c r="I228" i="1"/>
  <c r="H220" i="1"/>
  <c r="I220" i="1"/>
  <c r="H212" i="1"/>
  <c r="I212" i="1"/>
  <c r="H204" i="1"/>
  <c r="I204" i="1"/>
  <c r="H196" i="1"/>
  <c r="I196" i="1"/>
  <c r="H188" i="1"/>
  <c r="I188" i="1"/>
  <c r="H180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20" i="1"/>
  <c r="I120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4" i="1"/>
  <c r="I84" i="1"/>
  <c r="H76" i="1"/>
  <c r="I76" i="1"/>
  <c r="H72" i="1"/>
  <c r="I72" i="1"/>
  <c r="H68" i="1"/>
  <c r="I68" i="1"/>
  <c r="H64" i="1"/>
  <c r="I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I369" i="1"/>
  <c r="H370" i="1"/>
  <c r="I370" i="1"/>
  <c r="H362" i="1"/>
  <c r="I362" i="1"/>
  <c r="H354" i="1"/>
  <c r="I354" i="1"/>
  <c r="H346" i="1"/>
  <c r="I346" i="1"/>
  <c r="H338" i="1"/>
  <c r="I338" i="1"/>
  <c r="H330" i="1"/>
  <c r="I330" i="1"/>
  <c r="H322" i="1"/>
  <c r="I322" i="1"/>
  <c r="H314" i="1"/>
  <c r="I314" i="1"/>
  <c r="H306" i="1"/>
  <c r="I306" i="1"/>
  <c r="H298" i="1"/>
  <c r="I298" i="1"/>
  <c r="H290" i="1"/>
  <c r="I290" i="1"/>
  <c r="H282" i="1"/>
  <c r="I282" i="1"/>
  <c r="H278" i="1"/>
  <c r="I278" i="1"/>
  <c r="H513" i="1"/>
  <c r="I513" i="1"/>
  <c r="H505" i="1"/>
  <c r="I505" i="1"/>
  <c r="H497" i="1"/>
  <c r="I497" i="1"/>
  <c r="H493" i="1"/>
  <c r="I493" i="1"/>
  <c r="H485" i="1"/>
  <c r="I485" i="1"/>
  <c r="H481" i="1"/>
  <c r="I481" i="1"/>
  <c r="H473" i="1"/>
  <c r="I473" i="1"/>
  <c r="H465" i="1"/>
  <c r="I465" i="1"/>
  <c r="H461" i="1"/>
  <c r="I461" i="1"/>
  <c r="H453" i="1"/>
  <c r="I453" i="1"/>
  <c r="H449" i="1"/>
  <c r="I449" i="1"/>
  <c r="H441" i="1"/>
  <c r="I441" i="1"/>
  <c r="H437" i="1"/>
  <c r="I437" i="1"/>
  <c r="H429" i="1"/>
  <c r="I429" i="1"/>
  <c r="H421" i="1"/>
  <c r="I421" i="1"/>
  <c r="H417" i="1"/>
  <c r="I417" i="1"/>
  <c r="H409" i="1"/>
  <c r="I409" i="1"/>
  <c r="H401" i="1"/>
  <c r="I401" i="1"/>
  <c r="H393" i="1"/>
  <c r="I393" i="1"/>
  <c r="H389" i="1"/>
  <c r="I389" i="1"/>
  <c r="H381" i="1"/>
  <c r="I381" i="1"/>
  <c r="H377" i="1"/>
  <c r="I377" i="1"/>
  <c r="H361" i="1"/>
  <c r="I361" i="1"/>
  <c r="H357" i="1"/>
  <c r="I357" i="1"/>
  <c r="H349" i="1"/>
  <c r="I349" i="1"/>
  <c r="H341" i="1"/>
  <c r="I341" i="1"/>
  <c r="H333" i="1"/>
  <c r="I333" i="1"/>
  <c r="H325" i="1"/>
  <c r="I325" i="1"/>
  <c r="H321" i="1"/>
  <c r="I321" i="1"/>
  <c r="H313" i="1"/>
  <c r="I313" i="1"/>
  <c r="H305" i="1"/>
  <c r="I305" i="1"/>
  <c r="H301" i="1"/>
  <c r="I301" i="1"/>
  <c r="H293" i="1"/>
  <c r="I293" i="1"/>
  <c r="H285" i="1"/>
  <c r="I285" i="1"/>
  <c r="H277" i="1"/>
  <c r="I277" i="1"/>
  <c r="H273" i="1"/>
  <c r="I273" i="1"/>
  <c r="I502" i="1"/>
  <c r="I494" i="1"/>
  <c r="I478" i="1"/>
  <c r="I470" i="1"/>
  <c r="I454" i="1"/>
  <c r="I438" i="1"/>
  <c r="J438" i="1" s="1"/>
  <c r="I430" i="1"/>
  <c r="I414" i="1"/>
  <c r="J414" i="1" s="1"/>
  <c r="K414" i="1" s="1"/>
  <c r="I398" i="1"/>
  <c r="I373" i="1"/>
  <c r="H512" i="1"/>
  <c r="I512" i="1"/>
  <c r="H504" i="1"/>
  <c r="I504" i="1"/>
  <c r="H496" i="1"/>
  <c r="I496" i="1"/>
  <c r="H488" i="1"/>
  <c r="I488" i="1"/>
  <c r="H480" i="1"/>
  <c r="I480" i="1"/>
  <c r="H476" i="1"/>
  <c r="I476" i="1"/>
  <c r="H468" i="1"/>
  <c r="I468" i="1"/>
  <c r="H460" i="1"/>
  <c r="I460" i="1"/>
  <c r="H452" i="1"/>
  <c r="I452" i="1"/>
  <c r="H440" i="1"/>
  <c r="I440" i="1"/>
  <c r="H432" i="1"/>
  <c r="I432" i="1"/>
  <c r="H404" i="1"/>
  <c r="I404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H128" i="1"/>
  <c r="I128" i="1"/>
  <c r="H116" i="1"/>
  <c r="I116" i="1"/>
  <c r="H80" i="1"/>
  <c r="I80" i="1"/>
  <c r="H371" i="1"/>
  <c r="I371" i="1"/>
  <c r="H359" i="1"/>
  <c r="I359" i="1"/>
  <c r="H351" i="1"/>
  <c r="I351" i="1"/>
  <c r="H343" i="1"/>
  <c r="I343" i="1"/>
  <c r="H331" i="1"/>
  <c r="I331" i="1"/>
  <c r="H327" i="1"/>
  <c r="I327" i="1"/>
  <c r="H315" i="1"/>
  <c r="I315" i="1"/>
  <c r="H311" i="1"/>
  <c r="I311" i="1"/>
  <c r="H299" i="1"/>
  <c r="I299" i="1"/>
  <c r="H295" i="1"/>
  <c r="I295" i="1"/>
  <c r="H283" i="1"/>
  <c r="I283" i="1"/>
  <c r="H279" i="1"/>
  <c r="I279" i="1"/>
  <c r="H267" i="1"/>
  <c r="I267" i="1"/>
  <c r="H263" i="1"/>
  <c r="I263" i="1"/>
  <c r="H251" i="1"/>
  <c r="I251" i="1"/>
  <c r="H247" i="1"/>
  <c r="I247" i="1"/>
  <c r="H235" i="1"/>
  <c r="I235" i="1"/>
  <c r="H231" i="1"/>
  <c r="I231" i="1"/>
  <c r="H219" i="1"/>
  <c r="I219" i="1"/>
  <c r="H215" i="1"/>
  <c r="I215" i="1"/>
  <c r="H203" i="1"/>
  <c r="I203" i="1"/>
  <c r="H199" i="1"/>
  <c r="I199" i="1"/>
  <c r="H187" i="1"/>
  <c r="I187" i="1"/>
  <c r="H183" i="1"/>
  <c r="I183" i="1"/>
  <c r="H171" i="1"/>
  <c r="I171" i="1"/>
  <c r="H167" i="1"/>
  <c r="I167" i="1"/>
  <c r="H155" i="1"/>
  <c r="I155" i="1"/>
  <c r="H151" i="1"/>
  <c r="I151" i="1"/>
  <c r="H139" i="1"/>
  <c r="I139" i="1"/>
  <c r="H135" i="1"/>
  <c r="I135" i="1"/>
  <c r="H123" i="1"/>
  <c r="I123" i="1"/>
  <c r="H119" i="1"/>
  <c r="I119" i="1"/>
  <c r="H107" i="1"/>
  <c r="I107" i="1"/>
  <c r="H103" i="1"/>
  <c r="I103" i="1"/>
  <c r="H91" i="1"/>
  <c r="I91" i="1"/>
  <c r="H87" i="1"/>
  <c r="I87" i="1"/>
  <c r="H75" i="1"/>
  <c r="I75" i="1"/>
  <c r="H71" i="1"/>
  <c r="I71" i="1"/>
  <c r="H59" i="1"/>
  <c r="I59" i="1"/>
  <c r="H55" i="1"/>
  <c r="I55" i="1"/>
  <c r="H43" i="1"/>
  <c r="I43" i="1"/>
  <c r="H39" i="1"/>
  <c r="I39" i="1"/>
  <c r="H367" i="1"/>
  <c r="J367" i="1" s="1"/>
  <c r="K367" i="1" s="1"/>
  <c r="I514" i="1"/>
  <c r="I506" i="1"/>
  <c r="I498" i="1"/>
  <c r="J498" i="1" s="1"/>
  <c r="I490" i="1"/>
  <c r="J490" i="1" s="1"/>
  <c r="K490" i="1" s="1"/>
  <c r="I482" i="1"/>
  <c r="I474" i="1"/>
  <c r="I466" i="1"/>
  <c r="J466" i="1" s="1"/>
  <c r="K466" i="1" s="1"/>
  <c r="I458" i="1"/>
  <c r="J458" i="1" s="1"/>
  <c r="K458" i="1" s="1"/>
  <c r="I450" i="1"/>
  <c r="I442" i="1"/>
  <c r="I434" i="1"/>
  <c r="J434" i="1" s="1"/>
  <c r="I426" i="1"/>
  <c r="J426" i="1" s="1"/>
  <c r="K426" i="1" s="1"/>
  <c r="I418" i="1"/>
  <c r="I410" i="1"/>
  <c r="I402" i="1"/>
  <c r="I394" i="1"/>
  <c r="J394" i="1" s="1"/>
  <c r="K394" i="1" s="1"/>
  <c r="I386" i="1"/>
  <c r="I378" i="1"/>
  <c r="I368" i="1"/>
  <c r="I352" i="1"/>
  <c r="J352" i="1" s="1"/>
  <c r="K352" i="1" s="1"/>
  <c r="I335" i="1"/>
  <c r="I303" i="1"/>
  <c r="I271" i="1"/>
  <c r="I239" i="1"/>
  <c r="I207" i="1"/>
  <c r="I175" i="1"/>
  <c r="J175" i="1" s="1"/>
  <c r="K175" i="1" s="1"/>
  <c r="I143" i="1"/>
  <c r="J143" i="1" s="1"/>
  <c r="K143" i="1" s="1"/>
  <c r="I111" i="1"/>
  <c r="I79" i="1"/>
  <c r="I47" i="1"/>
  <c r="J47" i="1" s="1"/>
  <c r="K47" i="1" s="1"/>
  <c r="H270" i="1"/>
  <c r="I270" i="1"/>
  <c r="H266" i="1"/>
  <c r="I266" i="1"/>
  <c r="H262" i="1"/>
  <c r="I262" i="1"/>
  <c r="H258" i="1"/>
  <c r="I258" i="1"/>
  <c r="H254" i="1"/>
  <c r="I254" i="1"/>
  <c r="H250" i="1"/>
  <c r="I250" i="1"/>
  <c r="H246" i="1"/>
  <c r="I246" i="1"/>
  <c r="H242" i="1"/>
  <c r="I242" i="1"/>
  <c r="H238" i="1"/>
  <c r="I238" i="1"/>
  <c r="H234" i="1"/>
  <c r="I234" i="1"/>
  <c r="H230" i="1"/>
  <c r="I230" i="1"/>
  <c r="H226" i="1"/>
  <c r="I226" i="1"/>
  <c r="H222" i="1"/>
  <c r="I222" i="1"/>
  <c r="H218" i="1"/>
  <c r="I218" i="1"/>
  <c r="H214" i="1"/>
  <c r="I214" i="1"/>
  <c r="H210" i="1"/>
  <c r="I210" i="1"/>
  <c r="H206" i="1"/>
  <c r="I206" i="1"/>
  <c r="H202" i="1"/>
  <c r="I202" i="1"/>
  <c r="H198" i="1"/>
  <c r="I198" i="1"/>
  <c r="H194" i="1"/>
  <c r="I194" i="1"/>
  <c r="H190" i="1"/>
  <c r="I190" i="1"/>
  <c r="H186" i="1"/>
  <c r="I186" i="1"/>
  <c r="H182" i="1"/>
  <c r="I182" i="1"/>
  <c r="H178" i="1"/>
  <c r="I178" i="1"/>
  <c r="H174" i="1"/>
  <c r="I174" i="1"/>
  <c r="H170" i="1"/>
  <c r="I170" i="1"/>
  <c r="H166" i="1"/>
  <c r="I166" i="1"/>
  <c r="H162" i="1"/>
  <c r="I162" i="1"/>
  <c r="H158" i="1"/>
  <c r="I158" i="1"/>
  <c r="H154" i="1"/>
  <c r="I154" i="1"/>
  <c r="H150" i="1"/>
  <c r="I150" i="1"/>
  <c r="H146" i="1"/>
  <c r="I146" i="1"/>
  <c r="H142" i="1"/>
  <c r="I142" i="1"/>
  <c r="H138" i="1"/>
  <c r="I138" i="1"/>
  <c r="H134" i="1"/>
  <c r="I134" i="1"/>
  <c r="H130" i="1"/>
  <c r="I130" i="1"/>
  <c r="H126" i="1"/>
  <c r="I126" i="1"/>
  <c r="H122" i="1"/>
  <c r="I122" i="1"/>
  <c r="H118" i="1"/>
  <c r="I118" i="1"/>
  <c r="H114" i="1"/>
  <c r="I114" i="1"/>
  <c r="H110" i="1"/>
  <c r="I110" i="1"/>
  <c r="H106" i="1"/>
  <c r="I106" i="1"/>
  <c r="H102" i="1"/>
  <c r="I102" i="1"/>
  <c r="H98" i="1"/>
  <c r="I98" i="1"/>
  <c r="H94" i="1"/>
  <c r="I94" i="1"/>
  <c r="H90" i="1"/>
  <c r="I90" i="1"/>
  <c r="H86" i="1"/>
  <c r="I86" i="1"/>
  <c r="H82" i="1"/>
  <c r="I82" i="1"/>
  <c r="H78" i="1"/>
  <c r="I78" i="1"/>
  <c r="H74" i="1"/>
  <c r="I74" i="1"/>
  <c r="H70" i="1"/>
  <c r="I70" i="1"/>
  <c r="H66" i="1"/>
  <c r="I66" i="1"/>
  <c r="H62" i="1"/>
  <c r="I62" i="1"/>
  <c r="H58" i="1"/>
  <c r="I58" i="1"/>
  <c r="H54" i="1"/>
  <c r="I54" i="1"/>
  <c r="H50" i="1"/>
  <c r="I50" i="1"/>
  <c r="H46" i="1"/>
  <c r="I46" i="1"/>
  <c r="H42" i="1"/>
  <c r="I42" i="1"/>
  <c r="H38" i="1"/>
  <c r="I38" i="1"/>
  <c r="H265" i="1"/>
  <c r="I265" i="1"/>
  <c r="H261" i="1"/>
  <c r="I261" i="1"/>
  <c r="H257" i="1"/>
  <c r="I257" i="1"/>
  <c r="H253" i="1"/>
  <c r="I253" i="1"/>
  <c r="H249" i="1"/>
  <c r="I249" i="1"/>
  <c r="H245" i="1"/>
  <c r="I245" i="1"/>
  <c r="H241" i="1"/>
  <c r="I241" i="1"/>
  <c r="H237" i="1"/>
  <c r="I237" i="1"/>
  <c r="H233" i="1"/>
  <c r="I233" i="1"/>
  <c r="H229" i="1"/>
  <c r="I229" i="1"/>
  <c r="H225" i="1"/>
  <c r="I225" i="1"/>
  <c r="H221" i="1"/>
  <c r="I221" i="1"/>
  <c r="H217" i="1"/>
  <c r="I217" i="1"/>
  <c r="H213" i="1"/>
  <c r="I213" i="1"/>
  <c r="H209" i="1"/>
  <c r="I209" i="1"/>
  <c r="H205" i="1"/>
  <c r="I205" i="1"/>
  <c r="H201" i="1"/>
  <c r="I201" i="1"/>
  <c r="H197" i="1"/>
  <c r="I197" i="1"/>
  <c r="H193" i="1"/>
  <c r="I193" i="1"/>
  <c r="H189" i="1"/>
  <c r="I189" i="1"/>
  <c r="H185" i="1"/>
  <c r="I185" i="1"/>
  <c r="H181" i="1"/>
  <c r="I181" i="1"/>
  <c r="H177" i="1"/>
  <c r="I177" i="1"/>
  <c r="H173" i="1"/>
  <c r="I173" i="1"/>
  <c r="H169" i="1"/>
  <c r="I169" i="1"/>
  <c r="H165" i="1"/>
  <c r="I165" i="1"/>
  <c r="H161" i="1"/>
  <c r="I161" i="1"/>
  <c r="H157" i="1"/>
  <c r="I157" i="1"/>
  <c r="H153" i="1"/>
  <c r="I153" i="1"/>
  <c r="H149" i="1"/>
  <c r="I149" i="1"/>
  <c r="H145" i="1"/>
  <c r="I145" i="1"/>
  <c r="H141" i="1"/>
  <c r="I141" i="1"/>
  <c r="H137" i="1"/>
  <c r="I137" i="1"/>
  <c r="H133" i="1"/>
  <c r="I133" i="1"/>
  <c r="H129" i="1"/>
  <c r="I129" i="1"/>
  <c r="H125" i="1"/>
  <c r="I125" i="1"/>
  <c r="H121" i="1"/>
  <c r="I121" i="1"/>
  <c r="H117" i="1"/>
  <c r="I117" i="1"/>
  <c r="H113" i="1"/>
  <c r="I113" i="1"/>
  <c r="H109" i="1"/>
  <c r="I109" i="1"/>
  <c r="H105" i="1"/>
  <c r="I105" i="1"/>
  <c r="H101" i="1"/>
  <c r="I101" i="1"/>
  <c r="H97" i="1"/>
  <c r="I97" i="1"/>
  <c r="H93" i="1"/>
  <c r="I93" i="1"/>
  <c r="H89" i="1"/>
  <c r="I89" i="1"/>
  <c r="H85" i="1"/>
  <c r="I85" i="1"/>
  <c r="H81" i="1"/>
  <c r="I81" i="1"/>
  <c r="H77" i="1"/>
  <c r="I77" i="1"/>
  <c r="H73" i="1"/>
  <c r="I73" i="1"/>
  <c r="H69" i="1"/>
  <c r="I69" i="1"/>
  <c r="H65" i="1"/>
  <c r="I65" i="1"/>
  <c r="H61" i="1"/>
  <c r="I61" i="1"/>
  <c r="H57" i="1"/>
  <c r="I57" i="1"/>
  <c r="H53" i="1"/>
  <c r="I53" i="1"/>
  <c r="H49" i="1"/>
  <c r="I49" i="1"/>
  <c r="H45" i="1"/>
  <c r="I45" i="1"/>
  <c r="H41" i="1"/>
  <c r="I41" i="1"/>
  <c r="H37" i="1"/>
  <c r="I37" i="1"/>
  <c r="H20" i="1"/>
  <c r="H32" i="1"/>
  <c r="I28" i="1"/>
  <c r="J28" i="1" s="1"/>
  <c r="M28" i="1" s="1"/>
  <c r="I24" i="1"/>
  <c r="I35" i="1"/>
  <c r="J35" i="1" s="1"/>
  <c r="I31" i="1"/>
  <c r="I27" i="1"/>
  <c r="I23" i="1"/>
  <c r="I19" i="1"/>
  <c r="I34" i="1"/>
  <c r="I30" i="1"/>
  <c r="I26" i="1"/>
  <c r="I22" i="1"/>
  <c r="I18" i="1"/>
  <c r="I33" i="1"/>
  <c r="I29" i="1"/>
  <c r="I25" i="1"/>
  <c r="I21" i="1"/>
  <c r="J17" i="1"/>
  <c r="M17" i="1" s="1"/>
  <c r="O17" i="1" s="1"/>
  <c r="AG6" i="1"/>
  <c r="AF7" i="1" s="1"/>
  <c r="AE7" i="1"/>
  <c r="AG7" i="1" s="1"/>
  <c r="I4" i="1"/>
  <c r="I3" i="1"/>
  <c r="R3" i="1"/>
  <c r="R4" i="1" s="1"/>
  <c r="H4" i="1"/>
  <c r="J287" i="1" l="1"/>
  <c r="K287" i="1" s="1"/>
  <c r="J51" i="1"/>
  <c r="K51" i="1" s="1"/>
  <c r="J115" i="1"/>
  <c r="K115" i="1" s="1"/>
  <c r="M35" i="1"/>
  <c r="J159" i="1"/>
  <c r="K159" i="1" s="1"/>
  <c r="J21" i="1"/>
  <c r="M21" i="1" s="1"/>
  <c r="J482" i="1"/>
  <c r="K482" i="1" s="1"/>
  <c r="L482" i="1" s="1"/>
  <c r="J79" i="1"/>
  <c r="K79" i="1" s="1"/>
  <c r="L79" i="1" s="1"/>
  <c r="J207" i="1"/>
  <c r="K207" i="1" s="1"/>
  <c r="L207" i="1" s="1"/>
  <c r="J510" i="1"/>
  <c r="M510" i="1" s="1"/>
  <c r="J450" i="1"/>
  <c r="K450" i="1" s="1"/>
  <c r="L450" i="1" s="1"/>
  <c r="J239" i="1"/>
  <c r="K239" i="1" s="1"/>
  <c r="L239" i="1" s="1"/>
  <c r="J446" i="1"/>
  <c r="K446" i="1" s="1"/>
  <c r="L446" i="1" s="1"/>
  <c r="J303" i="1"/>
  <c r="K303" i="1" s="1"/>
  <c r="L303" i="1" s="1"/>
  <c r="J163" i="1"/>
  <c r="K163" i="1" s="1"/>
  <c r="L163" i="1" s="1"/>
  <c r="J430" i="1"/>
  <c r="K430" i="1" s="1"/>
  <c r="L430" i="1" s="1"/>
  <c r="J369" i="1"/>
  <c r="K369" i="1" s="1"/>
  <c r="L369" i="1" s="1"/>
  <c r="J23" i="1"/>
  <c r="M23" i="1" s="1"/>
  <c r="J382" i="1"/>
  <c r="K382" i="1" s="1"/>
  <c r="L382" i="1" s="1"/>
  <c r="J99" i="1"/>
  <c r="K99" i="1" s="1"/>
  <c r="L99" i="1" s="1"/>
  <c r="J147" i="1"/>
  <c r="K147" i="1" s="1"/>
  <c r="L147" i="1" s="1"/>
  <c r="M483" i="1"/>
  <c r="J179" i="1"/>
  <c r="K179" i="1" s="1"/>
  <c r="L179" i="1" s="1"/>
  <c r="M367" i="1"/>
  <c r="J25" i="1"/>
  <c r="M25" i="1" s="1"/>
  <c r="J20" i="1"/>
  <c r="M20" i="1" s="1"/>
  <c r="J386" i="1"/>
  <c r="M386" i="1" s="1"/>
  <c r="J418" i="1"/>
  <c r="K418" i="1" s="1"/>
  <c r="L418" i="1" s="1"/>
  <c r="J514" i="1"/>
  <c r="K514" i="1" s="1"/>
  <c r="L514" i="1" s="1"/>
  <c r="J373" i="1"/>
  <c r="K373" i="1" s="1"/>
  <c r="L373" i="1" s="1"/>
  <c r="J67" i="1"/>
  <c r="K67" i="1" s="1"/>
  <c r="L67" i="1" s="1"/>
  <c r="J368" i="1"/>
  <c r="K368" i="1" s="1"/>
  <c r="L368" i="1" s="1"/>
  <c r="J402" i="1"/>
  <c r="M402" i="1" s="1"/>
  <c r="J478" i="1"/>
  <c r="M478" i="1" s="1"/>
  <c r="J360" i="1"/>
  <c r="K360" i="1" s="1"/>
  <c r="L360" i="1" s="1"/>
  <c r="J335" i="1"/>
  <c r="K335" i="1" s="1"/>
  <c r="L335" i="1" s="1"/>
  <c r="J494" i="1"/>
  <c r="K494" i="1" s="1"/>
  <c r="L494" i="1" s="1"/>
  <c r="J63" i="1"/>
  <c r="K63" i="1" s="1"/>
  <c r="L63" i="1" s="1"/>
  <c r="J398" i="1"/>
  <c r="K398" i="1" s="1"/>
  <c r="L398" i="1" s="1"/>
  <c r="J243" i="1"/>
  <c r="K243" i="1" s="1"/>
  <c r="L243" i="1" s="1"/>
  <c r="M287" i="1"/>
  <c r="J378" i="1"/>
  <c r="K378" i="1" s="1"/>
  <c r="L378" i="1" s="1"/>
  <c r="J131" i="1"/>
  <c r="K131" i="1" s="1"/>
  <c r="L131" i="1" s="1"/>
  <c r="M175" i="1"/>
  <c r="J211" i="1"/>
  <c r="M211" i="1" s="1"/>
  <c r="M443" i="1"/>
  <c r="J223" i="1"/>
  <c r="K223" i="1" s="1"/>
  <c r="L223" i="1" s="1"/>
  <c r="J275" i="1"/>
  <c r="K275" i="1" s="1"/>
  <c r="L275" i="1" s="1"/>
  <c r="M259" i="1"/>
  <c r="M375" i="1"/>
  <c r="J470" i="1"/>
  <c r="K470" i="1" s="1"/>
  <c r="L470" i="1" s="1"/>
  <c r="J95" i="1"/>
  <c r="K95" i="1" s="1"/>
  <c r="L95" i="1" s="1"/>
  <c r="M466" i="1"/>
  <c r="J191" i="1"/>
  <c r="M363" i="1"/>
  <c r="M507" i="1"/>
  <c r="M352" i="1"/>
  <c r="J83" i="1"/>
  <c r="M411" i="1"/>
  <c r="M95" i="1"/>
  <c r="J410" i="1"/>
  <c r="K410" i="1" s="1"/>
  <c r="L410" i="1" s="1"/>
  <c r="J442" i="1"/>
  <c r="K442" i="1" s="1"/>
  <c r="L442" i="1" s="1"/>
  <c r="J474" i="1"/>
  <c r="J227" i="1"/>
  <c r="K227" i="1" s="1"/>
  <c r="L227" i="1" s="1"/>
  <c r="M307" i="1"/>
  <c r="M491" i="1"/>
  <c r="M467" i="1"/>
  <c r="J454" i="1"/>
  <c r="J319" i="1"/>
  <c r="M479" i="1"/>
  <c r="M458" i="1"/>
  <c r="J26" i="1"/>
  <c r="M26" i="1" s="1"/>
  <c r="J127" i="1"/>
  <c r="K127" i="1" s="1"/>
  <c r="L127" i="1" s="1"/>
  <c r="M495" i="1"/>
  <c r="M323" i="1"/>
  <c r="M391" i="1"/>
  <c r="J111" i="1"/>
  <c r="J502" i="1"/>
  <c r="M47" i="1"/>
  <c r="M419" i="1"/>
  <c r="M407" i="1"/>
  <c r="M462" i="1"/>
  <c r="J271" i="1"/>
  <c r="K271" i="1" s="1"/>
  <c r="L271" i="1" s="1"/>
  <c r="M415" i="1"/>
  <c r="M459" i="1"/>
  <c r="M143" i="1"/>
  <c r="M490" i="1"/>
  <c r="J486" i="1"/>
  <c r="M463" i="1"/>
  <c r="M379" i="1"/>
  <c r="M347" i="1"/>
  <c r="M422" i="1"/>
  <c r="M387" i="1"/>
  <c r="M414" i="1"/>
  <c r="K438" i="1"/>
  <c r="L438" i="1" s="1"/>
  <c r="M438" i="1"/>
  <c r="K383" i="1"/>
  <c r="L383" i="1" s="1"/>
  <c r="M383" i="1"/>
  <c r="K511" i="1"/>
  <c r="L511" i="1" s="1"/>
  <c r="M511" i="1"/>
  <c r="K344" i="1"/>
  <c r="L344" i="1" s="1"/>
  <c r="M344" i="1"/>
  <c r="K455" i="1"/>
  <c r="L455" i="1" s="1"/>
  <c r="M455" i="1"/>
  <c r="K395" i="1"/>
  <c r="L395" i="1" s="1"/>
  <c r="M395" i="1"/>
  <c r="K447" i="1"/>
  <c r="L447" i="1" s="1"/>
  <c r="M447" i="1"/>
  <c r="K475" i="1"/>
  <c r="L475" i="1" s="1"/>
  <c r="M475" i="1"/>
  <c r="K427" i="1"/>
  <c r="L427" i="1" s="1"/>
  <c r="M427" i="1"/>
  <c r="K435" i="1"/>
  <c r="L435" i="1" s="1"/>
  <c r="M435" i="1"/>
  <c r="K499" i="1"/>
  <c r="L499" i="1" s="1"/>
  <c r="M499" i="1"/>
  <c r="K471" i="1"/>
  <c r="L471" i="1" s="1"/>
  <c r="M471" i="1"/>
  <c r="M431" i="1"/>
  <c r="J390" i="1"/>
  <c r="K291" i="1"/>
  <c r="L291" i="1" s="1"/>
  <c r="M291" i="1"/>
  <c r="K451" i="1"/>
  <c r="L451" i="1" s="1"/>
  <c r="M451" i="1"/>
  <c r="K423" i="1"/>
  <c r="L423" i="1" s="1"/>
  <c r="M423" i="1"/>
  <c r="K487" i="1"/>
  <c r="L487" i="1" s="1"/>
  <c r="M487" i="1"/>
  <c r="M115" i="1"/>
  <c r="M195" i="1"/>
  <c r="M255" i="1"/>
  <c r="M426" i="1"/>
  <c r="K434" i="1"/>
  <c r="L434" i="1" s="1"/>
  <c r="M434" i="1"/>
  <c r="K498" i="1"/>
  <c r="L498" i="1" s="1"/>
  <c r="M498" i="1"/>
  <c r="J406" i="1"/>
  <c r="K403" i="1"/>
  <c r="L403" i="1" s="1"/>
  <c r="M403" i="1"/>
  <c r="K339" i="1"/>
  <c r="L339" i="1" s="1"/>
  <c r="M339" i="1"/>
  <c r="K439" i="1"/>
  <c r="L439" i="1" s="1"/>
  <c r="M439" i="1"/>
  <c r="K503" i="1"/>
  <c r="L503" i="1" s="1"/>
  <c r="M503" i="1"/>
  <c r="K355" i="1"/>
  <c r="L355" i="1" s="1"/>
  <c r="M355" i="1"/>
  <c r="M399" i="1"/>
  <c r="M515" i="1"/>
  <c r="M394" i="1"/>
  <c r="J506" i="1"/>
  <c r="C18" i="1"/>
  <c r="J54" i="1"/>
  <c r="J254" i="1"/>
  <c r="M254" i="1" s="1"/>
  <c r="J157" i="1"/>
  <c r="M157" i="1" s="1"/>
  <c r="J246" i="1"/>
  <c r="M246" i="1" s="1"/>
  <c r="J264" i="1"/>
  <c r="J86" i="1"/>
  <c r="M86" i="1" s="1"/>
  <c r="J102" i="1"/>
  <c r="J230" i="1"/>
  <c r="M230" i="1" s="1"/>
  <c r="J270" i="1"/>
  <c r="M270" i="1" s="1"/>
  <c r="J104" i="1"/>
  <c r="M104" i="1" s="1"/>
  <c r="J61" i="1"/>
  <c r="J69" i="1"/>
  <c r="J93" i="1"/>
  <c r="M93" i="1" s="1"/>
  <c r="J109" i="1"/>
  <c r="M109" i="1" s="1"/>
  <c r="J125" i="1"/>
  <c r="M125" i="1" s="1"/>
  <c r="J133" i="1"/>
  <c r="M133" i="1" s="1"/>
  <c r="J149" i="1"/>
  <c r="M149" i="1" s="1"/>
  <c r="J261" i="1"/>
  <c r="J78" i="1"/>
  <c r="J68" i="1"/>
  <c r="M68" i="1" s="1"/>
  <c r="J96" i="1"/>
  <c r="J172" i="1"/>
  <c r="J204" i="1"/>
  <c r="J45" i="1"/>
  <c r="J173" i="1"/>
  <c r="M173" i="1" s="1"/>
  <c r="J189" i="1"/>
  <c r="M189" i="1" s="1"/>
  <c r="J197" i="1"/>
  <c r="J205" i="1"/>
  <c r="J213" i="1"/>
  <c r="J229" i="1"/>
  <c r="M229" i="1" s="1"/>
  <c r="J245" i="1"/>
  <c r="J253" i="1"/>
  <c r="M253" i="1" s="1"/>
  <c r="J70" i="1"/>
  <c r="M70" i="1" s="1"/>
  <c r="J110" i="1"/>
  <c r="M110" i="1" s="1"/>
  <c r="J126" i="1"/>
  <c r="M126" i="1" s="1"/>
  <c r="J150" i="1"/>
  <c r="M150" i="1" s="1"/>
  <c r="J190" i="1"/>
  <c r="M190" i="1" s="1"/>
  <c r="J198" i="1"/>
  <c r="M198" i="1" s="1"/>
  <c r="J206" i="1"/>
  <c r="M206" i="1" s="1"/>
  <c r="J44" i="1"/>
  <c r="J76" i="1"/>
  <c r="M76" i="1" s="1"/>
  <c r="J188" i="1"/>
  <c r="J272" i="1"/>
  <c r="M272" i="1" s="1"/>
  <c r="J137" i="1"/>
  <c r="M137" i="1" s="1"/>
  <c r="J178" i="1"/>
  <c r="J201" i="1"/>
  <c r="M201" i="1" s="1"/>
  <c r="J58" i="1"/>
  <c r="J260" i="1"/>
  <c r="J500" i="1"/>
  <c r="M500" i="1" s="1"/>
  <c r="J124" i="1"/>
  <c r="J156" i="1"/>
  <c r="M156" i="1" s="1"/>
  <c r="J384" i="1"/>
  <c r="M384" i="1" s="1"/>
  <c r="J65" i="1"/>
  <c r="M65" i="1" s="1"/>
  <c r="J129" i="1"/>
  <c r="M129" i="1" s="1"/>
  <c r="J161" i="1"/>
  <c r="M161" i="1" s="1"/>
  <c r="J233" i="1"/>
  <c r="M233" i="1" s="1"/>
  <c r="J132" i="1"/>
  <c r="M132" i="1" s="1"/>
  <c r="J356" i="1"/>
  <c r="M356" i="1" s="1"/>
  <c r="J380" i="1"/>
  <c r="J318" i="1"/>
  <c r="M318" i="1" s="1"/>
  <c r="J121" i="1"/>
  <c r="M121" i="1" s="1"/>
  <c r="J249" i="1"/>
  <c r="M249" i="1" s="1"/>
  <c r="J257" i="1"/>
  <c r="M257" i="1" s="1"/>
  <c r="J50" i="1"/>
  <c r="M50" i="1" s="1"/>
  <c r="J194" i="1"/>
  <c r="M194" i="1" s="1"/>
  <c r="J148" i="1"/>
  <c r="J212" i="1"/>
  <c r="J308" i="1"/>
  <c r="M308" i="1" s="1"/>
  <c r="J372" i="1"/>
  <c r="J484" i="1"/>
  <c r="M484" i="1" s="1"/>
  <c r="J297" i="1"/>
  <c r="M297" i="1" s="1"/>
  <c r="J509" i="1"/>
  <c r="J37" i="1"/>
  <c r="M37" i="1" s="1"/>
  <c r="J53" i="1"/>
  <c r="M53" i="1" s="1"/>
  <c r="J77" i="1"/>
  <c r="J85" i="1"/>
  <c r="J101" i="1"/>
  <c r="J117" i="1"/>
  <c r="J141" i="1"/>
  <c r="J165" i="1"/>
  <c r="J181" i="1"/>
  <c r="M181" i="1" s="1"/>
  <c r="J221" i="1"/>
  <c r="M221" i="1" s="1"/>
  <c r="J237" i="1"/>
  <c r="J38" i="1"/>
  <c r="J46" i="1"/>
  <c r="J62" i="1"/>
  <c r="M62" i="1" s="1"/>
  <c r="J94" i="1"/>
  <c r="J118" i="1"/>
  <c r="J134" i="1"/>
  <c r="M134" i="1" s="1"/>
  <c r="J142" i="1"/>
  <c r="J158" i="1"/>
  <c r="J166" i="1"/>
  <c r="M166" i="1" s="1"/>
  <c r="J174" i="1"/>
  <c r="J182" i="1"/>
  <c r="J214" i="1"/>
  <c r="J222" i="1"/>
  <c r="J238" i="1"/>
  <c r="M238" i="1" s="1"/>
  <c r="J262" i="1"/>
  <c r="M262" i="1" s="1"/>
  <c r="J36" i="1"/>
  <c r="J52" i="1"/>
  <c r="J60" i="1"/>
  <c r="J88" i="1"/>
  <c r="J112" i="1"/>
  <c r="M112" i="1" s="1"/>
  <c r="J140" i="1"/>
  <c r="M140" i="1" s="1"/>
  <c r="J220" i="1"/>
  <c r="M220" i="1" s="1"/>
  <c r="J236" i="1"/>
  <c r="J256" i="1"/>
  <c r="J288" i="1"/>
  <c r="J312" i="1"/>
  <c r="J336" i="1"/>
  <c r="J392" i="1"/>
  <c r="M392" i="1" s="1"/>
  <c r="J420" i="1"/>
  <c r="M420" i="1" s="1"/>
  <c r="J81" i="1"/>
  <c r="J89" i="1"/>
  <c r="J105" i="1"/>
  <c r="J145" i="1"/>
  <c r="M145" i="1" s="1"/>
  <c r="J153" i="1"/>
  <c r="M153" i="1" s="1"/>
  <c r="J185" i="1"/>
  <c r="M185" i="1" s="1"/>
  <c r="J209" i="1"/>
  <c r="M209" i="1" s="1"/>
  <c r="J225" i="1"/>
  <c r="M225" i="1" s="1"/>
  <c r="J42" i="1"/>
  <c r="M42" i="1" s="1"/>
  <c r="J66" i="1"/>
  <c r="J74" i="1"/>
  <c r="M74" i="1" s="1"/>
  <c r="J82" i="1"/>
  <c r="M82" i="1" s="1"/>
  <c r="J138" i="1"/>
  <c r="J154" i="1"/>
  <c r="J162" i="1"/>
  <c r="J170" i="1"/>
  <c r="M170" i="1" s="1"/>
  <c r="J186" i="1"/>
  <c r="J202" i="1"/>
  <c r="M202" i="1" s="1"/>
  <c r="J210" i="1"/>
  <c r="J234" i="1"/>
  <c r="M234" i="1" s="1"/>
  <c r="J242" i="1"/>
  <c r="M242" i="1" s="1"/>
  <c r="J266" i="1"/>
  <c r="J40" i="1"/>
  <c r="M40" i="1" s="1"/>
  <c r="J72" i="1"/>
  <c r="J100" i="1"/>
  <c r="J108" i="1"/>
  <c r="J120" i="1"/>
  <c r="J180" i="1"/>
  <c r="M180" i="1" s="1"/>
  <c r="J196" i="1"/>
  <c r="M196" i="1" s="1"/>
  <c r="J276" i="1"/>
  <c r="J292" i="1"/>
  <c r="J332" i="1"/>
  <c r="M332" i="1" s="1"/>
  <c r="J396" i="1"/>
  <c r="J317" i="1"/>
  <c r="J337" i="1"/>
  <c r="M337" i="1" s="1"/>
  <c r="J353" i="1"/>
  <c r="M353" i="1" s="1"/>
  <c r="J405" i="1"/>
  <c r="J41" i="1"/>
  <c r="M41" i="1" s="1"/>
  <c r="J49" i="1"/>
  <c r="M49" i="1" s="1"/>
  <c r="J57" i="1"/>
  <c r="J73" i="1"/>
  <c r="J97" i="1"/>
  <c r="J113" i="1"/>
  <c r="M113" i="1" s="1"/>
  <c r="J169" i="1"/>
  <c r="M169" i="1" s="1"/>
  <c r="J177" i="1"/>
  <c r="J193" i="1"/>
  <c r="M193" i="1" s="1"/>
  <c r="J217" i="1"/>
  <c r="J241" i="1"/>
  <c r="J265" i="1"/>
  <c r="M265" i="1" s="1"/>
  <c r="J90" i="1"/>
  <c r="J98" i="1"/>
  <c r="M98" i="1" s="1"/>
  <c r="J106" i="1"/>
  <c r="M106" i="1" s="1"/>
  <c r="J114" i="1"/>
  <c r="J122" i="1"/>
  <c r="J130" i="1"/>
  <c r="J146" i="1"/>
  <c r="J218" i="1"/>
  <c r="M218" i="1" s="1"/>
  <c r="J226" i="1"/>
  <c r="M226" i="1" s="1"/>
  <c r="J250" i="1"/>
  <c r="M250" i="1" s="1"/>
  <c r="J258" i="1"/>
  <c r="J48" i="1"/>
  <c r="M48" i="1" s="1"/>
  <c r="J56" i="1"/>
  <c r="M56" i="1" s="1"/>
  <c r="J64" i="1"/>
  <c r="J84" i="1"/>
  <c r="M84" i="1" s="1"/>
  <c r="J92" i="1"/>
  <c r="M92" i="1" s="1"/>
  <c r="J164" i="1"/>
  <c r="M164" i="1" s="1"/>
  <c r="J228" i="1"/>
  <c r="M228" i="1" s="1"/>
  <c r="J244" i="1"/>
  <c r="J252" i="1"/>
  <c r="M252" i="1" s="1"/>
  <c r="J268" i="1"/>
  <c r="M268" i="1" s="1"/>
  <c r="J284" i="1"/>
  <c r="J300" i="1"/>
  <c r="J316" i="1"/>
  <c r="M316" i="1" s="1"/>
  <c r="J324" i="1"/>
  <c r="J340" i="1"/>
  <c r="M340" i="1" s="1"/>
  <c r="J388" i="1"/>
  <c r="M388" i="1" s="1"/>
  <c r="J408" i="1"/>
  <c r="J416" i="1"/>
  <c r="M416" i="1" s="1"/>
  <c r="J424" i="1"/>
  <c r="M424" i="1" s="1"/>
  <c r="J436" i="1"/>
  <c r="M436" i="1" s="1"/>
  <c r="J448" i="1"/>
  <c r="M448" i="1" s="1"/>
  <c r="J464" i="1"/>
  <c r="J516" i="1"/>
  <c r="J281" i="1"/>
  <c r="J385" i="1"/>
  <c r="J425" i="1"/>
  <c r="J469" i="1"/>
  <c r="M469" i="1" s="1"/>
  <c r="J350" i="1"/>
  <c r="J248" i="1"/>
  <c r="M248" i="1" s="1"/>
  <c r="J280" i="1"/>
  <c r="J320" i="1"/>
  <c r="M320" i="1" s="1"/>
  <c r="J376" i="1"/>
  <c r="M376" i="1" s="1"/>
  <c r="J472" i="1"/>
  <c r="M472" i="1" s="1"/>
  <c r="J289" i="1"/>
  <c r="J310" i="1"/>
  <c r="J296" i="1"/>
  <c r="M296" i="1" s="1"/>
  <c r="J304" i="1"/>
  <c r="J328" i="1"/>
  <c r="J348" i="1"/>
  <c r="J364" i="1"/>
  <c r="J400" i="1"/>
  <c r="J412" i="1"/>
  <c r="J508" i="1"/>
  <c r="J269" i="1"/>
  <c r="J326" i="1"/>
  <c r="M326" i="1" s="1"/>
  <c r="J358" i="1"/>
  <c r="J39" i="1"/>
  <c r="M39" i="1" s="1"/>
  <c r="J428" i="1"/>
  <c r="M428" i="1" s="1"/>
  <c r="J444" i="1"/>
  <c r="M444" i="1" s="1"/>
  <c r="J456" i="1"/>
  <c r="J492" i="1"/>
  <c r="M492" i="1" s="1"/>
  <c r="J309" i="1"/>
  <c r="J329" i="1"/>
  <c r="M329" i="1" s="1"/>
  <c r="J345" i="1"/>
  <c r="J365" i="1"/>
  <c r="M365" i="1" s="1"/>
  <c r="J397" i="1"/>
  <c r="M397" i="1" s="1"/>
  <c r="J413" i="1"/>
  <c r="M413" i="1" s="1"/>
  <c r="J433" i="1"/>
  <c r="J457" i="1"/>
  <c r="J477" i="1"/>
  <c r="J501" i="1"/>
  <c r="J274" i="1"/>
  <c r="M274" i="1" s="1"/>
  <c r="J294" i="1"/>
  <c r="J342" i="1"/>
  <c r="J374" i="1"/>
  <c r="M374" i="1" s="1"/>
  <c r="J371" i="1"/>
  <c r="M371" i="1" s="1"/>
  <c r="J302" i="1"/>
  <c r="M302" i="1" s="1"/>
  <c r="J55" i="1"/>
  <c r="M55" i="1" s="1"/>
  <c r="J263" i="1"/>
  <c r="J465" i="1"/>
  <c r="J445" i="1"/>
  <c r="J489" i="1"/>
  <c r="M489" i="1" s="1"/>
  <c r="J286" i="1"/>
  <c r="J334" i="1"/>
  <c r="M334" i="1" s="1"/>
  <c r="J136" i="1"/>
  <c r="J421" i="1"/>
  <c r="J151" i="1"/>
  <c r="J247" i="1"/>
  <c r="M247" i="1" s="1"/>
  <c r="J224" i="1"/>
  <c r="M224" i="1" s="1"/>
  <c r="J432" i="1"/>
  <c r="J325" i="1"/>
  <c r="J306" i="1"/>
  <c r="M306" i="1" s="1"/>
  <c r="J366" i="1"/>
  <c r="J333" i="1"/>
  <c r="M333" i="1" s="1"/>
  <c r="J437" i="1"/>
  <c r="M437" i="1" s="1"/>
  <c r="J59" i="1"/>
  <c r="J187" i="1"/>
  <c r="J219" i="1"/>
  <c r="M219" i="1" s="1"/>
  <c r="J315" i="1"/>
  <c r="M315" i="1" s="1"/>
  <c r="J331" i="1"/>
  <c r="J321" i="1"/>
  <c r="J461" i="1"/>
  <c r="M461" i="1" s="1"/>
  <c r="J314" i="1"/>
  <c r="M314" i="1" s="1"/>
  <c r="J87" i="1"/>
  <c r="M87" i="1" s="1"/>
  <c r="J135" i="1"/>
  <c r="J208" i="1"/>
  <c r="J273" i="1"/>
  <c r="M273" i="1" s="1"/>
  <c r="J301" i="1"/>
  <c r="M301" i="1" s="1"/>
  <c r="J341" i="1"/>
  <c r="M341" i="1" s="1"/>
  <c r="J493" i="1"/>
  <c r="J119" i="1"/>
  <c r="M119" i="1" s="1"/>
  <c r="J183" i="1"/>
  <c r="M183" i="1" s="1"/>
  <c r="J215" i="1"/>
  <c r="M215" i="1" s="1"/>
  <c r="J231" i="1"/>
  <c r="J343" i="1"/>
  <c r="M343" i="1" s="1"/>
  <c r="J128" i="1"/>
  <c r="J176" i="1"/>
  <c r="M176" i="1" s="1"/>
  <c r="J240" i="1"/>
  <c r="J496" i="1"/>
  <c r="M496" i="1" s="1"/>
  <c r="J512" i="1"/>
  <c r="M512" i="1" s="1"/>
  <c r="J285" i="1"/>
  <c r="J377" i="1"/>
  <c r="J401" i="1"/>
  <c r="M401" i="1" s="1"/>
  <c r="J417" i="1"/>
  <c r="J505" i="1"/>
  <c r="M505" i="1" s="1"/>
  <c r="J290" i="1"/>
  <c r="M290" i="1" s="1"/>
  <c r="J107" i="1"/>
  <c r="M107" i="1" s="1"/>
  <c r="J139" i="1"/>
  <c r="J155" i="1"/>
  <c r="J203" i="1"/>
  <c r="J235" i="1"/>
  <c r="J299" i="1"/>
  <c r="J351" i="1"/>
  <c r="J116" i="1"/>
  <c r="J232" i="1"/>
  <c r="J488" i="1"/>
  <c r="M488" i="1" s="1"/>
  <c r="J293" i="1"/>
  <c r="M293" i="1" s="1"/>
  <c r="J305" i="1"/>
  <c r="M305" i="1" s="1"/>
  <c r="J349" i="1"/>
  <c r="M349" i="1" s="1"/>
  <c r="J449" i="1"/>
  <c r="M449" i="1" s="1"/>
  <c r="J473" i="1"/>
  <c r="J362" i="1"/>
  <c r="L367" i="1"/>
  <c r="L47" i="1"/>
  <c r="L175" i="1"/>
  <c r="L431" i="1"/>
  <c r="L495" i="1"/>
  <c r="L307" i="1"/>
  <c r="L467" i="1"/>
  <c r="L375" i="1"/>
  <c r="L379" i="1"/>
  <c r="L411" i="1"/>
  <c r="L287" i="1"/>
  <c r="L323" i="1"/>
  <c r="L491" i="1"/>
  <c r="J43" i="1"/>
  <c r="M43" i="1" s="1"/>
  <c r="J75" i="1"/>
  <c r="M75" i="1" s="1"/>
  <c r="J91" i="1"/>
  <c r="J123" i="1"/>
  <c r="J171" i="1"/>
  <c r="J251" i="1"/>
  <c r="J267" i="1"/>
  <c r="J283" i="1"/>
  <c r="J152" i="1"/>
  <c r="J168" i="1"/>
  <c r="M168" i="1" s="1"/>
  <c r="J184" i="1"/>
  <c r="M184" i="1" s="1"/>
  <c r="J200" i="1"/>
  <c r="J216" i="1"/>
  <c r="J404" i="1"/>
  <c r="J440" i="1"/>
  <c r="J460" i="1"/>
  <c r="M460" i="1" s="1"/>
  <c r="J476" i="1"/>
  <c r="M476" i="1" s="1"/>
  <c r="J504" i="1"/>
  <c r="M504" i="1" s="1"/>
  <c r="J277" i="1"/>
  <c r="J361" i="1"/>
  <c r="M361" i="1" s="1"/>
  <c r="J381" i="1"/>
  <c r="M381" i="1" s="1"/>
  <c r="J393" i="1"/>
  <c r="M393" i="1" s="1"/>
  <c r="J409" i="1"/>
  <c r="J485" i="1"/>
  <c r="J497" i="1"/>
  <c r="M497" i="1" s="1"/>
  <c r="J513" i="1"/>
  <c r="M513" i="1" s="1"/>
  <c r="J282" i="1"/>
  <c r="J298" i="1"/>
  <c r="J330" i="1"/>
  <c r="J346" i="1"/>
  <c r="L422" i="1"/>
  <c r="L419" i="1"/>
  <c r="L483" i="1"/>
  <c r="L391" i="1"/>
  <c r="L443" i="1"/>
  <c r="L352" i="1"/>
  <c r="L426" i="1"/>
  <c r="L458" i="1"/>
  <c r="L490" i="1"/>
  <c r="L255" i="1"/>
  <c r="L399" i="1"/>
  <c r="L463" i="1"/>
  <c r="L51" i="1"/>
  <c r="L363" i="1"/>
  <c r="L407" i="1"/>
  <c r="L507" i="1"/>
  <c r="L459" i="1"/>
  <c r="L195" i="1"/>
  <c r="L394" i="1"/>
  <c r="L143" i="1"/>
  <c r="L466" i="1"/>
  <c r="J71" i="1"/>
  <c r="J103" i="1"/>
  <c r="M103" i="1" s="1"/>
  <c r="J167" i="1"/>
  <c r="M167" i="1" s="1"/>
  <c r="J199" i="1"/>
  <c r="M199" i="1" s="1"/>
  <c r="J279" i="1"/>
  <c r="M279" i="1" s="1"/>
  <c r="J295" i="1"/>
  <c r="M295" i="1" s="1"/>
  <c r="J311" i="1"/>
  <c r="M311" i="1" s="1"/>
  <c r="J327" i="1"/>
  <c r="J359" i="1"/>
  <c r="J80" i="1"/>
  <c r="J144" i="1"/>
  <c r="M144" i="1" s="1"/>
  <c r="J160" i="1"/>
  <c r="J192" i="1"/>
  <c r="J452" i="1"/>
  <c r="M452" i="1" s="1"/>
  <c r="J468" i="1"/>
  <c r="J480" i="1"/>
  <c r="M480" i="1" s="1"/>
  <c r="L414" i="1"/>
  <c r="J313" i="1"/>
  <c r="J357" i="1"/>
  <c r="M357" i="1" s="1"/>
  <c r="J389" i="1"/>
  <c r="J429" i="1"/>
  <c r="M429" i="1" s="1"/>
  <c r="J441" i="1"/>
  <c r="M441" i="1" s="1"/>
  <c r="J453" i="1"/>
  <c r="J481" i="1"/>
  <c r="J278" i="1"/>
  <c r="J322" i="1"/>
  <c r="J338" i="1"/>
  <c r="J354" i="1"/>
  <c r="M354" i="1" s="1"/>
  <c r="J370" i="1"/>
  <c r="M370" i="1" s="1"/>
  <c r="L462" i="1"/>
  <c r="L415" i="1"/>
  <c r="L479" i="1"/>
  <c r="L259" i="1"/>
  <c r="L387" i="1"/>
  <c r="L515" i="1"/>
  <c r="L347" i="1"/>
  <c r="L159" i="1"/>
  <c r="L115" i="1"/>
  <c r="J33" i="1"/>
  <c r="J18" i="1"/>
  <c r="M18" i="1" s="1"/>
  <c r="J34" i="1"/>
  <c r="M34" i="1" s="1"/>
  <c r="J31" i="1"/>
  <c r="M31" i="1" s="1"/>
  <c r="J24" i="1"/>
  <c r="J30" i="1"/>
  <c r="M30" i="1" s="1"/>
  <c r="J22" i="1"/>
  <c r="J19" i="1"/>
  <c r="J27" i="1"/>
  <c r="J29" i="1"/>
  <c r="M29" i="1" s="1"/>
  <c r="J32" i="1"/>
  <c r="M32" i="1" s="1"/>
  <c r="K21" i="1"/>
  <c r="K17" i="1"/>
  <c r="K35" i="1"/>
  <c r="K28" i="1"/>
  <c r="T3" i="1"/>
  <c r="R5" i="1"/>
  <c r="T5" i="1" s="1"/>
  <c r="S5" i="1"/>
  <c r="T4" i="1"/>
  <c r="S4" i="1"/>
  <c r="C19" i="1"/>
  <c r="M335" i="1" l="1"/>
  <c r="M482" i="1"/>
  <c r="M51" i="1"/>
  <c r="M99" i="1"/>
  <c r="O99" i="1" s="1"/>
  <c r="M207" i="1"/>
  <c r="M430" i="1"/>
  <c r="O430" i="1" s="1"/>
  <c r="M243" i="1"/>
  <c r="M239" i="1"/>
  <c r="O239" i="1" s="1"/>
  <c r="M79" i="1"/>
  <c r="M368" i="1"/>
  <c r="M159" i="1"/>
  <c r="M410" i="1"/>
  <c r="O410" i="1" s="1"/>
  <c r="K510" i="1"/>
  <c r="L510" i="1" s="1"/>
  <c r="M303" i="1"/>
  <c r="M378" i="1"/>
  <c r="O378" i="1" s="1"/>
  <c r="M179" i="1"/>
  <c r="O179" i="1" s="1"/>
  <c r="M450" i="1"/>
  <c r="K386" i="1"/>
  <c r="L386" i="1" s="1"/>
  <c r="M163" i="1"/>
  <c r="O163" i="1" s="1"/>
  <c r="M442" i="1"/>
  <c r="O442" i="1" s="1"/>
  <c r="M67" i="1"/>
  <c r="O67" i="1" s="1"/>
  <c r="M382" i="1"/>
  <c r="O382" i="1" s="1"/>
  <c r="M514" i="1"/>
  <c r="O514" i="1" s="1"/>
  <c r="M446" i="1"/>
  <c r="O446" i="1" s="1"/>
  <c r="M373" i="1"/>
  <c r="K25" i="1"/>
  <c r="K211" i="1"/>
  <c r="L211" i="1" s="1"/>
  <c r="M147" i="1"/>
  <c r="O147" i="1" s="1"/>
  <c r="M275" i="1"/>
  <c r="K402" i="1"/>
  <c r="L402" i="1" s="1"/>
  <c r="M223" i="1"/>
  <c r="O223" i="1" s="1"/>
  <c r="K26" i="1"/>
  <c r="L26" i="1" s="1"/>
  <c r="M369" i="1"/>
  <c r="O369" i="1" s="1"/>
  <c r="K23" i="1"/>
  <c r="L23" i="1" s="1"/>
  <c r="K478" i="1"/>
  <c r="L478" i="1" s="1"/>
  <c r="M63" i="1"/>
  <c r="O63" i="1" s="1"/>
  <c r="K20" i="1"/>
  <c r="L20" i="1" s="1"/>
  <c r="K358" i="1"/>
  <c r="L358" i="1" s="1"/>
  <c r="M358" i="1"/>
  <c r="M418" i="1"/>
  <c r="O418" i="1" s="1"/>
  <c r="M360" i="1"/>
  <c r="O360" i="1" s="1"/>
  <c r="M398" i="1"/>
  <c r="O398" i="1" s="1"/>
  <c r="K298" i="1"/>
  <c r="L298" i="1" s="1"/>
  <c r="M298" i="1"/>
  <c r="K277" i="1"/>
  <c r="L277" i="1" s="1"/>
  <c r="M277" i="1"/>
  <c r="K186" i="1"/>
  <c r="L186" i="1" s="1"/>
  <c r="M186" i="1"/>
  <c r="M494" i="1"/>
  <c r="M470" i="1"/>
  <c r="O470" i="1" s="1"/>
  <c r="M131" i="1"/>
  <c r="O131" i="1" s="1"/>
  <c r="K425" i="1"/>
  <c r="L425" i="1" s="1"/>
  <c r="M425" i="1"/>
  <c r="O425" i="1" s="1"/>
  <c r="K135" i="1"/>
  <c r="L135" i="1" s="1"/>
  <c r="M135" i="1"/>
  <c r="O135" i="1" s="1"/>
  <c r="K501" i="1"/>
  <c r="M501" i="1"/>
  <c r="K304" i="1"/>
  <c r="L304" i="1" s="1"/>
  <c r="M304" i="1"/>
  <c r="O304" i="1" s="1"/>
  <c r="K208" i="1"/>
  <c r="L208" i="1" s="1"/>
  <c r="M208" i="1"/>
  <c r="O208" i="1" s="1"/>
  <c r="K292" i="1"/>
  <c r="L292" i="1" s="1"/>
  <c r="M292" i="1"/>
  <c r="K266" i="1"/>
  <c r="L266" i="1" s="1"/>
  <c r="M266" i="1"/>
  <c r="K191" i="1"/>
  <c r="L191" i="1" s="1"/>
  <c r="M191" i="1"/>
  <c r="O191" i="1" s="1"/>
  <c r="K122" i="1"/>
  <c r="L122" i="1" s="1"/>
  <c r="M122" i="1"/>
  <c r="K445" i="1"/>
  <c r="L445" i="1" s="1"/>
  <c r="M445" i="1"/>
  <c r="K83" i="1"/>
  <c r="L83" i="1" s="1"/>
  <c r="M83" i="1"/>
  <c r="O83" i="1" s="1"/>
  <c r="K456" i="1"/>
  <c r="L456" i="1" s="1"/>
  <c r="M456" i="1"/>
  <c r="O456" i="1" s="1"/>
  <c r="K216" i="1"/>
  <c r="L216" i="1" s="1"/>
  <c r="M216" i="1"/>
  <c r="K377" i="1"/>
  <c r="L377" i="1" s="1"/>
  <c r="M377" i="1"/>
  <c r="K177" i="1"/>
  <c r="L177" i="1" s="1"/>
  <c r="M177" i="1"/>
  <c r="O177" i="1" s="1"/>
  <c r="K60" i="1"/>
  <c r="L60" i="1" s="1"/>
  <c r="M60" i="1"/>
  <c r="M227" i="1"/>
  <c r="O227" i="1" s="1"/>
  <c r="M127" i="1"/>
  <c r="O127" i="1" s="1"/>
  <c r="K474" i="1"/>
  <c r="L474" i="1" s="1"/>
  <c r="M474" i="1"/>
  <c r="O474" i="1" s="1"/>
  <c r="K404" i="1"/>
  <c r="L404" i="1" s="1"/>
  <c r="M404" i="1"/>
  <c r="K288" i="1"/>
  <c r="L288" i="1" s="1"/>
  <c r="M288" i="1"/>
  <c r="O288" i="1" s="1"/>
  <c r="M271" i="1"/>
  <c r="O271" i="1" s="1"/>
  <c r="K473" i="1"/>
  <c r="L473" i="1" s="1"/>
  <c r="M473" i="1"/>
  <c r="O473" i="1" s="1"/>
  <c r="K322" i="1"/>
  <c r="L322" i="1" s="1"/>
  <c r="M322" i="1"/>
  <c r="K485" i="1"/>
  <c r="L485" i="1" s="1"/>
  <c r="M485" i="1"/>
  <c r="K130" i="1"/>
  <c r="L130" i="1" s="1"/>
  <c r="M130" i="1"/>
  <c r="O130" i="1" s="1"/>
  <c r="K162" i="1"/>
  <c r="L162" i="1" s="1"/>
  <c r="M162" i="1"/>
  <c r="K282" i="1"/>
  <c r="L282" i="1" s="1"/>
  <c r="M282" i="1"/>
  <c r="K188" i="1"/>
  <c r="L188" i="1" s="1"/>
  <c r="M188" i="1"/>
  <c r="O188" i="1" s="1"/>
  <c r="K506" i="1"/>
  <c r="M506" i="1"/>
  <c r="O506" i="1" s="1"/>
  <c r="K493" i="1"/>
  <c r="L493" i="1" s="1"/>
  <c r="M493" i="1"/>
  <c r="O493" i="1" s="1"/>
  <c r="K342" i="1"/>
  <c r="L342" i="1" s="1"/>
  <c r="M342" i="1"/>
  <c r="O342" i="1" s="1"/>
  <c r="K187" i="1"/>
  <c r="L187" i="1" s="1"/>
  <c r="M187" i="1"/>
  <c r="O187" i="1" s="1"/>
  <c r="K58" i="1"/>
  <c r="L58" i="1" s="1"/>
  <c r="M58" i="1"/>
  <c r="K171" i="1"/>
  <c r="L171" i="1" s="1"/>
  <c r="M171" i="1"/>
  <c r="K73" i="1"/>
  <c r="L73" i="1" s="1"/>
  <c r="M73" i="1"/>
  <c r="O73" i="1" s="1"/>
  <c r="K312" i="1"/>
  <c r="L312" i="1" s="1"/>
  <c r="M312" i="1"/>
  <c r="O312" i="1" s="1"/>
  <c r="K174" i="1"/>
  <c r="L174" i="1" s="1"/>
  <c r="M174" i="1"/>
  <c r="K213" i="1"/>
  <c r="L213" i="1" s="1"/>
  <c r="M213" i="1"/>
  <c r="K319" i="1"/>
  <c r="L319" i="1" s="1"/>
  <c r="M319" i="1"/>
  <c r="O319" i="1" s="1"/>
  <c r="K72" i="1"/>
  <c r="L72" i="1" s="1"/>
  <c r="M72" i="1"/>
  <c r="O72" i="1" s="1"/>
  <c r="K454" i="1"/>
  <c r="L454" i="1" s="1"/>
  <c r="M454" i="1"/>
  <c r="O454" i="1" s="1"/>
  <c r="K468" i="1"/>
  <c r="L468" i="1" s="1"/>
  <c r="M468" i="1"/>
  <c r="K91" i="1"/>
  <c r="L91" i="1" s="1"/>
  <c r="M91" i="1"/>
  <c r="K138" i="1"/>
  <c r="L138" i="1" s="1"/>
  <c r="M138" i="1"/>
  <c r="K409" i="1"/>
  <c r="L409" i="1" s="1"/>
  <c r="M409" i="1"/>
  <c r="K285" i="1"/>
  <c r="L285" i="1" s="1"/>
  <c r="M285" i="1"/>
  <c r="O285" i="1" s="1"/>
  <c r="K160" i="1"/>
  <c r="L160" i="1" s="1"/>
  <c r="M160" i="1"/>
  <c r="K327" i="1"/>
  <c r="L327" i="1" s="1"/>
  <c r="M327" i="1"/>
  <c r="K331" i="1"/>
  <c r="L331" i="1" s="1"/>
  <c r="M331" i="1"/>
  <c r="O331" i="1" s="1"/>
  <c r="K345" i="1"/>
  <c r="L345" i="1" s="1"/>
  <c r="M345" i="1"/>
  <c r="K317" i="1"/>
  <c r="L317" i="1" s="1"/>
  <c r="M317" i="1"/>
  <c r="O317" i="1" s="1"/>
  <c r="K154" i="1"/>
  <c r="L154" i="1" s="1"/>
  <c r="M154" i="1"/>
  <c r="O154" i="1" s="1"/>
  <c r="K66" i="1"/>
  <c r="L66" i="1" s="1"/>
  <c r="M66" i="1"/>
  <c r="O66" i="1" s="1"/>
  <c r="K336" i="1"/>
  <c r="L336" i="1" s="1"/>
  <c r="M336" i="1"/>
  <c r="O336" i="1" s="1"/>
  <c r="K117" i="1"/>
  <c r="L117" i="1" s="1"/>
  <c r="M117" i="1"/>
  <c r="O117" i="1" s="1"/>
  <c r="K124" i="1"/>
  <c r="L124" i="1" s="1"/>
  <c r="M124" i="1"/>
  <c r="O124" i="1" s="1"/>
  <c r="K261" i="1"/>
  <c r="L261" i="1" s="1"/>
  <c r="M261" i="1"/>
  <c r="K502" i="1"/>
  <c r="L502" i="1" s="1"/>
  <c r="M502" i="1"/>
  <c r="O502" i="1" s="1"/>
  <c r="K24" i="1"/>
  <c r="L24" i="1" s="1"/>
  <c r="M24" i="1"/>
  <c r="K263" i="1"/>
  <c r="L263" i="1" s="1"/>
  <c r="M263" i="1"/>
  <c r="K96" i="1"/>
  <c r="L96" i="1" s="1"/>
  <c r="M96" i="1"/>
  <c r="K486" i="1"/>
  <c r="L486" i="1" s="1"/>
  <c r="M486" i="1"/>
  <c r="O486" i="1" s="1"/>
  <c r="K111" i="1"/>
  <c r="L111" i="1" s="1"/>
  <c r="M111" i="1"/>
  <c r="O111" i="1" s="1"/>
  <c r="K477" i="1"/>
  <c r="L477" i="1" s="1"/>
  <c r="M477" i="1"/>
  <c r="O477" i="1" s="1"/>
  <c r="K269" i="1"/>
  <c r="L269" i="1" s="1"/>
  <c r="M269" i="1"/>
  <c r="O269" i="1" s="1"/>
  <c r="K350" i="1"/>
  <c r="L350" i="1" s="1"/>
  <c r="M350" i="1"/>
  <c r="O350" i="1" s="1"/>
  <c r="K281" i="1"/>
  <c r="L281" i="1" s="1"/>
  <c r="M281" i="1"/>
  <c r="O281" i="1" s="1"/>
  <c r="K165" i="1"/>
  <c r="L165" i="1" s="1"/>
  <c r="M165" i="1"/>
  <c r="O165" i="1" s="1"/>
  <c r="K509" i="1"/>
  <c r="L509" i="1" s="1"/>
  <c r="M509" i="1"/>
  <c r="O509" i="1" s="1"/>
  <c r="K260" i="1"/>
  <c r="L260" i="1" s="1"/>
  <c r="M260" i="1"/>
  <c r="O260" i="1" s="1"/>
  <c r="K45" i="1"/>
  <c r="L45" i="1" s="1"/>
  <c r="M45" i="1"/>
  <c r="O45" i="1" s="1"/>
  <c r="O275" i="1"/>
  <c r="K385" i="1"/>
  <c r="L385" i="1" s="1"/>
  <c r="M385" i="1"/>
  <c r="O385" i="1" s="1"/>
  <c r="K81" i="1"/>
  <c r="L81" i="1" s="1"/>
  <c r="M81" i="1"/>
  <c r="O81" i="1" s="1"/>
  <c r="K101" i="1"/>
  <c r="L101" i="1" s="1"/>
  <c r="M101" i="1"/>
  <c r="O101" i="1" s="1"/>
  <c r="K481" i="1"/>
  <c r="L481" i="1" s="1"/>
  <c r="M481" i="1"/>
  <c r="K192" i="1"/>
  <c r="L192" i="1" s="1"/>
  <c r="M192" i="1"/>
  <c r="K152" i="1"/>
  <c r="L152" i="1" s="1"/>
  <c r="M152" i="1"/>
  <c r="K139" i="1"/>
  <c r="L139" i="1" s="1"/>
  <c r="M139" i="1"/>
  <c r="K128" i="1"/>
  <c r="L128" i="1" s="1"/>
  <c r="M128" i="1"/>
  <c r="O128" i="1" s="1"/>
  <c r="K294" i="1"/>
  <c r="L294" i="1" s="1"/>
  <c r="M294" i="1"/>
  <c r="K457" i="1"/>
  <c r="L457" i="1" s="1"/>
  <c r="M457" i="1"/>
  <c r="O457" i="1" s="1"/>
  <c r="K310" i="1"/>
  <c r="L310" i="1" s="1"/>
  <c r="M310" i="1"/>
  <c r="O310" i="1" s="1"/>
  <c r="K516" i="1"/>
  <c r="L516" i="1" s="1"/>
  <c r="M516" i="1"/>
  <c r="O516" i="1" s="1"/>
  <c r="K284" i="1"/>
  <c r="L284" i="1" s="1"/>
  <c r="M284" i="1"/>
  <c r="O284" i="1" s="1"/>
  <c r="K256" i="1"/>
  <c r="L256" i="1" s="1"/>
  <c r="M256" i="1"/>
  <c r="K36" i="1"/>
  <c r="L36" i="1" s="1"/>
  <c r="M36" i="1"/>
  <c r="O36" i="1" s="1"/>
  <c r="K214" i="1"/>
  <c r="L214" i="1" s="1"/>
  <c r="M214" i="1"/>
  <c r="O214" i="1" s="1"/>
  <c r="K158" i="1"/>
  <c r="L158" i="1" s="1"/>
  <c r="M158" i="1"/>
  <c r="K94" i="1"/>
  <c r="L94" i="1" s="1"/>
  <c r="M94" i="1"/>
  <c r="K212" i="1"/>
  <c r="L212" i="1" s="1"/>
  <c r="M212" i="1"/>
  <c r="K380" i="1"/>
  <c r="L380" i="1" s="1"/>
  <c r="M380" i="1"/>
  <c r="K245" i="1"/>
  <c r="L245" i="1" s="1"/>
  <c r="M245" i="1"/>
  <c r="O245" i="1" s="1"/>
  <c r="K197" i="1"/>
  <c r="L197" i="1" s="1"/>
  <c r="M197" i="1"/>
  <c r="K204" i="1"/>
  <c r="L204" i="1" s="1"/>
  <c r="M204" i="1"/>
  <c r="K102" i="1"/>
  <c r="L102" i="1" s="1"/>
  <c r="M102" i="1"/>
  <c r="O102" i="1" s="1"/>
  <c r="K22" i="1"/>
  <c r="L22" i="1" s="1"/>
  <c r="M22" i="1"/>
  <c r="O22" i="1" s="1"/>
  <c r="K278" i="1"/>
  <c r="L278" i="1" s="1"/>
  <c r="M278" i="1"/>
  <c r="K362" i="1"/>
  <c r="L362" i="1" s="1"/>
  <c r="M362" i="1"/>
  <c r="K116" i="1"/>
  <c r="L116" i="1" s="1"/>
  <c r="M116" i="1"/>
  <c r="K203" i="1"/>
  <c r="L203" i="1" s="1"/>
  <c r="M203" i="1"/>
  <c r="K240" i="1"/>
  <c r="L240" i="1" s="1"/>
  <c r="M240" i="1"/>
  <c r="O240" i="1" s="1"/>
  <c r="K231" i="1"/>
  <c r="L231" i="1" s="1"/>
  <c r="M231" i="1"/>
  <c r="K325" i="1"/>
  <c r="L325" i="1" s="1"/>
  <c r="M325" i="1"/>
  <c r="O325" i="1" s="1"/>
  <c r="K151" i="1"/>
  <c r="L151" i="1" s="1"/>
  <c r="M151" i="1"/>
  <c r="K286" i="1"/>
  <c r="L286" i="1" s="1"/>
  <c r="M286" i="1"/>
  <c r="K400" i="1"/>
  <c r="L400" i="1" s="1"/>
  <c r="M400" i="1"/>
  <c r="O400" i="1" s="1"/>
  <c r="K408" i="1"/>
  <c r="L408" i="1" s="1"/>
  <c r="M408" i="1"/>
  <c r="K114" i="1"/>
  <c r="L114" i="1" s="1"/>
  <c r="M114" i="1"/>
  <c r="K405" i="1"/>
  <c r="L405" i="1" s="1"/>
  <c r="M405" i="1"/>
  <c r="K396" i="1"/>
  <c r="L396" i="1" s="1"/>
  <c r="M396" i="1"/>
  <c r="K100" i="1"/>
  <c r="L100" i="1" s="1"/>
  <c r="M100" i="1"/>
  <c r="O100" i="1" s="1"/>
  <c r="K46" i="1"/>
  <c r="L46" i="1" s="1"/>
  <c r="M46" i="1"/>
  <c r="K372" i="1"/>
  <c r="L372" i="1" s="1"/>
  <c r="M372" i="1"/>
  <c r="O372" i="1" s="1"/>
  <c r="K178" i="1"/>
  <c r="L178" i="1" s="1"/>
  <c r="M178" i="1"/>
  <c r="K264" i="1"/>
  <c r="L264" i="1" s="1"/>
  <c r="M264" i="1"/>
  <c r="O264" i="1" s="1"/>
  <c r="K54" i="1"/>
  <c r="L54" i="1" s="1"/>
  <c r="M54" i="1"/>
  <c r="K80" i="1"/>
  <c r="L80" i="1" s="1"/>
  <c r="M80" i="1"/>
  <c r="K359" i="1"/>
  <c r="L359" i="1" s="1"/>
  <c r="M359" i="1"/>
  <c r="K432" i="1"/>
  <c r="L432" i="1" s="1"/>
  <c r="M432" i="1"/>
  <c r="O432" i="1" s="1"/>
  <c r="K421" i="1"/>
  <c r="L421" i="1" s="1"/>
  <c r="M421" i="1"/>
  <c r="O421" i="1" s="1"/>
  <c r="K309" i="1"/>
  <c r="L309" i="1" s="1"/>
  <c r="M309" i="1"/>
  <c r="O309" i="1" s="1"/>
  <c r="K364" i="1"/>
  <c r="L364" i="1" s="1"/>
  <c r="M364" i="1"/>
  <c r="O364" i="1" s="1"/>
  <c r="K300" i="1"/>
  <c r="L300" i="1" s="1"/>
  <c r="M300" i="1"/>
  <c r="O300" i="1" s="1"/>
  <c r="K244" i="1"/>
  <c r="L244" i="1" s="1"/>
  <c r="M244" i="1"/>
  <c r="O244" i="1" s="1"/>
  <c r="K258" i="1"/>
  <c r="L258" i="1" s="1"/>
  <c r="M258" i="1"/>
  <c r="O258" i="1" s="1"/>
  <c r="K146" i="1"/>
  <c r="L146" i="1" s="1"/>
  <c r="M146" i="1"/>
  <c r="O146" i="1" s="1"/>
  <c r="K241" i="1"/>
  <c r="L241" i="1" s="1"/>
  <c r="M241" i="1"/>
  <c r="O241" i="1" s="1"/>
  <c r="K57" i="1"/>
  <c r="L57" i="1" s="1"/>
  <c r="M57" i="1"/>
  <c r="O57" i="1" s="1"/>
  <c r="K52" i="1"/>
  <c r="L52" i="1" s="1"/>
  <c r="M52" i="1"/>
  <c r="O52" i="1" s="1"/>
  <c r="K222" i="1"/>
  <c r="L222" i="1" s="1"/>
  <c r="M222" i="1"/>
  <c r="O222" i="1" s="1"/>
  <c r="K118" i="1"/>
  <c r="L118" i="1" s="1"/>
  <c r="M118" i="1"/>
  <c r="O118" i="1" s="1"/>
  <c r="K38" i="1"/>
  <c r="L38" i="1" s="1"/>
  <c r="M38" i="1"/>
  <c r="O38" i="1" s="1"/>
  <c r="K85" i="1"/>
  <c r="L85" i="1" s="1"/>
  <c r="M85" i="1"/>
  <c r="O85" i="1" s="1"/>
  <c r="K44" i="1"/>
  <c r="L44" i="1" s="1"/>
  <c r="M44" i="1"/>
  <c r="O44" i="1" s="1"/>
  <c r="K205" i="1"/>
  <c r="L205" i="1" s="1"/>
  <c r="M205" i="1"/>
  <c r="O205" i="1" s="1"/>
  <c r="K69" i="1"/>
  <c r="L69" i="1" s="1"/>
  <c r="M69" i="1"/>
  <c r="O69" i="1" s="1"/>
  <c r="K390" i="1"/>
  <c r="L390" i="1" s="1"/>
  <c r="M390" i="1"/>
  <c r="O390" i="1" s="1"/>
  <c r="K351" i="1"/>
  <c r="L351" i="1" s="1"/>
  <c r="M351" i="1"/>
  <c r="O351" i="1" s="1"/>
  <c r="K33" i="1"/>
  <c r="L33" i="1" s="1"/>
  <c r="M33" i="1"/>
  <c r="K338" i="1"/>
  <c r="L338" i="1" s="1"/>
  <c r="M338" i="1"/>
  <c r="K453" i="1"/>
  <c r="L453" i="1" s="1"/>
  <c r="M453" i="1"/>
  <c r="K330" i="1"/>
  <c r="L330" i="1" s="1"/>
  <c r="M330" i="1"/>
  <c r="K200" i="1"/>
  <c r="L200" i="1" s="1"/>
  <c r="M200" i="1"/>
  <c r="K283" i="1"/>
  <c r="L283" i="1" s="1"/>
  <c r="M283" i="1"/>
  <c r="K123" i="1"/>
  <c r="L123" i="1" s="1"/>
  <c r="M123" i="1"/>
  <c r="K299" i="1"/>
  <c r="L299" i="1" s="1"/>
  <c r="M299" i="1"/>
  <c r="O299" i="1" s="1"/>
  <c r="K417" i="1"/>
  <c r="L417" i="1" s="1"/>
  <c r="M417" i="1"/>
  <c r="K321" i="1"/>
  <c r="L321" i="1" s="1"/>
  <c r="M321" i="1"/>
  <c r="O321" i="1" s="1"/>
  <c r="K366" i="1"/>
  <c r="L366" i="1" s="1"/>
  <c r="M366" i="1"/>
  <c r="O366" i="1" s="1"/>
  <c r="K136" i="1"/>
  <c r="L136" i="1" s="1"/>
  <c r="M136" i="1"/>
  <c r="K508" i="1"/>
  <c r="L508" i="1" s="1"/>
  <c r="M508" i="1"/>
  <c r="K348" i="1"/>
  <c r="L348" i="1" s="1"/>
  <c r="M348" i="1"/>
  <c r="K64" i="1"/>
  <c r="L64" i="1" s="1"/>
  <c r="M64" i="1"/>
  <c r="O64" i="1" s="1"/>
  <c r="K217" i="1"/>
  <c r="L217" i="1" s="1"/>
  <c r="M217" i="1"/>
  <c r="K120" i="1"/>
  <c r="L120" i="1" s="1"/>
  <c r="M120" i="1"/>
  <c r="O120" i="1" s="1"/>
  <c r="K210" i="1"/>
  <c r="L210" i="1" s="1"/>
  <c r="M210" i="1"/>
  <c r="K105" i="1"/>
  <c r="L105" i="1" s="1"/>
  <c r="M105" i="1"/>
  <c r="O105" i="1" s="1"/>
  <c r="K237" i="1"/>
  <c r="L237" i="1" s="1"/>
  <c r="M237" i="1"/>
  <c r="O237" i="1" s="1"/>
  <c r="K141" i="1"/>
  <c r="L141" i="1" s="1"/>
  <c r="M141" i="1"/>
  <c r="K77" i="1"/>
  <c r="L77" i="1" s="1"/>
  <c r="M77" i="1"/>
  <c r="O77" i="1" s="1"/>
  <c r="K78" i="1"/>
  <c r="L78" i="1" s="1"/>
  <c r="M78" i="1"/>
  <c r="K61" i="1"/>
  <c r="L61" i="1" s="1"/>
  <c r="M61" i="1"/>
  <c r="O61" i="1" s="1"/>
  <c r="K406" i="1"/>
  <c r="L406" i="1" s="1"/>
  <c r="M406" i="1"/>
  <c r="O406" i="1" s="1"/>
  <c r="K251" i="1"/>
  <c r="L251" i="1" s="1"/>
  <c r="M251" i="1"/>
  <c r="K389" i="1"/>
  <c r="L389" i="1" s="1"/>
  <c r="M389" i="1"/>
  <c r="K71" i="1"/>
  <c r="L71" i="1" s="1"/>
  <c r="M71" i="1"/>
  <c r="K346" i="1"/>
  <c r="L346" i="1" s="1"/>
  <c r="M346" i="1"/>
  <c r="K155" i="1"/>
  <c r="L155" i="1" s="1"/>
  <c r="M155" i="1"/>
  <c r="O155" i="1" s="1"/>
  <c r="K27" i="1"/>
  <c r="L27" i="1" s="1"/>
  <c r="M27" i="1"/>
  <c r="K19" i="1"/>
  <c r="L19" i="1" s="1"/>
  <c r="M19" i="1"/>
  <c r="K313" i="1"/>
  <c r="L313" i="1" s="1"/>
  <c r="M313" i="1"/>
  <c r="K440" i="1"/>
  <c r="L440" i="1" s="1"/>
  <c r="M440" i="1"/>
  <c r="K267" i="1"/>
  <c r="L267" i="1" s="1"/>
  <c r="M267" i="1"/>
  <c r="K232" i="1"/>
  <c r="L232" i="1" s="1"/>
  <c r="M232" i="1"/>
  <c r="O232" i="1" s="1"/>
  <c r="K235" i="1"/>
  <c r="L235" i="1" s="1"/>
  <c r="M235" i="1"/>
  <c r="O235" i="1" s="1"/>
  <c r="K59" i="1"/>
  <c r="L59" i="1" s="1"/>
  <c r="M59" i="1"/>
  <c r="O59" i="1" s="1"/>
  <c r="K465" i="1"/>
  <c r="L465" i="1" s="1"/>
  <c r="M465" i="1"/>
  <c r="K433" i="1"/>
  <c r="L433" i="1" s="1"/>
  <c r="M433" i="1"/>
  <c r="O433" i="1" s="1"/>
  <c r="K412" i="1"/>
  <c r="L412" i="1" s="1"/>
  <c r="M412" i="1"/>
  <c r="O412" i="1" s="1"/>
  <c r="K328" i="1"/>
  <c r="L328" i="1" s="1"/>
  <c r="M328" i="1"/>
  <c r="O328" i="1" s="1"/>
  <c r="K289" i="1"/>
  <c r="L289" i="1" s="1"/>
  <c r="M289" i="1"/>
  <c r="O289" i="1" s="1"/>
  <c r="K280" i="1"/>
  <c r="L280" i="1" s="1"/>
  <c r="M280" i="1"/>
  <c r="O280" i="1" s="1"/>
  <c r="K464" i="1"/>
  <c r="L464" i="1" s="1"/>
  <c r="M464" i="1"/>
  <c r="K324" i="1"/>
  <c r="L324" i="1" s="1"/>
  <c r="M324" i="1"/>
  <c r="O324" i="1" s="1"/>
  <c r="K90" i="1"/>
  <c r="L90" i="1" s="1"/>
  <c r="M90" i="1"/>
  <c r="O90" i="1" s="1"/>
  <c r="K97" i="1"/>
  <c r="L97" i="1" s="1"/>
  <c r="M97" i="1"/>
  <c r="K276" i="1"/>
  <c r="L276" i="1" s="1"/>
  <c r="M276" i="1"/>
  <c r="K108" i="1"/>
  <c r="L108" i="1" s="1"/>
  <c r="M108" i="1"/>
  <c r="O108" i="1" s="1"/>
  <c r="K89" i="1"/>
  <c r="L89" i="1" s="1"/>
  <c r="M89" i="1"/>
  <c r="O89" i="1" s="1"/>
  <c r="K236" i="1"/>
  <c r="L236" i="1" s="1"/>
  <c r="M236" i="1"/>
  <c r="O236" i="1" s="1"/>
  <c r="K88" i="1"/>
  <c r="L88" i="1" s="1"/>
  <c r="M88" i="1"/>
  <c r="O88" i="1" s="1"/>
  <c r="K182" i="1"/>
  <c r="L182" i="1" s="1"/>
  <c r="M182" i="1"/>
  <c r="O182" i="1" s="1"/>
  <c r="K142" i="1"/>
  <c r="L142" i="1" s="1"/>
  <c r="M142" i="1"/>
  <c r="K148" i="1"/>
  <c r="L148" i="1" s="1"/>
  <c r="M148" i="1"/>
  <c r="K172" i="1"/>
  <c r="L172" i="1" s="1"/>
  <c r="M172" i="1"/>
  <c r="O172" i="1" s="1"/>
  <c r="O339" i="1"/>
  <c r="L506" i="1"/>
  <c r="L501" i="1"/>
  <c r="L28" i="1"/>
  <c r="L25" i="1"/>
  <c r="K30" i="1"/>
  <c r="K354" i="1"/>
  <c r="L354" i="1" s="1"/>
  <c r="K279" i="1"/>
  <c r="L279" i="1" s="1"/>
  <c r="K476" i="1"/>
  <c r="L476" i="1" s="1"/>
  <c r="K357" i="1"/>
  <c r="L357" i="1" s="1"/>
  <c r="K381" i="1"/>
  <c r="L381" i="1" s="1"/>
  <c r="K349" i="1"/>
  <c r="K496" i="1"/>
  <c r="K301" i="1"/>
  <c r="K32" i="1"/>
  <c r="K34" i="1"/>
  <c r="K370" i="1"/>
  <c r="L370" i="1" s="1"/>
  <c r="K429" i="1"/>
  <c r="L429" i="1" s="1"/>
  <c r="K452" i="1"/>
  <c r="L452" i="1" s="1"/>
  <c r="K295" i="1"/>
  <c r="K103" i="1"/>
  <c r="L103" i="1" s="1"/>
  <c r="K504" i="1"/>
  <c r="L504" i="1" s="1"/>
  <c r="K168" i="1"/>
  <c r="L168" i="1" s="1"/>
  <c r="K75" i="1"/>
  <c r="L75" i="1" s="1"/>
  <c r="K293" i="1"/>
  <c r="K505" i="1"/>
  <c r="K176" i="1"/>
  <c r="L176" i="1" s="1"/>
  <c r="O176" i="1" s="1"/>
  <c r="K215" i="1"/>
  <c r="K461" i="1"/>
  <c r="K219" i="1"/>
  <c r="L219" i="1" s="1"/>
  <c r="K333" i="1"/>
  <c r="K489" i="1"/>
  <c r="K55" i="1"/>
  <c r="K397" i="1"/>
  <c r="K428" i="1"/>
  <c r="K296" i="1"/>
  <c r="K376" i="1"/>
  <c r="K436" i="1"/>
  <c r="K388" i="1"/>
  <c r="K84" i="1"/>
  <c r="K106" i="1"/>
  <c r="K169" i="1"/>
  <c r="K353" i="1"/>
  <c r="K332" i="1"/>
  <c r="K180" i="1"/>
  <c r="K234" i="1"/>
  <c r="K170" i="1"/>
  <c r="K82" i="1"/>
  <c r="K225" i="1"/>
  <c r="K145" i="1"/>
  <c r="K420" i="1"/>
  <c r="K140" i="1"/>
  <c r="K166" i="1"/>
  <c r="K308" i="1"/>
  <c r="K50" i="1"/>
  <c r="K318" i="1"/>
  <c r="K233" i="1"/>
  <c r="K384" i="1"/>
  <c r="K137" i="1"/>
  <c r="K150" i="1"/>
  <c r="K253" i="1"/>
  <c r="K68" i="1"/>
  <c r="K133" i="1"/>
  <c r="K230" i="1"/>
  <c r="K246" i="1"/>
  <c r="K513" i="1"/>
  <c r="L513" i="1" s="1"/>
  <c r="K449" i="1"/>
  <c r="K488" i="1"/>
  <c r="K512" i="1"/>
  <c r="K183" i="1"/>
  <c r="L183" i="1" s="1"/>
  <c r="K341" i="1"/>
  <c r="K224" i="1"/>
  <c r="K302" i="1"/>
  <c r="K365" i="1"/>
  <c r="K492" i="1"/>
  <c r="K39" i="1"/>
  <c r="K320" i="1"/>
  <c r="K469" i="1"/>
  <c r="K424" i="1"/>
  <c r="K340" i="1"/>
  <c r="K228" i="1"/>
  <c r="K250" i="1"/>
  <c r="K98" i="1"/>
  <c r="K113" i="1"/>
  <c r="K49" i="1"/>
  <c r="K337" i="1"/>
  <c r="K40" i="1"/>
  <c r="K74" i="1"/>
  <c r="K209" i="1"/>
  <c r="K392" i="1"/>
  <c r="K112" i="1"/>
  <c r="K297" i="1"/>
  <c r="K257" i="1"/>
  <c r="K161" i="1"/>
  <c r="K156" i="1"/>
  <c r="K272" i="1"/>
  <c r="K206" i="1"/>
  <c r="K126" i="1"/>
  <c r="K125" i="1"/>
  <c r="K157" i="1"/>
  <c r="K29" i="1"/>
  <c r="K43" i="1"/>
  <c r="L43" i="1" s="1"/>
  <c r="K199" i="1"/>
  <c r="L199" i="1" s="1"/>
  <c r="K401" i="1"/>
  <c r="K119" i="1"/>
  <c r="K87" i="1"/>
  <c r="K306" i="1"/>
  <c r="K247" i="1"/>
  <c r="K334" i="1"/>
  <c r="K371" i="1"/>
  <c r="K274" i="1"/>
  <c r="K416" i="1"/>
  <c r="K268" i="1"/>
  <c r="K164" i="1"/>
  <c r="K56" i="1"/>
  <c r="K226" i="1"/>
  <c r="K193" i="1"/>
  <c r="K41" i="1"/>
  <c r="K202" i="1"/>
  <c r="K185" i="1"/>
  <c r="K262" i="1"/>
  <c r="K62" i="1"/>
  <c r="K221" i="1"/>
  <c r="K53" i="1"/>
  <c r="K484" i="1"/>
  <c r="K249" i="1"/>
  <c r="K356" i="1"/>
  <c r="K129" i="1"/>
  <c r="K201" i="1"/>
  <c r="K198" i="1"/>
  <c r="K110" i="1"/>
  <c r="K229" i="1"/>
  <c r="K189" i="1"/>
  <c r="K109" i="1"/>
  <c r="K104" i="1"/>
  <c r="K86" i="1"/>
  <c r="K254" i="1"/>
  <c r="K393" i="1"/>
  <c r="L393" i="1" s="1"/>
  <c r="K480" i="1"/>
  <c r="L480" i="1" s="1"/>
  <c r="K497" i="1"/>
  <c r="K460" i="1"/>
  <c r="L460" i="1" s="1"/>
  <c r="K107" i="1"/>
  <c r="K343" i="1"/>
  <c r="K31" i="1"/>
  <c r="K441" i="1"/>
  <c r="L441" i="1" s="1"/>
  <c r="K144" i="1"/>
  <c r="L144" i="1" s="1"/>
  <c r="K311" i="1"/>
  <c r="L311" i="1" s="1"/>
  <c r="K167" i="1"/>
  <c r="L167" i="1" s="1"/>
  <c r="K361" i="1"/>
  <c r="L361" i="1" s="1"/>
  <c r="K184" i="1"/>
  <c r="L184" i="1" s="1"/>
  <c r="K305" i="1"/>
  <c r="L305" i="1" s="1"/>
  <c r="K290" i="1"/>
  <c r="K273" i="1"/>
  <c r="K314" i="1"/>
  <c r="K315" i="1"/>
  <c r="K437" i="1"/>
  <c r="K374" i="1"/>
  <c r="K413" i="1"/>
  <c r="K329" i="1"/>
  <c r="K444" i="1"/>
  <c r="K326" i="1"/>
  <c r="K472" i="1"/>
  <c r="K248" i="1"/>
  <c r="K448" i="1"/>
  <c r="K316" i="1"/>
  <c r="K252" i="1"/>
  <c r="K92" i="1"/>
  <c r="K48" i="1"/>
  <c r="K218" i="1"/>
  <c r="K265" i="1"/>
  <c r="K196" i="1"/>
  <c r="K242" i="1"/>
  <c r="K42" i="1"/>
  <c r="K153" i="1"/>
  <c r="K220" i="1"/>
  <c r="K238" i="1"/>
  <c r="K134" i="1"/>
  <c r="K181" i="1"/>
  <c r="O175" i="1"/>
  <c r="K37" i="1"/>
  <c r="K194" i="1"/>
  <c r="K121" i="1"/>
  <c r="O115" i="1"/>
  <c r="K132" i="1"/>
  <c r="K65" i="1"/>
  <c r="K500" i="1"/>
  <c r="K76" i="1"/>
  <c r="K190" i="1"/>
  <c r="K70" i="1"/>
  <c r="K173" i="1"/>
  <c r="K149" i="1"/>
  <c r="O143" i="1"/>
  <c r="K93" i="1"/>
  <c r="K270" i="1"/>
  <c r="K18" i="1"/>
  <c r="O347" i="1"/>
  <c r="O386" i="1"/>
  <c r="O487" i="1"/>
  <c r="O95" i="1"/>
  <c r="O434" i="1"/>
  <c r="O471" i="1"/>
  <c r="O344" i="1"/>
  <c r="O450" i="1"/>
  <c r="O335" i="1"/>
  <c r="O307" i="1"/>
  <c r="O515" i="1"/>
  <c r="O459" i="1"/>
  <c r="O479" i="1"/>
  <c r="O402" i="1"/>
  <c r="O483" i="1"/>
  <c r="O373" i="1"/>
  <c r="O507" i="1"/>
  <c r="O255" i="1"/>
  <c r="O490" i="1"/>
  <c r="O352" i="1"/>
  <c r="O511" i="1"/>
  <c r="O422" i="1"/>
  <c r="O495" i="1"/>
  <c r="O414" i="1"/>
  <c r="O458" i="1"/>
  <c r="O455" i="1"/>
  <c r="O423" i="1"/>
  <c r="O159" i="1"/>
  <c r="O462" i="1"/>
  <c r="O466" i="1"/>
  <c r="O394" i="1"/>
  <c r="O355" i="1"/>
  <c r="O463" i="1"/>
  <c r="O482" i="1"/>
  <c r="O79" i="1"/>
  <c r="O491" i="1"/>
  <c r="O367" i="1"/>
  <c r="O415" i="1"/>
  <c r="O407" i="1"/>
  <c r="O435" i="1"/>
  <c r="O395" i="1"/>
  <c r="O443" i="1"/>
  <c r="O391" i="1"/>
  <c r="O419" i="1"/>
  <c r="O447" i="1"/>
  <c r="O494" i="1"/>
  <c r="O287" i="1"/>
  <c r="O379" i="1"/>
  <c r="O439" i="1"/>
  <c r="O403" i="1"/>
  <c r="O431" i="1"/>
  <c r="O387" i="1"/>
  <c r="O243" i="1"/>
  <c r="O259" i="1"/>
  <c r="O368" i="1"/>
  <c r="O195" i="1"/>
  <c r="O499" i="1"/>
  <c r="O363" i="1"/>
  <c r="O426" i="1"/>
  <c r="O475" i="1"/>
  <c r="O438" i="1"/>
  <c r="O207" i="1"/>
  <c r="O303" i="1"/>
  <c r="O323" i="1"/>
  <c r="O503" i="1"/>
  <c r="O467" i="1"/>
  <c r="O478" i="1"/>
  <c r="O211" i="1"/>
  <c r="O451" i="1"/>
  <c r="O291" i="1"/>
  <c r="O498" i="1"/>
  <c r="O51" i="1"/>
  <c r="O399" i="1"/>
  <c r="O427" i="1"/>
  <c r="O383" i="1"/>
  <c r="O510" i="1"/>
  <c r="O411" i="1"/>
  <c r="O375" i="1"/>
  <c r="O47" i="1"/>
  <c r="L35" i="1"/>
  <c r="L21" i="1"/>
  <c r="L17" i="1"/>
  <c r="D16" i="1"/>
  <c r="D17" i="1" s="1"/>
  <c r="D18" i="1" l="1"/>
  <c r="D19" i="1" s="1"/>
  <c r="E19" i="1" s="1"/>
  <c r="F19" i="1" s="1"/>
  <c r="E17" i="1"/>
  <c r="O122" i="1"/>
  <c r="O358" i="1"/>
  <c r="O501" i="1"/>
  <c r="O266" i="1"/>
  <c r="O186" i="1"/>
  <c r="O46" i="1"/>
  <c r="O151" i="1"/>
  <c r="O203" i="1"/>
  <c r="O204" i="1"/>
  <c r="O294" i="1"/>
  <c r="O345" i="1"/>
  <c r="O138" i="1"/>
  <c r="O263" i="1"/>
  <c r="O213" i="1"/>
  <c r="O162" i="1"/>
  <c r="O174" i="1"/>
  <c r="O292" i="1"/>
  <c r="O97" i="1"/>
  <c r="O142" i="1"/>
  <c r="O276" i="1"/>
  <c r="O464" i="1"/>
  <c r="O465" i="1"/>
  <c r="O78" i="1"/>
  <c r="O141" i="1"/>
  <c r="O508" i="1"/>
  <c r="O417" i="1"/>
  <c r="O405" i="1"/>
  <c r="O408" i="1"/>
  <c r="O286" i="1"/>
  <c r="O116" i="1"/>
  <c r="O197" i="1"/>
  <c r="O380" i="1"/>
  <c r="O94" i="1"/>
  <c r="O256" i="1"/>
  <c r="O445" i="1"/>
  <c r="O178" i="1"/>
  <c r="O231" i="1"/>
  <c r="O158" i="1"/>
  <c r="O139" i="1"/>
  <c r="O54" i="1"/>
  <c r="O60" i="1"/>
  <c r="O377" i="1"/>
  <c r="O212" i="1"/>
  <c r="O217" i="1"/>
  <c r="O348" i="1"/>
  <c r="O362" i="1"/>
  <c r="O148" i="1"/>
  <c r="O58" i="1"/>
  <c r="O210" i="1"/>
  <c r="O396" i="1"/>
  <c r="O114" i="1"/>
  <c r="O136" i="1"/>
  <c r="O96" i="1"/>
  <c r="O261" i="1"/>
  <c r="L497" i="1"/>
  <c r="L295" i="1"/>
  <c r="O441" i="1"/>
  <c r="L18" i="1"/>
  <c r="O18" i="1" s="1"/>
  <c r="L149" i="1"/>
  <c r="O149" i="1"/>
  <c r="L76" i="1"/>
  <c r="O76" i="1"/>
  <c r="L132" i="1"/>
  <c r="O132" i="1"/>
  <c r="L194" i="1"/>
  <c r="O194" i="1"/>
  <c r="L220" i="1"/>
  <c r="O220" i="1"/>
  <c r="L196" i="1"/>
  <c r="O196" i="1"/>
  <c r="L92" i="1"/>
  <c r="O92" i="1" s="1"/>
  <c r="L248" i="1"/>
  <c r="O248" i="1" s="1"/>
  <c r="L329" i="1"/>
  <c r="O329" i="1"/>
  <c r="L315" i="1"/>
  <c r="O315" i="1"/>
  <c r="L290" i="1"/>
  <c r="O290" i="1" s="1"/>
  <c r="L31" i="1"/>
  <c r="O31" i="1"/>
  <c r="L86" i="1"/>
  <c r="O86" i="1"/>
  <c r="L229" i="1"/>
  <c r="O229" i="1"/>
  <c r="L129" i="1"/>
  <c r="O129" i="1"/>
  <c r="L53" i="1"/>
  <c r="O53" i="1"/>
  <c r="L185" i="1"/>
  <c r="O185" i="1"/>
  <c r="L226" i="1"/>
  <c r="O226" i="1"/>
  <c r="L416" i="1"/>
  <c r="O416" i="1"/>
  <c r="L247" i="1"/>
  <c r="O247" i="1"/>
  <c r="L401" i="1"/>
  <c r="O401" i="1"/>
  <c r="L157" i="1"/>
  <c r="O157" i="1"/>
  <c r="L272" i="1"/>
  <c r="O272" i="1"/>
  <c r="L297" i="1"/>
  <c r="O297" i="1"/>
  <c r="L74" i="1"/>
  <c r="O74" i="1"/>
  <c r="L113" i="1"/>
  <c r="O113" i="1"/>
  <c r="L340" i="1"/>
  <c r="O340" i="1"/>
  <c r="L39" i="1"/>
  <c r="O39" i="1"/>
  <c r="L224" i="1"/>
  <c r="O224" i="1"/>
  <c r="L488" i="1"/>
  <c r="O488" i="1"/>
  <c r="L230" i="1"/>
  <c r="O230" i="1"/>
  <c r="L150" i="1"/>
  <c r="O150" i="1"/>
  <c r="L318" i="1"/>
  <c r="O318" i="1"/>
  <c r="L140" i="1"/>
  <c r="O140" i="1"/>
  <c r="L82" i="1"/>
  <c r="O82" i="1"/>
  <c r="L332" i="1"/>
  <c r="O332" i="1"/>
  <c r="L84" i="1"/>
  <c r="O84" i="1"/>
  <c r="L296" i="1"/>
  <c r="O296" i="1"/>
  <c r="L489" i="1"/>
  <c r="O489" i="1"/>
  <c r="L215" i="1"/>
  <c r="O215" i="1"/>
  <c r="L34" i="1"/>
  <c r="L349" i="1"/>
  <c r="O349" i="1"/>
  <c r="L270" i="1"/>
  <c r="O270" i="1"/>
  <c r="L173" i="1"/>
  <c r="O173" i="1" s="1"/>
  <c r="L500" i="1"/>
  <c r="O500" i="1"/>
  <c r="L37" i="1"/>
  <c r="O37" i="1"/>
  <c r="L134" i="1"/>
  <c r="O134" i="1"/>
  <c r="L153" i="1"/>
  <c r="O153" i="1" s="1"/>
  <c r="L265" i="1"/>
  <c r="O265" i="1"/>
  <c r="L252" i="1"/>
  <c r="O252" i="1" s="1"/>
  <c r="L472" i="1"/>
  <c r="O472" i="1" s="1"/>
  <c r="L413" i="1"/>
  <c r="O413" i="1" s="1"/>
  <c r="L314" i="1"/>
  <c r="O314" i="1" s="1"/>
  <c r="O311" i="1"/>
  <c r="L343" i="1"/>
  <c r="O343" i="1" s="1"/>
  <c r="L104" i="1"/>
  <c r="O104" i="1"/>
  <c r="L110" i="1"/>
  <c r="O110" i="1"/>
  <c r="L356" i="1"/>
  <c r="O356" i="1"/>
  <c r="L221" i="1"/>
  <c r="O221" i="1"/>
  <c r="L202" i="1"/>
  <c r="O202" i="1"/>
  <c r="L56" i="1"/>
  <c r="O56" i="1"/>
  <c r="L274" i="1"/>
  <c r="O274" i="1"/>
  <c r="L306" i="1"/>
  <c r="O306" i="1"/>
  <c r="L125" i="1"/>
  <c r="O125" i="1" s="1"/>
  <c r="L156" i="1"/>
  <c r="O156" i="1"/>
  <c r="L112" i="1"/>
  <c r="O112" i="1" s="1"/>
  <c r="L40" i="1"/>
  <c r="O40" i="1"/>
  <c r="L98" i="1"/>
  <c r="O98" i="1" s="1"/>
  <c r="L424" i="1"/>
  <c r="O424" i="1" s="1"/>
  <c r="L492" i="1"/>
  <c r="O492" i="1" s="1"/>
  <c r="L341" i="1"/>
  <c r="O341" i="1" s="1"/>
  <c r="L449" i="1"/>
  <c r="O449" i="1" s="1"/>
  <c r="L133" i="1"/>
  <c r="O133" i="1" s="1"/>
  <c r="L137" i="1"/>
  <c r="O137" i="1" s="1"/>
  <c r="L50" i="1"/>
  <c r="O50" i="1" s="1"/>
  <c r="L420" i="1"/>
  <c r="O420" i="1" s="1"/>
  <c r="L170" i="1"/>
  <c r="O170" i="1" s="1"/>
  <c r="L353" i="1"/>
  <c r="O353" i="1" s="1"/>
  <c r="L388" i="1"/>
  <c r="O388" i="1" s="1"/>
  <c r="L428" i="1"/>
  <c r="O428" i="1" s="1"/>
  <c r="L333" i="1"/>
  <c r="O333" i="1" s="1"/>
  <c r="L32" i="1"/>
  <c r="L93" i="1"/>
  <c r="O93" i="1"/>
  <c r="L70" i="1"/>
  <c r="O70" i="1"/>
  <c r="L121" i="1"/>
  <c r="O121" i="1"/>
  <c r="L42" i="1"/>
  <c r="O42" i="1"/>
  <c r="L218" i="1"/>
  <c r="O218" i="1" s="1"/>
  <c r="L316" i="1"/>
  <c r="O316" i="1"/>
  <c r="L326" i="1"/>
  <c r="O326" i="1"/>
  <c r="L374" i="1"/>
  <c r="O374" i="1"/>
  <c r="L273" i="1"/>
  <c r="O273" i="1" s="1"/>
  <c r="L107" i="1"/>
  <c r="O107" i="1" s="1"/>
  <c r="L109" i="1"/>
  <c r="O109" i="1" s="1"/>
  <c r="L198" i="1"/>
  <c r="O198" i="1"/>
  <c r="L249" i="1"/>
  <c r="O249" i="1"/>
  <c r="L62" i="1"/>
  <c r="O62" i="1"/>
  <c r="L41" i="1"/>
  <c r="O41" i="1" s="1"/>
  <c r="L164" i="1"/>
  <c r="O164" i="1" s="1"/>
  <c r="L371" i="1"/>
  <c r="O371" i="1"/>
  <c r="L87" i="1"/>
  <c r="O87" i="1" s="1"/>
  <c r="L126" i="1"/>
  <c r="O126" i="1" s="1"/>
  <c r="L161" i="1"/>
  <c r="O161" i="1" s="1"/>
  <c r="L392" i="1"/>
  <c r="O392" i="1" s="1"/>
  <c r="L337" i="1"/>
  <c r="O337" i="1" s="1"/>
  <c r="L250" i="1"/>
  <c r="O250" i="1"/>
  <c r="L469" i="1"/>
  <c r="O469" i="1"/>
  <c r="L365" i="1"/>
  <c r="O365" i="1" s="1"/>
  <c r="O183" i="1"/>
  <c r="L68" i="1"/>
  <c r="O68" i="1"/>
  <c r="L384" i="1"/>
  <c r="O384" i="1" s="1"/>
  <c r="L308" i="1"/>
  <c r="O308" i="1" s="1"/>
  <c r="L145" i="1"/>
  <c r="O145" i="1" s="1"/>
  <c r="L234" i="1"/>
  <c r="O234" i="1" s="1"/>
  <c r="L169" i="1"/>
  <c r="O169" i="1"/>
  <c r="L436" i="1"/>
  <c r="O436" i="1" s="1"/>
  <c r="L397" i="1"/>
  <c r="O397" i="1" s="1"/>
  <c r="O219" i="1"/>
  <c r="L505" i="1"/>
  <c r="O505" i="1" s="1"/>
  <c r="L301" i="1"/>
  <c r="O301" i="1" s="1"/>
  <c r="L30" i="1"/>
  <c r="O30" i="1" s="1"/>
  <c r="O305" i="1"/>
  <c r="L190" i="1"/>
  <c r="O190" i="1"/>
  <c r="L65" i="1"/>
  <c r="O65" i="1"/>
  <c r="L181" i="1"/>
  <c r="O181" i="1"/>
  <c r="L238" i="1"/>
  <c r="O238" i="1"/>
  <c r="L242" i="1"/>
  <c r="O242" i="1"/>
  <c r="L48" i="1"/>
  <c r="O48" i="1"/>
  <c r="L448" i="1"/>
  <c r="O448" i="1"/>
  <c r="L444" i="1"/>
  <c r="O444" i="1"/>
  <c r="L437" i="1"/>
  <c r="O437" i="1"/>
  <c r="L254" i="1"/>
  <c r="O254" i="1"/>
  <c r="L189" i="1"/>
  <c r="O189" i="1"/>
  <c r="L201" i="1"/>
  <c r="O201" i="1"/>
  <c r="L484" i="1"/>
  <c r="O484" i="1"/>
  <c r="L262" i="1"/>
  <c r="O262" i="1"/>
  <c r="L193" i="1"/>
  <c r="O193" i="1"/>
  <c r="L268" i="1"/>
  <c r="O268" i="1"/>
  <c r="L334" i="1"/>
  <c r="O334" i="1"/>
  <c r="L119" i="1"/>
  <c r="O119" i="1"/>
  <c r="L29" i="1"/>
  <c r="O29" i="1"/>
  <c r="L206" i="1"/>
  <c r="O206" i="1"/>
  <c r="L257" i="1"/>
  <c r="O257" i="1"/>
  <c r="L209" i="1"/>
  <c r="O209" i="1"/>
  <c r="L49" i="1"/>
  <c r="O49" i="1"/>
  <c r="L228" i="1"/>
  <c r="O228" i="1"/>
  <c r="L320" i="1"/>
  <c r="O320" i="1"/>
  <c r="L302" i="1"/>
  <c r="O302" i="1"/>
  <c r="L512" i="1"/>
  <c r="O512" i="1"/>
  <c r="L246" i="1"/>
  <c r="O246" i="1"/>
  <c r="L253" i="1"/>
  <c r="O253" i="1"/>
  <c r="L233" i="1"/>
  <c r="O233" i="1"/>
  <c r="L166" i="1"/>
  <c r="O166" i="1"/>
  <c r="L225" i="1"/>
  <c r="O225" i="1"/>
  <c r="L180" i="1"/>
  <c r="O180" i="1"/>
  <c r="L106" i="1"/>
  <c r="O106" i="1"/>
  <c r="L376" i="1"/>
  <c r="O376" i="1"/>
  <c r="L55" i="1"/>
  <c r="O55" i="1"/>
  <c r="L461" i="1"/>
  <c r="O461" i="1"/>
  <c r="L293" i="1"/>
  <c r="O293" i="1"/>
  <c r="L496" i="1"/>
  <c r="O496" i="1" s="1"/>
  <c r="C20" i="1"/>
  <c r="O279" i="1"/>
  <c r="O123" i="1"/>
  <c r="O152" i="1"/>
  <c r="O440" i="1"/>
  <c r="O277" i="1"/>
  <c r="O282" i="1"/>
  <c r="O75" i="1"/>
  <c r="O460" i="1"/>
  <c r="O103" i="1"/>
  <c r="O480" i="1"/>
  <c r="O357" i="1"/>
  <c r="O338" i="1"/>
  <c r="O192" i="1"/>
  <c r="O91" i="1"/>
  <c r="O476" i="1"/>
  <c r="O251" i="1"/>
  <c r="O404" i="1"/>
  <c r="O513" i="1"/>
  <c r="O199" i="1"/>
  <c r="O80" i="1"/>
  <c r="O452" i="1"/>
  <c r="O278" i="1"/>
  <c r="O468" i="1"/>
  <c r="O346" i="1"/>
  <c r="O283" i="1"/>
  <c r="O485" i="1"/>
  <c r="O267" i="1"/>
  <c r="O216" i="1"/>
  <c r="O381" i="1"/>
  <c r="O330" i="1"/>
  <c r="O389" i="1"/>
  <c r="O168" i="1"/>
  <c r="O504" i="1"/>
  <c r="O393" i="1"/>
  <c r="O298" i="1"/>
  <c r="O295" i="1"/>
  <c r="O429" i="1"/>
  <c r="O359" i="1"/>
  <c r="O171" i="1"/>
  <c r="O184" i="1"/>
  <c r="O409" i="1"/>
  <c r="O497" i="1"/>
  <c r="O71" i="1"/>
  <c r="O144" i="1"/>
  <c r="O200" i="1"/>
  <c r="O361" i="1"/>
  <c r="O327" i="1"/>
  <c r="O160" i="1"/>
  <c r="O167" i="1"/>
  <c r="O313" i="1"/>
  <c r="O322" i="1"/>
  <c r="O481" i="1"/>
  <c r="O354" i="1"/>
  <c r="O43" i="1"/>
  <c r="O453" i="1"/>
  <c r="O370" i="1"/>
  <c r="O23" i="1"/>
  <c r="O35" i="1"/>
  <c r="O24" i="1"/>
  <c r="O34" i="1"/>
  <c r="O20" i="1"/>
  <c r="O19" i="1"/>
  <c r="O27" i="1"/>
  <c r="O25" i="1"/>
  <c r="O33" i="1"/>
  <c r="O32" i="1"/>
  <c r="O28" i="1"/>
  <c r="O21" i="1"/>
  <c r="X17" i="1"/>
  <c r="Z17" i="1" s="1"/>
  <c r="E16" i="1"/>
  <c r="F17" i="1"/>
  <c r="D20" i="1" l="1"/>
  <c r="E20" i="1" s="1"/>
  <c r="E18" i="1"/>
  <c r="F18" i="1" s="1"/>
  <c r="C21" i="1"/>
  <c r="Y21" i="1"/>
  <c r="P17" i="1"/>
  <c r="Y19" i="1"/>
  <c r="F16" i="1"/>
  <c r="O26" i="1"/>
  <c r="C22" i="1"/>
  <c r="D21" i="1" l="1"/>
  <c r="D22" i="1" s="1"/>
  <c r="Y18" i="1"/>
  <c r="F20" i="1"/>
  <c r="Y20" i="1"/>
  <c r="Q17" i="1"/>
  <c r="T17" i="1"/>
  <c r="V17" i="1" s="1"/>
  <c r="E21" i="1" l="1"/>
  <c r="F21" i="1" s="1"/>
  <c r="R17" i="1"/>
  <c r="S17" i="1"/>
  <c r="X18" i="1"/>
  <c r="C23" i="1"/>
  <c r="D23" i="1" s="1"/>
  <c r="Y23" i="1"/>
  <c r="U17" i="1"/>
  <c r="P18" i="1"/>
  <c r="Q18" i="1" s="1"/>
  <c r="E22" i="1"/>
  <c r="F22" i="1" s="1"/>
  <c r="R18" i="1" l="1"/>
  <c r="S18" i="1"/>
  <c r="C24" i="1"/>
  <c r="D24" i="1" s="1"/>
  <c r="T18" i="1"/>
  <c r="Z18" i="1"/>
  <c r="Y22" i="1"/>
  <c r="E23" i="1"/>
  <c r="F23" i="1" s="1"/>
  <c r="C25" i="1"/>
  <c r="X19" i="1" l="1"/>
  <c r="V18" i="1"/>
  <c r="P19" i="1"/>
  <c r="T19" i="1" s="1"/>
  <c r="U18" i="1"/>
  <c r="D25" i="1"/>
  <c r="E24" i="1"/>
  <c r="F24" i="1" l="1"/>
  <c r="Y24" i="1"/>
  <c r="X20" i="1"/>
  <c r="V19" i="1"/>
  <c r="C26" i="1"/>
  <c r="D26" i="1" s="1"/>
  <c r="Q19" i="1"/>
  <c r="U19" i="1"/>
  <c r="Z19" i="1"/>
  <c r="P20" i="1"/>
  <c r="Q20" i="1" s="1"/>
  <c r="E25" i="1"/>
  <c r="F25" i="1" s="1"/>
  <c r="R19" i="1" l="1"/>
  <c r="R20" i="1" s="1"/>
  <c r="S19" i="1"/>
  <c r="S20" i="1" s="1"/>
  <c r="C27" i="1"/>
  <c r="D27" i="1" s="1"/>
  <c r="Y27" i="1"/>
  <c r="T20" i="1"/>
  <c r="Y25" i="1"/>
  <c r="E26" i="1"/>
  <c r="C28" i="1"/>
  <c r="F26" i="1" l="1"/>
  <c r="Y26" i="1"/>
  <c r="X21" i="1"/>
  <c r="V20" i="1"/>
  <c r="U20" i="1"/>
  <c r="Z20" i="1"/>
  <c r="P21" i="1"/>
  <c r="D28" i="1"/>
  <c r="E27" i="1"/>
  <c r="F27" i="1" s="1"/>
  <c r="C29" i="1" l="1"/>
  <c r="D29" i="1" s="1"/>
  <c r="Y29" i="1"/>
  <c r="Q21" i="1"/>
  <c r="T21" i="1"/>
  <c r="E28" i="1"/>
  <c r="F28" i="1" s="1"/>
  <c r="R21" i="1" l="1"/>
  <c r="S21" i="1"/>
  <c r="X22" i="1"/>
  <c r="V21" i="1"/>
  <c r="C30" i="1"/>
  <c r="D30" i="1" s="1"/>
  <c r="U21" i="1"/>
  <c r="Z21" i="1"/>
  <c r="Y28" i="1"/>
  <c r="P22" i="1"/>
  <c r="E29" i="1"/>
  <c r="F29" i="1" s="1"/>
  <c r="C31" i="1"/>
  <c r="T22" i="1" l="1"/>
  <c r="Q22" i="1"/>
  <c r="R22" i="1" s="1"/>
  <c r="D31" i="1"/>
  <c r="E30" i="1"/>
  <c r="S22" i="1" l="1"/>
  <c r="F30" i="1"/>
  <c r="Y30" i="1"/>
  <c r="X23" i="1"/>
  <c r="V22" i="1"/>
  <c r="C32" i="1"/>
  <c r="D32" i="1" s="1"/>
  <c r="U22" i="1"/>
  <c r="Z22" i="1"/>
  <c r="P23" i="1"/>
  <c r="T23" i="1" s="1"/>
  <c r="E31" i="1"/>
  <c r="F31" i="1" s="1"/>
  <c r="X24" i="1" l="1"/>
  <c r="V23" i="1"/>
  <c r="C33" i="1"/>
  <c r="D33" i="1" s="1"/>
  <c r="Y33" i="1"/>
  <c r="Q23" i="1"/>
  <c r="R23" i="1" s="1"/>
  <c r="Y31" i="1"/>
  <c r="E32" i="1"/>
  <c r="C34" i="1"/>
  <c r="S23" i="1" l="1"/>
  <c r="F32" i="1"/>
  <c r="Y32" i="1"/>
  <c r="U23" i="1"/>
  <c r="Z23" i="1"/>
  <c r="P24" i="1"/>
  <c r="D34" i="1"/>
  <c r="E33" i="1"/>
  <c r="F33" i="1" s="1"/>
  <c r="Y35" i="1" l="1"/>
  <c r="Q24" i="1"/>
  <c r="R24" i="1" s="1"/>
  <c r="T24" i="1"/>
  <c r="C35" i="1"/>
  <c r="E34" i="1"/>
  <c r="F34" i="1" s="1"/>
  <c r="S24" i="1" l="1"/>
  <c r="X25" i="1"/>
  <c r="V24" i="1"/>
  <c r="C36" i="1"/>
  <c r="U24" i="1"/>
  <c r="Z24" i="1"/>
  <c r="Y34" i="1"/>
  <c r="P25" i="1"/>
  <c r="Q25" i="1" s="1"/>
  <c r="R25" i="1" s="1"/>
  <c r="D35" i="1"/>
  <c r="S25" i="1" l="1"/>
  <c r="C37" i="1"/>
  <c r="T25" i="1"/>
  <c r="E35" i="1"/>
  <c r="F35" i="1" s="1"/>
  <c r="D36" i="1"/>
  <c r="X26" i="1" l="1"/>
  <c r="V25" i="1"/>
  <c r="C38" i="1"/>
  <c r="U25" i="1"/>
  <c r="Z25" i="1"/>
  <c r="D37" i="1"/>
  <c r="E36" i="1"/>
  <c r="P26" i="1"/>
  <c r="Q26" i="1" s="1"/>
  <c r="R26" i="1" s="1"/>
  <c r="S26" i="1" l="1"/>
  <c r="F36" i="1"/>
  <c r="Y36" i="1"/>
  <c r="C39" i="1"/>
  <c r="Y39" i="1"/>
  <c r="T26" i="1"/>
  <c r="D38" i="1"/>
  <c r="E37" i="1"/>
  <c r="F37" i="1" s="1"/>
  <c r="X27" i="1" l="1"/>
  <c r="V26" i="1"/>
  <c r="C40" i="1"/>
  <c r="U26" i="1"/>
  <c r="Z26" i="1"/>
  <c r="Y37" i="1"/>
  <c r="D39" i="1"/>
  <c r="E38" i="1"/>
  <c r="P27" i="1"/>
  <c r="F38" i="1" l="1"/>
  <c r="Y38" i="1"/>
  <c r="Y41" i="1"/>
  <c r="C41" i="1"/>
  <c r="T27" i="1"/>
  <c r="D40" i="1"/>
  <c r="E39" i="1"/>
  <c r="F39" i="1" s="1"/>
  <c r="Q27" i="1"/>
  <c r="R27" i="1" l="1"/>
  <c r="S27" i="1"/>
  <c r="X28" i="1"/>
  <c r="V27" i="1"/>
  <c r="C42" i="1"/>
  <c r="U27" i="1"/>
  <c r="Z27" i="1"/>
  <c r="D41" i="1"/>
  <c r="E40" i="1"/>
  <c r="F40" i="1" s="1"/>
  <c r="P28" i="1"/>
  <c r="T28" i="1" s="1"/>
  <c r="X29" i="1" l="1"/>
  <c r="V28" i="1"/>
  <c r="C43" i="1"/>
  <c r="Q28" i="1"/>
  <c r="R28" i="1" s="1"/>
  <c r="Y40" i="1"/>
  <c r="D42" i="1"/>
  <c r="E41" i="1"/>
  <c r="F41" i="1" s="1"/>
  <c r="S28" i="1" l="1"/>
  <c r="C44" i="1"/>
  <c r="U28" i="1"/>
  <c r="Z28" i="1"/>
  <c r="D43" i="1"/>
  <c r="E42" i="1"/>
  <c r="P29" i="1"/>
  <c r="T29" i="1" s="1"/>
  <c r="F42" i="1" l="1"/>
  <c r="Y42" i="1"/>
  <c r="X30" i="1"/>
  <c r="V29" i="1"/>
  <c r="Y45" i="1"/>
  <c r="C45" i="1"/>
  <c r="Q29" i="1"/>
  <c r="R29" i="1" s="1"/>
  <c r="D44" i="1"/>
  <c r="E43" i="1"/>
  <c r="F43" i="1" s="1"/>
  <c r="S29" i="1" l="1"/>
  <c r="C46" i="1"/>
  <c r="U29" i="1"/>
  <c r="Z29" i="1"/>
  <c r="Y43" i="1"/>
  <c r="D45" i="1"/>
  <c r="E44" i="1"/>
  <c r="P30" i="1"/>
  <c r="F44" i="1" l="1"/>
  <c r="Y44" i="1"/>
  <c r="Y47" i="1"/>
  <c r="C47" i="1"/>
  <c r="Q30" i="1"/>
  <c r="R30" i="1" s="1"/>
  <c r="T30" i="1"/>
  <c r="D46" i="1"/>
  <c r="E45" i="1"/>
  <c r="F45" i="1" s="1"/>
  <c r="S30" i="1" l="1"/>
  <c r="X31" i="1"/>
  <c r="V30" i="1"/>
  <c r="C48" i="1"/>
  <c r="U30" i="1"/>
  <c r="Z30" i="1"/>
  <c r="D47" i="1"/>
  <c r="E46" i="1"/>
  <c r="F46" i="1" s="1"/>
  <c r="P31" i="1"/>
  <c r="C49" i="1" l="1"/>
  <c r="T31" i="1"/>
  <c r="Y46" i="1"/>
  <c r="D48" i="1"/>
  <c r="E47" i="1"/>
  <c r="F47" i="1" s="1"/>
  <c r="Q31" i="1"/>
  <c r="R31" i="1" s="1"/>
  <c r="Z31" i="1"/>
  <c r="S31" i="1" l="1"/>
  <c r="X32" i="1"/>
  <c r="V31" i="1"/>
  <c r="C50" i="1"/>
  <c r="D49" i="1"/>
  <c r="E48" i="1"/>
  <c r="U31" i="1"/>
  <c r="P32" i="1"/>
  <c r="F48" i="1" l="1"/>
  <c r="Y48" i="1"/>
  <c r="C51" i="1"/>
  <c r="Y51" i="1"/>
  <c r="T32" i="1"/>
  <c r="Q32" i="1"/>
  <c r="R32" i="1" s="1"/>
  <c r="D50" i="1"/>
  <c r="E49" i="1"/>
  <c r="F49" i="1" s="1"/>
  <c r="Z32" i="1"/>
  <c r="S32" i="1" l="1"/>
  <c r="X33" i="1"/>
  <c r="V32" i="1"/>
  <c r="C52" i="1"/>
  <c r="Y49" i="1"/>
  <c r="D51" i="1"/>
  <c r="E50" i="1"/>
  <c r="U32" i="1"/>
  <c r="P33" i="1"/>
  <c r="T33" i="1" s="1"/>
  <c r="F50" i="1" l="1"/>
  <c r="Y50" i="1"/>
  <c r="X34" i="1"/>
  <c r="V33" i="1"/>
  <c r="Y53" i="1"/>
  <c r="C53" i="1"/>
  <c r="Q33" i="1"/>
  <c r="R33" i="1" s="1"/>
  <c r="D52" i="1"/>
  <c r="E51" i="1"/>
  <c r="F51" i="1" s="1"/>
  <c r="S33" i="1" l="1"/>
  <c r="C54" i="1"/>
  <c r="Z33" i="1"/>
  <c r="D53" i="1"/>
  <c r="E52" i="1"/>
  <c r="F52" i="1" s="1"/>
  <c r="U33" i="1"/>
  <c r="P34" i="1"/>
  <c r="C55" i="1" l="1"/>
  <c r="Q34" i="1"/>
  <c r="R34" i="1" s="1"/>
  <c r="T34" i="1"/>
  <c r="Y52" i="1"/>
  <c r="D54" i="1"/>
  <c r="E53" i="1"/>
  <c r="F53" i="1" s="1"/>
  <c r="S34" i="1" l="1"/>
  <c r="X35" i="1"/>
  <c r="V34" i="1"/>
  <c r="C56" i="1"/>
  <c r="U34" i="1"/>
  <c r="Z34" i="1"/>
  <c r="D55" i="1"/>
  <c r="E54" i="1"/>
  <c r="P35" i="1"/>
  <c r="F54" i="1" l="1"/>
  <c r="Y54" i="1"/>
  <c r="Z35" i="1"/>
  <c r="Y57" i="1"/>
  <c r="C57" i="1"/>
  <c r="T35" i="1"/>
  <c r="D56" i="1"/>
  <c r="E55" i="1"/>
  <c r="F55" i="1" s="1"/>
  <c r="Q35" i="1"/>
  <c r="R35" i="1" s="1"/>
  <c r="S35" i="1" l="1"/>
  <c r="X36" i="1"/>
  <c r="Z36" i="1" s="1"/>
  <c r="V35" i="1"/>
  <c r="C58" i="1"/>
  <c r="U35" i="1"/>
  <c r="Y55" i="1"/>
  <c r="D57" i="1"/>
  <c r="E56" i="1"/>
  <c r="P36" i="1"/>
  <c r="F56" i="1" l="1"/>
  <c r="Y56" i="1"/>
  <c r="Y59" i="1"/>
  <c r="C59" i="1"/>
  <c r="T36" i="1"/>
  <c r="Q36" i="1"/>
  <c r="R36" i="1" s="1"/>
  <c r="D58" i="1"/>
  <c r="E57" i="1"/>
  <c r="F57" i="1" s="1"/>
  <c r="S36" i="1" l="1"/>
  <c r="X37" i="1"/>
  <c r="Z37" i="1" s="1"/>
  <c r="V36" i="1"/>
  <c r="C60" i="1"/>
  <c r="U36" i="1"/>
  <c r="D59" i="1"/>
  <c r="E58" i="1"/>
  <c r="F58" i="1" s="1"/>
  <c r="P37" i="1"/>
  <c r="T37" i="1" s="1"/>
  <c r="X38" i="1" l="1"/>
  <c r="Z38" i="1" s="1"/>
  <c r="V37" i="1"/>
  <c r="C61" i="1"/>
  <c r="Q37" i="1"/>
  <c r="R37" i="1" s="1"/>
  <c r="Y58" i="1"/>
  <c r="D60" i="1"/>
  <c r="E59" i="1"/>
  <c r="F59" i="1" s="1"/>
  <c r="S37" i="1" l="1"/>
  <c r="C62" i="1"/>
  <c r="P38" i="1"/>
  <c r="D61" i="1"/>
  <c r="E60" i="1"/>
  <c r="U37" i="1"/>
  <c r="F60" i="1" l="1"/>
  <c r="Y60" i="1"/>
  <c r="Y63" i="1"/>
  <c r="C63" i="1"/>
  <c r="Q38" i="1"/>
  <c r="R38" i="1" s="1"/>
  <c r="T38" i="1"/>
  <c r="D62" i="1"/>
  <c r="E61" i="1"/>
  <c r="F61" i="1" s="1"/>
  <c r="S38" i="1" l="1"/>
  <c r="X39" i="1"/>
  <c r="Z39" i="1" s="1"/>
  <c r="V38" i="1"/>
  <c r="C64" i="1"/>
  <c r="U38" i="1"/>
  <c r="P39" i="1"/>
  <c r="Q39" i="1" s="1"/>
  <c r="R39" i="1" s="1"/>
  <c r="Y61" i="1"/>
  <c r="D63" i="1"/>
  <c r="E62" i="1"/>
  <c r="S39" i="1" l="1"/>
  <c r="F62" i="1"/>
  <c r="Y62" i="1"/>
  <c r="Y65" i="1"/>
  <c r="C65" i="1"/>
  <c r="T39" i="1"/>
  <c r="V39" i="1" s="1"/>
  <c r="D64" i="1"/>
  <c r="E63" i="1"/>
  <c r="F63" i="1" s="1"/>
  <c r="C66" i="1" l="1"/>
  <c r="P40" i="1"/>
  <c r="T40" i="1" s="1"/>
  <c r="X40" i="1"/>
  <c r="Z40" i="1" s="1"/>
  <c r="U39" i="1"/>
  <c r="D65" i="1"/>
  <c r="E64" i="1"/>
  <c r="F64" i="1" s="1"/>
  <c r="X41" i="1" l="1"/>
  <c r="Z41" i="1" s="1"/>
  <c r="V40" i="1"/>
  <c r="C67" i="1"/>
  <c r="Q40" i="1"/>
  <c r="Y64" i="1"/>
  <c r="D66" i="1"/>
  <c r="E65" i="1"/>
  <c r="F65" i="1" s="1"/>
  <c r="U40" i="1"/>
  <c r="P41" i="1"/>
  <c r="R40" i="1" l="1"/>
  <c r="S40" i="1"/>
  <c r="C68" i="1"/>
  <c r="T41" i="1"/>
  <c r="Q41" i="1"/>
  <c r="D67" i="1"/>
  <c r="E66" i="1"/>
  <c r="R41" i="1" l="1"/>
  <c r="S41" i="1"/>
  <c r="F66" i="1"/>
  <c r="Y66" i="1"/>
  <c r="X42" i="1"/>
  <c r="Z42" i="1" s="1"/>
  <c r="V41" i="1"/>
  <c r="Y69" i="1"/>
  <c r="C69" i="1"/>
  <c r="D68" i="1"/>
  <c r="E67" i="1"/>
  <c r="F67" i="1" s="1"/>
  <c r="P42" i="1"/>
  <c r="T42" i="1" s="1"/>
  <c r="U41" i="1"/>
  <c r="X43" i="1" l="1"/>
  <c r="Z43" i="1" s="1"/>
  <c r="V42" i="1"/>
  <c r="C70" i="1"/>
  <c r="Q42" i="1"/>
  <c r="Y67" i="1"/>
  <c r="D69" i="1"/>
  <c r="E68" i="1"/>
  <c r="R42" i="1" l="1"/>
  <c r="S42" i="1"/>
  <c r="F68" i="1"/>
  <c r="Y68" i="1"/>
  <c r="Y71" i="1"/>
  <c r="C71" i="1"/>
  <c r="P43" i="1"/>
  <c r="D70" i="1"/>
  <c r="E69" i="1"/>
  <c r="F69" i="1" s="1"/>
  <c r="U42" i="1"/>
  <c r="C72" i="1" l="1"/>
  <c r="Q43" i="1"/>
  <c r="R43" i="1" s="1"/>
  <c r="T43" i="1"/>
  <c r="D71" i="1"/>
  <c r="E70" i="1"/>
  <c r="F70" i="1" s="1"/>
  <c r="S43" i="1" l="1"/>
  <c r="X44" i="1"/>
  <c r="Z44" i="1" s="1"/>
  <c r="V43" i="1"/>
  <c r="C73" i="1"/>
  <c r="U43" i="1"/>
  <c r="P44" i="1"/>
  <c r="Q44" i="1" s="1"/>
  <c r="R44" i="1" s="1"/>
  <c r="Y70" i="1"/>
  <c r="D72" i="1"/>
  <c r="E71" i="1"/>
  <c r="F71" i="1" s="1"/>
  <c r="S44" i="1" l="1"/>
  <c r="C74" i="1"/>
  <c r="T44" i="1"/>
  <c r="D73" i="1"/>
  <c r="E72" i="1"/>
  <c r="F72" i="1" l="1"/>
  <c r="Y72" i="1"/>
  <c r="X45" i="1"/>
  <c r="Z45" i="1" s="1"/>
  <c r="V44" i="1"/>
  <c r="C75" i="1"/>
  <c r="Y75" i="1"/>
  <c r="P45" i="1"/>
  <c r="Q45" i="1" s="1"/>
  <c r="R45" i="1" s="1"/>
  <c r="U44" i="1"/>
  <c r="D74" i="1"/>
  <c r="E73" i="1"/>
  <c r="F73" i="1" s="1"/>
  <c r="S45" i="1" l="1"/>
  <c r="C76" i="1"/>
  <c r="T45" i="1"/>
  <c r="V45" i="1" s="1"/>
  <c r="Y73" i="1"/>
  <c r="D75" i="1"/>
  <c r="E74" i="1"/>
  <c r="F74" i="1" l="1"/>
  <c r="Y74" i="1"/>
  <c r="Y77" i="1"/>
  <c r="C77" i="1"/>
  <c r="U45" i="1"/>
  <c r="X46" i="1"/>
  <c r="Z46" i="1" s="1"/>
  <c r="P46" i="1"/>
  <c r="T46" i="1" s="1"/>
  <c r="D76" i="1"/>
  <c r="E75" i="1"/>
  <c r="F75" i="1" s="1"/>
  <c r="X47" i="1" l="1"/>
  <c r="Z47" i="1" s="1"/>
  <c r="V46" i="1"/>
  <c r="C78" i="1"/>
  <c r="Q46" i="1"/>
  <c r="U46" i="1"/>
  <c r="D77" i="1"/>
  <c r="E76" i="1"/>
  <c r="F76" i="1" s="1"/>
  <c r="P47" i="1"/>
  <c r="R46" i="1" l="1"/>
  <c r="S46" i="1"/>
  <c r="C79" i="1"/>
  <c r="T47" i="1"/>
  <c r="Q47" i="1"/>
  <c r="Y76" i="1"/>
  <c r="D78" i="1"/>
  <c r="E77" i="1"/>
  <c r="F77" i="1" s="1"/>
  <c r="R47" i="1" l="1"/>
  <c r="S47" i="1"/>
  <c r="X48" i="1"/>
  <c r="Z48" i="1" s="1"/>
  <c r="V47" i="1"/>
  <c r="C80" i="1"/>
  <c r="D79" i="1"/>
  <c r="E78" i="1"/>
  <c r="P48" i="1"/>
  <c r="T48" i="1" s="1"/>
  <c r="U47" i="1"/>
  <c r="F78" i="1" l="1"/>
  <c r="Y78" i="1"/>
  <c r="X49" i="1"/>
  <c r="Z49" i="1" s="1"/>
  <c r="V48" i="1"/>
  <c r="Y81" i="1"/>
  <c r="C81" i="1"/>
  <c r="Q48" i="1"/>
  <c r="D80" i="1"/>
  <c r="E79" i="1"/>
  <c r="F79" i="1" s="1"/>
  <c r="R48" i="1" l="1"/>
  <c r="S48" i="1"/>
  <c r="C82" i="1"/>
  <c r="P49" i="1"/>
  <c r="Y79" i="1"/>
  <c r="D81" i="1"/>
  <c r="E80" i="1"/>
  <c r="U48" i="1"/>
  <c r="F80" i="1" l="1"/>
  <c r="Y80" i="1"/>
  <c r="Y83" i="1"/>
  <c r="C83" i="1"/>
  <c r="Q49" i="1"/>
  <c r="R49" i="1" s="1"/>
  <c r="T49" i="1"/>
  <c r="D82" i="1"/>
  <c r="E81" i="1"/>
  <c r="F81" i="1" s="1"/>
  <c r="S49" i="1" l="1"/>
  <c r="X50" i="1"/>
  <c r="Z50" i="1" s="1"/>
  <c r="V49" i="1"/>
  <c r="C84" i="1"/>
  <c r="P50" i="1"/>
  <c r="Q50" i="1" s="1"/>
  <c r="R50" i="1" s="1"/>
  <c r="U49" i="1"/>
  <c r="D83" i="1"/>
  <c r="E82" i="1"/>
  <c r="F82" i="1" s="1"/>
  <c r="S50" i="1" l="1"/>
  <c r="C85" i="1"/>
  <c r="T50" i="1"/>
  <c r="V50" i="1" s="1"/>
  <c r="Y82" i="1"/>
  <c r="D84" i="1"/>
  <c r="E83" i="1"/>
  <c r="F83" i="1" s="1"/>
  <c r="C86" i="1" l="1"/>
  <c r="P51" i="1"/>
  <c r="Q51" i="1" s="1"/>
  <c r="R51" i="1" s="1"/>
  <c r="X51" i="1"/>
  <c r="Z51" i="1" s="1"/>
  <c r="U50" i="1"/>
  <c r="D85" i="1"/>
  <c r="E84" i="1"/>
  <c r="S51" i="1" l="1"/>
  <c r="F84" i="1"/>
  <c r="Y84" i="1"/>
  <c r="Y87" i="1"/>
  <c r="C87" i="1"/>
  <c r="T51" i="1"/>
  <c r="D86" i="1"/>
  <c r="E85" i="1"/>
  <c r="F85" i="1" s="1"/>
  <c r="X52" i="1" l="1"/>
  <c r="Z52" i="1" s="1"/>
  <c r="V51" i="1"/>
  <c r="C88" i="1"/>
  <c r="U51" i="1"/>
  <c r="P52" i="1"/>
  <c r="Q52" i="1" s="1"/>
  <c r="R52" i="1" s="1"/>
  <c r="Y85" i="1"/>
  <c r="D87" i="1"/>
  <c r="E86" i="1"/>
  <c r="S52" i="1" l="1"/>
  <c r="F86" i="1"/>
  <c r="Y86" i="1"/>
  <c r="Y89" i="1"/>
  <c r="C89" i="1"/>
  <c r="T52" i="1"/>
  <c r="D88" i="1"/>
  <c r="E87" i="1"/>
  <c r="F87" i="1" s="1"/>
  <c r="X53" i="1" l="1"/>
  <c r="Z53" i="1" s="1"/>
  <c r="V52" i="1"/>
  <c r="C90" i="1"/>
  <c r="P53" i="1"/>
  <c r="Q53" i="1" s="1"/>
  <c r="R53" i="1" s="1"/>
  <c r="U52" i="1"/>
  <c r="D89" i="1"/>
  <c r="E88" i="1"/>
  <c r="F88" i="1" s="1"/>
  <c r="S53" i="1" l="1"/>
  <c r="C91" i="1"/>
  <c r="T53" i="1"/>
  <c r="Y88" i="1"/>
  <c r="D90" i="1"/>
  <c r="E89" i="1"/>
  <c r="F89" i="1" s="1"/>
  <c r="P54" i="1" l="1"/>
  <c r="Q54" i="1" s="1"/>
  <c r="R54" i="1" s="1"/>
  <c r="V53" i="1"/>
  <c r="C92" i="1"/>
  <c r="U53" i="1"/>
  <c r="X54" i="1"/>
  <c r="Z54" i="1" s="1"/>
  <c r="D91" i="1"/>
  <c r="E90" i="1"/>
  <c r="S54" i="1" l="1"/>
  <c r="F90" i="1"/>
  <c r="Y90" i="1"/>
  <c r="T54" i="1"/>
  <c r="U54" i="1" s="1"/>
  <c r="Y93" i="1"/>
  <c r="C93" i="1"/>
  <c r="D92" i="1"/>
  <c r="E91" i="1"/>
  <c r="F91" i="1" s="1"/>
  <c r="P55" i="1" l="1"/>
  <c r="Q55" i="1" s="1"/>
  <c r="R55" i="1" s="1"/>
  <c r="X55" i="1"/>
  <c r="Z55" i="1" s="1"/>
  <c r="V54" i="1"/>
  <c r="C94" i="1"/>
  <c r="Y91" i="1"/>
  <c r="D93" i="1"/>
  <c r="E92" i="1"/>
  <c r="S55" i="1" l="1"/>
  <c r="F92" i="1"/>
  <c r="Y92" i="1"/>
  <c r="T55" i="1"/>
  <c r="X56" i="1" s="1"/>
  <c r="Z56" i="1" s="1"/>
  <c r="Y95" i="1"/>
  <c r="C95" i="1"/>
  <c r="D94" i="1"/>
  <c r="E93" i="1"/>
  <c r="F93" i="1" s="1"/>
  <c r="P56" i="1" l="1"/>
  <c r="Q56" i="1" s="1"/>
  <c r="R56" i="1" s="1"/>
  <c r="V55" i="1"/>
  <c r="U55" i="1"/>
  <c r="C96" i="1"/>
  <c r="D95" i="1"/>
  <c r="E94" i="1"/>
  <c r="F94" i="1" s="1"/>
  <c r="S56" i="1" l="1"/>
  <c r="T56" i="1"/>
  <c r="P57" i="1" s="1"/>
  <c r="Q57" i="1" s="1"/>
  <c r="R57" i="1" s="1"/>
  <c r="C97" i="1"/>
  <c r="Y94" i="1"/>
  <c r="D96" i="1"/>
  <c r="E95" i="1"/>
  <c r="F95" i="1" s="1"/>
  <c r="S57" i="1" l="1"/>
  <c r="U56" i="1"/>
  <c r="V56" i="1"/>
  <c r="X57" i="1"/>
  <c r="Z57" i="1" s="1"/>
  <c r="T57" i="1"/>
  <c r="X58" i="1" s="1"/>
  <c r="C98" i="1"/>
  <c r="D97" i="1"/>
  <c r="E96" i="1"/>
  <c r="F96" i="1" l="1"/>
  <c r="Y96" i="1"/>
  <c r="Z58" i="1"/>
  <c r="P58" i="1"/>
  <c r="Q58" i="1" s="1"/>
  <c r="R58" i="1" s="1"/>
  <c r="U57" i="1"/>
  <c r="V57" i="1"/>
  <c r="C99" i="1"/>
  <c r="Y99" i="1"/>
  <c r="D98" i="1"/>
  <c r="E97" i="1"/>
  <c r="F97" i="1" s="1"/>
  <c r="S58" i="1" l="1"/>
  <c r="T58" i="1"/>
  <c r="X59" i="1" s="1"/>
  <c r="Z59" i="1" s="1"/>
  <c r="C100" i="1"/>
  <c r="Y97" i="1"/>
  <c r="D99" i="1"/>
  <c r="E98" i="1"/>
  <c r="F98" i="1" l="1"/>
  <c r="Y98" i="1"/>
  <c r="U58" i="1"/>
  <c r="V58" i="1"/>
  <c r="P59" i="1"/>
  <c r="Q59" i="1" s="1"/>
  <c r="R59" i="1" s="1"/>
  <c r="Y101" i="1"/>
  <c r="C101" i="1"/>
  <c r="D100" i="1"/>
  <c r="E99" i="1"/>
  <c r="F99" i="1" s="1"/>
  <c r="S59" i="1" l="1"/>
  <c r="T59" i="1"/>
  <c r="V59" i="1" s="1"/>
  <c r="C102" i="1"/>
  <c r="D101" i="1"/>
  <c r="E100" i="1"/>
  <c r="F100" i="1" s="1"/>
  <c r="P60" i="1" l="1"/>
  <c r="Q60" i="1" s="1"/>
  <c r="X60" i="1"/>
  <c r="Z60" i="1" s="1"/>
  <c r="U59" i="1"/>
  <c r="C103" i="1"/>
  <c r="Y100" i="1"/>
  <c r="D102" i="1"/>
  <c r="E101" i="1"/>
  <c r="F101" i="1" s="1"/>
  <c r="R60" i="1" l="1"/>
  <c r="S60" i="1"/>
  <c r="T60" i="1"/>
  <c r="X61" i="1" s="1"/>
  <c r="Z61" i="1" s="1"/>
  <c r="C104" i="1"/>
  <c r="D103" i="1"/>
  <c r="E102" i="1"/>
  <c r="F102" i="1" l="1"/>
  <c r="Y102" i="1"/>
  <c r="U60" i="1"/>
  <c r="V60" i="1"/>
  <c r="P61" i="1"/>
  <c r="Q61" i="1" s="1"/>
  <c r="R61" i="1" s="1"/>
  <c r="Y105" i="1"/>
  <c r="C105" i="1"/>
  <c r="D104" i="1"/>
  <c r="E103" i="1"/>
  <c r="F103" i="1" s="1"/>
  <c r="S61" i="1" l="1"/>
  <c r="T61" i="1"/>
  <c r="X62" i="1" s="1"/>
  <c r="Z62" i="1" s="1"/>
  <c r="C106" i="1"/>
  <c r="Y103" i="1"/>
  <c r="D105" i="1"/>
  <c r="E104" i="1"/>
  <c r="F104" i="1" l="1"/>
  <c r="Y104" i="1"/>
  <c r="U61" i="1"/>
  <c r="P62" i="1"/>
  <c r="Q62" i="1" s="1"/>
  <c r="R62" i="1" s="1"/>
  <c r="V61" i="1"/>
  <c r="Y107" i="1"/>
  <c r="C107" i="1"/>
  <c r="D106" i="1"/>
  <c r="E105" i="1"/>
  <c r="F105" i="1" s="1"/>
  <c r="S62" i="1" l="1"/>
  <c r="T62" i="1"/>
  <c r="X63" i="1" s="1"/>
  <c r="Z63" i="1" s="1"/>
  <c r="C108" i="1"/>
  <c r="D107" i="1"/>
  <c r="E106" i="1"/>
  <c r="F106" i="1" s="1"/>
  <c r="P63" i="1" l="1"/>
  <c r="Q63" i="1" s="1"/>
  <c r="R63" i="1" s="1"/>
  <c r="V62" i="1"/>
  <c r="U62" i="1"/>
  <c r="C109" i="1"/>
  <c r="Y106" i="1"/>
  <c r="D108" i="1"/>
  <c r="E107" i="1"/>
  <c r="F107" i="1" s="1"/>
  <c r="S63" i="1" l="1"/>
  <c r="T63" i="1"/>
  <c r="X64" i="1" s="1"/>
  <c r="Z64" i="1" s="1"/>
  <c r="C110" i="1"/>
  <c r="D109" i="1"/>
  <c r="E108" i="1"/>
  <c r="F108" i="1" l="1"/>
  <c r="Y108" i="1"/>
  <c r="P64" i="1"/>
  <c r="Q64" i="1" s="1"/>
  <c r="V63" i="1"/>
  <c r="U63" i="1"/>
  <c r="Y111" i="1"/>
  <c r="C111" i="1"/>
  <c r="D110" i="1"/>
  <c r="E109" i="1"/>
  <c r="F109" i="1" s="1"/>
  <c r="R64" i="1" l="1"/>
  <c r="S64" i="1"/>
  <c r="T64" i="1"/>
  <c r="X65" i="1" s="1"/>
  <c r="Z65" i="1" s="1"/>
  <c r="C112" i="1"/>
  <c r="Y109" i="1"/>
  <c r="D111" i="1"/>
  <c r="E110" i="1"/>
  <c r="F110" i="1" l="1"/>
  <c r="Y110" i="1"/>
  <c r="U64" i="1"/>
  <c r="V64" i="1"/>
  <c r="P65" i="1"/>
  <c r="Q65" i="1" s="1"/>
  <c r="R65" i="1" s="1"/>
  <c r="Y113" i="1"/>
  <c r="C113" i="1"/>
  <c r="D112" i="1"/>
  <c r="E111" i="1"/>
  <c r="F111" i="1" s="1"/>
  <c r="S65" i="1" l="1"/>
  <c r="T65" i="1"/>
  <c r="X66" i="1" s="1"/>
  <c r="Z66" i="1" s="1"/>
  <c r="C114" i="1"/>
  <c r="D113" i="1"/>
  <c r="E112" i="1"/>
  <c r="F112" i="1" s="1"/>
  <c r="U65" i="1" l="1"/>
  <c r="P66" i="1"/>
  <c r="Q66" i="1" s="1"/>
  <c r="R66" i="1" s="1"/>
  <c r="V65" i="1"/>
  <c r="C115" i="1"/>
  <c r="Y112" i="1"/>
  <c r="D114" i="1"/>
  <c r="E113" i="1"/>
  <c r="F113" i="1" s="1"/>
  <c r="S66" i="1" l="1"/>
  <c r="T66" i="1"/>
  <c r="X67" i="1" s="1"/>
  <c r="Z67" i="1" s="1"/>
  <c r="C116" i="1"/>
  <c r="D115" i="1"/>
  <c r="E114" i="1"/>
  <c r="F114" i="1" l="1"/>
  <c r="Y114" i="1"/>
  <c r="P67" i="1"/>
  <c r="T67" i="1" s="1"/>
  <c r="P68" i="1" s="1"/>
  <c r="Q68" i="1" s="1"/>
  <c r="U66" i="1"/>
  <c r="V66" i="1"/>
  <c r="Y117" i="1"/>
  <c r="C117" i="1"/>
  <c r="D116" i="1"/>
  <c r="E115" i="1"/>
  <c r="F115" i="1" s="1"/>
  <c r="V67" i="1" l="1"/>
  <c r="Q67" i="1"/>
  <c r="U67" i="1"/>
  <c r="X68" i="1"/>
  <c r="Z68" i="1" s="1"/>
  <c r="C118" i="1"/>
  <c r="T68" i="1"/>
  <c r="Y115" i="1"/>
  <c r="D117" i="1"/>
  <c r="E116" i="1"/>
  <c r="R67" i="1" l="1"/>
  <c r="R68" i="1" s="1"/>
  <c r="S67" i="1"/>
  <c r="S68" i="1" s="1"/>
  <c r="F116" i="1"/>
  <c r="Y116" i="1"/>
  <c r="X69" i="1"/>
  <c r="Z69" i="1" s="1"/>
  <c r="V68" i="1"/>
  <c r="Y119" i="1"/>
  <c r="C119" i="1"/>
  <c r="U68" i="1"/>
  <c r="P69" i="1"/>
  <c r="Q69" i="1" s="1"/>
  <c r="D118" i="1"/>
  <c r="E117" i="1"/>
  <c r="F117" i="1" s="1"/>
  <c r="R69" i="1" l="1"/>
  <c r="S69" i="1"/>
  <c r="C120" i="1"/>
  <c r="T69" i="1"/>
  <c r="D119" i="1"/>
  <c r="E118" i="1"/>
  <c r="F118" i="1" s="1"/>
  <c r="X70" i="1" l="1"/>
  <c r="Z70" i="1" s="1"/>
  <c r="V69" i="1"/>
  <c r="C121" i="1"/>
  <c r="P70" i="1"/>
  <c r="Q70" i="1" s="1"/>
  <c r="R70" i="1" s="1"/>
  <c r="U69" i="1"/>
  <c r="Y118" i="1"/>
  <c r="D120" i="1"/>
  <c r="E119" i="1"/>
  <c r="F119" i="1" s="1"/>
  <c r="S70" i="1" l="1"/>
  <c r="C122" i="1"/>
  <c r="T70" i="1"/>
  <c r="D121" i="1"/>
  <c r="E120" i="1"/>
  <c r="F120" i="1" l="1"/>
  <c r="Y120" i="1"/>
  <c r="X71" i="1"/>
  <c r="Z71" i="1" s="1"/>
  <c r="V70" i="1"/>
  <c r="C123" i="1"/>
  <c r="Y123" i="1"/>
  <c r="U70" i="1"/>
  <c r="P71" i="1"/>
  <c r="Q71" i="1" s="1"/>
  <c r="R71" i="1" s="1"/>
  <c r="D122" i="1"/>
  <c r="E121" i="1"/>
  <c r="F121" i="1" s="1"/>
  <c r="S71" i="1" l="1"/>
  <c r="C124" i="1"/>
  <c r="T71" i="1"/>
  <c r="Y121" i="1"/>
  <c r="D123" i="1"/>
  <c r="E122" i="1"/>
  <c r="F122" i="1" l="1"/>
  <c r="Y122" i="1"/>
  <c r="X72" i="1"/>
  <c r="Z72" i="1" s="1"/>
  <c r="V71" i="1"/>
  <c r="Y125" i="1"/>
  <c r="C125" i="1"/>
  <c r="U71" i="1"/>
  <c r="P72" i="1"/>
  <c r="Q72" i="1" s="1"/>
  <c r="R72" i="1" s="1"/>
  <c r="D124" i="1"/>
  <c r="E123" i="1"/>
  <c r="F123" i="1" s="1"/>
  <c r="S72" i="1" l="1"/>
  <c r="C126" i="1"/>
  <c r="T72" i="1"/>
  <c r="D125" i="1"/>
  <c r="E124" i="1"/>
  <c r="F124" i="1" s="1"/>
  <c r="P73" i="1" l="1"/>
  <c r="Q73" i="1" s="1"/>
  <c r="R73" i="1" s="1"/>
  <c r="V72" i="1"/>
  <c r="C127" i="1"/>
  <c r="U72" i="1"/>
  <c r="X73" i="1"/>
  <c r="Z73" i="1" s="1"/>
  <c r="Y124" i="1"/>
  <c r="D126" i="1"/>
  <c r="E125" i="1"/>
  <c r="F125" i="1" s="1"/>
  <c r="S73" i="1" l="1"/>
  <c r="T73" i="1"/>
  <c r="U73" i="1" s="1"/>
  <c r="C128" i="1"/>
  <c r="D127" i="1"/>
  <c r="E126" i="1"/>
  <c r="F126" i="1" l="1"/>
  <c r="Y126" i="1"/>
  <c r="P74" i="1"/>
  <c r="Q74" i="1" s="1"/>
  <c r="R74" i="1" s="1"/>
  <c r="X74" i="1"/>
  <c r="Z74" i="1" s="1"/>
  <c r="V73" i="1"/>
  <c r="Y129" i="1"/>
  <c r="C129" i="1"/>
  <c r="D128" i="1"/>
  <c r="E127" i="1"/>
  <c r="F127" i="1" s="1"/>
  <c r="S74" i="1" l="1"/>
  <c r="T74" i="1"/>
  <c r="X75" i="1" s="1"/>
  <c r="Z75" i="1" s="1"/>
  <c r="C130" i="1"/>
  <c r="Y127" i="1"/>
  <c r="D129" i="1"/>
  <c r="E128" i="1"/>
  <c r="F128" i="1" l="1"/>
  <c r="Y128" i="1"/>
  <c r="P75" i="1"/>
  <c r="Q75" i="1" s="1"/>
  <c r="R75" i="1" s="1"/>
  <c r="V74" i="1"/>
  <c r="U74" i="1"/>
  <c r="Y131" i="1"/>
  <c r="C131" i="1"/>
  <c r="D130" i="1"/>
  <c r="E129" i="1"/>
  <c r="F129" i="1" s="1"/>
  <c r="S75" i="1" l="1"/>
  <c r="T75" i="1"/>
  <c r="X76" i="1" s="1"/>
  <c r="Z76" i="1" s="1"/>
  <c r="C132" i="1"/>
  <c r="D131" i="1"/>
  <c r="E130" i="1"/>
  <c r="F130" i="1" s="1"/>
  <c r="P76" i="1" l="1"/>
  <c r="Q76" i="1" s="1"/>
  <c r="R76" i="1" s="1"/>
  <c r="V75" i="1"/>
  <c r="U75" i="1"/>
  <c r="C133" i="1"/>
  <c r="Y130" i="1"/>
  <c r="D132" i="1"/>
  <c r="E131" i="1"/>
  <c r="F131" i="1" s="1"/>
  <c r="S76" i="1" l="1"/>
  <c r="T76" i="1"/>
  <c r="X77" i="1" s="1"/>
  <c r="Z77" i="1" s="1"/>
  <c r="C134" i="1"/>
  <c r="D133" i="1"/>
  <c r="E132" i="1"/>
  <c r="F132" i="1" l="1"/>
  <c r="Y132" i="1"/>
  <c r="U76" i="1"/>
  <c r="V76" i="1"/>
  <c r="P77" i="1"/>
  <c r="Q77" i="1" s="1"/>
  <c r="R77" i="1" s="1"/>
  <c r="Y135" i="1"/>
  <c r="C135" i="1"/>
  <c r="D134" i="1"/>
  <c r="E133" i="1"/>
  <c r="F133" i="1" s="1"/>
  <c r="S77" i="1" l="1"/>
  <c r="T77" i="1"/>
  <c r="U77" i="1" s="1"/>
  <c r="C136" i="1"/>
  <c r="Y133" i="1"/>
  <c r="D135" i="1"/>
  <c r="E134" i="1"/>
  <c r="F134" i="1" l="1"/>
  <c r="Y134" i="1"/>
  <c r="X78" i="1"/>
  <c r="Z78" i="1" s="1"/>
  <c r="P78" i="1"/>
  <c r="Q78" i="1" s="1"/>
  <c r="R78" i="1" s="1"/>
  <c r="V77" i="1"/>
  <c r="Y137" i="1"/>
  <c r="C137" i="1"/>
  <c r="D136" i="1"/>
  <c r="E135" i="1"/>
  <c r="F135" i="1" s="1"/>
  <c r="S78" i="1" l="1"/>
  <c r="T78" i="1"/>
  <c r="V78" i="1" s="1"/>
  <c r="C138" i="1"/>
  <c r="D137" i="1"/>
  <c r="E136" i="1"/>
  <c r="F136" i="1" s="1"/>
  <c r="P79" i="1" l="1"/>
  <c r="Q79" i="1" s="1"/>
  <c r="R79" i="1" s="1"/>
  <c r="X79" i="1"/>
  <c r="Z79" i="1" s="1"/>
  <c r="U78" i="1"/>
  <c r="C139" i="1"/>
  <c r="Y136" i="1"/>
  <c r="D138" i="1"/>
  <c r="E137" i="1"/>
  <c r="F137" i="1" s="1"/>
  <c r="S79" i="1" l="1"/>
  <c r="T79" i="1"/>
  <c r="U79" i="1" s="1"/>
  <c r="C140" i="1"/>
  <c r="D139" i="1"/>
  <c r="E138" i="1"/>
  <c r="F138" i="1" l="1"/>
  <c r="Y138" i="1"/>
  <c r="X80" i="1"/>
  <c r="Z80" i="1" s="1"/>
  <c r="V79" i="1"/>
  <c r="P80" i="1"/>
  <c r="Q80" i="1" s="1"/>
  <c r="R80" i="1" s="1"/>
  <c r="Y141" i="1"/>
  <c r="C141" i="1"/>
  <c r="D140" i="1"/>
  <c r="E139" i="1"/>
  <c r="F139" i="1" s="1"/>
  <c r="S80" i="1" l="1"/>
  <c r="T80" i="1"/>
  <c r="X81" i="1" s="1"/>
  <c r="Z81" i="1" s="1"/>
  <c r="C142" i="1"/>
  <c r="Y139" i="1"/>
  <c r="D141" i="1"/>
  <c r="E140" i="1"/>
  <c r="F140" i="1" l="1"/>
  <c r="Y140" i="1"/>
  <c r="P81" i="1"/>
  <c r="Q81" i="1" s="1"/>
  <c r="R81" i="1" s="1"/>
  <c r="V80" i="1"/>
  <c r="U80" i="1"/>
  <c r="Y143" i="1"/>
  <c r="C143" i="1"/>
  <c r="D142" i="1"/>
  <c r="E141" i="1"/>
  <c r="F141" i="1" s="1"/>
  <c r="S81" i="1" l="1"/>
  <c r="T81" i="1"/>
  <c r="X82" i="1" s="1"/>
  <c r="Z82" i="1" s="1"/>
  <c r="C144" i="1"/>
  <c r="D143" i="1"/>
  <c r="E142" i="1"/>
  <c r="F142" i="1" s="1"/>
  <c r="U81" i="1" l="1"/>
  <c r="P82" i="1"/>
  <c r="Q82" i="1" s="1"/>
  <c r="R82" i="1" s="1"/>
  <c r="V81" i="1"/>
  <c r="C145" i="1"/>
  <c r="Y142" i="1"/>
  <c r="D144" i="1"/>
  <c r="E143" i="1"/>
  <c r="F143" i="1" s="1"/>
  <c r="S82" i="1" l="1"/>
  <c r="T82" i="1"/>
  <c r="V82" i="1" s="1"/>
  <c r="C146" i="1"/>
  <c r="D145" i="1"/>
  <c r="E144" i="1"/>
  <c r="F144" i="1" l="1"/>
  <c r="Y144" i="1"/>
  <c r="U82" i="1"/>
  <c r="P83" i="1"/>
  <c r="T83" i="1" s="1"/>
  <c r="P84" i="1" s="1"/>
  <c r="Q84" i="1" s="1"/>
  <c r="X83" i="1"/>
  <c r="Z83" i="1" s="1"/>
  <c r="C147" i="1"/>
  <c r="Y147" i="1"/>
  <c r="D146" i="1"/>
  <c r="E145" i="1"/>
  <c r="F145" i="1" s="1"/>
  <c r="T84" i="1" l="1"/>
  <c r="V84" i="1" s="1"/>
  <c r="X84" i="1"/>
  <c r="Z84" i="1" s="1"/>
  <c r="Q83" i="1"/>
  <c r="U83" i="1"/>
  <c r="V83" i="1"/>
  <c r="C148" i="1"/>
  <c r="Y145" i="1"/>
  <c r="D147" i="1"/>
  <c r="E146" i="1"/>
  <c r="R83" i="1" l="1"/>
  <c r="R84" i="1" s="1"/>
  <c r="S83" i="1"/>
  <c r="S84" i="1" s="1"/>
  <c r="F146" i="1"/>
  <c r="Y146" i="1"/>
  <c r="X85" i="1"/>
  <c r="Z85" i="1" s="1"/>
  <c r="P85" i="1"/>
  <c r="Q85" i="1" s="1"/>
  <c r="U84" i="1"/>
  <c r="Y149" i="1"/>
  <c r="C149" i="1"/>
  <c r="D148" i="1"/>
  <c r="E147" i="1"/>
  <c r="F147" i="1" s="1"/>
  <c r="R85" i="1" l="1"/>
  <c r="S85" i="1"/>
  <c r="T85" i="1"/>
  <c r="X86" i="1" s="1"/>
  <c r="Z86" i="1" s="1"/>
  <c r="C150" i="1"/>
  <c r="D149" i="1"/>
  <c r="E148" i="1"/>
  <c r="F148" i="1" s="1"/>
  <c r="U85" i="1" l="1"/>
  <c r="V85" i="1"/>
  <c r="P86" i="1"/>
  <c r="Q86" i="1" s="1"/>
  <c r="R86" i="1" s="1"/>
  <c r="C151" i="1"/>
  <c r="Y148" i="1"/>
  <c r="D150" i="1"/>
  <c r="E149" i="1"/>
  <c r="F149" i="1" s="1"/>
  <c r="S86" i="1" l="1"/>
  <c r="T86" i="1"/>
  <c r="X87" i="1" s="1"/>
  <c r="Z87" i="1" s="1"/>
  <c r="C152" i="1"/>
  <c r="D151" i="1"/>
  <c r="E150" i="1"/>
  <c r="F150" i="1" l="1"/>
  <c r="Y150" i="1"/>
  <c r="U86" i="1"/>
  <c r="V86" i="1"/>
  <c r="P87" i="1"/>
  <c r="Q87" i="1" s="1"/>
  <c r="R87" i="1" s="1"/>
  <c r="Y153" i="1"/>
  <c r="C153" i="1"/>
  <c r="D152" i="1"/>
  <c r="E151" i="1"/>
  <c r="F151" i="1" s="1"/>
  <c r="S87" i="1" l="1"/>
  <c r="T87" i="1"/>
  <c r="X88" i="1" s="1"/>
  <c r="Z88" i="1" s="1"/>
  <c r="C154" i="1"/>
  <c r="Y151" i="1"/>
  <c r="D153" i="1"/>
  <c r="E152" i="1"/>
  <c r="F152" i="1" l="1"/>
  <c r="Y152" i="1"/>
  <c r="U87" i="1"/>
  <c r="P88" i="1"/>
  <c r="Q88" i="1" s="1"/>
  <c r="R88" i="1" s="1"/>
  <c r="V87" i="1"/>
  <c r="Y155" i="1"/>
  <c r="C155" i="1"/>
  <c r="D154" i="1"/>
  <c r="E153" i="1"/>
  <c r="F153" i="1" s="1"/>
  <c r="S88" i="1" l="1"/>
  <c r="T88" i="1"/>
  <c r="X89" i="1" s="1"/>
  <c r="Z89" i="1" s="1"/>
  <c r="C156" i="1"/>
  <c r="D155" i="1"/>
  <c r="E154" i="1"/>
  <c r="F154" i="1" s="1"/>
  <c r="U88" i="1" l="1"/>
  <c r="P89" i="1"/>
  <c r="Q89" i="1" s="1"/>
  <c r="R89" i="1" s="1"/>
  <c r="V88" i="1"/>
  <c r="C157" i="1"/>
  <c r="Y154" i="1"/>
  <c r="D156" i="1"/>
  <c r="E155" i="1"/>
  <c r="F155" i="1" s="1"/>
  <c r="S89" i="1" l="1"/>
  <c r="T89" i="1"/>
  <c r="X90" i="1" s="1"/>
  <c r="Z90" i="1" s="1"/>
  <c r="C158" i="1"/>
  <c r="D157" i="1"/>
  <c r="E156" i="1"/>
  <c r="F156" i="1" l="1"/>
  <c r="Y156" i="1"/>
  <c r="U89" i="1"/>
  <c r="P90" i="1"/>
  <c r="Q90" i="1" s="1"/>
  <c r="R90" i="1" s="1"/>
  <c r="V89" i="1"/>
  <c r="Y159" i="1"/>
  <c r="C159" i="1"/>
  <c r="D158" i="1"/>
  <c r="E157" i="1"/>
  <c r="F157" i="1" s="1"/>
  <c r="S90" i="1" l="1"/>
  <c r="T90" i="1"/>
  <c r="U90" i="1" s="1"/>
  <c r="C160" i="1"/>
  <c r="Y157" i="1"/>
  <c r="D159" i="1"/>
  <c r="E158" i="1"/>
  <c r="P91" i="1" l="1"/>
  <c r="Q91" i="1" s="1"/>
  <c r="R91" i="1" s="1"/>
  <c r="X91" i="1"/>
  <c r="Z91" i="1" s="1"/>
  <c r="V90" i="1"/>
  <c r="F158" i="1"/>
  <c r="Y158" i="1"/>
  <c r="Y161" i="1"/>
  <c r="C161" i="1"/>
  <c r="D160" i="1"/>
  <c r="E159" i="1"/>
  <c r="F159" i="1" s="1"/>
  <c r="T91" i="1" l="1"/>
  <c r="U91" i="1" s="1"/>
  <c r="S91" i="1"/>
  <c r="C162" i="1"/>
  <c r="D161" i="1"/>
  <c r="E160" i="1"/>
  <c r="F160" i="1" s="1"/>
  <c r="V91" i="1" l="1"/>
  <c r="X92" i="1"/>
  <c r="Z92" i="1" s="1"/>
  <c r="P92" i="1"/>
  <c r="Q92" i="1" s="1"/>
  <c r="R92" i="1" s="1"/>
  <c r="C163" i="1"/>
  <c r="Y160" i="1"/>
  <c r="D162" i="1"/>
  <c r="E161" i="1"/>
  <c r="F161" i="1" s="1"/>
  <c r="S92" i="1" l="1"/>
  <c r="T92" i="1"/>
  <c r="V92" i="1" s="1"/>
  <c r="C164" i="1"/>
  <c r="D163" i="1"/>
  <c r="E162" i="1"/>
  <c r="U92" i="1" l="1"/>
  <c r="X93" i="1"/>
  <c r="Z93" i="1" s="1"/>
  <c r="P93" i="1"/>
  <c r="Q93" i="1" s="1"/>
  <c r="R93" i="1" s="1"/>
  <c r="F162" i="1"/>
  <c r="Y162" i="1"/>
  <c r="Y165" i="1"/>
  <c r="C165" i="1"/>
  <c r="D164" i="1"/>
  <c r="E163" i="1"/>
  <c r="F163" i="1" s="1"/>
  <c r="T93" i="1" l="1"/>
  <c r="X94" i="1" s="1"/>
  <c r="Z94" i="1" s="1"/>
  <c r="S93" i="1"/>
  <c r="C166" i="1"/>
  <c r="Y163" i="1"/>
  <c r="D165" i="1"/>
  <c r="E164" i="1"/>
  <c r="V93" i="1" l="1"/>
  <c r="P94" i="1"/>
  <c r="Q94" i="1" s="1"/>
  <c r="R94" i="1" s="1"/>
  <c r="U93" i="1"/>
  <c r="F164" i="1"/>
  <c r="Y164" i="1"/>
  <c r="Y167" i="1"/>
  <c r="C167" i="1"/>
  <c r="D166" i="1"/>
  <c r="E165" i="1"/>
  <c r="F165" i="1" s="1"/>
  <c r="S94" i="1" l="1"/>
  <c r="T94" i="1"/>
  <c r="X95" i="1" s="1"/>
  <c r="Z95" i="1" s="1"/>
  <c r="C168" i="1"/>
  <c r="D167" i="1"/>
  <c r="E166" i="1"/>
  <c r="F166" i="1" s="1"/>
  <c r="U94" i="1" l="1"/>
  <c r="V94" i="1"/>
  <c r="P95" i="1"/>
  <c r="Q95" i="1" s="1"/>
  <c r="R95" i="1" s="1"/>
  <c r="C169" i="1"/>
  <c r="Y166" i="1"/>
  <c r="D168" i="1"/>
  <c r="E167" i="1"/>
  <c r="F167" i="1" s="1"/>
  <c r="T95" i="1" l="1"/>
  <c r="X96" i="1" s="1"/>
  <c r="Z96" i="1" s="1"/>
  <c r="S95" i="1"/>
  <c r="C170" i="1"/>
  <c r="D169" i="1"/>
  <c r="E168" i="1"/>
  <c r="U95" i="1" l="1"/>
  <c r="V95" i="1"/>
  <c r="P96" i="1"/>
  <c r="Q96" i="1" s="1"/>
  <c r="R96" i="1" s="1"/>
  <c r="F168" i="1"/>
  <c r="Y168" i="1"/>
  <c r="C171" i="1"/>
  <c r="Y171" i="1"/>
  <c r="D170" i="1"/>
  <c r="E169" i="1"/>
  <c r="F169" i="1" s="1"/>
  <c r="T96" i="1" l="1"/>
  <c r="X97" i="1" s="1"/>
  <c r="Z97" i="1" s="1"/>
  <c r="S96" i="1"/>
  <c r="C172" i="1"/>
  <c r="Y169" i="1"/>
  <c r="D171" i="1"/>
  <c r="E170" i="1"/>
  <c r="U96" i="1" l="1"/>
  <c r="V96" i="1"/>
  <c r="P97" i="1"/>
  <c r="T97" i="1" s="1"/>
  <c r="V97" i="1" s="1"/>
  <c r="F170" i="1"/>
  <c r="Y170" i="1"/>
  <c r="Y173" i="1"/>
  <c r="C173" i="1"/>
  <c r="D172" i="1"/>
  <c r="E171" i="1"/>
  <c r="F171" i="1" s="1"/>
  <c r="P98" i="1" l="1"/>
  <c r="Q98" i="1" s="1"/>
  <c r="Q97" i="1"/>
  <c r="R97" i="1" s="1"/>
  <c r="X98" i="1"/>
  <c r="Z98" i="1" s="1"/>
  <c r="U97" i="1"/>
  <c r="C174" i="1"/>
  <c r="D173" i="1"/>
  <c r="E172" i="1"/>
  <c r="F172" i="1" s="1"/>
  <c r="T98" i="1" l="1"/>
  <c r="X99" i="1" s="1"/>
  <c r="Z99" i="1" s="1"/>
  <c r="R98" i="1"/>
  <c r="S97" i="1"/>
  <c r="S98" i="1" s="1"/>
  <c r="C175" i="1"/>
  <c r="Y172" i="1"/>
  <c r="D174" i="1"/>
  <c r="E173" i="1"/>
  <c r="F173" i="1" s="1"/>
  <c r="P99" i="1" l="1"/>
  <c r="Q99" i="1" s="1"/>
  <c r="R99" i="1" s="1"/>
  <c r="U98" i="1"/>
  <c r="V98" i="1"/>
  <c r="C176" i="1"/>
  <c r="D175" i="1"/>
  <c r="E174" i="1"/>
  <c r="S99" i="1" l="1"/>
  <c r="T99" i="1"/>
  <c r="X100" i="1" s="1"/>
  <c r="Z100" i="1" s="1"/>
  <c r="F174" i="1"/>
  <c r="Y174" i="1"/>
  <c r="Y177" i="1"/>
  <c r="C177" i="1"/>
  <c r="D176" i="1"/>
  <c r="E175" i="1"/>
  <c r="F175" i="1" s="1"/>
  <c r="P100" i="1" l="1"/>
  <c r="T100" i="1" s="1"/>
  <c r="V100" i="1" s="1"/>
  <c r="V99" i="1"/>
  <c r="U99" i="1"/>
  <c r="C178" i="1"/>
  <c r="Y175" i="1"/>
  <c r="D177" i="1"/>
  <c r="E176" i="1"/>
  <c r="Q100" i="1" l="1"/>
  <c r="S100" i="1" s="1"/>
  <c r="X101" i="1"/>
  <c r="Z101" i="1" s="1"/>
  <c r="U100" i="1"/>
  <c r="P101" i="1"/>
  <c r="T101" i="1" s="1"/>
  <c r="X102" i="1" s="1"/>
  <c r="R100" i="1"/>
  <c r="F176" i="1"/>
  <c r="Y176" i="1"/>
  <c r="Y179" i="1"/>
  <c r="C179" i="1"/>
  <c r="D178" i="1"/>
  <c r="E177" i="1"/>
  <c r="F177" i="1" s="1"/>
  <c r="Z102" i="1" l="1"/>
  <c r="Q101" i="1"/>
  <c r="S101" i="1" s="1"/>
  <c r="V101" i="1"/>
  <c r="P102" i="1"/>
  <c r="T102" i="1" s="1"/>
  <c r="X103" i="1" s="1"/>
  <c r="Z103" i="1" s="1"/>
  <c r="U101" i="1"/>
  <c r="C180" i="1"/>
  <c r="D179" i="1"/>
  <c r="E178" i="1"/>
  <c r="F178" i="1" s="1"/>
  <c r="R101" i="1" l="1"/>
  <c r="P103" i="1"/>
  <c r="T103" i="1" s="1"/>
  <c r="V103" i="1" s="1"/>
  <c r="U102" i="1"/>
  <c r="Q102" i="1"/>
  <c r="S102" i="1" s="1"/>
  <c r="V102" i="1"/>
  <c r="C181" i="1"/>
  <c r="Y178" i="1"/>
  <c r="D180" i="1"/>
  <c r="E179" i="1"/>
  <c r="F179" i="1" s="1"/>
  <c r="R102" i="1" l="1"/>
  <c r="U103" i="1"/>
  <c r="X104" i="1"/>
  <c r="Z104" i="1" s="1"/>
  <c r="Q103" i="1"/>
  <c r="S103" i="1" s="1"/>
  <c r="P104" i="1"/>
  <c r="Q104" i="1" s="1"/>
  <c r="C182" i="1"/>
  <c r="D181" i="1"/>
  <c r="E180" i="1"/>
  <c r="R103" i="1" l="1"/>
  <c r="R104" i="1" s="1"/>
  <c r="S104" i="1"/>
  <c r="T104" i="1"/>
  <c r="X105" i="1" s="1"/>
  <c r="Z105" i="1" s="1"/>
  <c r="F180" i="1"/>
  <c r="Y180" i="1"/>
  <c r="Y183" i="1"/>
  <c r="C183" i="1"/>
  <c r="D182" i="1"/>
  <c r="E181" i="1"/>
  <c r="F181" i="1" s="1"/>
  <c r="V104" i="1" l="1"/>
  <c r="P105" i="1"/>
  <c r="Q105" i="1" s="1"/>
  <c r="S105" i="1" s="1"/>
  <c r="U104" i="1"/>
  <c r="C184" i="1"/>
  <c r="Y181" i="1"/>
  <c r="D183" i="1"/>
  <c r="E182" i="1"/>
  <c r="R105" i="1" l="1"/>
  <c r="T105" i="1"/>
  <c r="X106" i="1" s="1"/>
  <c r="Z106" i="1" s="1"/>
  <c r="F182" i="1"/>
  <c r="Y182" i="1"/>
  <c r="Y185" i="1"/>
  <c r="C185" i="1"/>
  <c r="D184" i="1"/>
  <c r="E183" i="1"/>
  <c r="F183" i="1" s="1"/>
  <c r="P106" i="1" l="1"/>
  <c r="Q106" i="1" s="1"/>
  <c r="R106" i="1" s="1"/>
  <c r="V105" i="1"/>
  <c r="U105" i="1"/>
  <c r="C186" i="1"/>
  <c r="D185" i="1"/>
  <c r="E184" i="1"/>
  <c r="F184" i="1" s="1"/>
  <c r="S106" i="1" l="1"/>
  <c r="T106" i="1"/>
  <c r="X107" i="1" s="1"/>
  <c r="Z107" i="1" s="1"/>
  <c r="C187" i="1"/>
  <c r="Y184" i="1"/>
  <c r="D186" i="1"/>
  <c r="E185" i="1"/>
  <c r="F185" i="1" s="1"/>
  <c r="V106" i="1" l="1"/>
  <c r="P107" i="1"/>
  <c r="Q107" i="1" s="1"/>
  <c r="R107" i="1" s="1"/>
  <c r="U106" i="1"/>
  <c r="C188" i="1"/>
  <c r="D187" i="1"/>
  <c r="E186" i="1"/>
  <c r="T107" i="1" l="1"/>
  <c r="X108" i="1" s="1"/>
  <c r="Z108" i="1" s="1"/>
  <c r="S107" i="1"/>
  <c r="F186" i="1"/>
  <c r="Y186" i="1"/>
  <c r="Y189" i="1"/>
  <c r="C189" i="1"/>
  <c r="D188" i="1"/>
  <c r="E187" i="1"/>
  <c r="F187" i="1" s="1"/>
  <c r="P108" i="1" l="1"/>
  <c r="Q108" i="1" s="1"/>
  <c r="R108" i="1" s="1"/>
  <c r="V107" i="1"/>
  <c r="U107" i="1"/>
  <c r="S108" i="1"/>
  <c r="T108" i="1"/>
  <c r="X109" i="1" s="1"/>
  <c r="Z109" i="1" s="1"/>
  <c r="C190" i="1"/>
  <c r="Y187" i="1"/>
  <c r="D189" i="1"/>
  <c r="E188" i="1"/>
  <c r="F188" i="1" l="1"/>
  <c r="Y188" i="1"/>
  <c r="U108" i="1"/>
  <c r="P109" i="1"/>
  <c r="T109" i="1" s="1"/>
  <c r="V108" i="1"/>
  <c r="Y191" i="1"/>
  <c r="C191" i="1"/>
  <c r="D190" i="1"/>
  <c r="E189" i="1"/>
  <c r="F189" i="1" s="1"/>
  <c r="Q109" i="1" l="1"/>
  <c r="X110" i="1"/>
  <c r="Z110" i="1" s="1"/>
  <c r="V109" i="1"/>
  <c r="C192" i="1"/>
  <c r="P110" i="1"/>
  <c r="T110" i="1" s="1"/>
  <c r="U109" i="1"/>
  <c r="D191" i="1"/>
  <c r="E190" i="1"/>
  <c r="F190" i="1" s="1"/>
  <c r="R109" i="1" l="1"/>
  <c r="S109" i="1"/>
  <c r="X111" i="1"/>
  <c r="Z111" i="1" s="1"/>
  <c r="V110" i="1"/>
  <c r="C193" i="1"/>
  <c r="Q110" i="1"/>
  <c r="U110" i="1"/>
  <c r="P111" i="1"/>
  <c r="Q111" i="1" s="1"/>
  <c r="Y190" i="1"/>
  <c r="D192" i="1"/>
  <c r="E191" i="1"/>
  <c r="F191" i="1" s="1"/>
  <c r="R110" i="1" l="1"/>
  <c r="R111" i="1" s="1"/>
  <c r="S110" i="1"/>
  <c r="S111" i="1" s="1"/>
  <c r="C194" i="1"/>
  <c r="T111" i="1"/>
  <c r="V111" i="1" s="1"/>
  <c r="D193" i="1"/>
  <c r="E192" i="1"/>
  <c r="F192" i="1" l="1"/>
  <c r="Y192" i="1"/>
  <c r="C195" i="1"/>
  <c r="Y195" i="1"/>
  <c r="U111" i="1"/>
  <c r="X112" i="1"/>
  <c r="Z112" i="1" s="1"/>
  <c r="P112" i="1"/>
  <c r="T112" i="1" s="1"/>
  <c r="D194" i="1"/>
  <c r="E193" i="1"/>
  <c r="F193" i="1" s="1"/>
  <c r="X113" i="1" l="1"/>
  <c r="Z113" i="1" s="1"/>
  <c r="V112" i="1"/>
  <c r="C196" i="1"/>
  <c r="Q112" i="1"/>
  <c r="P113" i="1"/>
  <c r="Q113" i="1" s="1"/>
  <c r="U112" i="1"/>
  <c r="Y193" i="1"/>
  <c r="D195" i="1"/>
  <c r="E194" i="1"/>
  <c r="R112" i="1" l="1"/>
  <c r="R113" i="1" s="1"/>
  <c r="S112" i="1"/>
  <c r="S113" i="1" s="1"/>
  <c r="F194" i="1"/>
  <c r="Y194" i="1"/>
  <c r="Y197" i="1"/>
  <c r="C197" i="1"/>
  <c r="T113" i="1"/>
  <c r="D196" i="1"/>
  <c r="E195" i="1"/>
  <c r="F195" i="1" s="1"/>
  <c r="X114" i="1" l="1"/>
  <c r="Z114" i="1" s="1"/>
  <c r="V113" i="1"/>
  <c r="C198" i="1"/>
  <c r="U113" i="1"/>
  <c r="P114" i="1"/>
  <c r="Q114" i="1" s="1"/>
  <c r="R114" i="1" s="1"/>
  <c r="D197" i="1"/>
  <c r="E196" i="1"/>
  <c r="F196" i="1" s="1"/>
  <c r="S114" i="1" l="1"/>
  <c r="C199" i="1"/>
  <c r="T114" i="1"/>
  <c r="Y196" i="1"/>
  <c r="D198" i="1"/>
  <c r="E197" i="1"/>
  <c r="F197" i="1" s="1"/>
  <c r="X115" i="1" l="1"/>
  <c r="Z115" i="1" s="1"/>
  <c r="V114" i="1"/>
  <c r="C200" i="1"/>
  <c r="P115" i="1"/>
  <c r="T115" i="1" s="1"/>
  <c r="U114" i="1"/>
  <c r="D199" i="1"/>
  <c r="E198" i="1"/>
  <c r="F198" i="1" l="1"/>
  <c r="Y198" i="1"/>
  <c r="X116" i="1"/>
  <c r="Z116" i="1" s="1"/>
  <c r="V115" i="1"/>
  <c r="Y201" i="1"/>
  <c r="C201" i="1"/>
  <c r="Q115" i="1"/>
  <c r="P116" i="1"/>
  <c r="T116" i="1" s="1"/>
  <c r="U115" i="1"/>
  <c r="D200" i="1"/>
  <c r="E199" i="1"/>
  <c r="F199" i="1" s="1"/>
  <c r="R115" i="1" l="1"/>
  <c r="S115" i="1"/>
  <c r="X117" i="1"/>
  <c r="Z117" i="1" s="1"/>
  <c r="V116" i="1"/>
  <c r="C202" i="1"/>
  <c r="Q116" i="1"/>
  <c r="Y199" i="1"/>
  <c r="D201" i="1"/>
  <c r="E200" i="1"/>
  <c r="R116" i="1" l="1"/>
  <c r="S116" i="1"/>
  <c r="F200" i="1"/>
  <c r="Y200" i="1"/>
  <c r="Y203" i="1"/>
  <c r="C203" i="1"/>
  <c r="P117" i="1"/>
  <c r="T117" i="1" s="1"/>
  <c r="U116" i="1"/>
  <c r="D202" i="1"/>
  <c r="E201" i="1"/>
  <c r="F201" i="1" s="1"/>
  <c r="X118" i="1" l="1"/>
  <c r="Z118" i="1" s="1"/>
  <c r="V117" i="1"/>
  <c r="C204" i="1"/>
  <c r="Q117" i="1"/>
  <c r="R117" i="1" s="1"/>
  <c r="D203" i="1"/>
  <c r="E202" i="1"/>
  <c r="F202" i="1" s="1"/>
  <c r="S117" i="1" l="1"/>
  <c r="C205" i="1"/>
  <c r="P118" i="1"/>
  <c r="T118" i="1" s="1"/>
  <c r="U117" i="1"/>
  <c r="Y202" i="1"/>
  <c r="D204" i="1"/>
  <c r="E203" i="1"/>
  <c r="F203" i="1" s="1"/>
  <c r="X119" i="1" l="1"/>
  <c r="Z119" i="1" s="1"/>
  <c r="V118" i="1"/>
  <c r="C206" i="1"/>
  <c r="Q118" i="1"/>
  <c r="R118" i="1" s="1"/>
  <c r="D205" i="1"/>
  <c r="E204" i="1"/>
  <c r="S118" i="1" l="1"/>
  <c r="F204" i="1"/>
  <c r="Y204" i="1"/>
  <c r="Y207" i="1"/>
  <c r="C207" i="1"/>
  <c r="P119" i="1"/>
  <c r="U118" i="1"/>
  <c r="D206" i="1"/>
  <c r="E205" i="1"/>
  <c r="F205" i="1" s="1"/>
  <c r="C208" i="1" l="1"/>
  <c r="Q119" i="1"/>
  <c r="R119" i="1" s="1"/>
  <c r="T119" i="1"/>
  <c r="Y205" i="1"/>
  <c r="D207" i="1"/>
  <c r="E206" i="1"/>
  <c r="S119" i="1" l="1"/>
  <c r="F206" i="1"/>
  <c r="Y206" i="1"/>
  <c r="X120" i="1"/>
  <c r="Z120" i="1" s="1"/>
  <c r="V119" i="1"/>
  <c r="Y209" i="1"/>
  <c r="C209" i="1"/>
  <c r="P120" i="1"/>
  <c r="Q120" i="1" s="1"/>
  <c r="R120" i="1" s="1"/>
  <c r="U119" i="1"/>
  <c r="D208" i="1"/>
  <c r="E207" i="1"/>
  <c r="F207" i="1" s="1"/>
  <c r="S120" i="1" l="1"/>
  <c r="C210" i="1"/>
  <c r="T120" i="1"/>
  <c r="D209" i="1"/>
  <c r="E208" i="1"/>
  <c r="F208" i="1" s="1"/>
  <c r="X121" i="1" l="1"/>
  <c r="Z121" i="1" s="1"/>
  <c r="V120" i="1"/>
  <c r="C211" i="1"/>
  <c r="U120" i="1"/>
  <c r="P121" i="1"/>
  <c r="Y208" i="1"/>
  <c r="D210" i="1"/>
  <c r="E209" i="1"/>
  <c r="F209" i="1" s="1"/>
  <c r="C212" i="1" l="1"/>
  <c r="Q121" i="1"/>
  <c r="T121" i="1"/>
  <c r="D211" i="1"/>
  <c r="E210" i="1"/>
  <c r="R121" i="1" l="1"/>
  <c r="S121" i="1"/>
  <c r="F210" i="1"/>
  <c r="Y210" i="1"/>
  <c r="X122" i="1"/>
  <c r="Z122" i="1" s="1"/>
  <c r="V121" i="1"/>
  <c r="Y213" i="1"/>
  <c r="C213" i="1"/>
  <c r="P122" i="1"/>
  <c r="Q122" i="1" s="1"/>
  <c r="R122" i="1" s="1"/>
  <c r="U121" i="1"/>
  <c r="D212" i="1"/>
  <c r="E211" i="1"/>
  <c r="F211" i="1" s="1"/>
  <c r="S122" i="1" l="1"/>
  <c r="C214" i="1"/>
  <c r="T122" i="1"/>
  <c r="Y211" i="1"/>
  <c r="D213" i="1"/>
  <c r="E212" i="1"/>
  <c r="F212" i="1" l="1"/>
  <c r="Y212" i="1"/>
  <c r="X123" i="1"/>
  <c r="Z123" i="1" s="1"/>
  <c r="V122" i="1"/>
  <c r="Y215" i="1"/>
  <c r="C215" i="1"/>
  <c r="P123" i="1"/>
  <c r="T123" i="1" s="1"/>
  <c r="U122" i="1"/>
  <c r="D214" i="1"/>
  <c r="E213" i="1"/>
  <c r="F213" i="1" s="1"/>
  <c r="X124" i="1" l="1"/>
  <c r="Z124" i="1" s="1"/>
  <c r="V123" i="1"/>
  <c r="C216" i="1"/>
  <c r="Q123" i="1"/>
  <c r="U123" i="1"/>
  <c r="P124" i="1"/>
  <c r="T124" i="1" s="1"/>
  <c r="D215" i="1"/>
  <c r="E214" i="1"/>
  <c r="F214" i="1" s="1"/>
  <c r="R123" i="1" l="1"/>
  <c r="S123" i="1"/>
  <c r="X125" i="1"/>
  <c r="Z125" i="1" s="1"/>
  <c r="V124" i="1"/>
  <c r="C217" i="1"/>
  <c r="Q124" i="1"/>
  <c r="Y214" i="1"/>
  <c r="D216" i="1"/>
  <c r="E215" i="1"/>
  <c r="F215" i="1" s="1"/>
  <c r="R124" i="1" l="1"/>
  <c r="S124" i="1"/>
  <c r="C218" i="1"/>
  <c r="P125" i="1"/>
  <c r="T125" i="1" s="1"/>
  <c r="U124" i="1"/>
  <c r="D217" i="1"/>
  <c r="E216" i="1"/>
  <c r="F216" i="1" l="1"/>
  <c r="Y216" i="1"/>
  <c r="X126" i="1"/>
  <c r="Z126" i="1" s="1"/>
  <c r="V125" i="1"/>
  <c r="C219" i="1"/>
  <c r="Y219" i="1"/>
  <c r="Q125" i="1"/>
  <c r="D218" i="1"/>
  <c r="E217" i="1"/>
  <c r="F217" i="1" s="1"/>
  <c r="R125" i="1" l="1"/>
  <c r="S125" i="1"/>
  <c r="C220" i="1"/>
  <c r="U125" i="1"/>
  <c r="P126" i="1"/>
  <c r="T126" i="1" s="1"/>
  <c r="Y217" i="1"/>
  <c r="D219" i="1"/>
  <c r="E218" i="1"/>
  <c r="F218" i="1" l="1"/>
  <c r="Y218" i="1"/>
  <c r="X127" i="1"/>
  <c r="Z127" i="1" s="1"/>
  <c r="V126" i="1"/>
  <c r="Y221" i="1"/>
  <c r="C221" i="1"/>
  <c r="Q126" i="1"/>
  <c r="R126" i="1" s="1"/>
  <c r="D220" i="1"/>
  <c r="E219" i="1"/>
  <c r="F219" i="1" s="1"/>
  <c r="S126" i="1" l="1"/>
  <c r="C222" i="1"/>
  <c r="U126" i="1"/>
  <c r="P127" i="1"/>
  <c r="T127" i="1" s="1"/>
  <c r="D221" i="1"/>
  <c r="E220" i="1"/>
  <c r="F220" i="1" s="1"/>
  <c r="X128" i="1" l="1"/>
  <c r="Z128" i="1" s="1"/>
  <c r="V127" i="1"/>
  <c r="C223" i="1"/>
  <c r="Q127" i="1"/>
  <c r="R127" i="1" s="1"/>
  <c r="Y220" i="1"/>
  <c r="D222" i="1"/>
  <c r="E221" i="1"/>
  <c r="F221" i="1" s="1"/>
  <c r="S127" i="1" l="1"/>
  <c r="C224" i="1"/>
  <c r="U127" i="1"/>
  <c r="P128" i="1"/>
  <c r="T128" i="1" s="1"/>
  <c r="D223" i="1"/>
  <c r="E222" i="1"/>
  <c r="F222" i="1" l="1"/>
  <c r="Y222" i="1"/>
  <c r="X129" i="1"/>
  <c r="Z129" i="1" s="1"/>
  <c r="V128" i="1"/>
  <c r="Y225" i="1"/>
  <c r="C225" i="1"/>
  <c r="Q128" i="1"/>
  <c r="R128" i="1" s="1"/>
  <c r="D224" i="1"/>
  <c r="E223" i="1"/>
  <c r="F223" i="1" s="1"/>
  <c r="S128" i="1" l="1"/>
  <c r="C226" i="1"/>
  <c r="U128" i="1"/>
  <c r="P129" i="1"/>
  <c r="T129" i="1" s="1"/>
  <c r="Y223" i="1"/>
  <c r="D225" i="1"/>
  <c r="E224" i="1"/>
  <c r="F224" i="1" l="1"/>
  <c r="Y224" i="1"/>
  <c r="X130" i="1"/>
  <c r="Z130" i="1" s="1"/>
  <c r="V129" i="1"/>
  <c r="Y227" i="1"/>
  <c r="C227" i="1"/>
  <c r="Q129" i="1"/>
  <c r="R129" i="1" s="1"/>
  <c r="D226" i="1"/>
  <c r="E225" i="1"/>
  <c r="F225" i="1" s="1"/>
  <c r="S129" i="1" l="1"/>
  <c r="C228" i="1"/>
  <c r="P130" i="1"/>
  <c r="T130" i="1" s="1"/>
  <c r="U129" i="1"/>
  <c r="D227" i="1"/>
  <c r="E226" i="1"/>
  <c r="F226" i="1" s="1"/>
  <c r="X131" i="1" l="1"/>
  <c r="Z131" i="1" s="1"/>
  <c r="V130" i="1"/>
  <c r="C229" i="1"/>
  <c r="Q130" i="1"/>
  <c r="R130" i="1" s="1"/>
  <c r="Y226" i="1"/>
  <c r="D228" i="1"/>
  <c r="E227" i="1"/>
  <c r="F227" i="1" s="1"/>
  <c r="S130" i="1" l="1"/>
  <c r="C230" i="1"/>
  <c r="P131" i="1"/>
  <c r="T131" i="1" s="1"/>
  <c r="U130" i="1"/>
  <c r="D229" i="1"/>
  <c r="E228" i="1"/>
  <c r="F228" i="1" l="1"/>
  <c r="Y228" i="1"/>
  <c r="X132" i="1"/>
  <c r="Z132" i="1" s="1"/>
  <c r="V131" i="1"/>
  <c r="Y231" i="1"/>
  <c r="C231" i="1"/>
  <c r="Q131" i="1"/>
  <c r="R131" i="1" s="1"/>
  <c r="D230" i="1"/>
  <c r="E229" i="1"/>
  <c r="F229" i="1" s="1"/>
  <c r="S131" i="1" l="1"/>
  <c r="C232" i="1"/>
  <c r="P132" i="1"/>
  <c r="U131" i="1"/>
  <c r="Y229" i="1"/>
  <c r="D231" i="1"/>
  <c r="E230" i="1"/>
  <c r="F230" i="1" l="1"/>
  <c r="Y230" i="1"/>
  <c r="Y233" i="1"/>
  <c r="C233" i="1"/>
  <c r="Q132" i="1"/>
  <c r="R132" i="1" s="1"/>
  <c r="T132" i="1"/>
  <c r="V132" i="1" s="1"/>
  <c r="D232" i="1"/>
  <c r="E231" i="1"/>
  <c r="F231" i="1" s="1"/>
  <c r="S132" i="1" l="1"/>
  <c r="C234" i="1"/>
  <c r="P133" i="1"/>
  <c r="Q133" i="1" s="1"/>
  <c r="R133" i="1" s="1"/>
  <c r="X133" i="1"/>
  <c r="Z133" i="1" s="1"/>
  <c r="U132" i="1"/>
  <c r="D233" i="1"/>
  <c r="E232" i="1"/>
  <c r="F232" i="1" s="1"/>
  <c r="S133" i="1" l="1"/>
  <c r="C235" i="1"/>
  <c r="T133" i="1"/>
  <c r="V133" i="1" s="1"/>
  <c r="Y232" i="1"/>
  <c r="D234" i="1"/>
  <c r="E233" i="1"/>
  <c r="F233" i="1" s="1"/>
  <c r="C236" i="1" l="1"/>
  <c r="X134" i="1"/>
  <c r="Z134" i="1" s="1"/>
  <c r="P134" i="1"/>
  <c r="Q134" i="1" s="1"/>
  <c r="R134" i="1" s="1"/>
  <c r="U133" i="1"/>
  <c r="D235" i="1"/>
  <c r="E234" i="1"/>
  <c r="S134" i="1" l="1"/>
  <c r="F234" i="1"/>
  <c r="Y234" i="1"/>
  <c r="Y237" i="1"/>
  <c r="C237" i="1"/>
  <c r="T134" i="1"/>
  <c r="V134" i="1" s="1"/>
  <c r="D236" i="1"/>
  <c r="E235" i="1"/>
  <c r="F235" i="1" s="1"/>
  <c r="C238" i="1" l="1"/>
  <c r="X135" i="1"/>
  <c r="Z135" i="1" s="1"/>
  <c r="P135" i="1"/>
  <c r="U134" i="1"/>
  <c r="Y235" i="1"/>
  <c r="D237" i="1"/>
  <c r="E236" i="1"/>
  <c r="F236" i="1" l="1"/>
  <c r="Y236" i="1"/>
  <c r="Y239" i="1"/>
  <c r="C239" i="1"/>
  <c r="T135" i="1"/>
  <c r="V135" i="1" s="1"/>
  <c r="Q135" i="1"/>
  <c r="D238" i="1"/>
  <c r="E237" i="1"/>
  <c r="F237" i="1" s="1"/>
  <c r="R135" i="1" l="1"/>
  <c r="S135" i="1"/>
  <c r="C240" i="1"/>
  <c r="X136" i="1"/>
  <c r="Z136" i="1" s="1"/>
  <c r="U135" i="1"/>
  <c r="P136" i="1"/>
  <c r="D239" i="1"/>
  <c r="E238" i="1"/>
  <c r="F238" i="1" s="1"/>
  <c r="C241" i="1" l="1"/>
  <c r="Q136" i="1"/>
  <c r="R136" i="1" s="1"/>
  <c r="T136" i="1"/>
  <c r="V136" i="1" s="1"/>
  <c r="Y238" i="1"/>
  <c r="D240" i="1"/>
  <c r="E239" i="1"/>
  <c r="F239" i="1" s="1"/>
  <c r="S136" i="1" l="1"/>
  <c r="C242" i="1"/>
  <c r="X137" i="1"/>
  <c r="Z137" i="1" s="1"/>
  <c r="P137" i="1"/>
  <c r="U136" i="1"/>
  <c r="D241" i="1"/>
  <c r="E240" i="1"/>
  <c r="F240" i="1" l="1"/>
  <c r="Y240" i="1"/>
  <c r="C243" i="1"/>
  <c r="Y243" i="1"/>
  <c r="T137" i="1"/>
  <c r="V137" i="1" s="1"/>
  <c r="Q137" i="1"/>
  <c r="R137" i="1" s="1"/>
  <c r="D242" i="1"/>
  <c r="E241" i="1"/>
  <c r="F241" i="1" s="1"/>
  <c r="S137" i="1" l="1"/>
  <c r="C244" i="1"/>
  <c r="X138" i="1"/>
  <c r="Z138" i="1" s="1"/>
  <c r="P138" i="1"/>
  <c r="U137" i="1"/>
  <c r="Y241" i="1"/>
  <c r="D243" i="1"/>
  <c r="E242" i="1"/>
  <c r="F242" i="1" l="1"/>
  <c r="Y242" i="1"/>
  <c r="Y245" i="1"/>
  <c r="C245" i="1"/>
  <c r="T138" i="1"/>
  <c r="V138" i="1" s="1"/>
  <c r="Q138" i="1"/>
  <c r="R138" i="1" s="1"/>
  <c r="D244" i="1"/>
  <c r="E243" i="1"/>
  <c r="F243" i="1" s="1"/>
  <c r="S138" i="1" l="1"/>
  <c r="C246" i="1"/>
  <c r="X139" i="1"/>
  <c r="Z139" i="1" s="1"/>
  <c r="P139" i="1"/>
  <c r="Q139" i="1" s="1"/>
  <c r="R139" i="1" s="1"/>
  <c r="U138" i="1"/>
  <c r="D245" i="1"/>
  <c r="E244" i="1"/>
  <c r="F244" i="1" s="1"/>
  <c r="S139" i="1" l="1"/>
  <c r="C247" i="1"/>
  <c r="T139" i="1"/>
  <c r="Y244" i="1"/>
  <c r="D246" i="1"/>
  <c r="E245" i="1"/>
  <c r="F245" i="1" s="1"/>
  <c r="X140" i="1" l="1"/>
  <c r="Z140" i="1" s="1"/>
  <c r="V139" i="1"/>
  <c r="C248" i="1"/>
  <c r="U139" i="1"/>
  <c r="P140" i="1"/>
  <c r="T140" i="1" s="1"/>
  <c r="D247" i="1"/>
  <c r="E246" i="1"/>
  <c r="F246" i="1" l="1"/>
  <c r="Y246" i="1"/>
  <c r="X141" i="1"/>
  <c r="Z141" i="1" s="1"/>
  <c r="V140" i="1"/>
  <c r="Y249" i="1"/>
  <c r="C249" i="1"/>
  <c r="P141" i="1"/>
  <c r="T141" i="1" s="1"/>
  <c r="Q140" i="1"/>
  <c r="U140" i="1"/>
  <c r="D248" i="1"/>
  <c r="E247" i="1"/>
  <c r="F247" i="1" s="1"/>
  <c r="R140" i="1" l="1"/>
  <c r="S140" i="1"/>
  <c r="X142" i="1"/>
  <c r="Z142" i="1" s="1"/>
  <c r="V141" i="1"/>
  <c r="C250" i="1"/>
  <c r="Q141" i="1"/>
  <c r="Y247" i="1"/>
  <c r="D249" i="1"/>
  <c r="E248" i="1"/>
  <c r="P142" i="1"/>
  <c r="U141" i="1"/>
  <c r="R141" i="1" l="1"/>
  <c r="S141" i="1"/>
  <c r="F248" i="1"/>
  <c r="Y248" i="1"/>
  <c r="Y251" i="1"/>
  <c r="C251" i="1"/>
  <c r="T142" i="1"/>
  <c r="Q142" i="1"/>
  <c r="D250" i="1"/>
  <c r="E249" i="1"/>
  <c r="F249" i="1" s="1"/>
  <c r="R142" i="1" l="1"/>
  <c r="S142" i="1"/>
  <c r="X143" i="1"/>
  <c r="Z143" i="1" s="1"/>
  <c r="V142" i="1"/>
  <c r="C252" i="1"/>
  <c r="U142" i="1"/>
  <c r="P143" i="1"/>
  <c r="T143" i="1" s="1"/>
  <c r="D251" i="1"/>
  <c r="E250" i="1"/>
  <c r="F250" i="1" s="1"/>
  <c r="X144" i="1" l="1"/>
  <c r="Z144" i="1" s="1"/>
  <c r="V143" i="1"/>
  <c r="C253" i="1"/>
  <c r="Q143" i="1"/>
  <c r="R143" i="1" s="1"/>
  <c r="Y250" i="1"/>
  <c r="D252" i="1"/>
  <c r="E251" i="1"/>
  <c r="F251" i="1" s="1"/>
  <c r="S143" i="1" l="1"/>
  <c r="C254" i="1"/>
  <c r="U143" i="1"/>
  <c r="P144" i="1"/>
  <c r="D253" i="1"/>
  <c r="E252" i="1"/>
  <c r="F252" i="1" l="1"/>
  <c r="Y252" i="1"/>
  <c r="Y255" i="1"/>
  <c r="C255" i="1"/>
  <c r="Q144" i="1"/>
  <c r="R144" i="1" s="1"/>
  <c r="T144" i="1"/>
  <c r="D254" i="1"/>
  <c r="E253" i="1"/>
  <c r="F253" i="1" s="1"/>
  <c r="S144" i="1" l="1"/>
  <c r="X145" i="1"/>
  <c r="Z145" i="1" s="1"/>
  <c r="V144" i="1"/>
  <c r="C256" i="1"/>
  <c r="Y253" i="1"/>
  <c r="P145" i="1"/>
  <c r="U144" i="1"/>
  <c r="D255" i="1"/>
  <c r="E254" i="1"/>
  <c r="F254" i="1" l="1"/>
  <c r="Y254" i="1"/>
  <c r="Y257" i="1"/>
  <c r="C257" i="1"/>
  <c r="T145" i="1"/>
  <c r="Q145" i="1"/>
  <c r="R145" i="1" s="1"/>
  <c r="D256" i="1"/>
  <c r="E255" i="1"/>
  <c r="F255" i="1" s="1"/>
  <c r="S145" i="1" l="1"/>
  <c r="X146" i="1"/>
  <c r="Z146" i="1" s="1"/>
  <c r="V145" i="1"/>
  <c r="C258" i="1"/>
  <c r="P146" i="1"/>
  <c r="T146" i="1" s="1"/>
  <c r="U145" i="1"/>
  <c r="D257" i="1"/>
  <c r="E256" i="1"/>
  <c r="F256" i="1" s="1"/>
  <c r="X147" i="1" l="1"/>
  <c r="Z147" i="1" s="1"/>
  <c r="V146" i="1"/>
  <c r="C259" i="1"/>
  <c r="Y256" i="1"/>
  <c r="Q146" i="1"/>
  <c r="R146" i="1" s="1"/>
  <c r="D258" i="1"/>
  <c r="E257" i="1"/>
  <c r="F257" i="1" s="1"/>
  <c r="S146" i="1" l="1"/>
  <c r="C260" i="1"/>
  <c r="U146" i="1"/>
  <c r="P147" i="1"/>
  <c r="D259" i="1"/>
  <c r="E258" i="1"/>
  <c r="F258" i="1" l="1"/>
  <c r="Y258" i="1"/>
  <c r="Y261" i="1"/>
  <c r="C261" i="1"/>
  <c r="T147" i="1"/>
  <c r="Q147" i="1"/>
  <c r="R147" i="1" s="1"/>
  <c r="D260" i="1"/>
  <c r="E259" i="1"/>
  <c r="F259" i="1" s="1"/>
  <c r="S147" i="1" l="1"/>
  <c r="X148" i="1"/>
  <c r="Z148" i="1" s="1"/>
  <c r="V147" i="1"/>
  <c r="C262" i="1"/>
  <c r="Y259" i="1"/>
  <c r="U147" i="1"/>
  <c r="P148" i="1"/>
  <c r="D261" i="1"/>
  <c r="E260" i="1"/>
  <c r="F260" i="1" l="1"/>
  <c r="Y260" i="1"/>
  <c r="Y263" i="1"/>
  <c r="C263" i="1"/>
  <c r="T148" i="1"/>
  <c r="Q148" i="1"/>
  <c r="R148" i="1" s="1"/>
  <c r="D262" i="1"/>
  <c r="E261" i="1"/>
  <c r="F261" i="1" s="1"/>
  <c r="S148" i="1" l="1"/>
  <c r="X149" i="1"/>
  <c r="Z149" i="1" s="1"/>
  <c r="V148" i="1"/>
  <c r="C264" i="1"/>
  <c r="U148" i="1"/>
  <c r="P149" i="1"/>
  <c r="D263" i="1"/>
  <c r="E262" i="1"/>
  <c r="F262" i="1" s="1"/>
  <c r="C265" i="1" l="1"/>
  <c r="T149" i="1"/>
  <c r="Q149" i="1"/>
  <c r="R149" i="1" s="1"/>
  <c r="Y262" i="1"/>
  <c r="D264" i="1"/>
  <c r="E263" i="1"/>
  <c r="F263" i="1" s="1"/>
  <c r="S149" i="1" l="1"/>
  <c r="X150" i="1"/>
  <c r="Z150" i="1" s="1"/>
  <c r="V149" i="1"/>
  <c r="C266" i="1"/>
  <c r="P150" i="1"/>
  <c r="T150" i="1" s="1"/>
  <c r="U149" i="1"/>
  <c r="D265" i="1"/>
  <c r="E264" i="1"/>
  <c r="F264" i="1" l="1"/>
  <c r="Y264" i="1"/>
  <c r="X151" i="1"/>
  <c r="Z151" i="1" s="1"/>
  <c r="V150" i="1"/>
  <c r="C267" i="1"/>
  <c r="Y267" i="1"/>
  <c r="Q150" i="1"/>
  <c r="R150" i="1" s="1"/>
  <c r="D266" i="1"/>
  <c r="E265" i="1"/>
  <c r="F265" i="1" s="1"/>
  <c r="S150" i="1" l="1"/>
  <c r="C268" i="1"/>
  <c r="Y265" i="1"/>
  <c r="U150" i="1"/>
  <c r="P151" i="1"/>
  <c r="D267" i="1"/>
  <c r="E266" i="1"/>
  <c r="F266" i="1" l="1"/>
  <c r="Y266" i="1"/>
  <c r="Y269" i="1"/>
  <c r="C269" i="1"/>
  <c r="T151" i="1"/>
  <c r="Q151" i="1"/>
  <c r="R151" i="1" s="1"/>
  <c r="D268" i="1"/>
  <c r="E267" i="1"/>
  <c r="F267" i="1" s="1"/>
  <c r="S151" i="1" l="1"/>
  <c r="X152" i="1"/>
  <c r="Z152" i="1" s="1"/>
  <c r="V151" i="1"/>
  <c r="C270" i="1"/>
  <c r="U151" i="1"/>
  <c r="P152" i="1"/>
  <c r="T152" i="1" s="1"/>
  <c r="D269" i="1"/>
  <c r="E268" i="1"/>
  <c r="F268" i="1" s="1"/>
  <c r="X153" i="1" l="1"/>
  <c r="Z153" i="1" s="1"/>
  <c r="V152" i="1"/>
  <c r="C271" i="1"/>
  <c r="Q152" i="1"/>
  <c r="R152" i="1" s="1"/>
  <c r="Y268" i="1"/>
  <c r="D270" i="1"/>
  <c r="E269" i="1"/>
  <c r="F269" i="1" s="1"/>
  <c r="S152" i="1" l="1"/>
  <c r="C272" i="1"/>
  <c r="P153" i="1"/>
  <c r="U152" i="1"/>
  <c r="D271" i="1"/>
  <c r="E270" i="1"/>
  <c r="F270" i="1" l="1"/>
  <c r="Y270" i="1"/>
  <c r="Y273" i="1"/>
  <c r="C273" i="1"/>
  <c r="T153" i="1"/>
  <c r="Q153" i="1"/>
  <c r="R153" i="1" s="1"/>
  <c r="D272" i="1"/>
  <c r="E271" i="1"/>
  <c r="F271" i="1" s="1"/>
  <c r="S153" i="1" l="1"/>
  <c r="X154" i="1"/>
  <c r="Z154" i="1" s="1"/>
  <c r="V153" i="1"/>
  <c r="C274" i="1"/>
  <c r="Y271" i="1"/>
  <c r="P154" i="1"/>
  <c r="U153" i="1"/>
  <c r="D273" i="1"/>
  <c r="E272" i="1"/>
  <c r="F272" i="1" l="1"/>
  <c r="Y272" i="1"/>
  <c r="Y275" i="1"/>
  <c r="C275" i="1"/>
  <c r="T154" i="1"/>
  <c r="Q154" i="1"/>
  <c r="R154" i="1" s="1"/>
  <c r="D274" i="1"/>
  <c r="E273" i="1"/>
  <c r="F273" i="1" s="1"/>
  <c r="S154" i="1" l="1"/>
  <c r="X155" i="1"/>
  <c r="Z155" i="1" s="1"/>
  <c r="V154" i="1"/>
  <c r="C276" i="1"/>
  <c r="P155" i="1"/>
  <c r="U154" i="1"/>
  <c r="D275" i="1"/>
  <c r="E274" i="1"/>
  <c r="F274" i="1" s="1"/>
  <c r="C277" i="1" l="1"/>
  <c r="T155" i="1"/>
  <c r="Y274" i="1"/>
  <c r="Q155" i="1"/>
  <c r="R155" i="1" s="1"/>
  <c r="D276" i="1"/>
  <c r="E275" i="1"/>
  <c r="F275" i="1" s="1"/>
  <c r="S155" i="1" l="1"/>
  <c r="X156" i="1"/>
  <c r="Z156" i="1" s="1"/>
  <c r="V155" i="1"/>
  <c r="C278" i="1"/>
  <c r="P156" i="1"/>
  <c r="U155" i="1"/>
  <c r="D277" i="1"/>
  <c r="E276" i="1"/>
  <c r="F276" i="1" l="1"/>
  <c r="Y276" i="1"/>
  <c r="Y279" i="1"/>
  <c r="C279" i="1"/>
  <c r="T156" i="1"/>
  <c r="Q156" i="1"/>
  <c r="R156" i="1" s="1"/>
  <c r="D278" i="1"/>
  <c r="E277" i="1"/>
  <c r="F277" i="1" s="1"/>
  <c r="S156" i="1" l="1"/>
  <c r="X157" i="1"/>
  <c r="Z157" i="1" s="1"/>
  <c r="V156" i="1"/>
  <c r="C280" i="1"/>
  <c r="U156" i="1"/>
  <c r="Y277" i="1"/>
  <c r="P157" i="1"/>
  <c r="T157" i="1" s="1"/>
  <c r="D279" i="1"/>
  <c r="E278" i="1"/>
  <c r="F278" i="1" l="1"/>
  <c r="Y278" i="1"/>
  <c r="X158" i="1"/>
  <c r="Z158" i="1" s="1"/>
  <c r="V157" i="1"/>
  <c r="Y281" i="1"/>
  <c r="C281" i="1"/>
  <c r="Q157" i="1"/>
  <c r="R157" i="1" s="1"/>
  <c r="D280" i="1"/>
  <c r="E279" i="1"/>
  <c r="F279" i="1" s="1"/>
  <c r="S157" i="1" l="1"/>
  <c r="C282" i="1"/>
  <c r="P158" i="1"/>
  <c r="U157" i="1"/>
  <c r="D281" i="1"/>
  <c r="E280" i="1"/>
  <c r="F280" i="1" s="1"/>
  <c r="C283" i="1" l="1"/>
  <c r="Q158" i="1"/>
  <c r="R158" i="1" s="1"/>
  <c r="T158" i="1"/>
  <c r="Y280" i="1"/>
  <c r="D282" i="1"/>
  <c r="E281" i="1"/>
  <c r="F281" i="1" s="1"/>
  <c r="S158" i="1" l="1"/>
  <c r="X159" i="1"/>
  <c r="Z159" i="1" s="1"/>
  <c r="V158" i="1"/>
  <c r="C284" i="1"/>
  <c r="P159" i="1"/>
  <c r="Q159" i="1" s="1"/>
  <c r="R159" i="1" s="1"/>
  <c r="U158" i="1"/>
  <c r="D283" i="1"/>
  <c r="E282" i="1"/>
  <c r="S159" i="1" l="1"/>
  <c r="F282" i="1"/>
  <c r="Y282" i="1"/>
  <c r="Y285" i="1"/>
  <c r="C285" i="1"/>
  <c r="T159" i="1"/>
  <c r="D284" i="1"/>
  <c r="E283" i="1"/>
  <c r="F283" i="1" s="1"/>
  <c r="X160" i="1" l="1"/>
  <c r="Z160" i="1" s="1"/>
  <c r="V159" i="1"/>
  <c r="C286" i="1"/>
  <c r="P160" i="1"/>
  <c r="Q160" i="1" s="1"/>
  <c r="R160" i="1" s="1"/>
  <c r="U159" i="1"/>
  <c r="Y283" i="1"/>
  <c r="D285" i="1"/>
  <c r="E284" i="1"/>
  <c r="S160" i="1" l="1"/>
  <c r="F284" i="1"/>
  <c r="Y284" i="1"/>
  <c r="Y287" i="1"/>
  <c r="C287" i="1"/>
  <c r="T160" i="1"/>
  <c r="D286" i="1"/>
  <c r="E285" i="1"/>
  <c r="F285" i="1" s="1"/>
  <c r="X161" i="1" l="1"/>
  <c r="Z161" i="1" s="1"/>
  <c r="V160" i="1"/>
  <c r="C288" i="1"/>
  <c r="U160" i="1"/>
  <c r="P161" i="1"/>
  <c r="Q161" i="1" s="1"/>
  <c r="R161" i="1" s="1"/>
  <c r="D287" i="1"/>
  <c r="E286" i="1"/>
  <c r="F286" i="1" s="1"/>
  <c r="S161" i="1" l="1"/>
  <c r="C289" i="1"/>
  <c r="T161" i="1"/>
  <c r="V161" i="1" s="1"/>
  <c r="Y286" i="1"/>
  <c r="D288" i="1"/>
  <c r="E287" i="1"/>
  <c r="F287" i="1" s="1"/>
  <c r="C290" i="1" l="1"/>
  <c r="P162" i="1"/>
  <c r="Q162" i="1" s="1"/>
  <c r="R162" i="1" s="1"/>
  <c r="X162" i="1"/>
  <c r="Z162" i="1" s="1"/>
  <c r="U161" i="1"/>
  <c r="D289" i="1"/>
  <c r="E288" i="1"/>
  <c r="S162" i="1" l="1"/>
  <c r="F288" i="1"/>
  <c r="Y288" i="1"/>
  <c r="C291" i="1"/>
  <c r="Y291" i="1"/>
  <c r="T162" i="1"/>
  <c r="V162" i="1" s="1"/>
  <c r="D290" i="1"/>
  <c r="E289" i="1"/>
  <c r="F289" i="1" s="1"/>
  <c r="C292" i="1" l="1"/>
  <c r="X163" i="1"/>
  <c r="Z163" i="1" s="1"/>
  <c r="U162" i="1"/>
  <c r="P163" i="1"/>
  <c r="Q163" i="1" s="1"/>
  <c r="R163" i="1" s="1"/>
  <c r="Y289" i="1"/>
  <c r="D291" i="1"/>
  <c r="E290" i="1"/>
  <c r="S163" i="1" l="1"/>
  <c r="F290" i="1"/>
  <c r="Y290" i="1"/>
  <c r="Y293" i="1"/>
  <c r="C293" i="1"/>
  <c r="T163" i="1"/>
  <c r="V163" i="1" s="1"/>
  <c r="D292" i="1"/>
  <c r="E291" i="1"/>
  <c r="F291" i="1" s="1"/>
  <c r="C294" i="1" l="1"/>
  <c r="X164" i="1"/>
  <c r="Z164" i="1" s="1"/>
  <c r="U163" i="1"/>
  <c r="P164" i="1"/>
  <c r="Q164" i="1" s="1"/>
  <c r="R164" i="1" s="1"/>
  <c r="D293" i="1"/>
  <c r="E292" i="1"/>
  <c r="F292" i="1" s="1"/>
  <c r="S164" i="1" l="1"/>
  <c r="C295" i="1"/>
  <c r="T164" i="1"/>
  <c r="V164" i="1" s="1"/>
  <c r="Y292" i="1"/>
  <c r="D294" i="1"/>
  <c r="E293" i="1"/>
  <c r="F293" i="1" s="1"/>
  <c r="C296" i="1" l="1"/>
  <c r="X165" i="1"/>
  <c r="Z165" i="1" s="1"/>
  <c r="P165" i="1"/>
  <c r="U164" i="1"/>
  <c r="D295" i="1"/>
  <c r="E294" i="1"/>
  <c r="F294" i="1" l="1"/>
  <c r="Y294" i="1"/>
  <c r="Y297" i="1"/>
  <c r="C297" i="1"/>
  <c r="Q165" i="1"/>
  <c r="T165" i="1"/>
  <c r="V165" i="1" s="1"/>
  <c r="D296" i="1"/>
  <c r="E295" i="1"/>
  <c r="F295" i="1" s="1"/>
  <c r="R165" i="1" l="1"/>
  <c r="S165" i="1"/>
  <c r="C298" i="1"/>
  <c r="X166" i="1"/>
  <c r="Z166" i="1" s="1"/>
  <c r="P166" i="1"/>
  <c r="U165" i="1"/>
  <c r="Y295" i="1"/>
  <c r="D297" i="1"/>
  <c r="E296" i="1"/>
  <c r="F296" i="1" l="1"/>
  <c r="Y296" i="1"/>
  <c r="Y299" i="1"/>
  <c r="C299" i="1"/>
  <c r="T166" i="1"/>
  <c r="V166" i="1" s="1"/>
  <c r="Q166" i="1"/>
  <c r="R166" i="1" s="1"/>
  <c r="D298" i="1"/>
  <c r="E297" i="1"/>
  <c r="F297" i="1" s="1"/>
  <c r="S166" i="1" l="1"/>
  <c r="C300" i="1"/>
  <c r="X167" i="1"/>
  <c r="Z167" i="1" s="1"/>
  <c r="P167" i="1"/>
  <c r="U166" i="1"/>
  <c r="D299" i="1"/>
  <c r="E298" i="1"/>
  <c r="F298" i="1" s="1"/>
  <c r="C301" i="1" l="1"/>
  <c r="Q167" i="1"/>
  <c r="R167" i="1" s="1"/>
  <c r="T167" i="1"/>
  <c r="V167" i="1" s="1"/>
  <c r="Y298" i="1"/>
  <c r="D300" i="1"/>
  <c r="E299" i="1"/>
  <c r="F299" i="1" s="1"/>
  <c r="S167" i="1" l="1"/>
  <c r="C302" i="1"/>
  <c r="X168" i="1"/>
  <c r="Z168" i="1" s="1"/>
  <c r="P168" i="1"/>
  <c r="U167" i="1"/>
  <c r="D301" i="1"/>
  <c r="E300" i="1"/>
  <c r="F300" i="1" l="1"/>
  <c r="Y300" i="1"/>
  <c r="Y303" i="1"/>
  <c r="C303" i="1"/>
  <c r="Q168" i="1"/>
  <c r="R168" i="1" s="1"/>
  <c r="T168" i="1"/>
  <c r="V168" i="1" s="1"/>
  <c r="D302" i="1"/>
  <c r="E301" i="1"/>
  <c r="F301" i="1" s="1"/>
  <c r="S168" i="1" l="1"/>
  <c r="C304" i="1"/>
  <c r="X169" i="1"/>
  <c r="Z169" i="1" s="1"/>
  <c r="U168" i="1"/>
  <c r="P169" i="1"/>
  <c r="Y301" i="1"/>
  <c r="D303" i="1"/>
  <c r="E302" i="1"/>
  <c r="F302" i="1" l="1"/>
  <c r="Y302" i="1"/>
  <c r="Y305" i="1"/>
  <c r="C305" i="1"/>
  <c r="Q169" i="1"/>
  <c r="R169" i="1" s="1"/>
  <c r="T169" i="1"/>
  <c r="V169" i="1" s="1"/>
  <c r="D304" i="1"/>
  <c r="E303" i="1"/>
  <c r="F303" i="1" s="1"/>
  <c r="S169" i="1" l="1"/>
  <c r="C306" i="1"/>
  <c r="X170" i="1"/>
  <c r="Z170" i="1" s="1"/>
  <c r="P170" i="1"/>
  <c r="Q170" i="1" s="1"/>
  <c r="R170" i="1" s="1"/>
  <c r="U169" i="1"/>
  <c r="D305" i="1"/>
  <c r="E304" i="1"/>
  <c r="F304" i="1" s="1"/>
  <c r="S170" i="1" l="1"/>
  <c r="C307" i="1"/>
  <c r="T170" i="1"/>
  <c r="V170" i="1" s="1"/>
  <c r="Y304" i="1"/>
  <c r="D306" i="1"/>
  <c r="E305" i="1"/>
  <c r="F305" i="1" s="1"/>
  <c r="C308" i="1" l="1"/>
  <c r="X171" i="1"/>
  <c r="Z171" i="1" s="1"/>
  <c r="P171" i="1"/>
  <c r="Q171" i="1" s="1"/>
  <c r="R171" i="1" s="1"/>
  <c r="U170" i="1"/>
  <c r="D307" i="1"/>
  <c r="E306" i="1"/>
  <c r="S171" i="1" l="1"/>
  <c r="F306" i="1"/>
  <c r="Y306" i="1"/>
  <c r="Y309" i="1"/>
  <c r="C309" i="1"/>
  <c r="T171" i="1"/>
  <c r="V171" i="1" s="1"/>
  <c r="D308" i="1"/>
  <c r="E307" i="1"/>
  <c r="F307" i="1" s="1"/>
  <c r="C310" i="1" l="1"/>
  <c r="X172" i="1"/>
  <c r="Z172" i="1" s="1"/>
  <c r="P172" i="1"/>
  <c r="Q172" i="1" s="1"/>
  <c r="R172" i="1" s="1"/>
  <c r="U171" i="1"/>
  <c r="Y307" i="1"/>
  <c r="D309" i="1"/>
  <c r="E308" i="1"/>
  <c r="S172" i="1" l="1"/>
  <c r="F308" i="1"/>
  <c r="Y308" i="1"/>
  <c r="Y311" i="1"/>
  <c r="C311" i="1"/>
  <c r="T172" i="1"/>
  <c r="V172" i="1" s="1"/>
  <c r="D310" i="1"/>
  <c r="E309" i="1"/>
  <c r="F309" i="1" s="1"/>
  <c r="C312" i="1" l="1"/>
  <c r="X173" i="1"/>
  <c r="Z173" i="1" s="1"/>
  <c r="P173" i="1"/>
  <c r="Q173" i="1" s="1"/>
  <c r="R173" i="1" s="1"/>
  <c r="U172" i="1"/>
  <c r="D311" i="1"/>
  <c r="E310" i="1"/>
  <c r="F310" i="1" s="1"/>
  <c r="S173" i="1" l="1"/>
  <c r="C313" i="1"/>
  <c r="T173" i="1"/>
  <c r="Y310" i="1"/>
  <c r="D312" i="1"/>
  <c r="E311" i="1"/>
  <c r="F311" i="1" s="1"/>
  <c r="X174" i="1" l="1"/>
  <c r="Z174" i="1" s="1"/>
  <c r="V173" i="1"/>
  <c r="C314" i="1"/>
  <c r="U173" i="1"/>
  <c r="P174" i="1"/>
  <c r="Q174" i="1" s="1"/>
  <c r="D313" i="1"/>
  <c r="E312" i="1"/>
  <c r="R174" i="1" l="1"/>
  <c r="S174" i="1"/>
  <c r="F312" i="1"/>
  <c r="Y312" i="1"/>
  <c r="Y315" i="1"/>
  <c r="C315" i="1"/>
  <c r="T174" i="1"/>
  <c r="D314" i="1"/>
  <c r="E313" i="1"/>
  <c r="F313" i="1" s="1"/>
  <c r="U174" i="1" l="1"/>
  <c r="V174" i="1"/>
  <c r="C316" i="1"/>
  <c r="X175" i="1"/>
  <c r="Z175" i="1" s="1"/>
  <c r="P175" i="1"/>
  <c r="Q175" i="1" s="1"/>
  <c r="R175" i="1" s="1"/>
  <c r="Y313" i="1"/>
  <c r="D315" i="1"/>
  <c r="E314" i="1"/>
  <c r="S175" i="1" l="1"/>
  <c r="F314" i="1"/>
  <c r="Y314" i="1"/>
  <c r="Y317" i="1"/>
  <c r="C317" i="1"/>
  <c r="T175" i="1"/>
  <c r="D316" i="1"/>
  <c r="E315" i="1"/>
  <c r="F315" i="1" s="1"/>
  <c r="P176" i="1" l="1"/>
  <c r="Q176" i="1" s="1"/>
  <c r="R176" i="1" s="1"/>
  <c r="V175" i="1"/>
  <c r="C318" i="1"/>
  <c r="X176" i="1"/>
  <c r="Z176" i="1" s="1"/>
  <c r="U175" i="1"/>
  <c r="D317" i="1"/>
  <c r="E316" i="1"/>
  <c r="F316" i="1" s="1"/>
  <c r="S176" i="1" l="1"/>
  <c r="T176" i="1"/>
  <c r="V176" i="1" s="1"/>
  <c r="C319" i="1"/>
  <c r="Y316" i="1"/>
  <c r="D318" i="1"/>
  <c r="E317" i="1"/>
  <c r="F317" i="1" s="1"/>
  <c r="P177" i="1" l="1"/>
  <c r="Q177" i="1" s="1"/>
  <c r="R177" i="1" s="1"/>
  <c r="U176" i="1"/>
  <c r="X177" i="1"/>
  <c r="Z177" i="1" s="1"/>
  <c r="C320" i="1"/>
  <c r="D319" i="1"/>
  <c r="E318" i="1"/>
  <c r="S177" i="1" l="1"/>
  <c r="F318" i="1"/>
  <c r="Y318" i="1"/>
  <c r="T177" i="1"/>
  <c r="V177" i="1" s="1"/>
  <c r="Y321" i="1"/>
  <c r="C321" i="1"/>
  <c r="D320" i="1"/>
  <c r="E319" i="1"/>
  <c r="F319" i="1" s="1"/>
  <c r="U177" i="1" l="1"/>
  <c r="X178" i="1"/>
  <c r="Z178" i="1" s="1"/>
  <c r="P178" i="1"/>
  <c r="Q178" i="1" s="1"/>
  <c r="R178" i="1" s="1"/>
  <c r="C322" i="1"/>
  <c r="Y319" i="1"/>
  <c r="D321" i="1"/>
  <c r="E320" i="1"/>
  <c r="S178" i="1" l="1"/>
  <c r="F320" i="1"/>
  <c r="Y320" i="1"/>
  <c r="T178" i="1"/>
  <c r="V178" i="1" s="1"/>
  <c r="Y323" i="1"/>
  <c r="C323" i="1"/>
  <c r="D322" i="1"/>
  <c r="E321" i="1"/>
  <c r="F321" i="1" s="1"/>
  <c r="X179" i="1" l="1"/>
  <c r="Z179" i="1" s="1"/>
  <c r="U178" i="1"/>
  <c r="P179" i="1"/>
  <c r="Q179" i="1" s="1"/>
  <c r="R179" i="1" s="1"/>
  <c r="C324" i="1"/>
  <c r="D323" i="1"/>
  <c r="E322" i="1"/>
  <c r="F322" i="1" s="1"/>
  <c r="S179" i="1" l="1"/>
  <c r="T179" i="1"/>
  <c r="V179" i="1" s="1"/>
  <c r="C325" i="1"/>
  <c r="Y322" i="1"/>
  <c r="D324" i="1"/>
  <c r="E323" i="1"/>
  <c r="F323" i="1" s="1"/>
  <c r="U179" i="1" l="1"/>
  <c r="P180" i="1"/>
  <c r="Q180" i="1" s="1"/>
  <c r="R180" i="1" s="1"/>
  <c r="X180" i="1"/>
  <c r="Z180" i="1" s="1"/>
  <c r="C326" i="1"/>
  <c r="D325" i="1"/>
  <c r="E324" i="1"/>
  <c r="S180" i="1" l="1"/>
  <c r="F324" i="1"/>
  <c r="Y324" i="1"/>
  <c r="T180" i="1"/>
  <c r="V180" i="1" s="1"/>
  <c r="Y327" i="1"/>
  <c r="C327" i="1"/>
  <c r="D326" i="1"/>
  <c r="E325" i="1"/>
  <c r="F325" i="1" s="1"/>
  <c r="X181" i="1" l="1"/>
  <c r="Z181" i="1" s="1"/>
  <c r="U180" i="1"/>
  <c r="P181" i="1"/>
  <c r="T181" i="1" s="1"/>
  <c r="V181" i="1" s="1"/>
  <c r="C328" i="1"/>
  <c r="Y325" i="1"/>
  <c r="D327" i="1"/>
  <c r="E326" i="1"/>
  <c r="F326" i="1" l="1"/>
  <c r="Y326" i="1"/>
  <c r="Q181" i="1"/>
  <c r="Y329" i="1"/>
  <c r="C329" i="1"/>
  <c r="X182" i="1"/>
  <c r="Z182" i="1" s="1"/>
  <c r="P182" i="1"/>
  <c r="Q182" i="1" s="1"/>
  <c r="U181" i="1"/>
  <c r="D328" i="1"/>
  <c r="E327" i="1"/>
  <c r="F327" i="1" s="1"/>
  <c r="R181" i="1" l="1"/>
  <c r="R182" i="1" s="1"/>
  <c r="S181" i="1"/>
  <c r="S182" i="1" s="1"/>
  <c r="C330" i="1"/>
  <c r="T182" i="1"/>
  <c r="V182" i="1" s="1"/>
  <c r="D329" i="1"/>
  <c r="E328" i="1"/>
  <c r="F328" i="1" s="1"/>
  <c r="C331" i="1" l="1"/>
  <c r="X183" i="1"/>
  <c r="Z183" i="1" s="1"/>
  <c r="P183" i="1"/>
  <c r="Q183" i="1" s="1"/>
  <c r="R183" i="1" s="1"/>
  <c r="U182" i="1"/>
  <c r="Y328" i="1"/>
  <c r="D330" i="1"/>
  <c r="E329" i="1"/>
  <c r="F329" i="1" s="1"/>
  <c r="S183" i="1" l="1"/>
  <c r="C332" i="1"/>
  <c r="T183" i="1"/>
  <c r="V183" i="1" s="1"/>
  <c r="D331" i="1"/>
  <c r="E330" i="1"/>
  <c r="F330" i="1" l="1"/>
  <c r="Y330" i="1"/>
  <c r="Y333" i="1"/>
  <c r="C333" i="1"/>
  <c r="X184" i="1"/>
  <c r="Z184" i="1" s="1"/>
  <c r="U183" i="1"/>
  <c r="P184" i="1"/>
  <c r="Q184" i="1" s="1"/>
  <c r="D332" i="1"/>
  <c r="E331" i="1"/>
  <c r="F331" i="1" s="1"/>
  <c r="R184" i="1" l="1"/>
  <c r="S184" i="1"/>
  <c r="C334" i="1"/>
  <c r="T184" i="1"/>
  <c r="V184" i="1" s="1"/>
  <c r="Y331" i="1"/>
  <c r="D333" i="1"/>
  <c r="E332" i="1"/>
  <c r="F332" i="1" l="1"/>
  <c r="Y332" i="1"/>
  <c r="Y335" i="1"/>
  <c r="C335" i="1"/>
  <c r="X185" i="1"/>
  <c r="Z185" i="1" s="1"/>
  <c r="P185" i="1"/>
  <c r="U184" i="1"/>
  <c r="D334" i="1"/>
  <c r="E333" i="1"/>
  <c r="F333" i="1" s="1"/>
  <c r="C336" i="1" l="1"/>
  <c r="Q185" i="1"/>
  <c r="T185" i="1"/>
  <c r="V185" i="1" s="1"/>
  <c r="D335" i="1"/>
  <c r="E334" i="1"/>
  <c r="F334" i="1" s="1"/>
  <c r="R185" i="1" l="1"/>
  <c r="S185" i="1"/>
  <c r="C337" i="1"/>
  <c r="X186" i="1"/>
  <c r="Z186" i="1" s="1"/>
  <c r="U185" i="1"/>
  <c r="P186" i="1"/>
  <c r="Q186" i="1" s="1"/>
  <c r="Y334" i="1"/>
  <c r="D336" i="1"/>
  <c r="E335" i="1"/>
  <c r="F335" i="1" s="1"/>
  <c r="R186" i="1" l="1"/>
  <c r="S186" i="1"/>
  <c r="C338" i="1"/>
  <c r="T186" i="1"/>
  <c r="V186" i="1" s="1"/>
  <c r="D337" i="1"/>
  <c r="E336" i="1"/>
  <c r="F336" i="1" l="1"/>
  <c r="Y336" i="1"/>
  <c r="Y339" i="1"/>
  <c r="C339" i="1"/>
  <c r="X187" i="1"/>
  <c r="Z187" i="1" s="1"/>
  <c r="P187" i="1"/>
  <c r="Q187" i="1" s="1"/>
  <c r="R187" i="1" s="1"/>
  <c r="U186" i="1"/>
  <c r="D338" i="1"/>
  <c r="E337" i="1"/>
  <c r="F337" i="1" s="1"/>
  <c r="S187" i="1" l="1"/>
  <c r="C340" i="1"/>
  <c r="T187" i="1"/>
  <c r="Y337" i="1"/>
  <c r="D339" i="1"/>
  <c r="E338" i="1"/>
  <c r="F338" i="1" l="1"/>
  <c r="Y338" i="1"/>
  <c r="X188" i="1"/>
  <c r="Z188" i="1" s="1"/>
  <c r="V187" i="1"/>
  <c r="Y341" i="1"/>
  <c r="C341" i="1"/>
  <c r="P188" i="1"/>
  <c r="T188" i="1" s="1"/>
  <c r="U187" i="1"/>
  <c r="D340" i="1"/>
  <c r="E339" i="1"/>
  <c r="F339" i="1" s="1"/>
  <c r="X189" i="1" l="1"/>
  <c r="Z189" i="1" s="1"/>
  <c r="V188" i="1"/>
  <c r="C342" i="1"/>
  <c r="U188" i="1"/>
  <c r="Q188" i="1"/>
  <c r="P189" i="1"/>
  <c r="Q189" i="1" s="1"/>
  <c r="D341" i="1"/>
  <c r="E340" i="1"/>
  <c r="F340" i="1" s="1"/>
  <c r="R188" i="1" l="1"/>
  <c r="R189" i="1" s="1"/>
  <c r="S188" i="1"/>
  <c r="S189" i="1" s="1"/>
  <c r="C343" i="1"/>
  <c r="T189" i="1"/>
  <c r="Y340" i="1"/>
  <c r="D342" i="1"/>
  <c r="E341" i="1"/>
  <c r="F341" i="1" s="1"/>
  <c r="X190" i="1" l="1"/>
  <c r="Z190" i="1" s="1"/>
  <c r="V189" i="1"/>
  <c r="C344" i="1"/>
  <c r="U189" i="1"/>
  <c r="P190" i="1"/>
  <c r="Q190" i="1" s="1"/>
  <c r="R190" i="1" s="1"/>
  <c r="D343" i="1"/>
  <c r="E342" i="1"/>
  <c r="S190" i="1" l="1"/>
  <c r="F342" i="1"/>
  <c r="Y342" i="1"/>
  <c r="Y345" i="1"/>
  <c r="C345" i="1"/>
  <c r="T190" i="1"/>
  <c r="D344" i="1"/>
  <c r="E343" i="1"/>
  <c r="F343" i="1" s="1"/>
  <c r="X191" i="1" l="1"/>
  <c r="Z191" i="1" s="1"/>
  <c r="V190" i="1"/>
  <c r="C346" i="1"/>
  <c r="U190" i="1"/>
  <c r="P191" i="1"/>
  <c r="T191" i="1" s="1"/>
  <c r="Y343" i="1"/>
  <c r="D345" i="1"/>
  <c r="E344" i="1"/>
  <c r="F344" i="1" l="1"/>
  <c r="Y344" i="1"/>
  <c r="X192" i="1"/>
  <c r="Z192" i="1" s="1"/>
  <c r="V191" i="1"/>
  <c r="Y347" i="1"/>
  <c r="C347" i="1"/>
  <c r="Q191" i="1"/>
  <c r="D346" i="1"/>
  <c r="E345" i="1"/>
  <c r="F345" i="1" s="1"/>
  <c r="U191" i="1"/>
  <c r="P192" i="1"/>
  <c r="R191" i="1" l="1"/>
  <c r="S191" i="1"/>
  <c r="C348" i="1"/>
  <c r="Q192" i="1"/>
  <c r="T192" i="1"/>
  <c r="D347" i="1"/>
  <c r="E346" i="1"/>
  <c r="F346" i="1" s="1"/>
  <c r="R192" i="1" l="1"/>
  <c r="S192" i="1"/>
  <c r="X193" i="1"/>
  <c r="Z193" i="1" s="1"/>
  <c r="V192" i="1"/>
  <c r="C349" i="1"/>
  <c r="Y346" i="1"/>
  <c r="D348" i="1"/>
  <c r="E347" i="1"/>
  <c r="F347" i="1" s="1"/>
  <c r="U192" i="1"/>
  <c r="P193" i="1"/>
  <c r="Q193" i="1" s="1"/>
  <c r="R193" i="1" l="1"/>
  <c r="S193" i="1"/>
  <c r="C350" i="1"/>
  <c r="T193" i="1"/>
  <c r="D349" i="1"/>
  <c r="E348" i="1"/>
  <c r="F348" i="1" l="1"/>
  <c r="Y348" i="1"/>
  <c r="X194" i="1"/>
  <c r="Z194" i="1" s="1"/>
  <c r="V193" i="1"/>
  <c r="Y351" i="1"/>
  <c r="C351" i="1"/>
  <c r="D350" i="1"/>
  <c r="E349" i="1"/>
  <c r="F349" i="1" s="1"/>
  <c r="P194" i="1"/>
  <c r="Q194" i="1" s="1"/>
  <c r="R194" i="1" s="1"/>
  <c r="U193" i="1"/>
  <c r="S194" i="1" l="1"/>
  <c r="C352" i="1"/>
  <c r="T194" i="1"/>
  <c r="Y349" i="1"/>
  <c r="D351" i="1"/>
  <c r="E350" i="1"/>
  <c r="F350" i="1" l="1"/>
  <c r="Y350" i="1"/>
  <c r="X195" i="1"/>
  <c r="Z195" i="1" s="1"/>
  <c r="V194" i="1"/>
  <c r="Y353" i="1"/>
  <c r="C353" i="1"/>
  <c r="D352" i="1"/>
  <c r="E351" i="1"/>
  <c r="F351" i="1" s="1"/>
  <c r="U194" i="1"/>
  <c r="P195" i="1"/>
  <c r="Q195" i="1" s="1"/>
  <c r="R195" i="1" l="1"/>
  <c r="S195" i="1"/>
  <c r="C354" i="1"/>
  <c r="T195" i="1"/>
  <c r="D353" i="1"/>
  <c r="E352" i="1"/>
  <c r="F352" i="1" s="1"/>
  <c r="X196" i="1" l="1"/>
  <c r="Z196" i="1" s="1"/>
  <c r="V195" i="1"/>
  <c r="C355" i="1"/>
  <c r="Y352" i="1"/>
  <c r="D354" i="1"/>
  <c r="E353" i="1"/>
  <c r="F353" i="1" s="1"/>
  <c r="U195" i="1"/>
  <c r="P196" i="1"/>
  <c r="Q196" i="1" s="1"/>
  <c r="R196" i="1" s="1"/>
  <c r="S196" i="1" l="1"/>
  <c r="C356" i="1"/>
  <c r="T196" i="1"/>
  <c r="D355" i="1"/>
  <c r="E354" i="1"/>
  <c r="F354" i="1" l="1"/>
  <c r="Y354" i="1"/>
  <c r="X197" i="1"/>
  <c r="Z197" i="1" s="1"/>
  <c r="V196" i="1"/>
  <c r="Y357" i="1"/>
  <c r="C357" i="1"/>
  <c r="D356" i="1"/>
  <c r="E355" i="1"/>
  <c r="F355" i="1" s="1"/>
  <c r="P197" i="1"/>
  <c r="Q197" i="1" s="1"/>
  <c r="R197" i="1" s="1"/>
  <c r="U196" i="1"/>
  <c r="S197" i="1" l="1"/>
  <c r="C358" i="1"/>
  <c r="T197" i="1"/>
  <c r="Y355" i="1"/>
  <c r="D357" i="1"/>
  <c r="E356" i="1"/>
  <c r="F356" i="1" l="1"/>
  <c r="Y356" i="1"/>
  <c r="X198" i="1"/>
  <c r="Z198" i="1" s="1"/>
  <c r="V197" i="1"/>
  <c r="Y359" i="1"/>
  <c r="C359" i="1"/>
  <c r="D358" i="1"/>
  <c r="E357" i="1"/>
  <c r="F357" i="1" s="1"/>
  <c r="U197" i="1"/>
  <c r="P198" i="1"/>
  <c r="T198" i="1" s="1"/>
  <c r="X199" i="1" l="1"/>
  <c r="Z199" i="1" s="1"/>
  <c r="V198" i="1"/>
  <c r="C360" i="1"/>
  <c r="Q198" i="1"/>
  <c r="D359" i="1"/>
  <c r="E358" i="1"/>
  <c r="F358" i="1" s="1"/>
  <c r="R198" i="1" l="1"/>
  <c r="S198" i="1"/>
  <c r="C361" i="1"/>
  <c r="Y358" i="1"/>
  <c r="D360" i="1"/>
  <c r="E359" i="1"/>
  <c r="F359" i="1" s="1"/>
  <c r="U198" i="1"/>
  <c r="P199" i="1"/>
  <c r="C362" i="1" l="1"/>
  <c r="Q199" i="1"/>
  <c r="R199" i="1" s="1"/>
  <c r="T199" i="1"/>
  <c r="D361" i="1"/>
  <c r="E360" i="1"/>
  <c r="S199" i="1" l="1"/>
  <c r="F360" i="1"/>
  <c r="Y360" i="1"/>
  <c r="X200" i="1"/>
  <c r="Z200" i="1" s="1"/>
  <c r="V199" i="1"/>
  <c r="Y363" i="1"/>
  <c r="C363" i="1"/>
  <c r="D362" i="1"/>
  <c r="E361" i="1"/>
  <c r="F361" i="1" s="1"/>
  <c r="U199" i="1"/>
  <c r="P200" i="1"/>
  <c r="Q200" i="1" s="1"/>
  <c r="R200" i="1" s="1"/>
  <c r="S200" i="1" l="1"/>
  <c r="C364" i="1"/>
  <c r="T200" i="1"/>
  <c r="Y361" i="1"/>
  <c r="D363" i="1"/>
  <c r="E362" i="1"/>
  <c r="F362" i="1" l="1"/>
  <c r="Y362" i="1"/>
  <c r="X201" i="1"/>
  <c r="Z201" i="1" s="1"/>
  <c r="V200" i="1"/>
  <c r="Y365" i="1"/>
  <c r="C365" i="1"/>
  <c r="D364" i="1"/>
  <c r="E363" i="1"/>
  <c r="F363" i="1" s="1"/>
  <c r="P201" i="1"/>
  <c r="U200" i="1"/>
  <c r="C366" i="1" l="1"/>
  <c r="Q201" i="1"/>
  <c r="T201" i="1"/>
  <c r="D365" i="1"/>
  <c r="E364" i="1"/>
  <c r="F364" i="1" s="1"/>
  <c r="R201" i="1" l="1"/>
  <c r="S201" i="1"/>
  <c r="X202" i="1"/>
  <c r="Z202" i="1" s="1"/>
  <c r="V201" i="1"/>
  <c r="C367" i="1"/>
  <c r="Y364" i="1"/>
  <c r="D366" i="1"/>
  <c r="E365" i="1"/>
  <c r="F365" i="1" s="1"/>
  <c r="U201" i="1"/>
  <c r="P202" i="1"/>
  <c r="Q202" i="1" s="1"/>
  <c r="R202" i="1" l="1"/>
  <c r="S202" i="1"/>
  <c r="C368" i="1"/>
  <c r="T202" i="1"/>
  <c r="D367" i="1"/>
  <c r="E366" i="1"/>
  <c r="F366" i="1" l="1"/>
  <c r="Y366" i="1"/>
  <c r="X203" i="1"/>
  <c r="Z203" i="1" s="1"/>
  <c r="V202" i="1"/>
  <c r="Y369" i="1"/>
  <c r="C369" i="1"/>
  <c r="D368" i="1"/>
  <c r="E367" i="1"/>
  <c r="F367" i="1" s="1"/>
  <c r="P203" i="1"/>
  <c r="T203" i="1" s="1"/>
  <c r="U202" i="1"/>
  <c r="X204" i="1" l="1"/>
  <c r="Z204" i="1" s="1"/>
  <c r="V203" i="1"/>
  <c r="C370" i="1"/>
  <c r="Q203" i="1"/>
  <c r="Y367" i="1"/>
  <c r="D369" i="1"/>
  <c r="E368" i="1"/>
  <c r="R203" i="1" l="1"/>
  <c r="S203" i="1"/>
  <c r="F368" i="1"/>
  <c r="Y368" i="1"/>
  <c r="Y371" i="1"/>
  <c r="C371" i="1"/>
  <c r="D370" i="1"/>
  <c r="E369" i="1"/>
  <c r="F369" i="1" s="1"/>
  <c r="U203" i="1"/>
  <c r="P204" i="1"/>
  <c r="C372" i="1" l="1"/>
  <c r="Q204" i="1"/>
  <c r="R204" i="1" s="1"/>
  <c r="T204" i="1"/>
  <c r="D371" i="1"/>
  <c r="E370" i="1"/>
  <c r="F370" i="1" s="1"/>
  <c r="S204" i="1" l="1"/>
  <c r="X205" i="1"/>
  <c r="Z205" i="1" s="1"/>
  <c r="V204" i="1"/>
  <c r="C373" i="1"/>
  <c r="Y370" i="1"/>
  <c r="D372" i="1"/>
  <c r="E371" i="1"/>
  <c r="F371" i="1" s="1"/>
  <c r="P205" i="1"/>
  <c r="Q205" i="1" s="1"/>
  <c r="R205" i="1" s="1"/>
  <c r="U204" i="1"/>
  <c r="S205" i="1" l="1"/>
  <c r="C374" i="1"/>
  <c r="T205" i="1"/>
  <c r="D373" i="1"/>
  <c r="E372" i="1"/>
  <c r="F372" i="1" l="1"/>
  <c r="Y372" i="1"/>
  <c r="X206" i="1"/>
  <c r="Z206" i="1" s="1"/>
  <c r="V205" i="1"/>
  <c r="Y375" i="1"/>
  <c r="C375" i="1"/>
  <c r="D374" i="1"/>
  <c r="E373" i="1"/>
  <c r="F373" i="1" s="1"/>
  <c r="U205" i="1"/>
  <c r="P206" i="1"/>
  <c r="Q206" i="1" s="1"/>
  <c r="R206" i="1" s="1"/>
  <c r="S206" i="1" l="1"/>
  <c r="C376" i="1"/>
  <c r="T206" i="1"/>
  <c r="Y373" i="1"/>
  <c r="D375" i="1"/>
  <c r="E374" i="1"/>
  <c r="F374" i="1" l="1"/>
  <c r="Y374" i="1"/>
  <c r="X207" i="1"/>
  <c r="Z207" i="1" s="1"/>
  <c r="V206" i="1"/>
  <c r="Y377" i="1"/>
  <c r="C377" i="1"/>
  <c r="D376" i="1"/>
  <c r="E375" i="1"/>
  <c r="F375" i="1" s="1"/>
  <c r="P207" i="1"/>
  <c r="Q207" i="1" s="1"/>
  <c r="R207" i="1" s="1"/>
  <c r="U206" i="1"/>
  <c r="S207" i="1" l="1"/>
  <c r="C378" i="1"/>
  <c r="T207" i="1"/>
  <c r="D377" i="1"/>
  <c r="E376" i="1"/>
  <c r="F376" i="1" s="1"/>
  <c r="X208" i="1" l="1"/>
  <c r="Z208" i="1" s="1"/>
  <c r="V207" i="1"/>
  <c r="C379" i="1"/>
  <c r="Y376" i="1"/>
  <c r="D378" i="1"/>
  <c r="E377" i="1"/>
  <c r="F377" i="1" s="1"/>
  <c r="P208" i="1"/>
  <c r="Q208" i="1" s="1"/>
  <c r="R208" i="1" s="1"/>
  <c r="U207" i="1"/>
  <c r="S208" i="1" l="1"/>
  <c r="C380" i="1"/>
  <c r="T208" i="1"/>
  <c r="D379" i="1"/>
  <c r="E378" i="1"/>
  <c r="F378" i="1" l="1"/>
  <c r="Y378" i="1"/>
  <c r="X209" i="1"/>
  <c r="Z209" i="1" s="1"/>
  <c r="V208" i="1"/>
  <c r="Y381" i="1"/>
  <c r="C381" i="1"/>
  <c r="D380" i="1"/>
  <c r="E379" i="1"/>
  <c r="F379" i="1" s="1"/>
  <c r="U208" i="1"/>
  <c r="P209" i="1"/>
  <c r="Q209" i="1" s="1"/>
  <c r="R209" i="1" s="1"/>
  <c r="S209" i="1" l="1"/>
  <c r="C382" i="1"/>
  <c r="T209" i="1"/>
  <c r="Y379" i="1"/>
  <c r="D381" i="1"/>
  <c r="E380" i="1"/>
  <c r="F380" i="1" l="1"/>
  <c r="Y380" i="1"/>
  <c r="X210" i="1"/>
  <c r="Z210" i="1" s="1"/>
  <c r="V209" i="1"/>
  <c r="Y383" i="1"/>
  <c r="C383" i="1"/>
  <c r="D382" i="1"/>
  <c r="E381" i="1"/>
  <c r="F381" i="1" s="1"/>
  <c r="U209" i="1"/>
  <c r="P210" i="1"/>
  <c r="Q210" i="1" s="1"/>
  <c r="R210" i="1" s="1"/>
  <c r="S210" i="1" l="1"/>
  <c r="C384" i="1"/>
  <c r="T210" i="1"/>
  <c r="D383" i="1"/>
  <c r="E382" i="1"/>
  <c r="F382" i="1" s="1"/>
  <c r="X211" i="1" l="1"/>
  <c r="Z211" i="1" s="1"/>
  <c r="V210" i="1"/>
  <c r="C385" i="1"/>
  <c r="Y382" i="1"/>
  <c r="D384" i="1"/>
  <c r="E383" i="1"/>
  <c r="F383" i="1" s="1"/>
  <c r="U210" i="1"/>
  <c r="P211" i="1"/>
  <c r="Q211" i="1" s="1"/>
  <c r="R211" i="1" s="1"/>
  <c r="S211" i="1" l="1"/>
  <c r="C386" i="1"/>
  <c r="T211" i="1"/>
  <c r="D385" i="1"/>
  <c r="E384" i="1"/>
  <c r="F384" i="1" l="1"/>
  <c r="Y384" i="1"/>
  <c r="X212" i="1"/>
  <c r="Z212" i="1" s="1"/>
  <c r="V211" i="1"/>
  <c r="Y387" i="1"/>
  <c r="C387" i="1"/>
  <c r="D386" i="1"/>
  <c r="E385" i="1"/>
  <c r="F385" i="1" s="1"/>
  <c r="U211" i="1"/>
  <c r="P212" i="1"/>
  <c r="T212" i="1" s="1"/>
  <c r="X213" i="1" l="1"/>
  <c r="Z213" i="1" s="1"/>
  <c r="V212" i="1"/>
  <c r="C388" i="1"/>
  <c r="Q212" i="1"/>
  <c r="Y385" i="1"/>
  <c r="D387" i="1"/>
  <c r="E386" i="1"/>
  <c r="R212" i="1" l="1"/>
  <c r="S212" i="1"/>
  <c r="F386" i="1"/>
  <c r="Y386" i="1"/>
  <c r="Y389" i="1"/>
  <c r="C389" i="1"/>
  <c r="D388" i="1"/>
  <c r="E387" i="1"/>
  <c r="F387" i="1" s="1"/>
  <c r="P213" i="1"/>
  <c r="U212" i="1"/>
  <c r="C390" i="1" l="1"/>
  <c r="Q213" i="1"/>
  <c r="R213" i="1" s="1"/>
  <c r="T213" i="1"/>
  <c r="D389" i="1"/>
  <c r="E388" i="1"/>
  <c r="F388" i="1" s="1"/>
  <c r="S213" i="1" l="1"/>
  <c r="X214" i="1"/>
  <c r="Z214" i="1" s="1"/>
  <c r="V213" i="1"/>
  <c r="C391" i="1"/>
  <c r="Y388" i="1"/>
  <c r="D390" i="1"/>
  <c r="E389" i="1"/>
  <c r="F389" i="1" s="1"/>
  <c r="P214" i="1"/>
  <c r="Q214" i="1" s="1"/>
  <c r="R214" i="1" s="1"/>
  <c r="U213" i="1"/>
  <c r="S214" i="1" l="1"/>
  <c r="C392" i="1"/>
  <c r="T214" i="1"/>
  <c r="D391" i="1"/>
  <c r="E390" i="1"/>
  <c r="F390" i="1" l="1"/>
  <c r="Y390" i="1"/>
  <c r="X215" i="1"/>
  <c r="Z215" i="1" s="1"/>
  <c r="V214" i="1"/>
  <c r="Y393" i="1"/>
  <c r="C393" i="1"/>
  <c r="D392" i="1"/>
  <c r="E391" i="1"/>
  <c r="F391" i="1" s="1"/>
  <c r="P215" i="1"/>
  <c r="Q215" i="1" s="1"/>
  <c r="R215" i="1" s="1"/>
  <c r="U214" i="1"/>
  <c r="S215" i="1" l="1"/>
  <c r="C394" i="1"/>
  <c r="T215" i="1"/>
  <c r="Y391" i="1"/>
  <c r="D393" i="1"/>
  <c r="E392" i="1"/>
  <c r="F392" i="1" l="1"/>
  <c r="Y392" i="1"/>
  <c r="X216" i="1"/>
  <c r="Z216" i="1" s="1"/>
  <c r="V215" i="1"/>
  <c r="Y395" i="1"/>
  <c r="C395" i="1"/>
  <c r="D394" i="1"/>
  <c r="E393" i="1"/>
  <c r="F393" i="1" s="1"/>
  <c r="P216" i="1"/>
  <c r="Q216" i="1" s="1"/>
  <c r="R216" i="1" s="1"/>
  <c r="U215" i="1"/>
  <c r="S216" i="1" l="1"/>
  <c r="C396" i="1"/>
  <c r="T216" i="1"/>
  <c r="D395" i="1"/>
  <c r="E394" i="1"/>
  <c r="F394" i="1" s="1"/>
  <c r="X217" i="1" l="1"/>
  <c r="Z217" i="1" s="1"/>
  <c r="V216" i="1"/>
  <c r="C397" i="1"/>
  <c r="Y394" i="1"/>
  <c r="D396" i="1"/>
  <c r="E395" i="1"/>
  <c r="F395" i="1" s="1"/>
  <c r="P217" i="1"/>
  <c r="Q217" i="1" s="1"/>
  <c r="R217" i="1" s="1"/>
  <c r="U216" i="1"/>
  <c r="S217" i="1" l="1"/>
  <c r="C398" i="1"/>
  <c r="T217" i="1"/>
  <c r="D397" i="1"/>
  <c r="E396" i="1"/>
  <c r="F396" i="1" l="1"/>
  <c r="Y396" i="1"/>
  <c r="X218" i="1"/>
  <c r="Z218" i="1" s="1"/>
  <c r="V217" i="1"/>
  <c r="Y399" i="1"/>
  <c r="C399" i="1"/>
  <c r="D398" i="1"/>
  <c r="E397" i="1"/>
  <c r="F397" i="1" s="1"/>
  <c r="P218" i="1"/>
  <c r="U217" i="1"/>
  <c r="C400" i="1" l="1"/>
  <c r="Q218" i="1"/>
  <c r="T218" i="1"/>
  <c r="Y397" i="1"/>
  <c r="D399" i="1"/>
  <c r="E398" i="1"/>
  <c r="R218" i="1" l="1"/>
  <c r="S218" i="1"/>
  <c r="F398" i="1"/>
  <c r="Y398" i="1"/>
  <c r="X219" i="1"/>
  <c r="Z219" i="1" s="1"/>
  <c r="V218" i="1"/>
  <c r="Y401" i="1"/>
  <c r="C401" i="1"/>
  <c r="D400" i="1"/>
  <c r="E399" i="1"/>
  <c r="F399" i="1" s="1"/>
  <c r="U218" i="1"/>
  <c r="P219" i="1"/>
  <c r="Q219" i="1" s="1"/>
  <c r="R219" i="1" s="1"/>
  <c r="S219" i="1" l="1"/>
  <c r="C402" i="1"/>
  <c r="T219" i="1"/>
  <c r="D401" i="1"/>
  <c r="E400" i="1"/>
  <c r="F400" i="1" s="1"/>
  <c r="X220" i="1" l="1"/>
  <c r="Z220" i="1" s="1"/>
  <c r="V219" i="1"/>
  <c r="C403" i="1"/>
  <c r="Y400" i="1"/>
  <c r="D402" i="1"/>
  <c r="E401" i="1"/>
  <c r="F401" i="1" s="1"/>
  <c r="P220" i="1"/>
  <c r="Q220" i="1" s="1"/>
  <c r="R220" i="1" s="1"/>
  <c r="U219" i="1"/>
  <c r="S220" i="1" l="1"/>
  <c r="C404" i="1"/>
  <c r="T220" i="1"/>
  <c r="D403" i="1"/>
  <c r="E402" i="1"/>
  <c r="F402" i="1" l="1"/>
  <c r="Y402" i="1"/>
  <c r="X221" i="1"/>
  <c r="Z221" i="1" s="1"/>
  <c r="V220" i="1"/>
  <c r="Y405" i="1"/>
  <c r="C405" i="1"/>
  <c r="D404" i="1"/>
  <c r="E403" i="1"/>
  <c r="F403" i="1" s="1"/>
  <c r="U220" i="1"/>
  <c r="P221" i="1"/>
  <c r="T221" i="1" s="1"/>
  <c r="X222" i="1" l="1"/>
  <c r="Z222" i="1" s="1"/>
  <c r="V221" i="1"/>
  <c r="C406" i="1"/>
  <c r="Q221" i="1"/>
  <c r="Y403" i="1"/>
  <c r="D405" i="1"/>
  <c r="E404" i="1"/>
  <c r="R221" i="1" l="1"/>
  <c r="S221" i="1"/>
  <c r="F404" i="1"/>
  <c r="Y404" i="1"/>
  <c r="Y407" i="1"/>
  <c r="C407" i="1"/>
  <c r="D406" i="1"/>
  <c r="E405" i="1"/>
  <c r="F405" i="1" s="1"/>
  <c r="U221" i="1"/>
  <c r="P222" i="1"/>
  <c r="C408" i="1" l="1"/>
  <c r="Q222" i="1"/>
  <c r="R222" i="1" s="1"/>
  <c r="T222" i="1"/>
  <c r="D407" i="1"/>
  <c r="E406" i="1"/>
  <c r="F406" i="1" s="1"/>
  <c r="S222" i="1" l="1"/>
  <c r="X223" i="1"/>
  <c r="Z223" i="1" s="1"/>
  <c r="V222" i="1"/>
  <c r="C409" i="1"/>
  <c r="Y406" i="1"/>
  <c r="D408" i="1"/>
  <c r="E407" i="1"/>
  <c r="F407" i="1" s="1"/>
  <c r="U222" i="1"/>
  <c r="P223" i="1"/>
  <c r="Q223" i="1" s="1"/>
  <c r="R223" i="1" s="1"/>
  <c r="S223" i="1" l="1"/>
  <c r="C410" i="1"/>
  <c r="T223" i="1"/>
  <c r="D409" i="1"/>
  <c r="E408" i="1"/>
  <c r="F408" i="1" l="1"/>
  <c r="Y408" i="1"/>
  <c r="X224" i="1"/>
  <c r="Z224" i="1" s="1"/>
  <c r="V223" i="1"/>
  <c r="Y411" i="1"/>
  <c r="C411" i="1"/>
  <c r="D410" i="1"/>
  <c r="E409" i="1"/>
  <c r="F409" i="1" s="1"/>
  <c r="P224" i="1"/>
  <c r="Q224" i="1" s="1"/>
  <c r="R224" i="1" s="1"/>
  <c r="U223" i="1"/>
  <c r="S224" i="1" l="1"/>
  <c r="C412" i="1"/>
  <c r="T224" i="1"/>
  <c r="Y409" i="1"/>
  <c r="D411" i="1"/>
  <c r="E410" i="1"/>
  <c r="F410" i="1" l="1"/>
  <c r="Y410" i="1"/>
  <c r="X225" i="1"/>
  <c r="Z225" i="1" s="1"/>
  <c r="V224" i="1"/>
  <c r="Y413" i="1"/>
  <c r="C413" i="1"/>
  <c r="D412" i="1"/>
  <c r="E411" i="1"/>
  <c r="F411" i="1" s="1"/>
  <c r="P225" i="1"/>
  <c r="Q225" i="1" s="1"/>
  <c r="R225" i="1" s="1"/>
  <c r="U224" i="1"/>
  <c r="S225" i="1" l="1"/>
  <c r="C414" i="1"/>
  <c r="T225" i="1"/>
  <c r="D413" i="1"/>
  <c r="E412" i="1"/>
  <c r="F412" i="1" s="1"/>
  <c r="X226" i="1" l="1"/>
  <c r="Z226" i="1" s="1"/>
  <c r="V225" i="1"/>
  <c r="C415" i="1"/>
  <c r="Y412" i="1"/>
  <c r="D414" i="1"/>
  <c r="E413" i="1"/>
  <c r="F413" i="1" s="1"/>
  <c r="U225" i="1"/>
  <c r="P226" i="1"/>
  <c r="Q226" i="1" s="1"/>
  <c r="R226" i="1" s="1"/>
  <c r="S226" i="1" l="1"/>
  <c r="C416" i="1"/>
  <c r="T226" i="1"/>
  <c r="D415" i="1"/>
  <c r="E414" i="1"/>
  <c r="F414" i="1" l="1"/>
  <c r="Y414" i="1"/>
  <c r="X227" i="1"/>
  <c r="Z227" i="1" s="1"/>
  <c r="V226" i="1"/>
  <c r="Y417" i="1"/>
  <c r="C417" i="1"/>
  <c r="D416" i="1"/>
  <c r="E415" i="1"/>
  <c r="F415" i="1" s="1"/>
  <c r="P227" i="1"/>
  <c r="Q227" i="1" s="1"/>
  <c r="R227" i="1" s="1"/>
  <c r="U226" i="1"/>
  <c r="S227" i="1" l="1"/>
  <c r="C418" i="1"/>
  <c r="T227" i="1"/>
  <c r="Y415" i="1"/>
  <c r="D417" i="1"/>
  <c r="E416" i="1"/>
  <c r="F416" i="1" l="1"/>
  <c r="Y416" i="1"/>
  <c r="X228" i="1"/>
  <c r="Z228" i="1" s="1"/>
  <c r="V227" i="1"/>
  <c r="Y419" i="1"/>
  <c r="C419" i="1"/>
  <c r="D418" i="1"/>
  <c r="E417" i="1"/>
  <c r="F417" i="1" s="1"/>
  <c r="U227" i="1"/>
  <c r="P228" i="1"/>
  <c r="Q228" i="1" s="1"/>
  <c r="R228" i="1" s="1"/>
  <c r="S228" i="1" l="1"/>
  <c r="C420" i="1"/>
  <c r="T228" i="1"/>
  <c r="D419" i="1"/>
  <c r="E418" i="1"/>
  <c r="F418" i="1" s="1"/>
  <c r="X229" i="1" l="1"/>
  <c r="Z229" i="1" s="1"/>
  <c r="V228" i="1"/>
  <c r="C421" i="1"/>
  <c r="Y418" i="1"/>
  <c r="D420" i="1"/>
  <c r="E419" i="1"/>
  <c r="F419" i="1" s="1"/>
  <c r="U228" i="1"/>
  <c r="P229" i="1"/>
  <c r="Q229" i="1" s="1"/>
  <c r="R229" i="1" s="1"/>
  <c r="S229" i="1" l="1"/>
  <c r="C422" i="1"/>
  <c r="T229" i="1"/>
  <c r="D421" i="1"/>
  <c r="E420" i="1"/>
  <c r="F420" i="1" l="1"/>
  <c r="Y420" i="1"/>
  <c r="X230" i="1"/>
  <c r="Z230" i="1" s="1"/>
  <c r="V229" i="1"/>
  <c r="Y423" i="1"/>
  <c r="C423" i="1"/>
  <c r="D422" i="1"/>
  <c r="E421" i="1"/>
  <c r="F421" i="1" s="1"/>
  <c r="U229" i="1"/>
  <c r="P230" i="1"/>
  <c r="Q230" i="1" s="1"/>
  <c r="R230" i="1" s="1"/>
  <c r="S230" i="1" l="1"/>
  <c r="C424" i="1"/>
  <c r="T230" i="1"/>
  <c r="Y421" i="1"/>
  <c r="D423" i="1"/>
  <c r="E422" i="1"/>
  <c r="F422" i="1" l="1"/>
  <c r="Y422" i="1"/>
  <c r="X231" i="1"/>
  <c r="Z231" i="1" s="1"/>
  <c r="V230" i="1"/>
  <c r="Y425" i="1"/>
  <c r="C425" i="1"/>
  <c r="D424" i="1"/>
  <c r="E423" i="1"/>
  <c r="F423" i="1" s="1"/>
  <c r="P231" i="1"/>
  <c r="Q231" i="1" s="1"/>
  <c r="R231" i="1" s="1"/>
  <c r="U230" i="1"/>
  <c r="S231" i="1" l="1"/>
  <c r="C426" i="1"/>
  <c r="T231" i="1"/>
  <c r="D425" i="1"/>
  <c r="E424" i="1"/>
  <c r="F424" i="1" s="1"/>
  <c r="X232" i="1" l="1"/>
  <c r="Z232" i="1" s="1"/>
  <c r="V231" i="1"/>
  <c r="C427" i="1"/>
  <c r="Y424" i="1"/>
  <c r="D426" i="1"/>
  <c r="E425" i="1"/>
  <c r="F425" i="1" s="1"/>
  <c r="U231" i="1"/>
  <c r="P232" i="1"/>
  <c r="Q232" i="1" s="1"/>
  <c r="R232" i="1" s="1"/>
  <c r="S232" i="1" l="1"/>
  <c r="C428" i="1"/>
  <c r="T232" i="1"/>
  <c r="D427" i="1"/>
  <c r="E426" i="1"/>
  <c r="F426" i="1" l="1"/>
  <c r="Y426" i="1"/>
  <c r="X233" i="1"/>
  <c r="Z233" i="1" s="1"/>
  <c r="V232" i="1"/>
  <c r="Y429" i="1"/>
  <c r="C429" i="1"/>
  <c r="D428" i="1"/>
  <c r="E427" i="1"/>
  <c r="F427" i="1" s="1"/>
  <c r="P233" i="1"/>
  <c r="Q233" i="1" s="1"/>
  <c r="R233" i="1" s="1"/>
  <c r="U232" i="1"/>
  <c r="S233" i="1" l="1"/>
  <c r="C430" i="1"/>
  <c r="T233" i="1"/>
  <c r="Y427" i="1"/>
  <c r="D429" i="1"/>
  <c r="E428" i="1"/>
  <c r="F428" i="1" l="1"/>
  <c r="Y428" i="1"/>
  <c r="X234" i="1"/>
  <c r="Z234" i="1" s="1"/>
  <c r="V233" i="1"/>
  <c r="Y431" i="1"/>
  <c r="C431" i="1"/>
  <c r="D430" i="1"/>
  <c r="E429" i="1"/>
  <c r="F429" i="1" s="1"/>
  <c r="U233" i="1"/>
  <c r="P234" i="1"/>
  <c r="Q234" i="1" s="1"/>
  <c r="R234" i="1" s="1"/>
  <c r="S234" i="1" l="1"/>
  <c r="C432" i="1"/>
  <c r="T234" i="1"/>
  <c r="D431" i="1"/>
  <c r="E430" i="1"/>
  <c r="F430" i="1" s="1"/>
  <c r="X235" i="1" l="1"/>
  <c r="Z235" i="1" s="1"/>
  <c r="V234" i="1"/>
  <c r="C433" i="1"/>
  <c r="Y430" i="1"/>
  <c r="D432" i="1"/>
  <c r="E431" i="1"/>
  <c r="F431" i="1" s="1"/>
  <c r="P235" i="1"/>
  <c r="Q235" i="1" s="1"/>
  <c r="R235" i="1" s="1"/>
  <c r="U234" i="1"/>
  <c r="S235" i="1" l="1"/>
  <c r="C434" i="1"/>
  <c r="T235" i="1"/>
  <c r="D433" i="1"/>
  <c r="E432" i="1"/>
  <c r="F432" i="1" l="1"/>
  <c r="Y432" i="1"/>
  <c r="X236" i="1"/>
  <c r="Z236" i="1" s="1"/>
  <c r="V235" i="1"/>
  <c r="Y435" i="1"/>
  <c r="C435" i="1"/>
  <c r="D434" i="1"/>
  <c r="E433" i="1"/>
  <c r="F433" i="1" s="1"/>
  <c r="P236" i="1"/>
  <c r="Q236" i="1" s="1"/>
  <c r="R236" i="1" s="1"/>
  <c r="U235" i="1"/>
  <c r="S236" i="1" l="1"/>
  <c r="C436" i="1"/>
  <c r="T236" i="1"/>
  <c r="Y433" i="1"/>
  <c r="D435" i="1"/>
  <c r="E434" i="1"/>
  <c r="F434" i="1" l="1"/>
  <c r="Y434" i="1"/>
  <c r="X237" i="1"/>
  <c r="Z237" i="1" s="1"/>
  <c r="V236" i="1"/>
  <c r="Y437" i="1"/>
  <c r="C437" i="1"/>
  <c r="D436" i="1"/>
  <c r="E435" i="1"/>
  <c r="F435" i="1" s="1"/>
  <c r="P237" i="1"/>
  <c r="T237" i="1" s="1"/>
  <c r="U236" i="1"/>
  <c r="X238" i="1" l="1"/>
  <c r="Z238" i="1" s="1"/>
  <c r="V237" i="1"/>
  <c r="C438" i="1"/>
  <c r="Q237" i="1"/>
  <c r="D437" i="1"/>
  <c r="E436" i="1"/>
  <c r="F436" i="1" s="1"/>
  <c r="R237" i="1" l="1"/>
  <c r="S237" i="1"/>
  <c r="C439" i="1"/>
  <c r="Y436" i="1"/>
  <c r="D438" i="1"/>
  <c r="E437" i="1"/>
  <c r="F437" i="1" s="1"/>
  <c r="P238" i="1"/>
  <c r="U237" i="1"/>
  <c r="C440" i="1" l="1"/>
  <c r="Q238" i="1"/>
  <c r="R238" i="1" s="1"/>
  <c r="T238" i="1"/>
  <c r="D439" i="1"/>
  <c r="E438" i="1"/>
  <c r="S238" i="1" l="1"/>
  <c r="F438" i="1"/>
  <c r="Y438" i="1"/>
  <c r="X239" i="1"/>
  <c r="Z239" i="1" s="1"/>
  <c r="V238" i="1"/>
  <c r="Y441" i="1"/>
  <c r="C441" i="1"/>
  <c r="D440" i="1"/>
  <c r="E439" i="1"/>
  <c r="F439" i="1" s="1"/>
  <c r="U238" i="1"/>
  <c r="P239" i="1"/>
  <c r="Q239" i="1" s="1"/>
  <c r="R239" i="1" s="1"/>
  <c r="S239" i="1" l="1"/>
  <c r="C442" i="1"/>
  <c r="T239" i="1"/>
  <c r="Y439" i="1"/>
  <c r="D441" i="1"/>
  <c r="E440" i="1"/>
  <c r="F440" i="1" l="1"/>
  <c r="Y440" i="1"/>
  <c r="X240" i="1"/>
  <c r="Z240" i="1" s="1"/>
  <c r="V239" i="1"/>
  <c r="Y443" i="1"/>
  <c r="C443" i="1"/>
  <c r="D442" i="1"/>
  <c r="E441" i="1"/>
  <c r="F441" i="1" s="1"/>
  <c r="U239" i="1"/>
  <c r="P240" i="1"/>
  <c r="Q240" i="1" s="1"/>
  <c r="R240" i="1" s="1"/>
  <c r="S240" i="1" l="1"/>
  <c r="C444" i="1"/>
  <c r="T240" i="1"/>
  <c r="D443" i="1"/>
  <c r="E442" i="1"/>
  <c r="F442" i="1" s="1"/>
  <c r="X241" i="1" l="1"/>
  <c r="Z241" i="1" s="1"/>
  <c r="V240" i="1"/>
  <c r="C445" i="1"/>
  <c r="Y442" i="1"/>
  <c r="D444" i="1"/>
  <c r="E443" i="1"/>
  <c r="F443" i="1" s="1"/>
  <c r="P241" i="1"/>
  <c r="Q241" i="1" s="1"/>
  <c r="R241" i="1" s="1"/>
  <c r="U240" i="1"/>
  <c r="S241" i="1" l="1"/>
  <c r="C446" i="1"/>
  <c r="T241" i="1"/>
  <c r="D445" i="1"/>
  <c r="E444" i="1"/>
  <c r="F444" i="1" l="1"/>
  <c r="Y444" i="1"/>
  <c r="X242" i="1"/>
  <c r="Z242" i="1" s="1"/>
  <c r="V241" i="1"/>
  <c r="Y447" i="1"/>
  <c r="C447" i="1"/>
  <c r="D446" i="1"/>
  <c r="E445" i="1"/>
  <c r="F445" i="1" s="1"/>
  <c r="P242" i="1"/>
  <c r="U241" i="1"/>
  <c r="C448" i="1" l="1"/>
  <c r="Q242" i="1"/>
  <c r="T242" i="1"/>
  <c r="Y445" i="1"/>
  <c r="D447" i="1"/>
  <c r="E446" i="1"/>
  <c r="R242" i="1" l="1"/>
  <c r="S242" i="1"/>
  <c r="F446" i="1"/>
  <c r="Y446" i="1"/>
  <c r="X243" i="1"/>
  <c r="Z243" i="1" s="1"/>
  <c r="V242" i="1"/>
  <c r="Y449" i="1"/>
  <c r="C449" i="1"/>
  <c r="D448" i="1"/>
  <c r="E447" i="1"/>
  <c r="F447" i="1" s="1"/>
  <c r="P243" i="1"/>
  <c r="T243" i="1" s="1"/>
  <c r="U242" i="1"/>
  <c r="X244" i="1" l="1"/>
  <c r="Z244" i="1" s="1"/>
  <c r="V243" i="1"/>
  <c r="C450" i="1"/>
  <c r="Q243" i="1"/>
  <c r="R243" i="1" s="1"/>
  <c r="D449" i="1"/>
  <c r="E448" i="1"/>
  <c r="F448" i="1" s="1"/>
  <c r="S243" i="1" l="1"/>
  <c r="C451" i="1"/>
  <c r="Y448" i="1"/>
  <c r="D450" i="1"/>
  <c r="E449" i="1"/>
  <c r="F449" i="1" s="1"/>
  <c r="U243" i="1"/>
  <c r="P244" i="1"/>
  <c r="C452" i="1" l="1"/>
  <c r="Q244" i="1"/>
  <c r="R244" i="1" s="1"/>
  <c r="T244" i="1"/>
  <c r="D451" i="1"/>
  <c r="E450" i="1"/>
  <c r="S244" i="1" l="1"/>
  <c r="F450" i="1"/>
  <c r="Y450" i="1"/>
  <c r="X245" i="1"/>
  <c r="Z245" i="1" s="1"/>
  <c r="V244" i="1"/>
  <c r="Y453" i="1"/>
  <c r="C453" i="1"/>
  <c r="D452" i="1"/>
  <c r="E451" i="1"/>
  <c r="F451" i="1" s="1"/>
  <c r="U244" i="1"/>
  <c r="P245" i="1"/>
  <c r="T245" i="1" s="1"/>
  <c r="X246" i="1" l="1"/>
  <c r="Z246" i="1" s="1"/>
  <c r="V245" i="1"/>
  <c r="C454" i="1"/>
  <c r="Q245" i="1"/>
  <c r="R245" i="1" s="1"/>
  <c r="Y451" i="1"/>
  <c r="D453" i="1"/>
  <c r="E452" i="1"/>
  <c r="S245" i="1" l="1"/>
  <c r="F452" i="1"/>
  <c r="Y452" i="1"/>
  <c r="Y455" i="1"/>
  <c r="C455" i="1"/>
  <c r="D454" i="1"/>
  <c r="E453" i="1"/>
  <c r="F453" i="1" s="1"/>
  <c r="P246" i="1"/>
  <c r="U245" i="1"/>
  <c r="C456" i="1" l="1"/>
  <c r="Q246" i="1"/>
  <c r="R246" i="1" s="1"/>
  <c r="T246" i="1"/>
  <c r="D455" i="1"/>
  <c r="E454" i="1"/>
  <c r="F454" i="1" s="1"/>
  <c r="S246" i="1" l="1"/>
  <c r="X247" i="1"/>
  <c r="Z247" i="1" s="1"/>
  <c r="V246" i="1"/>
  <c r="C457" i="1"/>
  <c r="Y454" i="1"/>
  <c r="D456" i="1"/>
  <c r="E455" i="1"/>
  <c r="F455" i="1" s="1"/>
  <c r="P247" i="1"/>
  <c r="Q247" i="1" s="1"/>
  <c r="R247" i="1" s="1"/>
  <c r="U246" i="1"/>
  <c r="S247" i="1" l="1"/>
  <c r="C458" i="1"/>
  <c r="T247" i="1"/>
  <c r="D457" i="1"/>
  <c r="E456" i="1"/>
  <c r="F456" i="1" l="1"/>
  <c r="Y456" i="1"/>
  <c r="X248" i="1"/>
  <c r="Z248" i="1" s="1"/>
  <c r="V247" i="1"/>
  <c r="Y459" i="1"/>
  <c r="C459" i="1"/>
  <c r="D458" i="1"/>
  <c r="E457" i="1"/>
  <c r="F457" i="1" s="1"/>
  <c r="U247" i="1"/>
  <c r="P248" i="1"/>
  <c r="T248" i="1" s="1"/>
  <c r="X249" i="1" l="1"/>
  <c r="Z249" i="1" s="1"/>
  <c r="V248" i="1"/>
  <c r="C460" i="1"/>
  <c r="Q248" i="1"/>
  <c r="Y457" i="1"/>
  <c r="D459" i="1"/>
  <c r="E458" i="1"/>
  <c r="R248" i="1" l="1"/>
  <c r="S248" i="1"/>
  <c r="F458" i="1"/>
  <c r="Y458" i="1"/>
  <c r="Y461" i="1"/>
  <c r="C461" i="1"/>
  <c r="D460" i="1"/>
  <c r="E459" i="1"/>
  <c r="F459" i="1" s="1"/>
  <c r="P249" i="1"/>
  <c r="U248" i="1"/>
  <c r="C462" i="1" l="1"/>
  <c r="Q249" i="1"/>
  <c r="R249" i="1" s="1"/>
  <c r="T249" i="1"/>
  <c r="D461" i="1"/>
  <c r="E460" i="1"/>
  <c r="F460" i="1" s="1"/>
  <c r="S249" i="1" l="1"/>
  <c r="X250" i="1"/>
  <c r="Z250" i="1" s="1"/>
  <c r="V249" i="1"/>
  <c r="C463" i="1"/>
  <c r="Y460" i="1"/>
  <c r="D462" i="1"/>
  <c r="E461" i="1"/>
  <c r="F461" i="1" s="1"/>
  <c r="P250" i="1"/>
  <c r="Q250" i="1" s="1"/>
  <c r="R250" i="1" s="1"/>
  <c r="U249" i="1"/>
  <c r="S250" i="1" l="1"/>
  <c r="C464" i="1"/>
  <c r="T250" i="1"/>
  <c r="D463" i="1"/>
  <c r="E462" i="1"/>
  <c r="F462" i="1" l="1"/>
  <c r="Y462" i="1"/>
  <c r="X251" i="1"/>
  <c r="Z251" i="1" s="1"/>
  <c r="V250" i="1"/>
  <c r="Y465" i="1"/>
  <c r="C465" i="1"/>
  <c r="D464" i="1"/>
  <c r="E463" i="1"/>
  <c r="F463" i="1" s="1"/>
  <c r="U250" i="1"/>
  <c r="P251" i="1"/>
  <c r="C466" i="1" l="1"/>
  <c r="Q251" i="1"/>
  <c r="T251" i="1"/>
  <c r="Y463" i="1"/>
  <c r="D465" i="1"/>
  <c r="E464" i="1"/>
  <c r="R251" i="1" l="1"/>
  <c r="S251" i="1"/>
  <c r="F464" i="1"/>
  <c r="Y464" i="1"/>
  <c r="X252" i="1"/>
  <c r="Z252" i="1" s="1"/>
  <c r="V251" i="1"/>
  <c r="Y467" i="1"/>
  <c r="C467" i="1"/>
  <c r="D466" i="1"/>
  <c r="E465" i="1"/>
  <c r="F465" i="1" s="1"/>
  <c r="U251" i="1"/>
  <c r="P252" i="1"/>
  <c r="T252" i="1" s="1"/>
  <c r="X253" i="1" l="1"/>
  <c r="Z253" i="1" s="1"/>
  <c r="V252" i="1"/>
  <c r="C468" i="1"/>
  <c r="Q252" i="1"/>
  <c r="R252" i="1" s="1"/>
  <c r="D467" i="1"/>
  <c r="E466" i="1"/>
  <c r="F466" i="1" s="1"/>
  <c r="S252" i="1" l="1"/>
  <c r="C469" i="1"/>
  <c r="Y466" i="1"/>
  <c r="D468" i="1"/>
  <c r="E467" i="1"/>
  <c r="F467" i="1" s="1"/>
  <c r="P253" i="1"/>
  <c r="U252" i="1"/>
  <c r="C470" i="1" l="1"/>
  <c r="Q253" i="1"/>
  <c r="R253" i="1" s="1"/>
  <c r="T253" i="1"/>
  <c r="D469" i="1"/>
  <c r="E468" i="1"/>
  <c r="S253" i="1" l="1"/>
  <c r="F468" i="1"/>
  <c r="Y468" i="1"/>
  <c r="X254" i="1"/>
  <c r="Z254" i="1" s="1"/>
  <c r="V253" i="1"/>
  <c r="Y471" i="1"/>
  <c r="C471" i="1"/>
  <c r="D470" i="1"/>
  <c r="E469" i="1"/>
  <c r="F469" i="1" s="1"/>
  <c r="U253" i="1"/>
  <c r="P254" i="1"/>
  <c r="T254" i="1" s="1"/>
  <c r="X255" i="1" l="1"/>
  <c r="Z255" i="1" s="1"/>
  <c r="V254" i="1"/>
  <c r="C472" i="1"/>
  <c r="Q254" i="1"/>
  <c r="R254" i="1" s="1"/>
  <c r="Y469" i="1"/>
  <c r="D471" i="1"/>
  <c r="E470" i="1"/>
  <c r="S254" i="1" l="1"/>
  <c r="F470" i="1"/>
  <c r="Y470" i="1"/>
  <c r="Y473" i="1"/>
  <c r="C473" i="1"/>
  <c r="D472" i="1"/>
  <c r="E471" i="1"/>
  <c r="F471" i="1" s="1"/>
  <c r="U254" i="1"/>
  <c r="P255" i="1"/>
  <c r="C474" i="1" l="1"/>
  <c r="Q255" i="1"/>
  <c r="R255" i="1" s="1"/>
  <c r="T255" i="1"/>
  <c r="D473" i="1"/>
  <c r="E472" i="1"/>
  <c r="F472" i="1" s="1"/>
  <c r="S255" i="1" l="1"/>
  <c r="X256" i="1"/>
  <c r="Z256" i="1" s="1"/>
  <c r="V255" i="1"/>
  <c r="C475" i="1"/>
  <c r="Y472" i="1"/>
  <c r="D474" i="1"/>
  <c r="E473" i="1"/>
  <c r="F473" i="1" s="1"/>
  <c r="U255" i="1"/>
  <c r="P256" i="1"/>
  <c r="Q256" i="1" s="1"/>
  <c r="R256" i="1" s="1"/>
  <c r="S256" i="1" l="1"/>
  <c r="C476" i="1"/>
  <c r="T256" i="1"/>
  <c r="D475" i="1"/>
  <c r="E474" i="1"/>
  <c r="F474" i="1" l="1"/>
  <c r="Y474" i="1"/>
  <c r="X257" i="1"/>
  <c r="Z257" i="1" s="1"/>
  <c r="V256" i="1"/>
  <c r="Y477" i="1"/>
  <c r="C477" i="1"/>
  <c r="D476" i="1"/>
  <c r="E475" i="1"/>
  <c r="F475" i="1" s="1"/>
  <c r="P257" i="1"/>
  <c r="Q257" i="1" s="1"/>
  <c r="R257" i="1" s="1"/>
  <c r="U256" i="1"/>
  <c r="S257" i="1" l="1"/>
  <c r="C478" i="1"/>
  <c r="T257" i="1"/>
  <c r="Y475" i="1"/>
  <c r="D477" i="1"/>
  <c r="E476" i="1"/>
  <c r="F476" i="1" l="1"/>
  <c r="Y476" i="1"/>
  <c r="X258" i="1"/>
  <c r="Z258" i="1" s="1"/>
  <c r="V257" i="1"/>
  <c r="Y479" i="1"/>
  <c r="C479" i="1"/>
  <c r="D478" i="1"/>
  <c r="E477" i="1"/>
  <c r="F477" i="1" s="1"/>
  <c r="P258" i="1"/>
  <c r="Q258" i="1" s="1"/>
  <c r="R258" i="1" s="1"/>
  <c r="U257" i="1"/>
  <c r="S258" i="1" l="1"/>
  <c r="C480" i="1"/>
  <c r="T258" i="1"/>
  <c r="D479" i="1"/>
  <c r="E478" i="1"/>
  <c r="F478" i="1" s="1"/>
  <c r="X259" i="1" l="1"/>
  <c r="Z259" i="1" s="1"/>
  <c r="V258" i="1"/>
  <c r="C481" i="1"/>
  <c r="Y478" i="1"/>
  <c r="D480" i="1"/>
  <c r="E479" i="1"/>
  <c r="F479" i="1" s="1"/>
  <c r="U258" i="1"/>
  <c r="P259" i="1"/>
  <c r="Q259" i="1" s="1"/>
  <c r="R259" i="1" s="1"/>
  <c r="S259" i="1" l="1"/>
  <c r="C482" i="1"/>
  <c r="T259" i="1"/>
  <c r="D481" i="1"/>
  <c r="E480" i="1"/>
  <c r="F480" i="1" l="1"/>
  <c r="Y480" i="1"/>
  <c r="X260" i="1"/>
  <c r="Z260" i="1" s="1"/>
  <c r="V259" i="1"/>
  <c r="Y483" i="1"/>
  <c r="C483" i="1"/>
  <c r="D482" i="1"/>
  <c r="E481" i="1"/>
  <c r="F481" i="1" s="1"/>
  <c r="P260" i="1"/>
  <c r="Q260" i="1" s="1"/>
  <c r="R260" i="1" s="1"/>
  <c r="U259" i="1"/>
  <c r="S260" i="1" l="1"/>
  <c r="C484" i="1"/>
  <c r="T260" i="1"/>
  <c r="Y481" i="1"/>
  <c r="D483" i="1"/>
  <c r="E482" i="1"/>
  <c r="F482" i="1" l="1"/>
  <c r="Y482" i="1"/>
  <c r="X261" i="1"/>
  <c r="Z261" i="1" s="1"/>
  <c r="V260" i="1"/>
  <c r="Y485" i="1"/>
  <c r="C485" i="1"/>
  <c r="D484" i="1"/>
  <c r="E483" i="1"/>
  <c r="F483" i="1" s="1"/>
  <c r="U260" i="1"/>
  <c r="P261" i="1"/>
  <c r="Q261" i="1" s="1"/>
  <c r="R261" i="1" s="1"/>
  <c r="S261" i="1" l="1"/>
  <c r="C486" i="1"/>
  <c r="T261" i="1"/>
  <c r="D485" i="1"/>
  <c r="E484" i="1"/>
  <c r="F484" i="1" s="1"/>
  <c r="X262" i="1" l="1"/>
  <c r="Z262" i="1" s="1"/>
  <c r="V261" i="1"/>
  <c r="C487" i="1"/>
  <c r="Y484" i="1"/>
  <c r="D486" i="1"/>
  <c r="E485" i="1"/>
  <c r="F485" i="1" s="1"/>
  <c r="P262" i="1"/>
  <c r="U261" i="1"/>
  <c r="C488" i="1" l="1"/>
  <c r="Q262" i="1"/>
  <c r="T262" i="1"/>
  <c r="D487" i="1"/>
  <c r="E486" i="1"/>
  <c r="R262" i="1" l="1"/>
  <c r="S262" i="1"/>
  <c r="F486" i="1"/>
  <c r="Y486" i="1"/>
  <c r="X263" i="1"/>
  <c r="Z263" i="1" s="1"/>
  <c r="V262" i="1"/>
  <c r="Y489" i="1"/>
  <c r="C489" i="1"/>
  <c r="D488" i="1"/>
  <c r="E487" i="1"/>
  <c r="F487" i="1" s="1"/>
  <c r="P263" i="1"/>
  <c r="T263" i="1" s="1"/>
  <c r="U262" i="1"/>
  <c r="X264" i="1" l="1"/>
  <c r="Z264" i="1" s="1"/>
  <c r="V263" i="1"/>
  <c r="C490" i="1"/>
  <c r="Q263" i="1"/>
  <c r="R263" i="1" s="1"/>
  <c r="Y487" i="1"/>
  <c r="D489" i="1"/>
  <c r="E488" i="1"/>
  <c r="S263" i="1" l="1"/>
  <c r="F488" i="1"/>
  <c r="Y488" i="1"/>
  <c r="Y491" i="1"/>
  <c r="C491" i="1"/>
  <c r="D490" i="1"/>
  <c r="E489" i="1"/>
  <c r="F489" i="1" s="1"/>
  <c r="U263" i="1"/>
  <c r="P264" i="1"/>
  <c r="C492" i="1" l="1"/>
  <c r="Q264" i="1"/>
  <c r="R264" i="1" s="1"/>
  <c r="T264" i="1"/>
  <c r="D491" i="1"/>
  <c r="E490" i="1"/>
  <c r="F490" i="1" s="1"/>
  <c r="S264" i="1" l="1"/>
  <c r="X265" i="1"/>
  <c r="Z265" i="1" s="1"/>
  <c r="V264" i="1"/>
  <c r="C493" i="1"/>
  <c r="Y490" i="1"/>
  <c r="D492" i="1"/>
  <c r="E491" i="1"/>
  <c r="F491" i="1" s="1"/>
  <c r="P265" i="1"/>
  <c r="Q265" i="1" s="1"/>
  <c r="R265" i="1" s="1"/>
  <c r="U264" i="1"/>
  <c r="S265" i="1" l="1"/>
  <c r="C494" i="1"/>
  <c r="T265" i="1"/>
  <c r="D493" i="1"/>
  <c r="E492" i="1"/>
  <c r="F492" i="1" l="1"/>
  <c r="Y492" i="1"/>
  <c r="X266" i="1"/>
  <c r="Z266" i="1" s="1"/>
  <c r="V265" i="1"/>
  <c r="Y495" i="1"/>
  <c r="C495" i="1"/>
  <c r="D494" i="1"/>
  <c r="E493" i="1"/>
  <c r="F493" i="1" s="1"/>
  <c r="P266" i="1"/>
  <c r="Q266" i="1" s="1"/>
  <c r="R266" i="1" s="1"/>
  <c r="U265" i="1"/>
  <c r="S266" i="1" l="1"/>
  <c r="C496" i="1"/>
  <c r="T266" i="1"/>
  <c r="Y493" i="1"/>
  <c r="D495" i="1"/>
  <c r="E494" i="1"/>
  <c r="F494" i="1" l="1"/>
  <c r="Y494" i="1"/>
  <c r="X267" i="1"/>
  <c r="Z267" i="1" s="1"/>
  <c r="V266" i="1"/>
  <c r="Y497" i="1"/>
  <c r="C497" i="1"/>
  <c r="D496" i="1"/>
  <c r="E495" i="1"/>
  <c r="F495" i="1" s="1"/>
  <c r="P267" i="1"/>
  <c r="Q267" i="1" s="1"/>
  <c r="R267" i="1" s="1"/>
  <c r="U266" i="1"/>
  <c r="S267" i="1" l="1"/>
  <c r="C498" i="1"/>
  <c r="T267" i="1"/>
  <c r="D497" i="1"/>
  <c r="E496" i="1"/>
  <c r="F496" i="1" s="1"/>
  <c r="X268" i="1" l="1"/>
  <c r="Z268" i="1" s="1"/>
  <c r="V267" i="1"/>
  <c r="C499" i="1"/>
  <c r="Y496" i="1"/>
  <c r="D498" i="1"/>
  <c r="E497" i="1"/>
  <c r="F497" i="1" s="1"/>
  <c r="P268" i="1"/>
  <c r="T268" i="1" s="1"/>
  <c r="U267" i="1"/>
  <c r="X269" i="1" l="1"/>
  <c r="Z269" i="1" s="1"/>
  <c r="V268" i="1"/>
  <c r="C500" i="1"/>
  <c r="Q268" i="1"/>
  <c r="D499" i="1"/>
  <c r="E498" i="1"/>
  <c r="R268" i="1" l="1"/>
  <c r="S268" i="1"/>
  <c r="F498" i="1"/>
  <c r="Y498" i="1"/>
  <c r="Y501" i="1"/>
  <c r="C501" i="1"/>
  <c r="D500" i="1"/>
  <c r="E499" i="1"/>
  <c r="F499" i="1" s="1"/>
  <c r="U268" i="1"/>
  <c r="P269" i="1"/>
  <c r="C502" i="1" l="1"/>
  <c r="Q269" i="1"/>
  <c r="R269" i="1" s="1"/>
  <c r="T269" i="1"/>
  <c r="Y499" i="1"/>
  <c r="D501" i="1"/>
  <c r="E500" i="1"/>
  <c r="S269" i="1" l="1"/>
  <c r="F500" i="1"/>
  <c r="Y500" i="1"/>
  <c r="X270" i="1"/>
  <c r="Z270" i="1" s="1"/>
  <c r="V269" i="1"/>
  <c r="Y503" i="1"/>
  <c r="C503" i="1"/>
  <c r="D502" i="1"/>
  <c r="E501" i="1"/>
  <c r="F501" i="1" s="1"/>
  <c r="P270" i="1"/>
  <c r="Q270" i="1" s="1"/>
  <c r="R270" i="1" s="1"/>
  <c r="U269" i="1"/>
  <c r="S270" i="1" l="1"/>
  <c r="C504" i="1"/>
  <c r="T270" i="1"/>
  <c r="D503" i="1"/>
  <c r="E502" i="1"/>
  <c r="F502" i="1" s="1"/>
  <c r="X271" i="1" l="1"/>
  <c r="Z271" i="1" s="1"/>
  <c r="V270" i="1"/>
  <c r="C505" i="1"/>
  <c r="Y502" i="1"/>
  <c r="D504" i="1"/>
  <c r="E503" i="1"/>
  <c r="F503" i="1" s="1"/>
  <c r="U270" i="1"/>
  <c r="P271" i="1"/>
  <c r="Q271" i="1" s="1"/>
  <c r="R271" i="1" s="1"/>
  <c r="S271" i="1" l="1"/>
  <c r="C506" i="1"/>
  <c r="T271" i="1"/>
  <c r="D505" i="1"/>
  <c r="E504" i="1"/>
  <c r="F504" i="1" l="1"/>
  <c r="Y504" i="1"/>
  <c r="X272" i="1"/>
  <c r="Z272" i="1" s="1"/>
  <c r="V271" i="1"/>
  <c r="Y507" i="1"/>
  <c r="C507" i="1"/>
  <c r="D506" i="1"/>
  <c r="E505" i="1"/>
  <c r="F505" i="1" s="1"/>
  <c r="P272" i="1"/>
  <c r="Q272" i="1" s="1"/>
  <c r="R272" i="1" s="1"/>
  <c r="U271" i="1"/>
  <c r="S272" i="1" l="1"/>
  <c r="C508" i="1"/>
  <c r="T272" i="1"/>
  <c r="Y505" i="1"/>
  <c r="D507" i="1"/>
  <c r="E506" i="1"/>
  <c r="F506" i="1" l="1"/>
  <c r="Y506" i="1"/>
  <c r="X273" i="1"/>
  <c r="Z273" i="1" s="1"/>
  <c r="V272" i="1"/>
  <c r="Y509" i="1"/>
  <c r="C509" i="1"/>
  <c r="D508" i="1"/>
  <c r="E507" i="1"/>
  <c r="F507" i="1" s="1"/>
  <c r="U272" i="1"/>
  <c r="P273" i="1"/>
  <c r="T273" i="1" s="1"/>
  <c r="X274" i="1" l="1"/>
  <c r="Z274" i="1" s="1"/>
  <c r="V273" i="1"/>
  <c r="C510" i="1"/>
  <c r="Q273" i="1"/>
  <c r="D509" i="1"/>
  <c r="E508" i="1"/>
  <c r="F508" i="1" s="1"/>
  <c r="R273" i="1" l="1"/>
  <c r="S273" i="1"/>
  <c r="C511" i="1"/>
  <c r="Y508" i="1"/>
  <c r="D510" i="1"/>
  <c r="E509" i="1"/>
  <c r="F509" i="1" s="1"/>
  <c r="U273" i="1"/>
  <c r="P274" i="1"/>
  <c r="C512" i="1" l="1"/>
  <c r="Q274" i="1"/>
  <c r="R274" i="1" s="1"/>
  <c r="T274" i="1"/>
  <c r="D511" i="1"/>
  <c r="E510" i="1"/>
  <c r="S274" i="1" l="1"/>
  <c r="F510" i="1"/>
  <c r="Y510" i="1"/>
  <c r="X275" i="1"/>
  <c r="Z275" i="1" s="1"/>
  <c r="V274" i="1"/>
  <c r="Y513" i="1"/>
  <c r="C513" i="1"/>
  <c r="D512" i="1"/>
  <c r="E511" i="1"/>
  <c r="F511" i="1" s="1"/>
  <c r="U274" i="1"/>
  <c r="P275" i="1"/>
  <c r="Q275" i="1" s="1"/>
  <c r="R275" i="1" s="1"/>
  <c r="S275" i="1" l="1"/>
  <c r="C514" i="1"/>
  <c r="T275" i="1"/>
  <c r="Y511" i="1"/>
  <c r="D513" i="1"/>
  <c r="E512" i="1"/>
  <c r="F512" i="1" l="1"/>
  <c r="Y512" i="1"/>
  <c r="X276" i="1"/>
  <c r="Z276" i="1" s="1"/>
  <c r="V275" i="1"/>
  <c r="Y515" i="1"/>
  <c r="C515" i="1"/>
  <c r="D514" i="1"/>
  <c r="E513" i="1"/>
  <c r="F513" i="1" s="1"/>
  <c r="P276" i="1"/>
  <c r="Q276" i="1" s="1"/>
  <c r="R276" i="1" s="1"/>
  <c r="U275" i="1"/>
  <c r="S276" i="1" l="1"/>
  <c r="C516" i="1"/>
  <c r="T276" i="1"/>
  <c r="D515" i="1"/>
  <c r="E514" i="1"/>
  <c r="F514" i="1" s="1"/>
  <c r="X277" i="1" l="1"/>
  <c r="Z277" i="1" s="1"/>
  <c r="V276" i="1"/>
  <c r="Y514" i="1"/>
  <c r="D516" i="1"/>
  <c r="E516" i="1" s="1"/>
  <c r="E515" i="1"/>
  <c r="F515" i="1" s="1"/>
  <c r="U276" i="1"/>
  <c r="P277" i="1"/>
  <c r="Q277" i="1" s="1"/>
  <c r="R277" i="1" s="1"/>
  <c r="S277" i="1" l="1"/>
  <c r="F516" i="1"/>
  <c r="Y516" i="1"/>
  <c r="T277" i="1"/>
  <c r="X278" i="1" l="1"/>
  <c r="Z278" i="1" s="1"/>
  <c r="V277" i="1"/>
  <c r="P278" i="1"/>
  <c r="Q278" i="1" s="1"/>
  <c r="R278" i="1" s="1"/>
  <c r="U277" i="1"/>
  <c r="S278" i="1" l="1"/>
  <c r="T278" i="1"/>
  <c r="P279" i="1" l="1"/>
  <c r="Q279" i="1" s="1"/>
  <c r="R279" i="1" s="1"/>
  <c r="V278" i="1"/>
  <c r="U278" i="1"/>
  <c r="X279" i="1"/>
  <c r="Z279" i="1" s="1"/>
  <c r="S279" i="1" l="1"/>
  <c r="T279" i="1"/>
  <c r="U279" i="1" s="1"/>
  <c r="P280" i="1" l="1"/>
  <c r="Q280" i="1" s="1"/>
  <c r="R280" i="1" s="1"/>
  <c r="X280" i="1"/>
  <c r="Z280" i="1" s="1"/>
  <c r="V279" i="1"/>
  <c r="S280" i="1" l="1"/>
  <c r="T280" i="1"/>
  <c r="X281" i="1" s="1"/>
  <c r="Z281" i="1" s="1"/>
  <c r="U280" i="1" l="1"/>
  <c r="P281" i="1"/>
  <c r="Q281" i="1" s="1"/>
  <c r="R281" i="1" s="1"/>
  <c r="V280" i="1"/>
  <c r="S281" i="1" l="1"/>
  <c r="T281" i="1"/>
  <c r="X282" i="1" s="1"/>
  <c r="Z282" i="1" s="1"/>
  <c r="P282" i="1" l="1"/>
  <c r="Q282" i="1" s="1"/>
  <c r="R282" i="1" s="1"/>
  <c r="V281" i="1"/>
  <c r="U281" i="1"/>
  <c r="S282" i="1" l="1"/>
  <c r="T282" i="1"/>
  <c r="X283" i="1" s="1"/>
  <c r="Z283" i="1" s="1"/>
  <c r="P283" i="1" l="1"/>
  <c r="Q283" i="1" s="1"/>
  <c r="R283" i="1" s="1"/>
  <c r="U282" i="1"/>
  <c r="V282" i="1"/>
  <c r="S283" i="1" l="1"/>
  <c r="T283" i="1"/>
  <c r="V283" i="1" s="1"/>
  <c r="X284" i="1" l="1"/>
  <c r="Z284" i="1" s="1"/>
  <c r="P284" i="1"/>
  <c r="Q284" i="1" s="1"/>
  <c r="R284" i="1" s="1"/>
  <c r="U283" i="1"/>
  <c r="S284" i="1" l="1"/>
  <c r="T284" i="1"/>
  <c r="P285" i="1" s="1"/>
  <c r="Q285" i="1" s="1"/>
  <c r="R285" i="1" s="1"/>
  <c r="S285" i="1" l="1"/>
  <c r="U284" i="1"/>
  <c r="V284" i="1"/>
  <c r="X285" i="1"/>
  <c r="Z285" i="1" s="1"/>
  <c r="T285" i="1"/>
  <c r="X286" i="1" l="1"/>
  <c r="Z286" i="1" s="1"/>
  <c r="V285" i="1"/>
  <c r="P286" i="1"/>
  <c r="Q286" i="1" s="1"/>
  <c r="R286" i="1" s="1"/>
  <c r="U285" i="1"/>
  <c r="S286" i="1" l="1"/>
  <c r="T286" i="1"/>
  <c r="X287" i="1" l="1"/>
  <c r="Z287" i="1" s="1"/>
  <c r="V286" i="1"/>
  <c r="U286" i="1"/>
  <c r="P287" i="1"/>
  <c r="Q287" i="1" s="1"/>
  <c r="R287" i="1" s="1"/>
  <c r="S287" i="1" l="1"/>
  <c r="T287" i="1"/>
  <c r="U287" i="1" l="1"/>
  <c r="V287" i="1"/>
  <c r="X288" i="1"/>
  <c r="Z288" i="1" s="1"/>
  <c r="P288" i="1"/>
  <c r="Q288" i="1" l="1"/>
  <c r="T288" i="1"/>
  <c r="V288" i="1" s="1"/>
  <c r="R288" i="1" l="1"/>
  <c r="S288" i="1"/>
  <c r="X289" i="1"/>
  <c r="Z289" i="1" s="1"/>
  <c r="P289" i="1"/>
  <c r="Q289" i="1" s="1"/>
  <c r="U288" i="1"/>
  <c r="R289" i="1" l="1"/>
  <c r="S289" i="1"/>
  <c r="T289" i="1"/>
  <c r="U289" i="1" l="1"/>
  <c r="V289" i="1"/>
  <c r="X290" i="1"/>
  <c r="Z290" i="1" s="1"/>
  <c r="P290" i="1"/>
  <c r="Q290" i="1" s="1"/>
  <c r="R290" i="1" s="1"/>
  <c r="S290" i="1" l="1"/>
  <c r="T290" i="1"/>
  <c r="V290" i="1" s="1"/>
  <c r="X291" i="1" l="1"/>
  <c r="Z291" i="1" s="1"/>
  <c r="U290" i="1"/>
  <c r="P291" i="1"/>
  <c r="Q291" i="1" l="1"/>
  <c r="T291" i="1"/>
  <c r="V291" i="1" s="1"/>
  <c r="R291" i="1" l="1"/>
  <c r="S291" i="1"/>
  <c r="X292" i="1"/>
  <c r="Z292" i="1" s="1"/>
  <c r="P292" i="1"/>
  <c r="Q292" i="1" s="1"/>
  <c r="U291" i="1"/>
  <c r="R292" i="1" l="1"/>
  <c r="S292" i="1"/>
  <c r="T292" i="1"/>
  <c r="V292" i="1" s="1"/>
  <c r="X293" i="1" l="1"/>
  <c r="Z293" i="1" s="1"/>
  <c r="P293" i="1"/>
  <c r="Q293" i="1" s="1"/>
  <c r="R293" i="1" s="1"/>
  <c r="U292" i="1"/>
  <c r="S293" i="1" l="1"/>
  <c r="T293" i="1"/>
  <c r="V293" i="1" s="1"/>
  <c r="X294" i="1" l="1"/>
  <c r="Z294" i="1" s="1"/>
  <c r="P294" i="1"/>
  <c r="Q294" i="1" s="1"/>
  <c r="R294" i="1" s="1"/>
  <c r="U293" i="1"/>
  <c r="S294" i="1" l="1"/>
  <c r="T294" i="1"/>
  <c r="X295" i="1" l="1"/>
  <c r="Z295" i="1" s="1"/>
  <c r="V294" i="1"/>
  <c r="P295" i="1"/>
  <c r="Q295" i="1" s="1"/>
  <c r="R295" i="1" s="1"/>
  <c r="U294" i="1"/>
  <c r="S295" i="1" l="1"/>
  <c r="T295" i="1"/>
  <c r="X296" i="1" l="1"/>
  <c r="Z296" i="1" s="1"/>
  <c r="V295" i="1"/>
  <c r="U295" i="1"/>
  <c r="P296" i="1"/>
  <c r="Q296" i="1" s="1"/>
  <c r="R296" i="1" s="1"/>
  <c r="S296" i="1" l="1"/>
  <c r="T296" i="1"/>
  <c r="X297" i="1" l="1"/>
  <c r="Z297" i="1" s="1"/>
  <c r="V296" i="1"/>
  <c r="P297" i="1"/>
  <c r="Q297" i="1" s="1"/>
  <c r="R297" i="1" s="1"/>
  <c r="U296" i="1"/>
  <c r="S297" i="1" l="1"/>
  <c r="T297" i="1"/>
  <c r="X298" i="1" l="1"/>
  <c r="Z298" i="1" s="1"/>
  <c r="V297" i="1"/>
  <c r="U297" i="1"/>
  <c r="P298" i="1"/>
  <c r="Q298" i="1" s="1"/>
  <c r="R298" i="1" s="1"/>
  <c r="S298" i="1" l="1"/>
  <c r="T298" i="1"/>
  <c r="X299" i="1" l="1"/>
  <c r="Z299" i="1" s="1"/>
  <c r="V298" i="1"/>
  <c r="P299" i="1"/>
  <c r="Q299" i="1" s="1"/>
  <c r="R299" i="1" s="1"/>
  <c r="U298" i="1"/>
  <c r="S299" i="1" l="1"/>
  <c r="T299" i="1"/>
  <c r="P300" i="1" l="1"/>
  <c r="Q300" i="1" s="1"/>
  <c r="R300" i="1" s="1"/>
  <c r="V299" i="1"/>
  <c r="X300" i="1"/>
  <c r="Z300" i="1" s="1"/>
  <c r="U299" i="1"/>
  <c r="S300" i="1" l="1"/>
  <c r="T300" i="1"/>
  <c r="X301" i="1" s="1"/>
  <c r="Z301" i="1" s="1"/>
  <c r="U300" i="1" l="1"/>
  <c r="P301" i="1"/>
  <c r="Q301" i="1" s="1"/>
  <c r="R301" i="1" s="1"/>
  <c r="V300" i="1"/>
  <c r="S301" i="1" l="1"/>
  <c r="T301" i="1"/>
  <c r="V301" i="1" s="1"/>
  <c r="X302" i="1" l="1"/>
  <c r="Z302" i="1" s="1"/>
  <c r="U301" i="1"/>
  <c r="P302" i="1"/>
  <c r="Q302" i="1" s="1"/>
  <c r="R302" i="1" s="1"/>
  <c r="S302" i="1" l="1"/>
  <c r="T302" i="1"/>
  <c r="X303" i="1" s="1"/>
  <c r="Z303" i="1" s="1"/>
  <c r="P303" i="1" l="1"/>
  <c r="Q303" i="1" s="1"/>
  <c r="R303" i="1" s="1"/>
  <c r="U302" i="1"/>
  <c r="V302" i="1"/>
  <c r="S303" i="1" l="1"/>
  <c r="T303" i="1"/>
  <c r="X304" i="1" s="1"/>
  <c r="Z304" i="1" s="1"/>
  <c r="P304" i="1" l="1"/>
  <c r="Q304" i="1" s="1"/>
  <c r="R304" i="1" s="1"/>
  <c r="U303" i="1"/>
  <c r="V303" i="1"/>
  <c r="S304" i="1" l="1"/>
  <c r="T304" i="1"/>
  <c r="X305" i="1" s="1"/>
  <c r="Z305" i="1" s="1"/>
  <c r="P305" i="1" l="1"/>
  <c r="Q305" i="1" s="1"/>
  <c r="R305" i="1" s="1"/>
  <c r="U304" i="1"/>
  <c r="V304" i="1"/>
  <c r="S305" i="1" l="1"/>
  <c r="T305" i="1"/>
  <c r="X306" i="1" s="1"/>
  <c r="Z306" i="1" s="1"/>
  <c r="P306" i="1" l="1"/>
  <c r="Q306" i="1" s="1"/>
  <c r="R306" i="1" s="1"/>
  <c r="U305" i="1"/>
  <c r="V305" i="1"/>
  <c r="S306" i="1" l="1"/>
  <c r="T306" i="1"/>
  <c r="V306" i="1" s="1"/>
  <c r="U306" i="1" l="1"/>
  <c r="X307" i="1"/>
  <c r="Z307" i="1" s="1"/>
  <c r="P307" i="1"/>
  <c r="Q307" i="1" s="1"/>
  <c r="R307" i="1" s="1"/>
  <c r="S307" i="1" l="1"/>
  <c r="T307" i="1"/>
  <c r="V307" i="1" s="1"/>
  <c r="X308" i="1" l="1"/>
  <c r="Z308" i="1" s="1"/>
  <c r="U307" i="1"/>
  <c r="P308" i="1"/>
  <c r="Q308" i="1" s="1"/>
  <c r="R308" i="1" s="1"/>
  <c r="S308" i="1" l="1"/>
  <c r="T308" i="1"/>
  <c r="X309" i="1" s="1"/>
  <c r="Z309" i="1" s="1"/>
  <c r="P309" i="1" l="1"/>
  <c r="Q309" i="1" s="1"/>
  <c r="R309" i="1" s="1"/>
  <c r="U308" i="1"/>
  <c r="V308" i="1"/>
  <c r="S309" i="1" l="1"/>
  <c r="T309" i="1"/>
  <c r="X310" i="1" s="1"/>
  <c r="Z310" i="1" s="1"/>
  <c r="P310" i="1" l="1"/>
  <c r="Q310" i="1" s="1"/>
  <c r="R310" i="1" s="1"/>
  <c r="U309" i="1"/>
  <c r="V309" i="1"/>
  <c r="S310" i="1" l="1"/>
  <c r="T310" i="1"/>
  <c r="X311" i="1" s="1"/>
  <c r="Z311" i="1" s="1"/>
  <c r="U310" i="1" l="1"/>
  <c r="P311" i="1"/>
  <c r="Q311" i="1" s="1"/>
  <c r="R311" i="1" s="1"/>
  <c r="V310" i="1"/>
  <c r="S311" i="1" l="1"/>
  <c r="T311" i="1"/>
  <c r="X312" i="1" s="1"/>
  <c r="Z312" i="1" s="1"/>
  <c r="P312" i="1" l="1"/>
  <c r="Q312" i="1" s="1"/>
  <c r="R312" i="1" s="1"/>
  <c r="U311" i="1"/>
  <c r="V311" i="1"/>
  <c r="S312" i="1" l="1"/>
  <c r="T312" i="1"/>
  <c r="X313" i="1" s="1"/>
  <c r="Z313" i="1" s="1"/>
  <c r="U312" i="1" l="1"/>
  <c r="P313" i="1"/>
  <c r="Q313" i="1" s="1"/>
  <c r="R313" i="1" s="1"/>
  <c r="V312" i="1"/>
  <c r="S313" i="1" l="1"/>
  <c r="T313" i="1"/>
  <c r="X314" i="1" s="1"/>
  <c r="Z314" i="1" s="1"/>
  <c r="P314" i="1" l="1"/>
  <c r="Q314" i="1" s="1"/>
  <c r="U313" i="1"/>
  <c r="V313" i="1"/>
  <c r="R314" i="1" l="1"/>
  <c r="S314" i="1"/>
  <c r="T314" i="1"/>
  <c r="X315" i="1" s="1"/>
  <c r="Z315" i="1" s="1"/>
  <c r="U314" i="1" l="1"/>
  <c r="P315" i="1"/>
  <c r="Q315" i="1" s="1"/>
  <c r="R315" i="1" s="1"/>
  <c r="V314" i="1"/>
  <c r="S315" i="1" l="1"/>
  <c r="T315" i="1"/>
  <c r="X316" i="1" s="1"/>
  <c r="Z316" i="1" s="1"/>
  <c r="U315" i="1" l="1"/>
  <c r="P316" i="1"/>
  <c r="Q316" i="1" s="1"/>
  <c r="R316" i="1" s="1"/>
  <c r="V315" i="1"/>
  <c r="S316" i="1" l="1"/>
  <c r="T316" i="1"/>
  <c r="V316" i="1" s="1"/>
  <c r="U316" i="1" l="1"/>
  <c r="P317" i="1"/>
  <c r="Q317" i="1" s="1"/>
  <c r="R317" i="1" s="1"/>
  <c r="X317" i="1"/>
  <c r="Z317" i="1" s="1"/>
  <c r="S317" i="1" l="1"/>
  <c r="T317" i="1"/>
  <c r="V317" i="1" s="1"/>
  <c r="X318" i="1" l="1"/>
  <c r="Z318" i="1" s="1"/>
  <c r="U317" i="1"/>
  <c r="P318" i="1"/>
  <c r="Q318" i="1" s="1"/>
  <c r="R318" i="1" s="1"/>
  <c r="S318" i="1" l="1"/>
  <c r="T318" i="1"/>
  <c r="V318" i="1" s="1"/>
  <c r="U318" i="1" l="1"/>
  <c r="P319" i="1"/>
  <c r="T319" i="1" s="1"/>
  <c r="V319" i="1" s="1"/>
  <c r="X319" i="1"/>
  <c r="Z319" i="1" s="1"/>
  <c r="P320" i="1" l="1"/>
  <c r="Q320" i="1" s="1"/>
  <c r="U319" i="1"/>
  <c r="Q319" i="1"/>
  <c r="X320" i="1"/>
  <c r="Z320" i="1" s="1"/>
  <c r="R319" i="1" l="1"/>
  <c r="R320" i="1" s="1"/>
  <c r="S319" i="1"/>
  <c r="S320" i="1" s="1"/>
  <c r="T320" i="1"/>
  <c r="V320" i="1" s="1"/>
  <c r="P321" i="1" l="1"/>
  <c r="Q321" i="1" s="1"/>
  <c r="R321" i="1" s="1"/>
  <c r="U320" i="1"/>
  <c r="X321" i="1"/>
  <c r="Z321" i="1" s="1"/>
  <c r="S321" i="1" l="1"/>
  <c r="T321" i="1"/>
  <c r="P322" i="1" s="1"/>
  <c r="Q322" i="1" s="1"/>
  <c r="R322" i="1" s="1"/>
  <c r="S322" i="1" l="1"/>
  <c r="X322" i="1"/>
  <c r="Z322" i="1" s="1"/>
  <c r="U321" i="1"/>
  <c r="V321" i="1"/>
  <c r="T322" i="1"/>
  <c r="U322" i="1" s="1"/>
  <c r="P323" i="1" l="1"/>
  <c r="Q323" i="1" s="1"/>
  <c r="R323" i="1" s="1"/>
  <c r="X323" i="1"/>
  <c r="Z323" i="1" s="1"/>
  <c r="V322" i="1"/>
  <c r="S323" i="1" l="1"/>
  <c r="T323" i="1"/>
  <c r="X324" i="1" s="1"/>
  <c r="Z324" i="1" s="1"/>
  <c r="U323" i="1" l="1"/>
  <c r="P324" i="1"/>
  <c r="Q324" i="1" s="1"/>
  <c r="R324" i="1" s="1"/>
  <c r="V323" i="1"/>
  <c r="S324" i="1" l="1"/>
  <c r="T324" i="1"/>
  <c r="X325" i="1" s="1"/>
  <c r="Z325" i="1" s="1"/>
  <c r="U324" i="1" l="1"/>
  <c r="P325" i="1"/>
  <c r="Q325" i="1" s="1"/>
  <c r="R325" i="1" s="1"/>
  <c r="V324" i="1"/>
  <c r="S325" i="1" l="1"/>
  <c r="T325" i="1"/>
  <c r="V325" i="1" s="1"/>
  <c r="P326" i="1" l="1"/>
  <c r="Q326" i="1" s="1"/>
  <c r="R326" i="1" s="1"/>
  <c r="U325" i="1"/>
  <c r="X326" i="1"/>
  <c r="Z326" i="1" s="1"/>
  <c r="S326" i="1" l="1"/>
  <c r="T326" i="1"/>
  <c r="X327" i="1" s="1"/>
  <c r="Z327" i="1" s="1"/>
  <c r="P327" i="1" l="1"/>
  <c r="Q327" i="1" s="1"/>
  <c r="R327" i="1" s="1"/>
  <c r="U326" i="1"/>
  <c r="V326" i="1"/>
  <c r="S327" i="1" l="1"/>
  <c r="T327" i="1"/>
  <c r="V327" i="1" s="1"/>
  <c r="P328" i="1" l="1"/>
  <c r="Q328" i="1" s="1"/>
  <c r="R328" i="1" s="1"/>
  <c r="U327" i="1"/>
  <c r="X328" i="1"/>
  <c r="Z328" i="1" s="1"/>
  <c r="S328" i="1" l="1"/>
  <c r="T328" i="1"/>
  <c r="X329" i="1" s="1"/>
  <c r="Z329" i="1" s="1"/>
  <c r="U328" i="1" l="1"/>
  <c r="P329" i="1"/>
  <c r="Q329" i="1" s="1"/>
  <c r="R329" i="1" s="1"/>
  <c r="V328" i="1"/>
  <c r="S329" i="1" l="1"/>
  <c r="T329" i="1"/>
  <c r="X330" i="1" s="1"/>
  <c r="Z330" i="1" s="1"/>
  <c r="P330" i="1" l="1"/>
  <c r="Q330" i="1" s="1"/>
  <c r="R330" i="1" s="1"/>
  <c r="U329" i="1"/>
  <c r="V329" i="1"/>
  <c r="S330" i="1" l="1"/>
  <c r="T330" i="1"/>
  <c r="X331" i="1" s="1"/>
  <c r="Z331" i="1" s="1"/>
  <c r="U330" i="1" l="1"/>
  <c r="P331" i="1"/>
  <c r="Q331" i="1" s="1"/>
  <c r="R331" i="1" s="1"/>
  <c r="V330" i="1"/>
  <c r="S331" i="1" l="1"/>
  <c r="T331" i="1"/>
  <c r="P332" i="1" s="1"/>
  <c r="Q332" i="1" s="1"/>
  <c r="R332" i="1" s="1"/>
  <c r="S332" i="1" l="1"/>
  <c r="U331" i="1"/>
  <c r="X332" i="1"/>
  <c r="Z332" i="1" s="1"/>
  <c r="V331" i="1"/>
  <c r="T332" i="1"/>
  <c r="P333" i="1" s="1"/>
  <c r="Q333" i="1" s="1"/>
  <c r="R333" i="1" s="1"/>
  <c r="S333" i="1" l="1"/>
  <c r="U332" i="1"/>
  <c r="X333" i="1"/>
  <c r="Z333" i="1" s="1"/>
  <c r="V332" i="1"/>
  <c r="T333" i="1"/>
  <c r="X334" i="1" l="1"/>
  <c r="Z334" i="1" s="1"/>
  <c r="V333" i="1"/>
  <c r="U333" i="1"/>
  <c r="P334" i="1"/>
  <c r="Q334" i="1" s="1"/>
  <c r="R334" i="1" s="1"/>
  <c r="S334" i="1" l="1"/>
  <c r="T334" i="1"/>
  <c r="X335" i="1" l="1"/>
  <c r="Z335" i="1" s="1"/>
  <c r="V334" i="1"/>
  <c r="U334" i="1"/>
  <c r="P335" i="1"/>
  <c r="Q335" i="1" s="1"/>
  <c r="R335" i="1" s="1"/>
  <c r="S335" i="1" l="1"/>
  <c r="T335" i="1"/>
  <c r="X336" i="1" l="1"/>
  <c r="Z336" i="1" s="1"/>
  <c r="V335" i="1"/>
  <c r="P336" i="1"/>
  <c r="Q336" i="1" s="1"/>
  <c r="R336" i="1" s="1"/>
  <c r="U335" i="1"/>
  <c r="S336" i="1" l="1"/>
  <c r="T336" i="1"/>
  <c r="X337" i="1" l="1"/>
  <c r="Z337" i="1" s="1"/>
  <c r="V336" i="1"/>
  <c r="P337" i="1"/>
  <c r="Q337" i="1" s="1"/>
  <c r="R337" i="1" s="1"/>
  <c r="U336" i="1"/>
  <c r="S337" i="1" l="1"/>
  <c r="T337" i="1"/>
  <c r="X338" i="1" l="1"/>
  <c r="Z338" i="1" s="1"/>
  <c r="V337" i="1"/>
  <c r="U337" i="1"/>
  <c r="P338" i="1"/>
  <c r="Q338" i="1" s="1"/>
  <c r="R338" i="1" s="1"/>
  <c r="S338" i="1" l="1"/>
  <c r="T338" i="1"/>
  <c r="X339" i="1" l="1"/>
  <c r="Z339" i="1" s="1"/>
  <c r="V338" i="1"/>
  <c r="U338" i="1"/>
  <c r="P339" i="1"/>
  <c r="Q339" i="1" s="1"/>
  <c r="R339" i="1" s="1"/>
  <c r="S339" i="1" l="1"/>
  <c r="T339" i="1"/>
  <c r="X340" i="1" l="1"/>
  <c r="Z340" i="1" s="1"/>
  <c r="V339" i="1"/>
  <c r="P340" i="1"/>
  <c r="Q340" i="1" s="1"/>
  <c r="R340" i="1" s="1"/>
  <c r="U339" i="1"/>
  <c r="S340" i="1" l="1"/>
  <c r="T340" i="1"/>
  <c r="X341" i="1" l="1"/>
  <c r="Z341" i="1" s="1"/>
  <c r="V340" i="1"/>
  <c r="U340" i="1"/>
  <c r="P341" i="1"/>
  <c r="Q341" i="1" s="1"/>
  <c r="R341" i="1" s="1"/>
  <c r="S341" i="1" l="1"/>
  <c r="T341" i="1"/>
  <c r="X342" i="1" l="1"/>
  <c r="Z342" i="1" s="1"/>
  <c r="V341" i="1"/>
  <c r="P342" i="1"/>
  <c r="Q342" i="1" s="1"/>
  <c r="R342" i="1" s="1"/>
  <c r="U341" i="1"/>
  <c r="S342" i="1" l="1"/>
  <c r="T342" i="1"/>
  <c r="X343" i="1" l="1"/>
  <c r="Z343" i="1" s="1"/>
  <c r="V342" i="1"/>
  <c r="P343" i="1"/>
  <c r="Q343" i="1" s="1"/>
  <c r="R343" i="1" s="1"/>
  <c r="U342" i="1"/>
  <c r="S343" i="1" l="1"/>
  <c r="T343" i="1"/>
  <c r="X344" i="1" l="1"/>
  <c r="Z344" i="1" s="1"/>
  <c r="V343" i="1"/>
  <c r="P344" i="1"/>
  <c r="Q344" i="1" s="1"/>
  <c r="R344" i="1" s="1"/>
  <c r="U343" i="1"/>
  <c r="S344" i="1" l="1"/>
  <c r="T344" i="1"/>
  <c r="X345" i="1" l="1"/>
  <c r="Z345" i="1" s="1"/>
  <c r="V344" i="1"/>
  <c r="P345" i="1"/>
  <c r="Q345" i="1" s="1"/>
  <c r="R345" i="1" s="1"/>
  <c r="U344" i="1"/>
  <c r="S345" i="1" l="1"/>
  <c r="T345" i="1"/>
  <c r="X346" i="1" l="1"/>
  <c r="Z346" i="1" s="1"/>
  <c r="V345" i="1"/>
  <c r="P346" i="1"/>
  <c r="Q346" i="1" s="1"/>
  <c r="R346" i="1" s="1"/>
  <c r="U345" i="1"/>
  <c r="S346" i="1" l="1"/>
  <c r="T346" i="1"/>
  <c r="X347" i="1" l="1"/>
  <c r="Z347" i="1" s="1"/>
  <c r="V346" i="1"/>
  <c r="U346" i="1"/>
  <c r="P347" i="1"/>
  <c r="Q347" i="1" s="1"/>
  <c r="R347" i="1" s="1"/>
  <c r="S347" i="1" l="1"/>
  <c r="T347" i="1"/>
  <c r="X348" i="1" l="1"/>
  <c r="Z348" i="1" s="1"/>
  <c r="V347" i="1"/>
  <c r="P348" i="1"/>
  <c r="Q348" i="1" s="1"/>
  <c r="R348" i="1" s="1"/>
  <c r="U347" i="1"/>
  <c r="S348" i="1" l="1"/>
  <c r="T348" i="1"/>
  <c r="U348" i="1" l="1"/>
  <c r="V348" i="1"/>
  <c r="X349" i="1"/>
  <c r="Z349" i="1" s="1"/>
  <c r="P349" i="1"/>
  <c r="Q349" i="1" s="1"/>
  <c r="R349" i="1" s="1"/>
  <c r="S349" i="1" l="1"/>
  <c r="T349" i="1"/>
  <c r="U349" i="1" s="1"/>
  <c r="X350" i="1" l="1"/>
  <c r="Z350" i="1" s="1"/>
  <c r="V349" i="1"/>
  <c r="P350" i="1"/>
  <c r="Q350" i="1" s="1"/>
  <c r="R350" i="1" s="1"/>
  <c r="S350" i="1" l="1"/>
  <c r="T350" i="1"/>
  <c r="P351" i="1" s="1"/>
  <c r="Q351" i="1" s="1"/>
  <c r="R351" i="1" s="1"/>
  <c r="S351" i="1" l="1"/>
  <c r="U350" i="1"/>
  <c r="X351" i="1"/>
  <c r="Z351" i="1" s="1"/>
  <c r="V350" i="1"/>
  <c r="T351" i="1"/>
  <c r="P352" i="1" l="1"/>
  <c r="Q352" i="1" s="1"/>
  <c r="R352" i="1" s="1"/>
  <c r="V351" i="1"/>
  <c r="X352" i="1"/>
  <c r="Z352" i="1" s="1"/>
  <c r="U351" i="1"/>
  <c r="S352" i="1" l="1"/>
  <c r="T352" i="1"/>
  <c r="X353" i="1" s="1"/>
  <c r="Z353" i="1" s="1"/>
  <c r="P353" i="1" l="1"/>
  <c r="Q353" i="1" s="1"/>
  <c r="R353" i="1" s="1"/>
  <c r="U352" i="1"/>
  <c r="V352" i="1"/>
  <c r="S353" i="1" l="1"/>
  <c r="T353" i="1"/>
  <c r="X354" i="1" s="1"/>
  <c r="Z354" i="1" s="1"/>
  <c r="P354" i="1" l="1"/>
  <c r="Q354" i="1" s="1"/>
  <c r="R354" i="1" s="1"/>
  <c r="U353" i="1"/>
  <c r="V353" i="1"/>
  <c r="S354" i="1" l="1"/>
  <c r="T354" i="1"/>
  <c r="X355" i="1" s="1"/>
  <c r="Z355" i="1" s="1"/>
  <c r="P355" i="1" l="1"/>
  <c r="Q355" i="1" s="1"/>
  <c r="R355" i="1" s="1"/>
  <c r="U354" i="1"/>
  <c r="V354" i="1"/>
  <c r="S355" i="1" l="1"/>
  <c r="T355" i="1"/>
  <c r="X356" i="1" s="1"/>
  <c r="Z356" i="1" s="1"/>
  <c r="P356" i="1" l="1"/>
  <c r="Q356" i="1" s="1"/>
  <c r="R356" i="1" s="1"/>
  <c r="U355" i="1"/>
  <c r="V355" i="1"/>
  <c r="S356" i="1" l="1"/>
  <c r="T356" i="1"/>
  <c r="X357" i="1" s="1"/>
  <c r="Z357" i="1" s="1"/>
  <c r="P357" i="1" l="1"/>
  <c r="Q357" i="1" s="1"/>
  <c r="R357" i="1" s="1"/>
  <c r="U356" i="1"/>
  <c r="V356" i="1"/>
  <c r="S357" i="1" l="1"/>
  <c r="T357" i="1"/>
  <c r="X358" i="1" s="1"/>
  <c r="Z358" i="1" s="1"/>
  <c r="U357" i="1" l="1"/>
  <c r="P358" i="1"/>
  <c r="Q358" i="1" s="1"/>
  <c r="R358" i="1" s="1"/>
  <c r="V357" i="1"/>
  <c r="S358" i="1" l="1"/>
  <c r="T358" i="1"/>
  <c r="X359" i="1" s="1"/>
  <c r="Z359" i="1" s="1"/>
  <c r="U358" i="1" l="1"/>
  <c r="P359" i="1"/>
  <c r="Q359" i="1" s="1"/>
  <c r="R359" i="1" s="1"/>
  <c r="V358" i="1"/>
  <c r="S359" i="1" l="1"/>
  <c r="T359" i="1"/>
  <c r="X360" i="1" s="1"/>
  <c r="Z360" i="1" s="1"/>
  <c r="P360" i="1" l="1"/>
  <c r="Q360" i="1" s="1"/>
  <c r="R360" i="1" s="1"/>
  <c r="V359" i="1"/>
  <c r="U359" i="1"/>
  <c r="S360" i="1" l="1"/>
  <c r="T360" i="1"/>
  <c r="U360" i="1" s="1"/>
  <c r="P361" i="1" l="1"/>
  <c r="Q361" i="1" s="1"/>
  <c r="R361" i="1" s="1"/>
  <c r="X361" i="1"/>
  <c r="Z361" i="1" s="1"/>
  <c r="V360" i="1"/>
  <c r="S361" i="1" l="1"/>
  <c r="T361" i="1"/>
  <c r="U361" i="1" s="1"/>
  <c r="P362" i="1" l="1"/>
  <c r="Q362" i="1" s="1"/>
  <c r="R362" i="1" s="1"/>
  <c r="X362" i="1"/>
  <c r="Z362" i="1" s="1"/>
  <c r="V361" i="1"/>
  <c r="S362" i="1" l="1"/>
  <c r="T362" i="1"/>
  <c r="U362" i="1" s="1"/>
  <c r="X363" i="1" l="1"/>
  <c r="Z363" i="1" s="1"/>
  <c r="P363" i="1"/>
  <c r="Q363" i="1" s="1"/>
  <c r="R363" i="1" s="1"/>
  <c r="V362" i="1"/>
  <c r="S363" i="1" l="1"/>
  <c r="T363" i="1"/>
  <c r="X364" i="1" s="1"/>
  <c r="Z364" i="1" s="1"/>
  <c r="U363" i="1" l="1"/>
  <c r="P364" i="1"/>
  <c r="Q364" i="1" s="1"/>
  <c r="V363" i="1"/>
  <c r="R364" i="1" l="1"/>
  <c r="S364" i="1"/>
  <c r="T364" i="1"/>
  <c r="X365" i="1" s="1"/>
  <c r="Z365" i="1" s="1"/>
  <c r="P365" i="1" l="1"/>
  <c r="Q365" i="1" s="1"/>
  <c r="R365" i="1" s="1"/>
  <c r="U364" i="1"/>
  <c r="V364" i="1"/>
  <c r="S365" i="1" l="1"/>
  <c r="T365" i="1"/>
  <c r="U365" i="1" s="1"/>
  <c r="X366" i="1" l="1"/>
  <c r="Z366" i="1" s="1"/>
  <c r="P366" i="1"/>
  <c r="Q366" i="1" s="1"/>
  <c r="R366" i="1" s="1"/>
  <c r="V365" i="1"/>
  <c r="S366" i="1" l="1"/>
  <c r="T366" i="1"/>
  <c r="X367" i="1" s="1"/>
  <c r="Z367" i="1" s="1"/>
  <c r="U366" i="1" l="1"/>
  <c r="P367" i="1"/>
  <c r="Q367" i="1" s="1"/>
  <c r="V366" i="1"/>
  <c r="R367" i="1" l="1"/>
  <c r="S367" i="1"/>
  <c r="T367" i="1"/>
  <c r="X368" i="1" s="1"/>
  <c r="Z368" i="1" s="1"/>
  <c r="P368" i="1" l="1"/>
  <c r="Q368" i="1" s="1"/>
  <c r="R368" i="1" s="1"/>
  <c r="U367" i="1"/>
  <c r="V367" i="1"/>
  <c r="S368" i="1" l="1"/>
  <c r="T368" i="1"/>
  <c r="X369" i="1" s="1"/>
  <c r="Z369" i="1" s="1"/>
  <c r="U368" i="1" l="1"/>
  <c r="P369" i="1"/>
  <c r="Q369" i="1" s="1"/>
  <c r="R369" i="1" s="1"/>
  <c r="V368" i="1"/>
  <c r="S369" i="1" l="1"/>
  <c r="T369" i="1"/>
  <c r="X370" i="1" s="1"/>
  <c r="Z370" i="1" s="1"/>
  <c r="P370" i="1" l="1"/>
  <c r="Q370" i="1" s="1"/>
  <c r="U369" i="1"/>
  <c r="V369" i="1"/>
  <c r="R370" i="1" l="1"/>
  <c r="S370" i="1"/>
  <c r="T370" i="1"/>
  <c r="V370" i="1" s="1"/>
  <c r="X371" i="1" l="1"/>
  <c r="Z371" i="1" s="1"/>
  <c r="U370" i="1"/>
  <c r="P371" i="1"/>
  <c r="Q371" i="1" s="1"/>
  <c r="R371" i="1" s="1"/>
  <c r="S371" i="1" l="1"/>
  <c r="T371" i="1"/>
  <c r="X372" i="1" s="1"/>
  <c r="Z372" i="1" s="1"/>
  <c r="P372" i="1" l="1"/>
  <c r="Q372" i="1" s="1"/>
  <c r="R372" i="1" s="1"/>
  <c r="V371" i="1"/>
  <c r="U371" i="1"/>
  <c r="S372" i="1" l="1"/>
  <c r="T372" i="1"/>
  <c r="X373" i="1" s="1"/>
  <c r="Z373" i="1" s="1"/>
  <c r="U372" i="1" l="1"/>
  <c r="V372" i="1"/>
  <c r="P373" i="1"/>
  <c r="Q373" i="1" s="1"/>
  <c r="R373" i="1" s="1"/>
  <c r="S373" i="1" l="1"/>
  <c r="T373" i="1"/>
  <c r="X374" i="1" s="1"/>
  <c r="Z374" i="1" s="1"/>
  <c r="P374" i="1" l="1"/>
  <c r="Q374" i="1" s="1"/>
  <c r="R374" i="1" s="1"/>
  <c r="V373" i="1"/>
  <c r="U373" i="1"/>
  <c r="S374" i="1" l="1"/>
  <c r="T374" i="1"/>
  <c r="X375" i="1" s="1"/>
  <c r="Z375" i="1" s="1"/>
  <c r="U374" i="1" l="1"/>
  <c r="V374" i="1"/>
  <c r="P375" i="1"/>
  <c r="Q375" i="1" s="1"/>
  <c r="R375" i="1" l="1"/>
  <c r="S375" i="1"/>
  <c r="T375" i="1"/>
  <c r="X376" i="1" s="1"/>
  <c r="Z376" i="1" s="1"/>
  <c r="U375" i="1" l="1"/>
  <c r="V375" i="1"/>
  <c r="P376" i="1"/>
  <c r="Q376" i="1" s="1"/>
  <c r="R376" i="1" s="1"/>
  <c r="S376" i="1" l="1"/>
  <c r="T376" i="1"/>
  <c r="X377" i="1" s="1"/>
  <c r="Z377" i="1" s="1"/>
  <c r="P377" i="1" l="1"/>
  <c r="Q377" i="1" s="1"/>
  <c r="R377" i="1" s="1"/>
  <c r="V376" i="1"/>
  <c r="U376" i="1"/>
  <c r="S377" i="1" l="1"/>
  <c r="T377" i="1"/>
  <c r="X378" i="1" s="1"/>
  <c r="Z378" i="1" s="1"/>
  <c r="V377" i="1" l="1"/>
  <c r="U377" i="1"/>
  <c r="P378" i="1"/>
  <c r="Q378" i="1" s="1"/>
  <c r="R378" i="1" s="1"/>
  <c r="S378" i="1" l="1"/>
  <c r="T378" i="1"/>
  <c r="X379" i="1" s="1"/>
  <c r="Z379" i="1" s="1"/>
  <c r="V378" i="1" l="1"/>
  <c r="U378" i="1"/>
  <c r="P379" i="1"/>
  <c r="Q379" i="1" s="1"/>
  <c r="R379" i="1" s="1"/>
  <c r="S379" i="1" l="1"/>
  <c r="T379" i="1"/>
  <c r="V379" i="1" s="1"/>
  <c r="P380" i="1" l="1"/>
  <c r="Q380" i="1" s="1"/>
  <c r="R380" i="1" s="1"/>
  <c r="U379" i="1"/>
  <c r="X380" i="1"/>
  <c r="Z380" i="1" s="1"/>
  <c r="S380" i="1" l="1"/>
  <c r="T380" i="1"/>
  <c r="X381" i="1" s="1"/>
  <c r="Z381" i="1" s="1"/>
  <c r="V380" i="1" l="1"/>
  <c r="P381" i="1"/>
  <c r="Q381" i="1" s="1"/>
  <c r="R381" i="1" s="1"/>
  <c r="U380" i="1"/>
  <c r="S381" i="1" l="1"/>
  <c r="T381" i="1"/>
  <c r="U381" i="1" s="1"/>
  <c r="X382" i="1" l="1"/>
  <c r="Z382" i="1" s="1"/>
  <c r="V381" i="1"/>
  <c r="P382" i="1"/>
  <c r="Q382" i="1" s="1"/>
  <c r="R382" i="1" s="1"/>
  <c r="S382" i="1" l="1"/>
  <c r="T382" i="1"/>
  <c r="X383" i="1" s="1"/>
  <c r="Z383" i="1" s="1"/>
  <c r="V382" i="1" l="1"/>
  <c r="P383" i="1"/>
  <c r="Q383" i="1" s="1"/>
  <c r="R383" i="1" s="1"/>
  <c r="U382" i="1"/>
  <c r="S383" i="1" l="1"/>
  <c r="T383" i="1"/>
  <c r="X384" i="1" s="1"/>
  <c r="Z384" i="1" s="1"/>
  <c r="V383" i="1" l="1"/>
  <c r="P384" i="1"/>
  <c r="Q384" i="1" s="1"/>
  <c r="R384" i="1" s="1"/>
  <c r="U383" i="1"/>
  <c r="S384" i="1" l="1"/>
  <c r="T384" i="1"/>
  <c r="P385" i="1" s="1"/>
  <c r="Q385" i="1" s="1"/>
  <c r="R385" i="1" s="1"/>
  <c r="S385" i="1" l="1"/>
  <c r="V384" i="1"/>
  <c r="T385" i="1"/>
  <c r="X386" i="1" s="1"/>
  <c r="X385" i="1"/>
  <c r="Z385" i="1" s="1"/>
  <c r="U384" i="1"/>
  <c r="Z386" i="1" l="1"/>
  <c r="P386" i="1"/>
  <c r="Q386" i="1" s="1"/>
  <c r="R386" i="1" s="1"/>
  <c r="V385" i="1"/>
  <c r="U385" i="1"/>
  <c r="S386" i="1" l="1"/>
  <c r="T386" i="1"/>
  <c r="X387" i="1" s="1"/>
  <c r="Z387" i="1" s="1"/>
  <c r="V386" i="1" l="1"/>
  <c r="U386" i="1"/>
  <c r="P387" i="1"/>
  <c r="Q387" i="1" s="1"/>
  <c r="R387" i="1" s="1"/>
  <c r="T387" i="1" l="1"/>
  <c r="X388" i="1" s="1"/>
  <c r="Z388" i="1" s="1"/>
  <c r="S387" i="1"/>
  <c r="P388" i="1" l="1"/>
  <c r="Q388" i="1" s="1"/>
  <c r="R388" i="1" s="1"/>
  <c r="V387" i="1"/>
  <c r="U387" i="1"/>
  <c r="T388" i="1" l="1"/>
  <c r="X389" i="1" s="1"/>
  <c r="Z389" i="1" s="1"/>
  <c r="S388" i="1"/>
  <c r="V388" i="1" l="1"/>
  <c r="U388" i="1"/>
  <c r="P389" i="1"/>
  <c r="Q389" i="1" s="1"/>
  <c r="S389" i="1" s="1"/>
  <c r="R389" i="1" l="1"/>
  <c r="T389" i="1"/>
  <c r="X390" i="1" s="1"/>
  <c r="Z390" i="1" s="1"/>
  <c r="P390" i="1" l="1"/>
  <c r="Q390" i="1" s="1"/>
  <c r="R390" i="1" s="1"/>
  <c r="U389" i="1"/>
  <c r="V389" i="1"/>
  <c r="S390" i="1" l="1"/>
  <c r="T390" i="1"/>
  <c r="V390" i="1" s="1"/>
  <c r="P391" i="1" l="1"/>
  <c r="Q391" i="1" s="1"/>
  <c r="R391" i="1" s="1"/>
  <c r="U390" i="1"/>
  <c r="X391" i="1"/>
  <c r="Z391" i="1" s="1"/>
  <c r="S391" i="1" l="1"/>
  <c r="T391" i="1"/>
  <c r="X392" i="1" s="1"/>
  <c r="Z392" i="1" s="1"/>
  <c r="V391" i="1" l="1"/>
  <c r="U391" i="1"/>
  <c r="P392" i="1"/>
  <c r="Q392" i="1" s="1"/>
  <c r="R392" i="1" s="1"/>
  <c r="T392" i="1" l="1"/>
  <c r="V392" i="1" s="1"/>
  <c r="S392" i="1"/>
  <c r="U392" i="1" l="1"/>
  <c r="P393" i="1"/>
  <c r="T393" i="1" s="1"/>
  <c r="V393" i="1" s="1"/>
  <c r="X393" i="1"/>
  <c r="Z393" i="1" s="1"/>
  <c r="Q393" i="1" l="1"/>
  <c r="R393" i="1" s="1"/>
  <c r="X394" i="1"/>
  <c r="Z394" i="1" s="1"/>
  <c r="U393" i="1"/>
  <c r="P394" i="1"/>
  <c r="Q394" i="1" s="1"/>
  <c r="S393" i="1" l="1"/>
  <c r="S394" i="1" s="1"/>
  <c r="R394" i="1"/>
  <c r="T394" i="1"/>
  <c r="V394" i="1" s="1"/>
  <c r="P395" i="1" l="1"/>
  <c r="Q395" i="1" s="1"/>
  <c r="R395" i="1" s="1"/>
  <c r="U394" i="1"/>
  <c r="X395" i="1"/>
  <c r="Z395" i="1" s="1"/>
  <c r="S395" i="1" l="1"/>
  <c r="T395" i="1"/>
  <c r="V395" i="1" s="1"/>
  <c r="U395" i="1" l="1"/>
  <c r="P396" i="1"/>
  <c r="Q396" i="1" s="1"/>
  <c r="R396" i="1" s="1"/>
  <c r="X396" i="1"/>
  <c r="Z396" i="1" s="1"/>
  <c r="S396" i="1" l="1"/>
  <c r="T396" i="1"/>
  <c r="V396" i="1" s="1"/>
  <c r="U396" i="1" l="1"/>
  <c r="P397" i="1"/>
  <c r="Q397" i="1" s="1"/>
  <c r="R397" i="1" s="1"/>
  <c r="X397" i="1"/>
  <c r="Z397" i="1" s="1"/>
  <c r="S397" i="1" l="1"/>
  <c r="T397" i="1"/>
  <c r="X398" i="1" s="1"/>
  <c r="Z398" i="1" s="1"/>
  <c r="V397" i="1" l="1"/>
  <c r="P398" i="1"/>
  <c r="Q398" i="1" s="1"/>
  <c r="R398" i="1" s="1"/>
  <c r="U397" i="1"/>
  <c r="S398" i="1" l="1"/>
  <c r="T398" i="1"/>
  <c r="X399" i="1" s="1"/>
  <c r="Z399" i="1" s="1"/>
  <c r="V398" i="1" l="1"/>
  <c r="P399" i="1"/>
  <c r="Q399" i="1" s="1"/>
  <c r="R399" i="1" s="1"/>
  <c r="U398" i="1"/>
  <c r="S399" i="1" l="1"/>
  <c r="T399" i="1"/>
  <c r="X400" i="1" s="1"/>
  <c r="Z400" i="1" s="1"/>
  <c r="P400" i="1" l="1"/>
  <c r="Q400" i="1" s="1"/>
  <c r="R400" i="1" s="1"/>
  <c r="U399" i="1"/>
  <c r="V399" i="1"/>
  <c r="S400" i="1" l="1"/>
  <c r="T400" i="1"/>
  <c r="V400" i="1" s="1"/>
  <c r="U400" i="1" l="1"/>
  <c r="P401" i="1"/>
  <c r="Q401" i="1" s="1"/>
  <c r="R401" i="1" s="1"/>
  <c r="X401" i="1"/>
  <c r="Z401" i="1" s="1"/>
  <c r="S401" i="1" l="1"/>
  <c r="T401" i="1"/>
  <c r="U401" i="1" s="1"/>
  <c r="P402" i="1" l="1"/>
  <c r="Q402" i="1" s="1"/>
  <c r="R402" i="1" s="1"/>
  <c r="V401" i="1"/>
  <c r="X402" i="1"/>
  <c r="Z402" i="1" s="1"/>
  <c r="T402" i="1" l="1"/>
  <c r="X403" i="1" s="1"/>
  <c r="Z403" i="1" s="1"/>
  <c r="S402" i="1"/>
  <c r="P403" i="1" l="1"/>
  <c r="Q403" i="1" s="1"/>
  <c r="R403" i="1" s="1"/>
  <c r="U402" i="1"/>
  <c r="V402" i="1"/>
  <c r="S403" i="1" l="1"/>
  <c r="T403" i="1"/>
  <c r="V403" i="1" s="1"/>
  <c r="X404" i="1" l="1"/>
  <c r="Z404" i="1" s="1"/>
  <c r="U403" i="1"/>
  <c r="P404" i="1"/>
  <c r="Q404" i="1" s="1"/>
  <c r="R404" i="1" s="1"/>
  <c r="S404" i="1" l="1"/>
  <c r="T404" i="1"/>
  <c r="P405" i="1" s="1"/>
  <c r="Q405" i="1" s="1"/>
  <c r="R405" i="1" s="1"/>
  <c r="X405" i="1" l="1"/>
  <c r="Z405" i="1" s="1"/>
  <c r="T405" i="1"/>
  <c r="X406" i="1" s="1"/>
  <c r="S405" i="1"/>
  <c r="V404" i="1"/>
  <c r="U404" i="1"/>
  <c r="Z406" i="1" l="1"/>
  <c r="U405" i="1"/>
  <c r="V405" i="1"/>
  <c r="P406" i="1"/>
  <c r="T406" i="1" s="1"/>
  <c r="P407" i="1" s="1"/>
  <c r="Q407" i="1" s="1"/>
  <c r="X407" i="1" l="1"/>
  <c r="Z407" i="1" s="1"/>
  <c r="V406" i="1"/>
  <c r="T407" i="1"/>
  <c r="U407" i="1" s="1"/>
  <c r="Q406" i="1"/>
  <c r="R406" i="1" s="1"/>
  <c r="R407" i="1" s="1"/>
  <c r="U406" i="1"/>
  <c r="P408" i="1" l="1"/>
  <c r="Q408" i="1" s="1"/>
  <c r="R408" i="1" s="1"/>
  <c r="V407" i="1"/>
  <c r="S406" i="1"/>
  <c r="S407" i="1" s="1"/>
  <c r="X408" i="1"/>
  <c r="Z408" i="1" s="1"/>
  <c r="T408" i="1" l="1"/>
  <c r="X409" i="1" s="1"/>
  <c r="Z409" i="1" s="1"/>
  <c r="S408" i="1"/>
  <c r="P409" i="1" l="1"/>
  <c r="Q409" i="1" s="1"/>
  <c r="R409" i="1" s="1"/>
  <c r="V408" i="1"/>
  <c r="U408" i="1"/>
  <c r="T409" i="1" l="1"/>
  <c r="P410" i="1" s="1"/>
  <c r="Q410" i="1" s="1"/>
  <c r="R410" i="1" s="1"/>
  <c r="S409" i="1"/>
  <c r="U409" i="1" l="1"/>
  <c r="V409" i="1"/>
  <c r="X410" i="1"/>
  <c r="Z410" i="1" s="1"/>
  <c r="S410" i="1"/>
  <c r="T410" i="1"/>
  <c r="X411" i="1" l="1"/>
  <c r="Z411" i="1" s="1"/>
  <c r="V410" i="1"/>
  <c r="U410" i="1"/>
  <c r="P411" i="1"/>
  <c r="Q411" i="1" s="1"/>
  <c r="R411" i="1" s="1"/>
  <c r="S411" i="1" l="1"/>
  <c r="T411" i="1"/>
  <c r="X412" i="1" l="1"/>
  <c r="Z412" i="1" s="1"/>
  <c r="V411" i="1"/>
  <c r="P412" i="1"/>
  <c r="Q412" i="1" s="1"/>
  <c r="R412" i="1" s="1"/>
  <c r="U411" i="1"/>
  <c r="S412" i="1" l="1"/>
  <c r="T412" i="1"/>
  <c r="X413" i="1" l="1"/>
  <c r="Z413" i="1" s="1"/>
  <c r="V412" i="1"/>
  <c r="P413" i="1"/>
  <c r="Q413" i="1" s="1"/>
  <c r="R413" i="1" s="1"/>
  <c r="U412" i="1"/>
  <c r="S413" i="1" l="1"/>
  <c r="T413" i="1"/>
  <c r="X414" i="1" l="1"/>
  <c r="Z414" i="1" s="1"/>
  <c r="V413" i="1"/>
  <c r="U413" i="1"/>
  <c r="P414" i="1"/>
  <c r="Q414" i="1" s="1"/>
  <c r="R414" i="1" s="1"/>
  <c r="S414" i="1" l="1"/>
  <c r="T414" i="1"/>
  <c r="X415" i="1" l="1"/>
  <c r="Z415" i="1" s="1"/>
  <c r="V414" i="1"/>
  <c r="P415" i="1"/>
  <c r="Q415" i="1" s="1"/>
  <c r="R415" i="1" s="1"/>
  <c r="U414" i="1"/>
  <c r="S415" i="1" l="1"/>
  <c r="T415" i="1"/>
  <c r="P416" i="1" s="1"/>
  <c r="T416" i="1" s="1"/>
  <c r="V416" i="1" s="1"/>
  <c r="X416" i="1" l="1"/>
  <c r="Z416" i="1" s="1"/>
  <c r="V415" i="1"/>
  <c r="Q416" i="1"/>
  <c r="R416" i="1" s="1"/>
  <c r="U415" i="1"/>
  <c r="X417" i="1"/>
  <c r="U416" i="1"/>
  <c r="P417" i="1"/>
  <c r="S416" i="1" l="1"/>
  <c r="Z417" i="1"/>
  <c r="Q417" i="1"/>
  <c r="R417" i="1" s="1"/>
  <c r="T417" i="1"/>
  <c r="S417" i="1" l="1"/>
  <c r="X418" i="1"/>
  <c r="Z418" i="1" s="1"/>
  <c r="V417" i="1"/>
  <c r="U417" i="1"/>
  <c r="P418" i="1"/>
  <c r="Q418" i="1" l="1"/>
  <c r="R418" i="1" s="1"/>
  <c r="T418" i="1"/>
  <c r="V418" i="1" s="1"/>
  <c r="S418" i="1" l="1"/>
  <c r="X419" i="1"/>
  <c r="Z419" i="1" s="1"/>
  <c r="U418" i="1"/>
  <c r="P419" i="1"/>
  <c r="Q419" i="1" l="1"/>
  <c r="R419" i="1" s="1"/>
  <c r="T419" i="1"/>
  <c r="S419" i="1" l="1"/>
  <c r="X420" i="1"/>
  <c r="Z420" i="1" s="1"/>
  <c r="V419" i="1"/>
  <c r="U419" i="1"/>
  <c r="P420" i="1"/>
  <c r="Q420" i="1" l="1"/>
  <c r="R420" i="1" s="1"/>
  <c r="T420" i="1"/>
  <c r="S420" i="1" l="1"/>
  <c r="X421" i="1"/>
  <c r="Z421" i="1" s="1"/>
  <c r="V420" i="1"/>
  <c r="U420" i="1"/>
  <c r="P421" i="1"/>
  <c r="T421" i="1" s="1"/>
  <c r="X422" i="1" l="1"/>
  <c r="Z422" i="1" s="1"/>
  <c r="V421" i="1"/>
  <c r="P422" i="1"/>
  <c r="U421" i="1"/>
  <c r="Q421" i="1"/>
  <c r="R421" i="1" s="1"/>
  <c r="S421" i="1" l="1"/>
  <c r="Q422" i="1"/>
  <c r="R422" i="1" s="1"/>
  <c r="T422" i="1"/>
  <c r="V422" i="1" s="1"/>
  <c r="S422" i="1" l="1"/>
  <c r="X423" i="1"/>
  <c r="Z423" i="1" s="1"/>
  <c r="U422" i="1"/>
  <c r="P423" i="1"/>
  <c r="Q423" i="1" l="1"/>
  <c r="R423" i="1" s="1"/>
  <c r="T423" i="1"/>
  <c r="S423" i="1" l="1"/>
  <c r="X424" i="1"/>
  <c r="Z424" i="1" s="1"/>
  <c r="V423" i="1"/>
  <c r="P424" i="1"/>
  <c r="U423" i="1"/>
  <c r="Q424" i="1" l="1"/>
  <c r="T424" i="1"/>
  <c r="R424" i="1" l="1"/>
  <c r="S424" i="1"/>
  <c r="X425" i="1"/>
  <c r="Z425" i="1" s="1"/>
  <c r="V424" i="1"/>
  <c r="P425" i="1"/>
  <c r="U424" i="1"/>
  <c r="Q425" i="1" l="1"/>
  <c r="R425" i="1" s="1"/>
  <c r="T425" i="1"/>
  <c r="S425" i="1" l="1"/>
  <c r="X426" i="1"/>
  <c r="Z426" i="1" s="1"/>
  <c r="V425" i="1"/>
  <c r="U425" i="1"/>
  <c r="P426" i="1"/>
  <c r="Q426" i="1" l="1"/>
  <c r="R426" i="1" s="1"/>
  <c r="T426" i="1"/>
  <c r="S426" i="1" l="1"/>
  <c r="X427" i="1"/>
  <c r="Z427" i="1" s="1"/>
  <c r="V426" i="1"/>
  <c r="U426" i="1"/>
  <c r="P427" i="1"/>
  <c r="Q427" i="1" l="1"/>
  <c r="R427" i="1" s="1"/>
  <c r="T427" i="1"/>
  <c r="S427" i="1" l="1"/>
  <c r="X428" i="1"/>
  <c r="Z428" i="1" s="1"/>
  <c r="V427" i="1"/>
  <c r="U427" i="1"/>
  <c r="P428" i="1"/>
  <c r="Q428" i="1" l="1"/>
  <c r="R428" i="1" s="1"/>
  <c r="T428" i="1"/>
  <c r="S428" i="1" l="1"/>
  <c r="X429" i="1"/>
  <c r="Z429" i="1" s="1"/>
  <c r="V428" i="1"/>
  <c r="P429" i="1"/>
  <c r="U428" i="1"/>
  <c r="Q429" i="1" l="1"/>
  <c r="R429" i="1" s="1"/>
  <c r="T429" i="1"/>
  <c r="S429" i="1" l="1"/>
  <c r="X430" i="1"/>
  <c r="Z430" i="1" s="1"/>
  <c r="V429" i="1"/>
  <c r="U429" i="1"/>
  <c r="P430" i="1"/>
  <c r="Q430" i="1" l="1"/>
  <c r="R430" i="1" s="1"/>
  <c r="T430" i="1"/>
  <c r="S430" i="1" l="1"/>
  <c r="X431" i="1"/>
  <c r="Z431" i="1" s="1"/>
  <c r="V430" i="1"/>
  <c r="P431" i="1"/>
  <c r="U430" i="1"/>
  <c r="Q431" i="1" l="1"/>
  <c r="R431" i="1" s="1"/>
  <c r="T431" i="1"/>
  <c r="S431" i="1" l="1"/>
  <c r="X432" i="1"/>
  <c r="Z432" i="1" s="1"/>
  <c r="V431" i="1"/>
  <c r="P432" i="1"/>
  <c r="U431" i="1"/>
  <c r="Q432" i="1" l="1"/>
  <c r="R432" i="1" s="1"/>
  <c r="T432" i="1"/>
  <c r="S432" i="1" l="1"/>
  <c r="X433" i="1"/>
  <c r="Z433" i="1" s="1"/>
  <c r="V432" i="1"/>
  <c r="P433" i="1"/>
  <c r="U432" i="1"/>
  <c r="Q433" i="1" l="1"/>
  <c r="R433" i="1" s="1"/>
  <c r="T433" i="1"/>
  <c r="S433" i="1" l="1"/>
  <c r="X434" i="1"/>
  <c r="Z434" i="1" s="1"/>
  <c r="V433" i="1"/>
  <c r="U433" i="1"/>
  <c r="P434" i="1"/>
  <c r="Q434" i="1" l="1"/>
  <c r="R434" i="1" s="1"/>
  <c r="T434" i="1"/>
  <c r="S434" i="1" l="1"/>
  <c r="X435" i="1"/>
  <c r="Z435" i="1" s="1"/>
  <c r="V434" i="1"/>
  <c r="U434" i="1"/>
  <c r="P435" i="1"/>
  <c r="Q435" i="1" l="1"/>
  <c r="R435" i="1" s="1"/>
  <c r="T435" i="1"/>
  <c r="S435" i="1" l="1"/>
  <c r="X436" i="1"/>
  <c r="Z436" i="1" s="1"/>
  <c r="V435" i="1"/>
  <c r="P436" i="1"/>
  <c r="U435" i="1"/>
  <c r="Q436" i="1" l="1"/>
  <c r="R436" i="1" s="1"/>
  <c r="T436" i="1"/>
  <c r="S436" i="1" l="1"/>
  <c r="X437" i="1"/>
  <c r="Z437" i="1" s="1"/>
  <c r="V436" i="1"/>
  <c r="P437" i="1"/>
  <c r="U436" i="1"/>
  <c r="Q437" i="1" l="1"/>
  <c r="R437" i="1" s="1"/>
  <c r="T437" i="1"/>
  <c r="S437" i="1" l="1"/>
  <c r="X438" i="1"/>
  <c r="Z438" i="1" s="1"/>
  <c r="V437" i="1"/>
  <c r="U437" i="1"/>
  <c r="P438" i="1"/>
  <c r="Q438" i="1" l="1"/>
  <c r="R438" i="1" s="1"/>
  <c r="T438" i="1"/>
  <c r="S438" i="1" l="1"/>
  <c r="X439" i="1"/>
  <c r="Z439" i="1" s="1"/>
  <c r="V438" i="1"/>
  <c r="U438" i="1"/>
  <c r="P439" i="1"/>
  <c r="Q439" i="1" l="1"/>
  <c r="R439" i="1" s="1"/>
  <c r="T439" i="1"/>
  <c r="S439" i="1" l="1"/>
  <c r="X440" i="1"/>
  <c r="Z440" i="1" s="1"/>
  <c r="V439" i="1"/>
  <c r="P440" i="1"/>
  <c r="U439" i="1"/>
  <c r="Q440" i="1" l="1"/>
  <c r="R440" i="1" s="1"/>
  <c r="T440" i="1"/>
  <c r="S440" i="1" l="1"/>
  <c r="X441" i="1"/>
  <c r="Z441" i="1" s="1"/>
  <c r="V440" i="1"/>
  <c r="P441" i="1"/>
  <c r="T441" i="1" s="1"/>
  <c r="U440" i="1"/>
  <c r="X442" i="1" l="1"/>
  <c r="Z442" i="1" s="1"/>
  <c r="V441" i="1"/>
  <c r="U441" i="1"/>
  <c r="P442" i="1"/>
  <c r="T442" i="1" s="1"/>
  <c r="Q441" i="1"/>
  <c r="R441" i="1" s="1"/>
  <c r="S441" i="1" l="1"/>
  <c r="X443" i="1"/>
  <c r="Z443" i="1" s="1"/>
  <c r="V442" i="1"/>
  <c r="Q442" i="1"/>
  <c r="R442" i="1" s="1"/>
  <c r="P443" i="1"/>
  <c r="U442" i="1"/>
  <c r="S442" i="1" l="1"/>
  <c r="Q443" i="1"/>
  <c r="R443" i="1" s="1"/>
  <c r="T443" i="1"/>
  <c r="S443" i="1" l="1"/>
  <c r="X444" i="1"/>
  <c r="Z444" i="1" s="1"/>
  <c r="V443" i="1"/>
  <c r="P444" i="1"/>
  <c r="U443" i="1"/>
  <c r="Q444" i="1" l="1"/>
  <c r="R444" i="1" s="1"/>
  <c r="T444" i="1"/>
  <c r="S444" i="1" l="1"/>
  <c r="X445" i="1"/>
  <c r="Z445" i="1" s="1"/>
  <c r="V444" i="1"/>
  <c r="U444" i="1"/>
  <c r="P445" i="1"/>
  <c r="Q445" i="1" l="1"/>
  <c r="R445" i="1" s="1"/>
  <c r="T445" i="1"/>
  <c r="S445" i="1" l="1"/>
  <c r="X446" i="1"/>
  <c r="Z446" i="1" s="1"/>
  <c r="V445" i="1"/>
  <c r="U445" i="1"/>
  <c r="P446" i="1"/>
  <c r="Q446" i="1" l="1"/>
  <c r="R446" i="1" s="1"/>
  <c r="T446" i="1"/>
  <c r="V446" i="1" s="1"/>
  <c r="S446" i="1" l="1"/>
  <c r="X447" i="1"/>
  <c r="Z447" i="1" s="1"/>
  <c r="P447" i="1"/>
  <c r="T447" i="1" s="1"/>
  <c r="U446" i="1"/>
  <c r="X448" i="1" l="1"/>
  <c r="Z448" i="1" s="1"/>
  <c r="V447" i="1"/>
  <c r="P448" i="1"/>
  <c r="U447" i="1"/>
  <c r="Q447" i="1"/>
  <c r="R447" i="1" s="1"/>
  <c r="S447" i="1" l="1"/>
  <c r="Q448" i="1"/>
  <c r="R448" i="1" s="1"/>
  <c r="T448" i="1"/>
  <c r="S448" i="1" l="1"/>
  <c r="X449" i="1"/>
  <c r="Z449" i="1" s="1"/>
  <c r="V448" i="1"/>
  <c r="U448" i="1"/>
  <c r="P449" i="1"/>
  <c r="Q449" i="1" l="1"/>
  <c r="R449" i="1" s="1"/>
  <c r="T449" i="1"/>
  <c r="S449" i="1" l="1"/>
  <c r="X450" i="1"/>
  <c r="Z450" i="1" s="1"/>
  <c r="V449" i="1"/>
  <c r="P450" i="1"/>
  <c r="Q450" i="1" s="1"/>
  <c r="R450" i="1" s="1"/>
  <c r="U449" i="1"/>
  <c r="S450" i="1" l="1"/>
  <c r="T450" i="1"/>
  <c r="X451" i="1" l="1"/>
  <c r="Z451" i="1" s="1"/>
  <c r="V450" i="1"/>
  <c r="P451" i="1"/>
  <c r="U450" i="1"/>
  <c r="Q451" i="1" l="1"/>
  <c r="T451" i="1"/>
  <c r="R451" i="1" l="1"/>
  <c r="S451" i="1"/>
  <c r="X452" i="1"/>
  <c r="Z452" i="1" s="1"/>
  <c r="V451" i="1"/>
  <c r="U451" i="1"/>
  <c r="P452" i="1"/>
  <c r="Q452" i="1" s="1"/>
  <c r="R452" i="1" l="1"/>
  <c r="S452" i="1"/>
  <c r="T452" i="1"/>
  <c r="X453" i="1" l="1"/>
  <c r="Z453" i="1" s="1"/>
  <c r="V452" i="1"/>
  <c r="P453" i="1"/>
  <c r="Q453" i="1" s="1"/>
  <c r="U452" i="1"/>
  <c r="R453" i="1" l="1"/>
  <c r="S453" i="1"/>
  <c r="T453" i="1"/>
  <c r="X454" i="1" l="1"/>
  <c r="Z454" i="1" s="1"/>
  <c r="V453" i="1"/>
  <c r="P454" i="1"/>
  <c r="Q454" i="1" s="1"/>
  <c r="R454" i="1" s="1"/>
  <c r="U453" i="1"/>
  <c r="S454" i="1" l="1"/>
  <c r="T454" i="1"/>
  <c r="X455" i="1" l="1"/>
  <c r="Z455" i="1" s="1"/>
  <c r="V454" i="1"/>
  <c r="U454" i="1"/>
  <c r="P455" i="1"/>
  <c r="Q455" i="1" s="1"/>
  <c r="R455" i="1" s="1"/>
  <c r="S455" i="1" l="1"/>
  <c r="T455" i="1"/>
  <c r="X456" i="1" l="1"/>
  <c r="Z456" i="1" s="1"/>
  <c r="V455" i="1"/>
  <c r="U455" i="1"/>
  <c r="P456" i="1"/>
  <c r="Q456" i="1" s="1"/>
  <c r="R456" i="1" s="1"/>
  <c r="S456" i="1" l="1"/>
  <c r="T456" i="1"/>
  <c r="X457" i="1" l="1"/>
  <c r="Z457" i="1" s="1"/>
  <c r="V456" i="1"/>
  <c r="U456" i="1"/>
  <c r="P457" i="1"/>
  <c r="Q457" i="1" s="1"/>
  <c r="R457" i="1" s="1"/>
  <c r="S457" i="1" l="1"/>
  <c r="T457" i="1"/>
  <c r="X458" i="1" l="1"/>
  <c r="Z458" i="1" s="1"/>
  <c r="V457" i="1"/>
  <c r="U457" i="1"/>
  <c r="P458" i="1"/>
  <c r="Q458" i="1" s="1"/>
  <c r="R458" i="1" s="1"/>
  <c r="S458" i="1" l="1"/>
  <c r="T458" i="1"/>
  <c r="X459" i="1" l="1"/>
  <c r="Z459" i="1" s="1"/>
  <c r="V458" i="1"/>
  <c r="U458" i="1"/>
  <c r="P459" i="1"/>
  <c r="Q459" i="1" s="1"/>
  <c r="R459" i="1" s="1"/>
  <c r="S459" i="1" l="1"/>
  <c r="T459" i="1"/>
  <c r="X460" i="1" l="1"/>
  <c r="Z460" i="1" s="1"/>
  <c r="V459" i="1"/>
  <c r="U459" i="1"/>
  <c r="P460" i="1"/>
  <c r="Q460" i="1" s="1"/>
  <c r="R460" i="1" s="1"/>
  <c r="S460" i="1" l="1"/>
  <c r="T460" i="1"/>
  <c r="X461" i="1" l="1"/>
  <c r="Z461" i="1" s="1"/>
  <c r="V460" i="1"/>
  <c r="P461" i="1"/>
  <c r="Q461" i="1" s="1"/>
  <c r="R461" i="1" s="1"/>
  <c r="U460" i="1"/>
  <c r="S461" i="1" l="1"/>
  <c r="T461" i="1"/>
  <c r="X462" i="1" l="1"/>
  <c r="Z462" i="1" s="1"/>
  <c r="V461" i="1"/>
  <c r="P462" i="1"/>
  <c r="Q462" i="1" s="1"/>
  <c r="R462" i="1" s="1"/>
  <c r="U461" i="1"/>
  <c r="S462" i="1" l="1"/>
  <c r="T462" i="1"/>
  <c r="X463" i="1" l="1"/>
  <c r="Z463" i="1" s="1"/>
  <c r="V462" i="1"/>
  <c r="U462" i="1"/>
  <c r="P463" i="1"/>
  <c r="Q463" i="1" s="1"/>
  <c r="R463" i="1" s="1"/>
  <c r="S463" i="1" l="1"/>
  <c r="T463" i="1"/>
  <c r="X464" i="1" l="1"/>
  <c r="Z464" i="1" s="1"/>
  <c r="V463" i="1"/>
  <c r="P464" i="1"/>
  <c r="Q464" i="1" s="1"/>
  <c r="R464" i="1" s="1"/>
  <c r="U463" i="1"/>
  <c r="S464" i="1" l="1"/>
  <c r="T464" i="1"/>
  <c r="X465" i="1" l="1"/>
  <c r="Z465" i="1" s="1"/>
  <c r="V464" i="1"/>
  <c r="P465" i="1"/>
  <c r="Q465" i="1" s="1"/>
  <c r="R465" i="1" s="1"/>
  <c r="U464" i="1"/>
  <c r="S465" i="1" l="1"/>
  <c r="T465" i="1"/>
  <c r="X466" i="1" l="1"/>
  <c r="Z466" i="1" s="1"/>
  <c r="V465" i="1"/>
  <c r="U465" i="1"/>
  <c r="P466" i="1"/>
  <c r="Q466" i="1" s="1"/>
  <c r="R466" i="1" s="1"/>
  <c r="S466" i="1" l="1"/>
  <c r="T466" i="1"/>
  <c r="X467" i="1" l="1"/>
  <c r="Z467" i="1" s="1"/>
  <c r="V466" i="1"/>
  <c r="P467" i="1"/>
  <c r="Q467" i="1" s="1"/>
  <c r="R467" i="1" s="1"/>
  <c r="U466" i="1"/>
  <c r="S467" i="1" l="1"/>
  <c r="T467" i="1"/>
  <c r="X468" i="1" l="1"/>
  <c r="Z468" i="1" s="1"/>
  <c r="V467" i="1"/>
  <c r="P468" i="1"/>
  <c r="Q468" i="1" s="1"/>
  <c r="R468" i="1" s="1"/>
  <c r="U467" i="1"/>
  <c r="S468" i="1" l="1"/>
  <c r="T468" i="1"/>
  <c r="X469" i="1" l="1"/>
  <c r="Z469" i="1" s="1"/>
  <c r="V468" i="1"/>
  <c r="P469" i="1"/>
  <c r="Q469" i="1" s="1"/>
  <c r="R469" i="1" s="1"/>
  <c r="U468" i="1"/>
  <c r="S469" i="1" l="1"/>
  <c r="T469" i="1"/>
  <c r="X470" i="1" l="1"/>
  <c r="Z470" i="1" s="1"/>
  <c r="V469" i="1"/>
  <c r="P470" i="1"/>
  <c r="Q470" i="1" s="1"/>
  <c r="R470" i="1" s="1"/>
  <c r="U469" i="1"/>
  <c r="S470" i="1" l="1"/>
  <c r="T470" i="1"/>
  <c r="X471" i="1" l="1"/>
  <c r="Z471" i="1" s="1"/>
  <c r="V470" i="1"/>
  <c r="U470" i="1"/>
  <c r="P471" i="1"/>
  <c r="Q471" i="1" s="1"/>
  <c r="R471" i="1" s="1"/>
  <c r="S471" i="1" l="1"/>
  <c r="T471" i="1"/>
  <c r="V471" i="1" s="1"/>
  <c r="P472" i="1" l="1"/>
  <c r="Q472" i="1" s="1"/>
  <c r="R472" i="1" s="1"/>
  <c r="X472" i="1"/>
  <c r="Z472" i="1" s="1"/>
  <c r="U471" i="1"/>
  <c r="S472" i="1" l="1"/>
  <c r="T472" i="1"/>
  <c r="X473" i="1" l="1"/>
  <c r="Z473" i="1" s="1"/>
  <c r="V472" i="1"/>
  <c r="U472" i="1"/>
  <c r="P473" i="1"/>
  <c r="Q473" i="1" s="1"/>
  <c r="R473" i="1" s="1"/>
  <c r="S473" i="1" l="1"/>
  <c r="T473" i="1"/>
  <c r="X474" i="1" l="1"/>
  <c r="Z474" i="1" s="1"/>
  <c r="V473" i="1"/>
  <c r="U473" i="1"/>
  <c r="P474" i="1"/>
  <c r="Q474" i="1" s="1"/>
  <c r="R474" i="1" s="1"/>
  <c r="S474" i="1" l="1"/>
  <c r="T474" i="1"/>
  <c r="X475" i="1" l="1"/>
  <c r="Z475" i="1" s="1"/>
  <c r="V474" i="1"/>
  <c r="P475" i="1"/>
  <c r="Q475" i="1" s="1"/>
  <c r="R475" i="1" s="1"/>
  <c r="U474" i="1"/>
  <c r="S475" i="1" l="1"/>
  <c r="T475" i="1"/>
  <c r="X476" i="1" l="1"/>
  <c r="Z476" i="1" s="1"/>
  <c r="V475" i="1"/>
  <c r="U475" i="1"/>
  <c r="P476" i="1"/>
  <c r="Q476" i="1" s="1"/>
  <c r="R476" i="1" s="1"/>
  <c r="S476" i="1" l="1"/>
  <c r="T476" i="1"/>
  <c r="X477" i="1" l="1"/>
  <c r="Z477" i="1" s="1"/>
  <c r="V476" i="1"/>
  <c r="P477" i="1"/>
  <c r="Q477" i="1" s="1"/>
  <c r="R477" i="1" s="1"/>
  <c r="U476" i="1"/>
  <c r="S477" i="1" l="1"/>
  <c r="T477" i="1"/>
  <c r="X478" i="1" l="1"/>
  <c r="Z478" i="1" s="1"/>
  <c r="V477" i="1"/>
  <c r="U477" i="1"/>
  <c r="P478" i="1"/>
  <c r="Q478" i="1" s="1"/>
  <c r="R478" i="1" s="1"/>
  <c r="S478" i="1" l="1"/>
  <c r="T478" i="1"/>
  <c r="X479" i="1" l="1"/>
  <c r="Z479" i="1" s="1"/>
  <c r="V478" i="1"/>
  <c r="U478" i="1"/>
  <c r="P479" i="1"/>
  <c r="Q479" i="1" s="1"/>
  <c r="R479" i="1" s="1"/>
  <c r="S479" i="1" l="1"/>
  <c r="T479" i="1"/>
  <c r="X480" i="1" l="1"/>
  <c r="Z480" i="1" s="1"/>
  <c r="V479" i="1"/>
  <c r="P480" i="1"/>
  <c r="Q480" i="1" s="1"/>
  <c r="R480" i="1" s="1"/>
  <c r="U479" i="1"/>
  <c r="S480" i="1" l="1"/>
  <c r="T480" i="1"/>
  <c r="X481" i="1" l="1"/>
  <c r="Z481" i="1" s="1"/>
  <c r="V480" i="1"/>
  <c r="U480" i="1"/>
  <c r="P481" i="1"/>
  <c r="Q481" i="1" s="1"/>
  <c r="R481" i="1" s="1"/>
  <c r="S481" i="1" l="1"/>
  <c r="T481" i="1"/>
  <c r="X482" i="1" l="1"/>
  <c r="Z482" i="1" s="1"/>
  <c r="V481" i="1"/>
  <c r="P482" i="1"/>
  <c r="Q482" i="1" s="1"/>
  <c r="R482" i="1" s="1"/>
  <c r="U481" i="1"/>
  <c r="S482" i="1" l="1"/>
  <c r="T482" i="1"/>
  <c r="X483" i="1" l="1"/>
  <c r="Z483" i="1" s="1"/>
  <c r="V482" i="1"/>
  <c r="P483" i="1"/>
  <c r="Q483" i="1" s="1"/>
  <c r="R483" i="1" s="1"/>
  <c r="U482" i="1"/>
  <c r="S483" i="1" l="1"/>
  <c r="T483" i="1"/>
  <c r="X484" i="1" l="1"/>
  <c r="Z484" i="1" s="1"/>
  <c r="V483" i="1"/>
  <c r="U483" i="1"/>
  <c r="P484" i="1"/>
  <c r="Q484" i="1" s="1"/>
  <c r="R484" i="1" s="1"/>
  <c r="S484" i="1" l="1"/>
  <c r="T484" i="1"/>
  <c r="X485" i="1" l="1"/>
  <c r="Z485" i="1" s="1"/>
  <c r="V484" i="1"/>
  <c r="U484" i="1"/>
  <c r="P485" i="1"/>
  <c r="Q485" i="1" s="1"/>
  <c r="R485" i="1" s="1"/>
  <c r="S485" i="1" l="1"/>
  <c r="T485" i="1"/>
  <c r="P486" i="1" l="1"/>
  <c r="Q486" i="1" s="1"/>
  <c r="R486" i="1" s="1"/>
  <c r="V485" i="1"/>
  <c r="X486" i="1"/>
  <c r="Z486" i="1" s="1"/>
  <c r="U485" i="1"/>
  <c r="S486" i="1" l="1"/>
  <c r="T486" i="1"/>
  <c r="X487" i="1" s="1"/>
  <c r="Z487" i="1" s="1"/>
  <c r="U486" i="1" l="1"/>
  <c r="P487" i="1"/>
  <c r="Q487" i="1" s="1"/>
  <c r="R487" i="1" s="1"/>
  <c r="V486" i="1"/>
  <c r="S487" i="1" l="1"/>
  <c r="T487" i="1"/>
  <c r="X488" i="1" s="1"/>
  <c r="Z488" i="1" s="1"/>
  <c r="U487" i="1" l="1"/>
  <c r="P488" i="1"/>
  <c r="Q488" i="1" s="1"/>
  <c r="R488" i="1" s="1"/>
  <c r="V487" i="1"/>
  <c r="S488" i="1" l="1"/>
  <c r="T488" i="1"/>
  <c r="X489" i="1" s="1"/>
  <c r="Z489" i="1" s="1"/>
  <c r="P489" i="1" l="1"/>
  <c r="Q489" i="1" s="1"/>
  <c r="R489" i="1" s="1"/>
  <c r="U488" i="1"/>
  <c r="V488" i="1"/>
  <c r="S489" i="1" l="1"/>
  <c r="T489" i="1"/>
  <c r="X490" i="1" s="1"/>
  <c r="Z490" i="1" s="1"/>
  <c r="P490" i="1" l="1"/>
  <c r="Q490" i="1" s="1"/>
  <c r="R490" i="1" s="1"/>
  <c r="V489" i="1"/>
  <c r="U489" i="1"/>
  <c r="S490" i="1" l="1"/>
  <c r="T490" i="1"/>
  <c r="X491" i="1" s="1"/>
  <c r="Z491" i="1" s="1"/>
  <c r="P491" i="1" l="1"/>
  <c r="Q491" i="1" s="1"/>
  <c r="R491" i="1" s="1"/>
  <c r="U490" i="1"/>
  <c r="V490" i="1"/>
  <c r="S491" i="1" l="1"/>
  <c r="T491" i="1"/>
  <c r="U491" i="1" s="1"/>
  <c r="P492" i="1" l="1"/>
  <c r="Q492" i="1" s="1"/>
  <c r="R492" i="1" s="1"/>
  <c r="V491" i="1"/>
  <c r="X492" i="1"/>
  <c r="Z492" i="1" s="1"/>
  <c r="S492" i="1" l="1"/>
  <c r="T492" i="1"/>
  <c r="X493" i="1" s="1"/>
  <c r="Z493" i="1" s="1"/>
  <c r="P493" i="1" l="1"/>
  <c r="Q493" i="1" s="1"/>
  <c r="R493" i="1" s="1"/>
  <c r="U492" i="1"/>
  <c r="V492" i="1"/>
  <c r="S493" i="1" l="1"/>
  <c r="T493" i="1"/>
  <c r="P494" i="1" s="1"/>
  <c r="Q494" i="1" s="1"/>
  <c r="R494" i="1" s="1"/>
  <c r="S494" i="1" l="1"/>
  <c r="U493" i="1"/>
  <c r="X494" i="1"/>
  <c r="Z494" i="1" s="1"/>
  <c r="V493" i="1"/>
  <c r="T494" i="1"/>
  <c r="V494" i="1" s="1"/>
  <c r="U494" i="1" l="1"/>
  <c r="X495" i="1"/>
  <c r="Z495" i="1" s="1"/>
  <c r="P495" i="1"/>
  <c r="Q495" i="1" s="1"/>
  <c r="R495" i="1" s="1"/>
  <c r="S495" i="1" l="1"/>
  <c r="T495" i="1"/>
  <c r="V495" i="1" s="1"/>
  <c r="X496" i="1" l="1"/>
  <c r="Z496" i="1" s="1"/>
  <c r="U495" i="1"/>
  <c r="P496" i="1"/>
  <c r="Q496" i="1" s="1"/>
  <c r="R496" i="1" s="1"/>
  <c r="S496" i="1" l="1"/>
  <c r="T496" i="1"/>
  <c r="P497" i="1" s="1"/>
  <c r="Q497" i="1" s="1"/>
  <c r="R497" i="1" s="1"/>
  <c r="S497" i="1" l="1"/>
  <c r="U496" i="1"/>
  <c r="X497" i="1"/>
  <c r="Z497" i="1" s="1"/>
  <c r="V496" i="1"/>
  <c r="T497" i="1"/>
  <c r="X498" i="1" s="1"/>
  <c r="Z498" i="1" l="1"/>
  <c r="U497" i="1"/>
  <c r="P498" i="1"/>
  <c r="Q498" i="1" s="1"/>
  <c r="R498" i="1" s="1"/>
  <c r="V497" i="1"/>
  <c r="S498" i="1" l="1"/>
  <c r="T498" i="1"/>
  <c r="V498" i="1" s="1"/>
  <c r="U498" i="1" l="1"/>
  <c r="P499" i="1"/>
  <c r="Q499" i="1" s="1"/>
  <c r="R499" i="1" s="1"/>
  <c r="X499" i="1"/>
  <c r="Z499" i="1" s="1"/>
  <c r="S499" i="1" l="1"/>
  <c r="T499" i="1"/>
  <c r="V499" i="1" s="1"/>
  <c r="U499" i="1" l="1"/>
  <c r="P500" i="1"/>
  <c r="Q500" i="1" s="1"/>
  <c r="R500" i="1" s="1"/>
  <c r="X500" i="1"/>
  <c r="Z500" i="1" s="1"/>
  <c r="S500" i="1" l="1"/>
  <c r="T500" i="1"/>
  <c r="P501" i="1" s="1"/>
  <c r="T501" i="1" s="1"/>
  <c r="U500" i="1" l="1"/>
  <c r="X501" i="1"/>
  <c r="Z501" i="1" s="1"/>
  <c r="V500" i="1"/>
  <c r="Q501" i="1"/>
  <c r="R501" i="1" s="1"/>
  <c r="U501" i="1"/>
  <c r="V501" i="1"/>
  <c r="X502" i="1"/>
  <c r="P502" i="1"/>
  <c r="Q502" i="1" s="1"/>
  <c r="S501" i="1" l="1"/>
  <c r="S502" i="1" s="1"/>
  <c r="R502" i="1"/>
  <c r="Z502" i="1"/>
  <c r="T502" i="1"/>
  <c r="X503" i="1" l="1"/>
  <c r="Z503" i="1" s="1"/>
  <c r="V502" i="1"/>
  <c r="U502" i="1"/>
  <c r="P503" i="1"/>
  <c r="Q503" i="1" s="1"/>
  <c r="R503" i="1" s="1"/>
  <c r="S503" i="1" l="1"/>
  <c r="T503" i="1"/>
  <c r="X504" i="1" l="1"/>
  <c r="Z504" i="1" s="1"/>
  <c r="V503" i="1"/>
  <c r="U503" i="1"/>
  <c r="P504" i="1"/>
  <c r="Q504" i="1" s="1"/>
  <c r="R504" i="1" s="1"/>
  <c r="S504" i="1" l="1"/>
  <c r="T504" i="1"/>
  <c r="X505" i="1" l="1"/>
  <c r="Z505" i="1" s="1"/>
  <c r="V504" i="1"/>
  <c r="U504" i="1"/>
  <c r="P505" i="1"/>
  <c r="Q505" i="1" s="1"/>
  <c r="R505" i="1" s="1"/>
  <c r="S505" i="1" l="1"/>
  <c r="T505" i="1"/>
  <c r="X506" i="1" l="1"/>
  <c r="Z506" i="1" s="1"/>
  <c r="V505" i="1"/>
  <c r="U505" i="1"/>
  <c r="P506" i="1"/>
  <c r="Q506" i="1" s="1"/>
  <c r="R506" i="1" s="1"/>
  <c r="S506" i="1" l="1"/>
  <c r="T506" i="1"/>
  <c r="P507" i="1" l="1"/>
  <c r="Q507" i="1" s="1"/>
  <c r="R507" i="1" s="1"/>
  <c r="V506" i="1"/>
  <c r="X507" i="1"/>
  <c r="Z507" i="1" s="1"/>
  <c r="U506" i="1"/>
  <c r="S507" i="1" l="1"/>
  <c r="T507" i="1"/>
  <c r="P508" i="1" s="1"/>
  <c r="Q508" i="1" s="1"/>
  <c r="R508" i="1" s="1"/>
  <c r="S508" i="1" l="1"/>
  <c r="U507" i="1"/>
  <c r="X508" i="1"/>
  <c r="Z508" i="1" s="1"/>
  <c r="V507" i="1"/>
  <c r="T508" i="1"/>
  <c r="X509" i="1" l="1"/>
  <c r="Z509" i="1" s="1"/>
  <c r="V508" i="1"/>
  <c r="P509" i="1"/>
  <c r="Q509" i="1" s="1"/>
  <c r="R509" i="1" s="1"/>
  <c r="U508" i="1"/>
  <c r="S509" i="1" l="1"/>
  <c r="T509" i="1"/>
  <c r="V509" i="1" s="1"/>
  <c r="X510" i="1" l="1"/>
  <c r="Z510" i="1" s="1"/>
  <c r="P510" i="1"/>
  <c r="U509" i="1"/>
  <c r="Q510" i="1" l="1"/>
  <c r="T510" i="1"/>
  <c r="V510" i="1" s="1"/>
  <c r="R510" i="1" l="1"/>
  <c r="S510" i="1"/>
  <c r="X511" i="1"/>
  <c r="Z511" i="1" s="1"/>
  <c r="U510" i="1"/>
  <c r="P511" i="1"/>
  <c r="Q511" i="1" s="1"/>
  <c r="R511" i="1" s="1"/>
  <c r="S511" i="1" l="1"/>
  <c r="T511" i="1"/>
  <c r="V511" i="1" s="1"/>
  <c r="X512" i="1" l="1"/>
  <c r="Z512" i="1" s="1"/>
  <c r="P512" i="1"/>
  <c r="Q512" i="1" s="1"/>
  <c r="U511" i="1"/>
  <c r="R512" i="1" l="1"/>
  <c r="S512" i="1"/>
  <c r="T512" i="1"/>
  <c r="V512" i="1" s="1"/>
  <c r="X513" i="1" l="1"/>
  <c r="Z513" i="1" s="1"/>
  <c r="U512" i="1"/>
  <c r="P513" i="1"/>
  <c r="Q513" i="1" l="1"/>
  <c r="T513" i="1"/>
  <c r="V513" i="1" s="1"/>
  <c r="R513" i="1" l="1"/>
  <c r="S513" i="1"/>
  <c r="X514" i="1"/>
  <c r="Z514" i="1" s="1"/>
  <c r="P514" i="1"/>
  <c r="Q514" i="1" s="1"/>
  <c r="U513" i="1"/>
  <c r="R514" i="1" l="1"/>
  <c r="S514" i="1"/>
  <c r="T514" i="1"/>
  <c r="V514" i="1" s="1"/>
  <c r="X515" i="1" l="1"/>
  <c r="Z515" i="1" s="1"/>
  <c r="U514" i="1"/>
  <c r="P515" i="1"/>
  <c r="Q515" i="1" l="1"/>
  <c r="T515" i="1"/>
  <c r="V515" i="1" s="1"/>
  <c r="R515" i="1" l="1"/>
  <c r="S515" i="1"/>
  <c r="X516" i="1"/>
  <c r="Z516" i="1" s="1"/>
  <c r="F11" i="1" s="1"/>
  <c r="U515" i="1"/>
  <c r="P516" i="1"/>
  <c r="Q516" i="1" s="1"/>
  <c r="R516" i="1" l="1"/>
  <c r="F10" i="1" s="1"/>
  <c r="S516" i="1"/>
  <c r="T516" i="1"/>
  <c r="U516" i="1" l="1"/>
  <c r="V516" i="1"/>
</calcChain>
</file>

<file path=xl/sharedStrings.xml><?xml version="1.0" encoding="utf-8"?>
<sst xmlns="http://schemas.openxmlformats.org/spreadsheetml/2006/main" count="74" uniqueCount="61">
  <si>
    <t>Costos</t>
  </si>
  <si>
    <t>Frasco</t>
  </si>
  <si>
    <t>Faltante</t>
  </si>
  <si>
    <t>Ganancia</t>
  </si>
  <si>
    <t>Cantidad (gramos)</t>
  </si>
  <si>
    <t>Probabilidad</t>
  </si>
  <si>
    <t>media 70 g</t>
  </si>
  <si>
    <t>Distribucion demanda mañana</t>
  </si>
  <si>
    <t>Distribucion demanda tarde</t>
  </si>
  <si>
    <t>Distribución demora</t>
  </si>
  <si>
    <t>Demora (dias)</t>
  </si>
  <si>
    <t>Acumulada</t>
  </si>
  <si>
    <t>Rand min</t>
  </si>
  <si>
    <t>Rand max</t>
  </si>
  <si>
    <t>Cap Almac</t>
  </si>
  <si>
    <t>Horarios Turnos</t>
  </si>
  <si>
    <t>Mañana</t>
  </si>
  <si>
    <t>Turno</t>
  </si>
  <si>
    <t>Tarde</t>
  </si>
  <si>
    <t>demora</t>
  </si>
  <si>
    <t>compra</t>
  </si>
  <si>
    <t>Rand</t>
  </si>
  <si>
    <t>Demanda</t>
  </si>
  <si>
    <t>Rand normal 1</t>
  </si>
  <si>
    <t>Rand normal 2</t>
  </si>
  <si>
    <t>Horas</t>
  </si>
  <si>
    <t>prob</t>
  </si>
  <si>
    <t>z</t>
  </si>
  <si>
    <t>Media Mañana</t>
  </si>
  <si>
    <t>Sigma</t>
  </si>
  <si>
    <t xml:space="preserve">Random Mañana </t>
  </si>
  <si>
    <t>Mañana normal</t>
  </si>
  <si>
    <t>Mañana cte</t>
  </si>
  <si>
    <t>Total dia</t>
  </si>
  <si>
    <t>Demanda Mañana</t>
  </si>
  <si>
    <t>Demanda Tarde</t>
  </si>
  <si>
    <t>Dia</t>
  </si>
  <si>
    <t>Gramos frasco</t>
  </si>
  <si>
    <t>Disponible (frascos)</t>
  </si>
  <si>
    <t>Disponible (gramos)</t>
  </si>
  <si>
    <t>Orden</t>
  </si>
  <si>
    <t>Stock inicial</t>
  </si>
  <si>
    <t>Stock remanente (gramos)</t>
  </si>
  <si>
    <t>Ventas</t>
  </si>
  <si>
    <t>Stock remanente (frascos)</t>
  </si>
  <si>
    <t>Compra</t>
  </si>
  <si>
    <t>Acumulado</t>
  </si>
  <si>
    <t>por cada 1g</t>
  </si>
  <si>
    <t>Ventas (g)</t>
  </si>
  <si>
    <t>Ganancia acum</t>
  </si>
  <si>
    <t>Ganancia Acum</t>
  </si>
  <si>
    <t>Gasto Acum</t>
  </si>
  <si>
    <t>por frasco</t>
  </si>
  <si>
    <t>Proxima compra</t>
  </si>
  <si>
    <t>Stock</t>
  </si>
  <si>
    <t>Porcentaje almacenado</t>
  </si>
  <si>
    <t>% dias con faltante</t>
  </si>
  <si>
    <t>si(rand mañana &gt;= 0.5, aleatorio.normal, 50)</t>
  </si>
  <si>
    <t>Ganancia Media</t>
  </si>
  <si>
    <t>EN EL PROGRAMA SIMPLIFIQUÉ ALGUNAS COLUMNAS</t>
  </si>
  <si>
    <t>ÿn=(1/n )* ( (n-1)ÿn-1 + yn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</si>
</sst>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172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2" fontId="0" fillId="0" borderId="7" xfId="0" applyNumberFormat="1" applyBorder="1"/>
    <xf numFmtId="172" fontId="0" fillId="0" borderId="0" xfId="0" applyNumberFormat="1" applyBorder="1"/>
    <xf numFmtId="172" fontId="0" fillId="0" borderId="0" xfId="0" applyNumberFormat="1" applyBorder="1" applyAlignment="1">
      <alignment horizontal="center"/>
    </xf>
    <xf numFmtId="172" fontId="4" fillId="0" borderId="6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5" fillId="2" borderId="3" xfId="0" applyFont="1" applyFill="1" applyBorder="1"/>
    <xf numFmtId="0" fontId="5" fillId="3" borderId="8" xfId="0" applyFont="1" applyFill="1" applyBorder="1"/>
    <xf numFmtId="2" fontId="6" fillId="0" borderId="5" xfId="0" applyNumberFormat="1" applyFont="1" applyBorder="1"/>
    <xf numFmtId="2" fontId="2" fillId="0" borderId="9" xfId="0" applyNumberFormat="1" applyFont="1" applyBorder="1"/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9" fontId="0" fillId="0" borderId="0" xfId="1" applyFont="1"/>
    <xf numFmtId="0" fontId="2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6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13.85546875" customWidth="1"/>
    <col min="2" max="2" width="16.7109375" customWidth="1"/>
    <col min="3" max="3" width="15.28515625" customWidth="1"/>
    <col min="4" max="4" width="14.5703125" customWidth="1"/>
    <col min="5" max="5" width="21.140625" customWidth="1"/>
    <col min="6" max="6" width="20.7109375" customWidth="1"/>
    <col min="7" max="7" width="17.5703125" customWidth="1"/>
    <col min="8" max="8" width="17.85546875" customWidth="1"/>
    <col min="9" max="9" width="16" customWidth="1"/>
    <col min="10" max="10" width="14" customWidth="1"/>
    <col min="11" max="11" width="15.140625" customWidth="1"/>
    <col min="12" max="12" width="14.42578125" customWidth="1"/>
    <col min="13" max="13" width="17.85546875" customWidth="1"/>
    <col min="14" max="14" width="19.5703125" customWidth="1"/>
    <col min="15" max="15" width="26.28515625" customWidth="1"/>
    <col min="16" max="18" width="24.5703125" customWidth="1"/>
    <col min="19" max="19" width="17.42578125" customWidth="1"/>
    <col min="20" max="20" width="26.7109375" customWidth="1"/>
    <col min="21" max="21" width="26.5703125" customWidth="1"/>
    <col min="22" max="22" width="24.42578125" customWidth="1"/>
    <col min="23" max="23" width="22.28515625" customWidth="1"/>
    <col min="24" max="24" width="9" customWidth="1"/>
    <col min="25" max="25" width="22.7109375" style="1" customWidth="1"/>
    <col min="26" max="26" width="19.5703125" customWidth="1"/>
    <col min="27" max="27" width="18.42578125" customWidth="1"/>
    <col min="28" max="28" width="18.85546875" customWidth="1"/>
    <col min="29" max="30" width="17.7109375" customWidth="1"/>
    <col min="31" max="31" width="15" customWidth="1"/>
  </cols>
  <sheetData>
    <row r="1" spans="1:33" x14ac:dyDescent="0.25">
      <c r="A1" s="5" t="s">
        <v>0</v>
      </c>
      <c r="B1" s="6"/>
      <c r="C1" s="7"/>
      <c r="E1" s="77" t="s">
        <v>7</v>
      </c>
      <c r="F1" s="78"/>
      <c r="G1" s="78"/>
      <c r="H1" s="78"/>
      <c r="I1" s="79"/>
      <c r="J1" s="24"/>
      <c r="K1" s="60" t="s">
        <v>8</v>
      </c>
      <c r="L1" s="62"/>
      <c r="M1" s="26"/>
      <c r="N1" s="26"/>
      <c r="P1" s="5" t="s">
        <v>9</v>
      </c>
      <c r="Q1" s="6"/>
      <c r="R1" s="6"/>
      <c r="S1" s="6"/>
      <c r="T1" s="7"/>
    </row>
    <row r="2" spans="1:33" x14ac:dyDescent="0.25">
      <c r="A2" s="10" t="s">
        <v>1</v>
      </c>
      <c r="B2" s="3">
        <v>-250</v>
      </c>
      <c r="C2" s="11" t="s">
        <v>52</v>
      </c>
      <c r="E2" s="63" t="s">
        <v>4</v>
      </c>
      <c r="F2" s="64" t="s">
        <v>5</v>
      </c>
      <c r="G2" s="64" t="s">
        <v>11</v>
      </c>
      <c r="H2" s="64" t="s">
        <v>12</v>
      </c>
      <c r="I2" s="65" t="s">
        <v>13</v>
      </c>
      <c r="J2" s="24"/>
      <c r="K2" s="74" t="s">
        <v>4</v>
      </c>
      <c r="L2" s="75" t="s">
        <v>5</v>
      </c>
      <c r="M2" s="76"/>
      <c r="N2" s="76"/>
      <c r="P2" s="8" t="s">
        <v>10</v>
      </c>
      <c r="Q2" s="2" t="s">
        <v>5</v>
      </c>
      <c r="R2" s="2" t="s">
        <v>11</v>
      </c>
      <c r="S2" s="2" t="s">
        <v>12</v>
      </c>
      <c r="T2" s="9" t="s">
        <v>13</v>
      </c>
      <c r="Y2" s="17"/>
    </row>
    <row r="3" spans="1:33" x14ac:dyDescent="0.25">
      <c r="A3" s="10" t="s">
        <v>2</v>
      </c>
      <c r="B3" s="3">
        <v>1</v>
      </c>
      <c r="C3" s="11" t="s">
        <v>47</v>
      </c>
      <c r="E3" s="31">
        <v>1</v>
      </c>
      <c r="F3" s="26">
        <v>0.5</v>
      </c>
      <c r="G3" s="26">
        <v>0.5</v>
      </c>
      <c r="H3" s="26">
        <v>0</v>
      </c>
      <c r="I3" s="66">
        <f>G3</f>
        <v>0.5</v>
      </c>
      <c r="J3" s="24"/>
      <c r="K3" s="32" t="s">
        <v>6</v>
      </c>
      <c r="L3" s="67">
        <v>1</v>
      </c>
      <c r="M3" s="26"/>
      <c r="N3" s="26"/>
      <c r="P3" s="10">
        <v>0</v>
      </c>
      <c r="Q3" s="3">
        <v>0.5</v>
      </c>
      <c r="R3" s="3">
        <f>Q3</f>
        <v>0.5</v>
      </c>
      <c r="S3" s="3">
        <v>0</v>
      </c>
      <c r="T3" s="11">
        <f>R3</f>
        <v>0.5</v>
      </c>
    </row>
    <row r="4" spans="1:33" x14ac:dyDescent="0.25">
      <c r="A4" s="12" t="s">
        <v>3</v>
      </c>
      <c r="B4" s="4">
        <v>1.5</v>
      </c>
      <c r="C4" s="13" t="s">
        <v>47</v>
      </c>
      <c r="E4" s="32">
        <v>2</v>
      </c>
      <c r="F4" s="27">
        <v>0.5</v>
      </c>
      <c r="G4" s="27">
        <v>1</v>
      </c>
      <c r="H4" s="27">
        <f>F4</f>
        <v>0.5</v>
      </c>
      <c r="I4" s="67">
        <f>G4</f>
        <v>1</v>
      </c>
      <c r="J4" s="24"/>
      <c r="K4" s="24"/>
      <c r="L4" s="24"/>
      <c r="M4" s="24"/>
      <c r="N4" s="24"/>
      <c r="P4" s="10">
        <v>1</v>
      </c>
      <c r="Q4" s="3">
        <v>0.25</v>
      </c>
      <c r="R4" s="3">
        <f>Q4+R3</f>
        <v>0.75</v>
      </c>
      <c r="S4" s="3">
        <f>R3</f>
        <v>0.5</v>
      </c>
      <c r="T4" s="11">
        <f>R4</f>
        <v>0.75</v>
      </c>
      <c r="AB4" s="60" t="s">
        <v>15</v>
      </c>
      <c r="AC4" s="61"/>
      <c r="AD4" s="61"/>
      <c r="AE4" s="61"/>
      <c r="AF4" s="61"/>
      <c r="AG4" s="62"/>
    </row>
    <row r="5" spans="1:33" x14ac:dyDescent="0.25">
      <c r="E5" s="24"/>
      <c r="F5" s="24"/>
      <c r="G5" s="24"/>
      <c r="H5" s="24"/>
      <c r="I5" s="24"/>
      <c r="J5" s="24"/>
      <c r="K5" s="24"/>
      <c r="L5" s="24"/>
      <c r="M5" s="24"/>
      <c r="N5" s="24"/>
      <c r="P5" s="12">
        <v>2</v>
      </c>
      <c r="Q5" s="4">
        <v>0.25</v>
      </c>
      <c r="R5" s="4">
        <f>Q5+R4</f>
        <v>1</v>
      </c>
      <c r="S5" s="4">
        <f>R4</f>
        <v>0.75</v>
      </c>
      <c r="T5" s="13">
        <f>R5</f>
        <v>1</v>
      </c>
      <c r="AB5" s="68" t="s">
        <v>17</v>
      </c>
      <c r="AC5" s="69" t="s">
        <v>25</v>
      </c>
      <c r="AD5" s="69" t="s">
        <v>26</v>
      </c>
      <c r="AE5" s="70" t="s">
        <v>11</v>
      </c>
      <c r="AF5" s="71" t="s">
        <v>12</v>
      </c>
      <c r="AG5" s="70" t="s">
        <v>13</v>
      </c>
    </row>
    <row r="6" spans="1:33" x14ac:dyDescent="0.25">
      <c r="A6" s="15" t="s">
        <v>14</v>
      </c>
      <c r="B6" s="16">
        <v>10</v>
      </c>
      <c r="C6" s="14">
        <f>10*_GramosXFrasco</f>
        <v>1700</v>
      </c>
      <c r="K6" s="18"/>
      <c r="AB6" s="72" t="s">
        <v>16</v>
      </c>
      <c r="AC6" s="26">
        <v>8</v>
      </c>
      <c r="AD6" s="26">
        <f>AC6/($AC$6+$AC$7)</f>
        <v>0.5</v>
      </c>
      <c r="AE6" s="66">
        <f>AD6</f>
        <v>0.5</v>
      </c>
      <c r="AF6" s="31">
        <v>0</v>
      </c>
      <c r="AG6" s="66">
        <f>AE6</f>
        <v>0.5</v>
      </c>
    </row>
    <row r="7" spans="1:33" x14ac:dyDescent="0.25">
      <c r="A7" s="10" t="s">
        <v>37</v>
      </c>
      <c r="B7" s="3">
        <v>170</v>
      </c>
      <c r="C7" s="11"/>
      <c r="K7" s="18"/>
      <c r="AB7" s="73" t="s">
        <v>18</v>
      </c>
      <c r="AC7" s="27">
        <v>8</v>
      </c>
      <c r="AD7" s="27">
        <f>AC7/($AC$6+$AC$7)</f>
        <v>0.5</v>
      </c>
      <c r="AE7" s="67">
        <f>AD7+AE6</f>
        <v>1</v>
      </c>
      <c r="AF7" s="32">
        <f>AG6</f>
        <v>0.5</v>
      </c>
      <c r="AG7" s="67">
        <f>AE7</f>
        <v>1</v>
      </c>
    </row>
    <row r="8" spans="1:33" x14ac:dyDescent="0.25">
      <c r="A8" s="10" t="s">
        <v>28</v>
      </c>
      <c r="B8" s="3">
        <v>75</v>
      </c>
      <c r="C8" s="11"/>
      <c r="K8" s="18"/>
      <c r="L8" s="18"/>
      <c r="M8" s="18"/>
      <c r="N8" s="18"/>
      <c r="AB8" s="18"/>
      <c r="AC8" s="18"/>
      <c r="AD8" s="18"/>
      <c r="AE8" s="18"/>
      <c r="AF8" s="18"/>
      <c r="AG8" s="18"/>
    </row>
    <row r="9" spans="1:33" x14ac:dyDescent="0.25">
      <c r="A9" s="10" t="s">
        <v>29</v>
      </c>
      <c r="B9" s="3">
        <v>15</v>
      </c>
      <c r="C9" s="11"/>
      <c r="H9" s="82" t="s">
        <v>59</v>
      </c>
      <c r="I9" s="82"/>
      <c r="J9" s="82"/>
      <c r="K9" s="18"/>
      <c r="N9" t="s">
        <v>60</v>
      </c>
      <c r="O9" s="18"/>
    </row>
    <row r="10" spans="1:33" x14ac:dyDescent="0.25">
      <c r="A10" s="10" t="s">
        <v>53</v>
      </c>
      <c r="B10" s="23">
        <v>1</v>
      </c>
      <c r="C10" s="11"/>
      <c r="E10" s="51" t="s">
        <v>50</v>
      </c>
      <c r="F10" s="53">
        <f ca="1">R516</f>
        <v>69474.79741416403</v>
      </c>
      <c r="K10" s="18"/>
      <c r="O10" s="18"/>
    </row>
    <row r="11" spans="1:33" x14ac:dyDescent="0.25">
      <c r="A11" s="12" t="s">
        <v>41</v>
      </c>
      <c r="B11" s="4">
        <v>10</v>
      </c>
      <c r="C11" s="13"/>
      <c r="E11" s="52" t="s">
        <v>51</v>
      </c>
      <c r="F11" s="54">
        <f ca="1">Z516</f>
        <v>-73000</v>
      </c>
      <c r="G11" s="18"/>
      <c r="H11" s="18"/>
      <c r="I11" s="18"/>
      <c r="J11" s="18"/>
      <c r="K11" s="18"/>
      <c r="O11" s="18"/>
    </row>
    <row r="12" spans="1:33" x14ac:dyDescent="0.25">
      <c r="H12" s="18" t="s">
        <v>57</v>
      </c>
      <c r="O12" s="18"/>
    </row>
    <row r="13" spans="1:33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M13">
        <v>9</v>
      </c>
      <c r="N13">
        <v>10</v>
      </c>
      <c r="O13" s="18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 s="1">
        <v>21</v>
      </c>
      <c r="Z13">
        <v>22</v>
      </c>
    </row>
    <row r="14" spans="1:33" x14ac:dyDescent="0.25">
      <c r="B14" s="48" t="s">
        <v>40</v>
      </c>
      <c r="C14" s="49"/>
      <c r="D14" s="49"/>
      <c r="E14" s="49"/>
      <c r="F14" s="50"/>
      <c r="G14" s="83" t="s">
        <v>22</v>
      </c>
      <c r="H14" s="84"/>
      <c r="I14" s="84"/>
      <c r="J14" s="84"/>
      <c r="K14" s="84"/>
      <c r="L14" s="84"/>
      <c r="M14" s="84"/>
      <c r="N14" s="84"/>
      <c r="O14" s="85"/>
      <c r="P14" s="86" t="s">
        <v>43</v>
      </c>
      <c r="Q14" s="81"/>
      <c r="R14" s="81"/>
      <c r="S14" s="81"/>
      <c r="T14" s="55" t="s">
        <v>54</v>
      </c>
      <c r="U14" s="87"/>
      <c r="V14" s="56"/>
      <c r="W14" s="57"/>
      <c r="X14" s="45" t="s">
        <v>0</v>
      </c>
      <c r="Y14" s="46"/>
      <c r="Z14" s="47"/>
    </row>
    <row r="15" spans="1:33" x14ac:dyDescent="0.25">
      <c r="A15" s="80" t="s">
        <v>36</v>
      </c>
      <c r="B15" s="21" t="s">
        <v>20</v>
      </c>
      <c r="C15" s="22" t="s">
        <v>21</v>
      </c>
      <c r="D15" s="22" t="s">
        <v>19</v>
      </c>
      <c r="E15" s="33" t="s">
        <v>38</v>
      </c>
      <c r="F15" s="34" t="s">
        <v>39</v>
      </c>
      <c r="G15" s="39" t="s">
        <v>30</v>
      </c>
      <c r="H15" s="40" t="s">
        <v>23</v>
      </c>
      <c r="I15" s="40" t="s">
        <v>24</v>
      </c>
      <c r="J15" s="40" t="s">
        <v>27</v>
      </c>
      <c r="K15" s="40" t="s">
        <v>31</v>
      </c>
      <c r="L15" s="40" t="s">
        <v>32</v>
      </c>
      <c r="M15" s="40" t="s">
        <v>34</v>
      </c>
      <c r="N15" s="40" t="s">
        <v>35</v>
      </c>
      <c r="O15" s="41" t="s">
        <v>33</v>
      </c>
      <c r="P15" s="42" t="s">
        <v>48</v>
      </c>
      <c r="Q15" s="43" t="s">
        <v>3</v>
      </c>
      <c r="R15" s="44" t="s">
        <v>49</v>
      </c>
      <c r="S15" s="43" t="s">
        <v>58</v>
      </c>
      <c r="T15" s="43" t="s">
        <v>42</v>
      </c>
      <c r="U15" s="44" t="s">
        <v>44</v>
      </c>
      <c r="V15" s="43" t="s">
        <v>55</v>
      </c>
      <c r="W15" s="43" t="s">
        <v>56</v>
      </c>
      <c r="X15" s="42" t="s">
        <v>2</v>
      </c>
      <c r="Y15" s="43" t="s">
        <v>45</v>
      </c>
      <c r="Z15" s="44" t="s">
        <v>46</v>
      </c>
    </row>
    <row r="16" spans="1:33" x14ac:dyDescent="0.25">
      <c r="A16" s="30">
        <v>0</v>
      </c>
      <c r="B16" s="10">
        <v>0</v>
      </c>
      <c r="C16" s="3">
        <f ca="1">IF(B16=0,RAND(),-1)</f>
        <v>0.76520502673191904</v>
      </c>
      <c r="D16" s="3">
        <f ca="1">IF(C16&gt;0,LOOKUP(C16,$S$3:$S$5,$P$3:$P$5),-1)</f>
        <v>2</v>
      </c>
      <c r="E16" s="25">
        <f ca="1">IF(D16=0,2,)</f>
        <v>0</v>
      </c>
      <c r="F16" s="29">
        <f ca="1">E16*_GramosXFrasco</f>
        <v>0</v>
      </c>
      <c r="G16" s="38"/>
      <c r="H16" s="36"/>
      <c r="I16" s="36"/>
      <c r="J16" s="36"/>
      <c r="K16" s="37"/>
      <c r="L16" s="3"/>
      <c r="M16" s="36"/>
      <c r="N16" s="36"/>
      <c r="O16" s="35"/>
      <c r="T16">
        <f>U16*_GramosXFrasco</f>
        <v>340</v>
      </c>
      <c r="U16">
        <v>2</v>
      </c>
      <c r="X16" s="15"/>
      <c r="Y16"/>
    </row>
    <row r="17" spans="1:26" x14ac:dyDescent="0.25">
      <c r="A17" s="30">
        <f>A16+1</f>
        <v>1</v>
      </c>
      <c r="B17" s="10">
        <f>IF(B16=0,_Proxima_Compra,B16-1)</f>
        <v>1</v>
      </c>
      <c r="C17" s="3">
        <f ca="1">IF(B17=0,RAND(),-1)</f>
        <v>-1</v>
      </c>
      <c r="D17" s="3">
        <f ca="1">IF(D16&gt;0,D16-1,IF(C17&gt;0,LOOKUP(C17,$S$3:$S$5,$P$3:$P$5),-1))</f>
        <v>1</v>
      </c>
      <c r="E17" s="25">
        <f ca="1">IF(D17=0,2,)</f>
        <v>0</v>
      </c>
      <c r="F17" s="28">
        <f ca="1">E17*_GramosXFrasco</f>
        <v>0</v>
      </c>
      <c r="G17" s="38">
        <f t="shared" ref="G17:G80" ca="1" si="0">RAND()</f>
        <v>0.61768459551902533</v>
      </c>
      <c r="H17" s="36">
        <f t="shared" ref="H17:H80" ca="1" si="1">IF(G17&gt;0.5,RAND(),-1)</f>
        <v>0.54615828354895579</v>
      </c>
      <c r="I17" s="36">
        <f ca="1">IF(G17&gt;0.5,RAND(),-1)</f>
        <v>0.15240529829154537</v>
      </c>
      <c r="J17" s="36">
        <f t="shared" ref="J17:J35" ca="1" si="2">IF(I17&gt;0,SQRT(-2*LOG(1-H17)) * COS(2*PI()*I17),-1)</f>
        <v>0.47671831118417235</v>
      </c>
      <c r="K17" s="37">
        <f ca="1">IF(J17&lt;&gt;-1,_Media_M + J17*_Sigma,-1)</f>
        <v>82.15077466776259</v>
      </c>
      <c r="L17" s="3">
        <f t="shared" ref="L17:L80" ca="1" si="3">IF(K17=-1,50,-1)</f>
        <v>-1</v>
      </c>
      <c r="M17" s="18">
        <f ca="1">IF(LOOKUP(G17,$H$3:$H$4,$E$3:$E$4)=1,50,_Media_M + J17*_Sigma)</f>
        <v>82.15077466776259</v>
      </c>
      <c r="N17" s="36">
        <f t="shared" ref="N17:N80" ca="1" si="4">(-1/(1/70)*(LOG(1-RAND())))</f>
        <v>17.465622938138495</v>
      </c>
      <c r="O17" s="35">
        <f t="shared" ref="O17:O35" ca="1" si="5">M17+N17</f>
        <v>99.616397605901085</v>
      </c>
      <c r="P17" s="19">
        <f ca="1">IF(O17&lt;T16,O17,T16)</f>
        <v>99.616397605901085</v>
      </c>
      <c r="Q17" s="20">
        <f ca="1" xml:space="preserve"> P17*_Precio_cafe</f>
        <v>149.42459640885164</v>
      </c>
      <c r="R17" s="20">
        <f ca="1">Q17+R16</f>
        <v>149.42459640885164</v>
      </c>
      <c r="S17" s="20">
        <f ca="1">(1/A17)*((A17-1)*S16 +Q17)</f>
        <v>149.42459640885164</v>
      </c>
      <c r="T17" s="20">
        <f ca="1">IF((T16-P17+F17)&gt;_Max_Stock_Gramos,_Max_Stock_Gramos,T16-P17+F17)</f>
        <v>240.38360239409892</v>
      </c>
      <c r="U17" s="20">
        <f ca="1">T17/_GramosXFrasco</f>
        <v>1.4140211905535229</v>
      </c>
      <c r="V17" s="58">
        <f ca="1">(T17/_Max_Stock_Gramos)</f>
        <v>0.1414021190553523</v>
      </c>
      <c r="W17" s="58"/>
      <c r="X17" s="10">
        <f ca="1">IF((T16-O17)&lt;0,(T16-O17)*_Costo_Faltante,0)</f>
        <v>0</v>
      </c>
      <c r="Y17">
        <f>IF(B17=0,E17*_Costo_Frasco,0)</f>
        <v>0</v>
      </c>
      <c r="Z17">
        <f ca="1">X17+Y17+Z16</f>
        <v>0</v>
      </c>
    </row>
    <row r="18" spans="1:26" x14ac:dyDescent="0.25">
      <c r="A18" s="30">
        <f t="shared" ref="A18:A81" si="6">A17+1</f>
        <v>2</v>
      </c>
      <c r="B18" s="10">
        <f>IF(B17=0,_Proxima_Compra,B17-1)</f>
        <v>0</v>
      </c>
      <c r="C18" s="3">
        <f t="shared" ref="C17:C80" ca="1" si="7">IF(B18=0,RAND(),-1)</f>
        <v>9.8827980854241715E-2</v>
      </c>
      <c r="D18" s="3">
        <f ca="1">IF(D17&gt;0,D17-1,IF(C18&gt;0,LOOKUP(C18,$S$3:$S$5,$P$3:$P$5),-1))</f>
        <v>0</v>
      </c>
      <c r="E18" s="25">
        <f t="shared" ref="E17:E80" ca="1" si="8">IF(D18=0,2,)</f>
        <v>2</v>
      </c>
      <c r="F18" s="28">
        <f ca="1">E18*_GramosXFrasco</f>
        <v>340</v>
      </c>
      <c r="G18" s="38">
        <f t="shared" ca="1" si="0"/>
        <v>0.44112768176398642</v>
      </c>
      <c r="H18" s="36">
        <f t="shared" ca="1" si="1"/>
        <v>-1</v>
      </c>
      <c r="I18" s="36">
        <f t="shared" ref="I17:I80" ca="1" si="9">IF(G18&gt;0.5,RAND(),-1)</f>
        <v>-1</v>
      </c>
      <c r="J18" s="36">
        <f t="shared" ca="1" si="2"/>
        <v>-1</v>
      </c>
      <c r="K18" s="37">
        <f ca="1">IF(J18&lt;&gt;-1,_Media_M + J18*_Sigma,-1)</f>
        <v>-1</v>
      </c>
      <c r="L18" s="3">
        <f t="shared" ca="1" si="3"/>
        <v>50</v>
      </c>
      <c r="M18" s="18">
        <f ca="1">IF(LOOKUP(G18,$H$3:$H$4,$E$3:$E$4)=1,50,_Media_M + J18*_Sigma)</f>
        <v>50</v>
      </c>
      <c r="N18" s="36">
        <f t="shared" ca="1" si="4"/>
        <v>72.199247073693243</v>
      </c>
      <c r="O18" s="35">
        <f t="shared" ca="1" si="5"/>
        <v>122.19924707369324</v>
      </c>
      <c r="P18" s="19">
        <f t="shared" ref="P18:P81" ca="1" si="10">IF(O18&lt;T17,O18,T17)</f>
        <v>122.19924707369324</v>
      </c>
      <c r="Q18" s="20">
        <f ca="1" xml:space="preserve"> P18*_Precio_cafe</f>
        <v>183.29887061053986</v>
      </c>
      <c r="R18" s="20">
        <f t="shared" ref="R18:R81" ca="1" si="11">Q18+R17</f>
        <v>332.72346701939148</v>
      </c>
      <c r="S18" s="20">
        <f ca="1">(1/A18)*((A18-1)*S17 +Q18)</f>
        <v>166.36173350969574</v>
      </c>
      <c r="T18" s="20">
        <f ca="1">IF((T17-P18+F18)&gt;_Max_Stock_Gramos,_Max_Stock_Gramos,T17-P18+F18)</f>
        <v>458.18435532040564</v>
      </c>
      <c r="U18" s="20">
        <f ca="1">T18/_GramosXFrasco</f>
        <v>2.6952020901200333</v>
      </c>
      <c r="V18" s="58">
        <f ca="1">(T18/_Max_Stock_Gramos)</f>
        <v>0.2695202090120033</v>
      </c>
      <c r="W18" s="58"/>
      <c r="X18" s="10">
        <f ca="1">IF((T17-O18)&lt;0,(T17-O18)*_Costo_Faltante,0)</f>
        <v>0</v>
      </c>
      <c r="Y18">
        <f ca="1">IF(B18=0,E18*_Costo_Frasco,0)</f>
        <v>-500</v>
      </c>
      <c r="Z18">
        <f t="shared" ref="Z18:Z81" ca="1" si="12">X18+Y18+Z17</f>
        <v>-500</v>
      </c>
    </row>
    <row r="19" spans="1:26" x14ac:dyDescent="0.25">
      <c r="A19" s="30">
        <f t="shared" si="6"/>
        <v>3</v>
      </c>
      <c r="B19" s="10">
        <f>IF(B18=0,_Proxima_Compra,B18-1)</f>
        <v>1</v>
      </c>
      <c r="C19" s="3">
        <f t="shared" ca="1" si="7"/>
        <v>-1</v>
      </c>
      <c r="D19" s="3">
        <f ca="1">IF(D18&gt;0,D18-1,IF(C19&gt;0,LOOKUP(C19,$S$3:$S$5,$P$3:$P$5),-1))</f>
        <v>-1</v>
      </c>
      <c r="E19" s="25">
        <f t="shared" ca="1" si="8"/>
        <v>0</v>
      </c>
      <c r="F19" s="28">
        <f ca="1">E19*_GramosXFrasco</f>
        <v>0</v>
      </c>
      <c r="G19" s="38">
        <f t="shared" ca="1" si="0"/>
        <v>0.4157204613925386</v>
      </c>
      <c r="H19" s="36">
        <f t="shared" ca="1" si="1"/>
        <v>-1</v>
      </c>
      <c r="I19" s="36">
        <f t="shared" ca="1" si="9"/>
        <v>-1</v>
      </c>
      <c r="J19" s="36">
        <f t="shared" ca="1" si="2"/>
        <v>-1</v>
      </c>
      <c r="K19" s="37">
        <f ca="1">IF(J19&lt;&gt;-1,_Media_M + J19*_Sigma,-1)</f>
        <v>-1</v>
      </c>
      <c r="L19" s="3">
        <f t="shared" ca="1" si="3"/>
        <v>50</v>
      </c>
      <c r="M19" s="18">
        <f ca="1">IF(LOOKUP(G19,$H$3:$H$4,$E$3:$E$4)=1,50,_Media_M + J19*_Sigma)</f>
        <v>50</v>
      </c>
      <c r="N19" s="36">
        <f t="shared" ca="1" si="4"/>
        <v>8.458919656660802</v>
      </c>
      <c r="O19" s="35">
        <f t="shared" ca="1" si="5"/>
        <v>58.458919656660804</v>
      </c>
      <c r="P19" s="19">
        <f t="shared" ca="1" si="10"/>
        <v>58.458919656660804</v>
      </c>
      <c r="Q19" s="20">
        <f ca="1" xml:space="preserve"> P19*_Precio_cafe</f>
        <v>87.688379484991202</v>
      </c>
      <c r="R19" s="20">
        <f t="shared" ca="1" si="11"/>
        <v>420.41184650438265</v>
      </c>
      <c r="S19" s="20">
        <f ca="1">(1/A19)*((A19-1)*S18 +Q19)</f>
        <v>140.13728216812754</v>
      </c>
      <c r="T19" s="20">
        <f ca="1">IF((T18-P19+F19)&gt;_Max_Stock_Gramos,_Max_Stock_Gramos,T18-P19+F19)</f>
        <v>399.72543566374486</v>
      </c>
      <c r="U19" s="20">
        <f ca="1">T19/_GramosXFrasco</f>
        <v>2.3513260921396757</v>
      </c>
      <c r="V19" s="58">
        <f ca="1">(T19/_Max_Stock_Gramos)</f>
        <v>0.23513260921396756</v>
      </c>
      <c r="W19" s="58"/>
      <c r="X19" s="10">
        <f ca="1">IF((T18-O19)&lt;0,(T18-O19)*_Costo_Faltante,0)</f>
        <v>0</v>
      </c>
      <c r="Y19">
        <f>IF(B19=0,E19*_Costo_Frasco,0)</f>
        <v>0</v>
      </c>
      <c r="Z19">
        <f t="shared" ca="1" si="12"/>
        <v>-500</v>
      </c>
    </row>
    <row r="20" spans="1:26" x14ac:dyDescent="0.25">
      <c r="A20" s="30">
        <f t="shared" si="6"/>
        <v>4</v>
      </c>
      <c r="B20" s="10">
        <f>IF(B19=0,_Proxima_Compra,B19-1)</f>
        <v>0</v>
      </c>
      <c r="C20" s="3">
        <f t="shared" ca="1" si="7"/>
        <v>0.99550074293670798</v>
      </c>
      <c r="D20" s="3">
        <f ca="1">IF(D19&gt;0,D19-1,IF(C20&gt;0,LOOKUP(C20,$S$3:$S$5,$P$3:$P$5),-1))</f>
        <v>2</v>
      </c>
      <c r="E20" s="25">
        <f t="shared" ca="1" si="8"/>
        <v>0</v>
      </c>
      <c r="F20" s="28">
        <f ca="1">E20*_GramosXFrasco</f>
        <v>0</v>
      </c>
      <c r="G20" s="38">
        <f t="shared" ca="1" si="0"/>
        <v>4.3857497516851085E-2</v>
      </c>
      <c r="H20" s="36">
        <f t="shared" ca="1" si="1"/>
        <v>-1</v>
      </c>
      <c r="I20" s="36">
        <f t="shared" ca="1" si="9"/>
        <v>-1</v>
      </c>
      <c r="J20" s="36">
        <f t="shared" ca="1" si="2"/>
        <v>-1</v>
      </c>
      <c r="K20" s="37">
        <f ca="1">IF(J20&lt;&gt;-1,_Media_M + J20*_Sigma,-1)</f>
        <v>-1</v>
      </c>
      <c r="L20" s="3">
        <f t="shared" ca="1" si="3"/>
        <v>50</v>
      </c>
      <c r="M20" s="18">
        <f ca="1">IF(LOOKUP(G20,$H$3:$H$4,$E$3:$E$4)=1,50,_Media_M + J20*_Sigma)</f>
        <v>50</v>
      </c>
      <c r="N20" s="36">
        <f t="shared" ca="1" si="4"/>
        <v>18.20983265456324</v>
      </c>
      <c r="O20" s="35">
        <f t="shared" ca="1" si="5"/>
        <v>68.209832654563243</v>
      </c>
      <c r="P20" s="19">
        <f t="shared" ca="1" si="10"/>
        <v>68.209832654563243</v>
      </c>
      <c r="Q20" s="20">
        <f ca="1" xml:space="preserve"> P20*_Precio_cafe</f>
        <v>102.31474898184487</v>
      </c>
      <c r="R20" s="20">
        <f t="shared" ca="1" si="11"/>
        <v>522.72659548622755</v>
      </c>
      <c r="S20" s="20">
        <f ca="1">(1/A20)*((A20-1)*S19 +Q20)</f>
        <v>130.68164887155689</v>
      </c>
      <c r="T20" s="20">
        <f ca="1">IF((T19-P20+F20)&gt;_Max_Stock_Gramos,_Max_Stock_Gramos,T19-P20+F20)</f>
        <v>331.51560300918163</v>
      </c>
      <c r="U20" s="20">
        <f ca="1">T20/_GramosXFrasco</f>
        <v>1.9500917824069508</v>
      </c>
      <c r="V20" s="58">
        <f ca="1">(T20/_Max_Stock_Gramos)</f>
        <v>0.19500917824069508</v>
      </c>
      <c r="W20" s="58"/>
      <c r="X20" s="10">
        <f ca="1">IF((T19-O20)&lt;0,(T19-O20)*_Costo_Faltante,0)</f>
        <v>0</v>
      </c>
      <c r="Y20">
        <f ca="1">IF(B20=0,E20*_Costo_Frasco,0)</f>
        <v>0</v>
      </c>
      <c r="Z20">
        <f t="shared" ca="1" si="12"/>
        <v>-500</v>
      </c>
    </row>
    <row r="21" spans="1:26" x14ac:dyDescent="0.25">
      <c r="A21" s="30">
        <f t="shared" si="6"/>
        <v>5</v>
      </c>
      <c r="B21" s="10">
        <f>IF(B20=0,_Proxima_Compra,B20-1)</f>
        <v>1</v>
      </c>
      <c r="C21" s="3">
        <f t="shared" ca="1" si="7"/>
        <v>-1</v>
      </c>
      <c r="D21" s="3">
        <f ca="1">IF(D20&gt;0,D20-1,IF(C21&gt;0,LOOKUP(C21,$S$3:$S$5,$P$3:$P$5),-1))</f>
        <v>1</v>
      </c>
      <c r="E21" s="25">
        <f t="shared" ca="1" si="8"/>
        <v>0</v>
      </c>
      <c r="F21" s="28">
        <f ca="1">E21*_GramosXFrasco</f>
        <v>0</v>
      </c>
      <c r="G21" s="38">
        <f t="shared" ca="1" si="0"/>
        <v>0.8263521534635947</v>
      </c>
      <c r="H21" s="36">
        <f t="shared" ca="1" si="1"/>
        <v>0.57573580121775503</v>
      </c>
      <c r="I21" s="36">
        <f t="shared" ca="1" si="9"/>
        <v>0.4077093578500357</v>
      </c>
      <c r="J21" s="36">
        <f t="shared" ca="1" si="2"/>
        <v>-0.72190414478877918</v>
      </c>
      <c r="K21" s="37">
        <f ca="1">IF(J21&lt;&gt;-1,_Media_M + J21*_Sigma,-1)</f>
        <v>64.171437828168308</v>
      </c>
      <c r="L21" s="3">
        <f t="shared" ca="1" si="3"/>
        <v>-1</v>
      </c>
      <c r="M21" s="18">
        <f ca="1">IF(LOOKUP(G21,$H$3:$H$4,$E$3:$E$4)=1,50,_Media_M + J21*_Sigma)</f>
        <v>64.171437828168308</v>
      </c>
      <c r="N21" s="36">
        <f t="shared" ca="1" si="4"/>
        <v>15.950668857189342</v>
      </c>
      <c r="O21" s="35">
        <f t="shared" ca="1" si="5"/>
        <v>80.12210668535765</v>
      </c>
      <c r="P21" s="19">
        <f t="shared" ca="1" si="10"/>
        <v>80.12210668535765</v>
      </c>
      <c r="Q21" s="20">
        <f ca="1" xml:space="preserve"> P21*_Precio_cafe</f>
        <v>120.18316002803647</v>
      </c>
      <c r="R21" s="20">
        <f t="shared" ca="1" si="11"/>
        <v>642.90975551426402</v>
      </c>
      <c r="S21" s="20">
        <f ca="1">(1/A21)*((A21-1)*S20 +Q21)</f>
        <v>128.5819511028528</v>
      </c>
      <c r="T21" s="20">
        <f ca="1">IF((T20-P21+F21)&gt;_Max_Stock_Gramos,_Max_Stock_Gramos,T20-P21+F21)</f>
        <v>251.39349632382397</v>
      </c>
      <c r="U21" s="20">
        <f ca="1">T21/_GramosXFrasco</f>
        <v>1.4787852724930821</v>
      </c>
      <c r="V21" s="58">
        <f ca="1">(T21/_Max_Stock_Gramos)</f>
        <v>0.14787852724930822</v>
      </c>
      <c r="W21" s="58"/>
      <c r="X21" s="10">
        <f ca="1">IF((T20-O21)&lt;0,(T20-O21)*_Costo_Faltante,0)</f>
        <v>0</v>
      </c>
      <c r="Y21">
        <f>IF(B21=0,E21*_Costo_Frasco,0)</f>
        <v>0</v>
      </c>
      <c r="Z21">
        <f t="shared" ca="1" si="12"/>
        <v>-500</v>
      </c>
    </row>
    <row r="22" spans="1:26" x14ac:dyDescent="0.25">
      <c r="A22" s="30">
        <f t="shared" si="6"/>
        <v>6</v>
      </c>
      <c r="B22" s="10">
        <f>IF(B21=0,_Proxima_Compra,B21-1)</f>
        <v>0</v>
      </c>
      <c r="C22" s="3">
        <f t="shared" ca="1" si="7"/>
        <v>0.31200725518128469</v>
      </c>
      <c r="D22" s="3">
        <f ca="1">IF(D21&gt;0,D21-1,IF(C22&gt;0,LOOKUP(C22,$S$3:$S$5,$P$3:$P$5),-1))</f>
        <v>0</v>
      </c>
      <c r="E22" s="25">
        <f t="shared" ca="1" si="8"/>
        <v>2</v>
      </c>
      <c r="F22" s="28">
        <f ca="1">E22*_GramosXFrasco</f>
        <v>340</v>
      </c>
      <c r="G22" s="38">
        <f t="shared" ca="1" si="0"/>
        <v>0.45967668146128404</v>
      </c>
      <c r="H22" s="36">
        <f t="shared" ca="1" si="1"/>
        <v>-1</v>
      </c>
      <c r="I22" s="36">
        <f t="shared" ca="1" si="9"/>
        <v>-1</v>
      </c>
      <c r="J22" s="36">
        <f t="shared" ca="1" si="2"/>
        <v>-1</v>
      </c>
      <c r="K22" s="37">
        <f ca="1">IF(J22&lt;&gt;-1,_Media_M + J22*_Sigma,-1)</f>
        <v>-1</v>
      </c>
      <c r="L22" s="3">
        <f t="shared" ca="1" si="3"/>
        <v>50</v>
      </c>
      <c r="M22" s="18">
        <f ca="1">IF(LOOKUP(G22,$H$3:$H$4,$E$3:$E$4)=1,50,_Media_M + J22*_Sigma)</f>
        <v>50</v>
      </c>
      <c r="N22" s="36">
        <f t="shared" ca="1" si="4"/>
        <v>40.853397391220582</v>
      </c>
      <c r="O22" s="35">
        <f t="shared" ca="1" si="5"/>
        <v>90.853397391220582</v>
      </c>
      <c r="P22" s="19">
        <f t="shared" ca="1" si="10"/>
        <v>90.853397391220582</v>
      </c>
      <c r="Q22" s="20">
        <f ca="1" xml:space="preserve"> P22*_Precio_cafe</f>
        <v>136.28009608683087</v>
      </c>
      <c r="R22" s="20">
        <f t="shared" ca="1" si="11"/>
        <v>779.18985160109492</v>
      </c>
      <c r="S22" s="20">
        <f ca="1">(1/A22)*((A22-1)*S21 +Q22)</f>
        <v>129.86497526684914</v>
      </c>
      <c r="T22" s="20">
        <f ca="1">IF((T21-P22+F22)&gt;_Max_Stock_Gramos,_Max_Stock_Gramos,T21-P22+F22)</f>
        <v>500.54009893260337</v>
      </c>
      <c r="U22" s="20">
        <f ca="1">T22/_GramosXFrasco</f>
        <v>2.9443535231329609</v>
      </c>
      <c r="V22" s="58">
        <f ca="1">(T22/_Max_Stock_Gramos)</f>
        <v>0.29443535231329609</v>
      </c>
      <c r="W22" s="58"/>
      <c r="X22" s="10">
        <f ca="1">IF((T21-O22)&lt;0,(T21-O22)*_Costo_Faltante,0)</f>
        <v>0</v>
      </c>
      <c r="Y22">
        <f ca="1">IF(B22=0,E22*_Costo_Frasco,0)</f>
        <v>-500</v>
      </c>
      <c r="Z22">
        <f t="shared" ca="1" si="12"/>
        <v>-1000</v>
      </c>
    </row>
    <row r="23" spans="1:26" x14ac:dyDescent="0.25">
      <c r="A23" s="30">
        <f t="shared" si="6"/>
        <v>7</v>
      </c>
      <c r="B23" s="10">
        <f>IF(B22=0,_Proxima_Compra,B22-1)</f>
        <v>1</v>
      </c>
      <c r="C23" s="3">
        <f t="shared" ca="1" si="7"/>
        <v>-1</v>
      </c>
      <c r="D23" s="3">
        <f ca="1">IF(D22&gt;0,D22-1,IF(C23&gt;0,LOOKUP(C23,$S$3:$S$5,$P$3:$P$5),-1))</f>
        <v>-1</v>
      </c>
      <c r="E23" s="25">
        <f t="shared" ca="1" si="8"/>
        <v>0</v>
      </c>
      <c r="F23" s="28">
        <f ca="1">E23*_GramosXFrasco</f>
        <v>0</v>
      </c>
      <c r="G23" s="38">
        <f t="shared" ca="1" si="0"/>
        <v>0.40371428931997033</v>
      </c>
      <c r="H23" s="36">
        <f t="shared" ca="1" si="1"/>
        <v>-1</v>
      </c>
      <c r="I23" s="36">
        <f t="shared" ca="1" si="9"/>
        <v>-1</v>
      </c>
      <c r="J23" s="36">
        <f t="shared" ca="1" si="2"/>
        <v>-1</v>
      </c>
      <c r="K23" s="37">
        <f ca="1">IF(J23&lt;&gt;-1,_Media_M + J23*_Sigma,-1)</f>
        <v>-1</v>
      </c>
      <c r="L23" s="3">
        <f t="shared" ca="1" si="3"/>
        <v>50</v>
      </c>
      <c r="M23" s="18">
        <f ca="1">IF(LOOKUP(G23,$H$3:$H$4,$E$3:$E$4)=1,50,_Media_M + J23*_Sigma)</f>
        <v>50</v>
      </c>
      <c r="N23" s="36">
        <f t="shared" ca="1" si="4"/>
        <v>2.0916677746924872</v>
      </c>
      <c r="O23" s="35">
        <f t="shared" ca="1" si="5"/>
        <v>52.091667774692489</v>
      </c>
      <c r="P23" s="19">
        <f t="shared" ca="1" si="10"/>
        <v>52.091667774692489</v>
      </c>
      <c r="Q23" s="20">
        <f ca="1" xml:space="preserve"> P23*_Precio_cafe</f>
        <v>78.13750166203873</v>
      </c>
      <c r="R23" s="20">
        <f t="shared" ca="1" si="11"/>
        <v>857.32735326313366</v>
      </c>
      <c r="S23" s="20">
        <f ca="1">(1/A23)*((A23-1)*S22 +Q23)</f>
        <v>122.47533618044766</v>
      </c>
      <c r="T23" s="20">
        <f ca="1">IF((T22-P23+F23)&gt;_Max_Stock_Gramos,_Max_Stock_Gramos,T22-P23+F23)</f>
        <v>448.44843115791087</v>
      </c>
      <c r="U23" s="20">
        <f ca="1">T23/_GramosXFrasco</f>
        <v>2.637931947987711</v>
      </c>
      <c r="V23" s="58">
        <f ca="1">(T23/_Max_Stock_Gramos)</f>
        <v>0.26379319479877111</v>
      </c>
      <c r="W23" s="58"/>
      <c r="X23" s="10">
        <f ca="1">IF((T22-O23)&lt;0,(T22-O23)*_Costo_Faltante,0)</f>
        <v>0</v>
      </c>
      <c r="Y23">
        <f>IF(B23=0,E23*_Costo_Frasco,0)</f>
        <v>0</v>
      </c>
      <c r="Z23">
        <f t="shared" ca="1" si="12"/>
        <v>-1000</v>
      </c>
    </row>
    <row r="24" spans="1:26" x14ac:dyDescent="0.25">
      <c r="A24" s="30">
        <f t="shared" si="6"/>
        <v>8</v>
      </c>
      <c r="B24" s="10">
        <f>IF(B23=0,_Proxima_Compra,B23-1)</f>
        <v>0</v>
      </c>
      <c r="C24" s="3">
        <f t="shared" ca="1" si="7"/>
        <v>0.27516633051665207</v>
      </c>
      <c r="D24" s="3">
        <f ca="1">IF(D23&gt;0,D23-1,IF(C24&gt;0,LOOKUP(C24,$S$3:$S$5,$P$3:$P$5),-1))</f>
        <v>0</v>
      </c>
      <c r="E24" s="25">
        <f t="shared" ca="1" si="8"/>
        <v>2</v>
      </c>
      <c r="F24" s="28">
        <f ca="1">E24*_GramosXFrasco</f>
        <v>340</v>
      </c>
      <c r="G24" s="38">
        <f t="shared" ca="1" si="0"/>
        <v>0.10850772776258255</v>
      </c>
      <c r="H24" s="36">
        <f t="shared" ca="1" si="1"/>
        <v>-1</v>
      </c>
      <c r="I24" s="36">
        <f t="shared" ca="1" si="9"/>
        <v>-1</v>
      </c>
      <c r="J24" s="36">
        <f t="shared" ca="1" si="2"/>
        <v>-1</v>
      </c>
      <c r="K24" s="37">
        <f ca="1">IF(J24&lt;&gt;-1,_Media_M + J24*_Sigma,-1)</f>
        <v>-1</v>
      </c>
      <c r="L24" s="3">
        <f t="shared" ca="1" si="3"/>
        <v>50</v>
      </c>
      <c r="M24" s="18">
        <f ca="1">IF(LOOKUP(G24,$H$3:$H$4,$E$3:$E$4)=1,50,_Media_M + J24*_Sigma)</f>
        <v>50</v>
      </c>
      <c r="N24" s="36">
        <f t="shared" ca="1" si="4"/>
        <v>16.769140060062096</v>
      </c>
      <c r="O24" s="35">
        <f t="shared" ca="1" si="5"/>
        <v>66.769140060062099</v>
      </c>
      <c r="P24" s="19">
        <f t="shared" ca="1" si="10"/>
        <v>66.769140060062099</v>
      </c>
      <c r="Q24" s="20">
        <f ca="1" xml:space="preserve"> P24*_Precio_cafe</f>
        <v>100.15371009009314</v>
      </c>
      <c r="R24" s="20">
        <f t="shared" ca="1" si="11"/>
        <v>957.48106335322677</v>
      </c>
      <c r="S24" s="20">
        <f ca="1">(1/A24)*((A24-1)*S23 +Q24)</f>
        <v>119.68513291915333</v>
      </c>
      <c r="T24" s="20">
        <f ca="1">IF((T23-P24+F24)&gt;_Max_Stock_Gramos,_Max_Stock_Gramos,T23-P24+F24)</f>
        <v>721.67929109784882</v>
      </c>
      <c r="U24" s="20">
        <f ca="1">T24/_GramosXFrasco</f>
        <v>4.2451723005755815</v>
      </c>
      <c r="V24" s="58">
        <f ca="1">(T24/_Max_Stock_Gramos)</f>
        <v>0.42451723005755815</v>
      </c>
      <c r="W24" s="58"/>
      <c r="X24" s="10">
        <f ca="1">IF((T23-O24)&lt;0,(T23-O24)*_Costo_Faltante,0)</f>
        <v>0</v>
      </c>
      <c r="Y24">
        <f ca="1">IF(B24=0,E24*_Costo_Frasco,0)</f>
        <v>-500</v>
      </c>
      <c r="Z24">
        <f t="shared" ca="1" si="12"/>
        <v>-1500</v>
      </c>
    </row>
    <row r="25" spans="1:26" x14ac:dyDescent="0.25">
      <c r="A25" s="30">
        <f t="shared" si="6"/>
        <v>9</v>
      </c>
      <c r="B25" s="10">
        <f>IF(B24=0,_Proxima_Compra,B24-1)</f>
        <v>1</v>
      </c>
      <c r="C25" s="3">
        <f t="shared" ca="1" si="7"/>
        <v>-1</v>
      </c>
      <c r="D25" s="3">
        <f ca="1">IF(D24&gt;0,D24-1,IF(C25&gt;0,LOOKUP(C25,$S$3:$S$5,$P$3:$P$5),-1))</f>
        <v>-1</v>
      </c>
      <c r="E25" s="25">
        <f t="shared" ca="1" si="8"/>
        <v>0</v>
      </c>
      <c r="F25" s="28">
        <f ca="1">E25*_GramosXFrasco</f>
        <v>0</v>
      </c>
      <c r="G25" s="38">
        <f t="shared" ca="1" si="0"/>
        <v>0.50003713890894308</v>
      </c>
      <c r="H25" s="36">
        <f t="shared" ca="1" si="1"/>
        <v>0.6540705763563478</v>
      </c>
      <c r="I25" s="36">
        <f t="shared" ca="1" si="9"/>
        <v>0.19028519534227673</v>
      </c>
      <c r="J25" s="36">
        <f t="shared" ca="1" si="2"/>
        <v>0.3518806551889575</v>
      </c>
      <c r="K25" s="37">
        <f ca="1">IF(J25&lt;&gt;-1,_Media_M + J25*_Sigma,-1)</f>
        <v>80.27820982783436</v>
      </c>
      <c r="L25" s="3">
        <f t="shared" ca="1" si="3"/>
        <v>-1</v>
      </c>
      <c r="M25" s="18">
        <f ca="1">IF(LOOKUP(G25,$H$3:$H$4,$E$3:$E$4)=1,50,_Media_M + J25*_Sigma)</f>
        <v>80.27820982783436</v>
      </c>
      <c r="N25" s="36">
        <f t="shared" ca="1" si="4"/>
        <v>18.543832205103957</v>
      </c>
      <c r="O25" s="35">
        <f t="shared" ca="1" si="5"/>
        <v>98.822042032938313</v>
      </c>
      <c r="P25" s="19">
        <f t="shared" ca="1" si="10"/>
        <v>98.822042032938313</v>
      </c>
      <c r="Q25" s="20">
        <f ca="1" xml:space="preserve"> P25*_Precio_cafe</f>
        <v>148.23306304940746</v>
      </c>
      <c r="R25" s="20">
        <f t="shared" ca="1" si="11"/>
        <v>1105.7141264026343</v>
      </c>
      <c r="S25" s="20">
        <f ca="1">(1/A25)*((A25-1)*S24 +Q25)</f>
        <v>122.85712515584822</v>
      </c>
      <c r="T25" s="20">
        <f ca="1">IF((T24-P25+F25)&gt;_Max_Stock_Gramos,_Max_Stock_Gramos,T24-P25+F25)</f>
        <v>622.85724906491055</v>
      </c>
      <c r="U25" s="20">
        <f ca="1">T25/_GramosXFrasco</f>
        <v>3.6638661709700622</v>
      </c>
      <c r="V25" s="58">
        <f ca="1">(T25/_Max_Stock_Gramos)</f>
        <v>0.36638661709700621</v>
      </c>
      <c r="W25" s="58"/>
      <c r="X25" s="10">
        <f ca="1">IF((T24-O25)&lt;0,(T24-O25)*_Costo_Faltante,0)</f>
        <v>0</v>
      </c>
      <c r="Y25">
        <f>IF(B25=0,E25*_Costo_Frasco,0)</f>
        <v>0</v>
      </c>
      <c r="Z25">
        <f t="shared" ca="1" si="12"/>
        <v>-1500</v>
      </c>
    </row>
    <row r="26" spans="1:26" x14ac:dyDescent="0.25">
      <c r="A26" s="30">
        <f t="shared" si="6"/>
        <v>10</v>
      </c>
      <c r="B26" s="10">
        <f>IF(B25=0,_Proxima_Compra,B25-1)</f>
        <v>0</v>
      </c>
      <c r="C26" s="3">
        <f t="shared" ca="1" si="7"/>
        <v>0.77383112894927664</v>
      </c>
      <c r="D26" s="3">
        <f ca="1">IF(D25&gt;0,D25-1,IF(C26&gt;0,LOOKUP(C26,$S$3:$S$5,$P$3:$P$5),-1))</f>
        <v>2</v>
      </c>
      <c r="E26" s="25">
        <f t="shared" ca="1" si="8"/>
        <v>0</v>
      </c>
      <c r="F26" s="28">
        <f ca="1">E26*_GramosXFrasco</f>
        <v>0</v>
      </c>
      <c r="G26" s="38">
        <f t="shared" ca="1" si="0"/>
        <v>0.5773831797871094</v>
      </c>
      <c r="H26" s="36">
        <f t="shared" ca="1" si="1"/>
        <v>0.24833063672922295</v>
      </c>
      <c r="I26" s="36">
        <f t="shared" ca="1" si="9"/>
        <v>0.68653371108446615</v>
      </c>
      <c r="J26" s="36">
        <f t="shared" ca="1" si="2"/>
        <v>-0.19334371458216765</v>
      </c>
      <c r="K26" s="37">
        <f ca="1">IF(J26&lt;&gt;-1,_Media_M + J26*_Sigma,-1)</f>
        <v>72.09984428126748</v>
      </c>
      <c r="L26" s="3">
        <f t="shared" ca="1" si="3"/>
        <v>-1</v>
      </c>
      <c r="M26" s="18">
        <f ca="1">IF(LOOKUP(G26,$H$3:$H$4,$E$3:$E$4)=1,50,_Media_M + J26*_Sigma)</f>
        <v>72.09984428126748</v>
      </c>
      <c r="N26" s="36">
        <f t="shared" ca="1" si="4"/>
        <v>20.763906873290054</v>
      </c>
      <c r="O26" s="35">
        <f t="shared" ca="1" si="5"/>
        <v>92.863751154557534</v>
      </c>
      <c r="P26" s="19">
        <f t="shared" ca="1" si="10"/>
        <v>92.863751154557534</v>
      </c>
      <c r="Q26" s="20">
        <f ca="1" xml:space="preserve"> P26*_Precio_cafe</f>
        <v>139.29562673183631</v>
      </c>
      <c r="R26" s="20">
        <f t="shared" ca="1" si="11"/>
        <v>1245.0097531344707</v>
      </c>
      <c r="S26" s="20">
        <f ca="1">(1/A26)*((A26-1)*S25 +Q26)</f>
        <v>124.50097531344704</v>
      </c>
      <c r="T26" s="20">
        <f ca="1">IF((T25-P26+F26)&gt;_Max_Stock_Gramos,_Max_Stock_Gramos,T25-P26+F26)</f>
        <v>529.99349791035297</v>
      </c>
      <c r="U26" s="20">
        <f ca="1">T26/_GramosXFrasco</f>
        <v>3.1176088112373703</v>
      </c>
      <c r="V26" s="58">
        <f ca="1">(T26/_Max_Stock_Gramos)</f>
        <v>0.31176088112373707</v>
      </c>
      <c r="W26" s="58"/>
      <c r="X26" s="10">
        <f ca="1">IF((T25-O26)&lt;0,(T25-O26)*_Costo_Faltante,0)</f>
        <v>0</v>
      </c>
      <c r="Y26">
        <f ca="1">IF(B26=0,E26*_Costo_Frasco,0)</f>
        <v>0</v>
      </c>
      <c r="Z26">
        <f t="shared" ca="1" si="12"/>
        <v>-1500</v>
      </c>
    </row>
    <row r="27" spans="1:26" x14ac:dyDescent="0.25">
      <c r="A27" s="30">
        <f t="shared" si="6"/>
        <v>11</v>
      </c>
      <c r="B27" s="10">
        <f>IF(B26=0,_Proxima_Compra,B26-1)</f>
        <v>1</v>
      </c>
      <c r="C27" s="3">
        <f t="shared" ca="1" si="7"/>
        <v>-1</v>
      </c>
      <c r="D27" s="3">
        <f ca="1">IF(D26&gt;0,D26-1,IF(C27&gt;0,LOOKUP(C27,$S$3:$S$5,$P$3:$P$5),-1))</f>
        <v>1</v>
      </c>
      <c r="E27" s="25">
        <f t="shared" ca="1" si="8"/>
        <v>0</v>
      </c>
      <c r="F27" s="28">
        <f ca="1">E27*_GramosXFrasco</f>
        <v>0</v>
      </c>
      <c r="G27" s="38">
        <f t="shared" ca="1" si="0"/>
        <v>0.84895717620579936</v>
      </c>
      <c r="H27" s="36">
        <f t="shared" ca="1" si="1"/>
        <v>0.7853445540966334</v>
      </c>
      <c r="I27" s="36">
        <f t="shared" ca="1" si="9"/>
        <v>0.53433434155182125</v>
      </c>
      <c r="J27" s="36">
        <f t="shared" ca="1" si="2"/>
        <v>-1.1292807336236765</v>
      </c>
      <c r="K27" s="37">
        <f ca="1">IF(J27&lt;&gt;-1,_Media_M + J27*_Sigma,-1)</f>
        <v>58.060788995644856</v>
      </c>
      <c r="L27" s="3">
        <f t="shared" ca="1" si="3"/>
        <v>-1</v>
      </c>
      <c r="M27" s="18">
        <f ca="1">IF(LOOKUP(G27,$H$3:$H$4,$E$3:$E$4)=1,50,_Media_M + J27*_Sigma)</f>
        <v>58.060788995644856</v>
      </c>
      <c r="N27" s="36">
        <f t="shared" ca="1" si="4"/>
        <v>112.45259014372559</v>
      </c>
      <c r="O27" s="35">
        <f t="shared" ca="1" si="5"/>
        <v>170.51337913937044</v>
      </c>
      <c r="P27" s="19">
        <f t="shared" ca="1" si="10"/>
        <v>170.51337913937044</v>
      </c>
      <c r="Q27" s="20">
        <f ca="1" xml:space="preserve"> P27*_Precio_cafe</f>
        <v>255.77006870905566</v>
      </c>
      <c r="R27" s="20">
        <f t="shared" ca="1" si="11"/>
        <v>1500.7798218435264</v>
      </c>
      <c r="S27" s="20">
        <f ca="1">(1/A27)*((A27-1)*S26 +Q27)</f>
        <v>136.43452925850238</v>
      </c>
      <c r="T27" s="20">
        <f ca="1">IF((T26-P27+F27)&gt;_Max_Stock_Gramos,_Max_Stock_Gramos,T26-P27+F27)</f>
        <v>359.48011877098253</v>
      </c>
      <c r="U27" s="20">
        <f ca="1">T27/_GramosXFrasco</f>
        <v>2.1145889339469561</v>
      </c>
      <c r="V27" s="58">
        <f ca="1">(T27/_Max_Stock_Gramos)</f>
        <v>0.21145889339469562</v>
      </c>
      <c r="W27" s="58"/>
      <c r="X27" s="10">
        <f ca="1">IF((T26-O27)&lt;0,(T26-O27)*_Costo_Faltante,0)</f>
        <v>0</v>
      </c>
      <c r="Y27">
        <f>IF(B27=0,E27*_Costo_Frasco,0)</f>
        <v>0</v>
      </c>
      <c r="Z27">
        <f t="shared" ca="1" si="12"/>
        <v>-1500</v>
      </c>
    </row>
    <row r="28" spans="1:26" x14ac:dyDescent="0.25">
      <c r="A28" s="30">
        <f t="shared" si="6"/>
        <v>12</v>
      </c>
      <c r="B28" s="10">
        <f>IF(B27=0,_Proxima_Compra,B27-1)</f>
        <v>0</v>
      </c>
      <c r="C28" s="3">
        <f t="shared" ca="1" si="7"/>
        <v>0.15317457532400602</v>
      </c>
      <c r="D28" s="3">
        <f ca="1">IF(D27&gt;0,D27-1,IF(C28&gt;0,LOOKUP(C28,$S$3:$S$5,$P$3:$P$5),-1))</f>
        <v>0</v>
      </c>
      <c r="E28" s="25">
        <f t="shared" ca="1" si="8"/>
        <v>2</v>
      </c>
      <c r="F28" s="28">
        <f ca="1">E28*_GramosXFrasco</f>
        <v>340</v>
      </c>
      <c r="G28" s="38">
        <f t="shared" ca="1" si="0"/>
        <v>0.12440700659549775</v>
      </c>
      <c r="H28" s="36">
        <f t="shared" ca="1" si="1"/>
        <v>-1</v>
      </c>
      <c r="I28" s="36">
        <f t="shared" ca="1" si="9"/>
        <v>-1</v>
      </c>
      <c r="J28" s="36">
        <f t="shared" ca="1" si="2"/>
        <v>-1</v>
      </c>
      <c r="K28" s="37">
        <f ca="1">IF(J28&lt;&gt;-1,_Media_M + J28*_Sigma,-1)</f>
        <v>-1</v>
      </c>
      <c r="L28" s="3">
        <f t="shared" ca="1" si="3"/>
        <v>50</v>
      </c>
      <c r="M28" s="18">
        <f ca="1">IF(LOOKUP(G28,$H$3:$H$4,$E$3:$E$4)=1,50,_Media_M + J28*_Sigma)</f>
        <v>50</v>
      </c>
      <c r="N28" s="36">
        <f t="shared" ca="1" si="4"/>
        <v>42.688541545213965</v>
      </c>
      <c r="O28" s="35">
        <f t="shared" ca="1" si="5"/>
        <v>92.688541545213965</v>
      </c>
      <c r="P28" s="19">
        <f t="shared" ca="1" si="10"/>
        <v>92.688541545213965</v>
      </c>
      <c r="Q28" s="20">
        <f ca="1" xml:space="preserve"> P28*_Precio_cafe</f>
        <v>139.03281231782094</v>
      </c>
      <c r="R28" s="20">
        <f t="shared" ca="1" si="11"/>
        <v>1639.8126341613474</v>
      </c>
      <c r="S28" s="20">
        <f ca="1">(1/A28)*((A28-1)*S27 +Q28)</f>
        <v>136.65105284677892</v>
      </c>
      <c r="T28" s="20">
        <f ca="1">IF((T27-P28+F28)&gt;_Max_Stock_Gramos,_Max_Stock_Gramos,T27-P28+F28)</f>
        <v>606.79157722576861</v>
      </c>
      <c r="U28" s="20">
        <f ca="1">T28/_GramosXFrasco</f>
        <v>3.5693622189751095</v>
      </c>
      <c r="V28" s="58">
        <f ca="1">(T28/_Max_Stock_Gramos)</f>
        <v>0.35693622189751095</v>
      </c>
      <c r="W28" s="58"/>
      <c r="X28" s="10">
        <f ca="1">IF((T27-O28)&lt;0,(T27-O28)*_Costo_Faltante,0)</f>
        <v>0</v>
      </c>
      <c r="Y28">
        <f ca="1">IF(B28=0,E28*_Costo_Frasco,0)</f>
        <v>-500</v>
      </c>
      <c r="Z28">
        <f t="shared" ca="1" si="12"/>
        <v>-2000</v>
      </c>
    </row>
    <row r="29" spans="1:26" x14ac:dyDescent="0.25">
      <c r="A29" s="30">
        <f t="shared" si="6"/>
        <v>13</v>
      </c>
      <c r="B29" s="10">
        <f>IF(B28=0,_Proxima_Compra,B28-1)</f>
        <v>1</v>
      </c>
      <c r="C29" s="3">
        <f t="shared" ca="1" si="7"/>
        <v>-1</v>
      </c>
      <c r="D29" s="3">
        <f ca="1">IF(D28&gt;0,D28-1,IF(C29&gt;0,LOOKUP(C29,$S$3:$S$5,$P$3:$P$5),-1))</f>
        <v>-1</v>
      </c>
      <c r="E29" s="25">
        <f t="shared" ca="1" si="8"/>
        <v>0</v>
      </c>
      <c r="F29" s="28">
        <f ca="1">E29*_GramosXFrasco</f>
        <v>0</v>
      </c>
      <c r="G29" s="38">
        <f t="shared" ca="1" si="0"/>
        <v>0.22315336480916581</v>
      </c>
      <c r="H29" s="36">
        <f t="shared" ca="1" si="1"/>
        <v>-1</v>
      </c>
      <c r="I29" s="36">
        <f t="shared" ca="1" si="9"/>
        <v>-1</v>
      </c>
      <c r="J29" s="36">
        <f t="shared" ca="1" si="2"/>
        <v>-1</v>
      </c>
      <c r="K29" s="37">
        <f ca="1">IF(J29&lt;&gt;-1,_Media_M + J29*_Sigma,-1)</f>
        <v>-1</v>
      </c>
      <c r="L29" s="3">
        <f t="shared" ca="1" si="3"/>
        <v>50</v>
      </c>
      <c r="M29" s="18">
        <f ca="1">IF(LOOKUP(G29,$H$3:$H$4,$E$3:$E$4)=1,50,_Media_M + J29*_Sigma)</f>
        <v>50</v>
      </c>
      <c r="N29" s="36">
        <f t="shared" ca="1" si="4"/>
        <v>33.926124623016719</v>
      </c>
      <c r="O29" s="35">
        <f t="shared" ca="1" si="5"/>
        <v>83.926124623016719</v>
      </c>
      <c r="P29" s="19">
        <f t="shared" ca="1" si="10"/>
        <v>83.926124623016719</v>
      </c>
      <c r="Q29" s="20">
        <f ca="1" xml:space="preserve"> P29*_Precio_cafe</f>
        <v>125.88918693452507</v>
      </c>
      <c r="R29" s="20">
        <f t="shared" ca="1" si="11"/>
        <v>1765.7018210958724</v>
      </c>
      <c r="S29" s="20">
        <f ca="1">(1/A29)*((A29-1)*S28 +Q29)</f>
        <v>135.82321700737478</v>
      </c>
      <c r="T29" s="20">
        <f ca="1">IF((T28-P29+F29)&gt;_Max_Stock_Gramos,_Max_Stock_Gramos,T28-P29+F29)</f>
        <v>522.86545260275193</v>
      </c>
      <c r="U29" s="20">
        <f ca="1">T29/_GramosXFrasco</f>
        <v>3.0756791329573643</v>
      </c>
      <c r="V29" s="58">
        <f ca="1">(T29/_Max_Stock_Gramos)</f>
        <v>0.30756791329573641</v>
      </c>
      <c r="W29" s="58"/>
      <c r="X29" s="10">
        <f ca="1">IF((T28-O29)&lt;0,(T28-O29)*_Costo_Faltante,0)</f>
        <v>0</v>
      </c>
      <c r="Y29">
        <f>IF(B29=0,E29*_Costo_Frasco,0)</f>
        <v>0</v>
      </c>
      <c r="Z29">
        <f t="shared" ca="1" si="12"/>
        <v>-2000</v>
      </c>
    </row>
    <row r="30" spans="1:26" x14ac:dyDescent="0.25">
      <c r="A30" s="30">
        <f t="shared" si="6"/>
        <v>14</v>
      </c>
      <c r="B30" s="10">
        <f>IF(B29=0,_Proxima_Compra,B29-1)</f>
        <v>0</v>
      </c>
      <c r="C30" s="3">
        <f t="shared" ca="1" si="7"/>
        <v>0.55402573373452568</v>
      </c>
      <c r="D30" s="3">
        <f ca="1">IF(D29&gt;0,D29-1,IF(C30&gt;0,LOOKUP(C30,$S$3:$S$5,$P$3:$P$5),-1))</f>
        <v>1</v>
      </c>
      <c r="E30" s="25">
        <f t="shared" ca="1" si="8"/>
        <v>0</v>
      </c>
      <c r="F30" s="28">
        <f ca="1">E30*_GramosXFrasco</f>
        <v>0</v>
      </c>
      <c r="G30" s="38">
        <f t="shared" ca="1" si="0"/>
        <v>0.17347038979882534</v>
      </c>
      <c r="H30" s="36">
        <f t="shared" ca="1" si="1"/>
        <v>-1</v>
      </c>
      <c r="I30" s="36">
        <f t="shared" ca="1" si="9"/>
        <v>-1</v>
      </c>
      <c r="J30" s="36">
        <f t="shared" ca="1" si="2"/>
        <v>-1</v>
      </c>
      <c r="K30" s="37">
        <f ca="1">IF(J30&lt;&gt;-1,_Media_M + J30*_Sigma,-1)</f>
        <v>-1</v>
      </c>
      <c r="L30" s="3">
        <f t="shared" ca="1" si="3"/>
        <v>50</v>
      </c>
      <c r="M30" s="18">
        <f ca="1">IF(LOOKUP(G30,$H$3:$H$4,$E$3:$E$4)=1,50,_Media_M + J30*_Sigma)</f>
        <v>50</v>
      </c>
      <c r="N30" s="36">
        <f t="shared" ca="1" si="4"/>
        <v>30.23384104355188</v>
      </c>
      <c r="O30" s="35">
        <f t="shared" ca="1" si="5"/>
        <v>80.233841043551877</v>
      </c>
      <c r="P30" s="19">
        <f t="shared" ca="1" si="10"/>
        <v>80.233841043551877</v>
      </c>
      <c r="Q30" s="20">
        <f ca="1" xml:space="preserve"> P30*_Precio_cafe</f>
        <v>120.35076156532782</v>
      </c>
      <c r="R30" s="20">
        <f t="shared" ca="1" si="11"/>
        <v>1886.0525826612002</v>
      </c>
      <c r="S30" s="20">
        <f ca="1">(1/A30)*((A30-1)*S29 +Q30)</f>
        <v>134.71804161865714</v>
      </c>
      <c r="T30" s="20">
        <f ca="1">IF((T29-P30+F30)&gt;_Max_Stock_Gramos,_Max_Stock_Gramos,T29-P30+F30)</f>
        <v>442.63161155920005</v>
      </c>
      <c r="U30" s="20">
        <f ca="1">T30/_GramosXFrasco</f>
        <v>2.6037153621129416</v>
      </c>
      <c r="V30" s="58">
        <f ca="1">(T30/_Max_Stock_Gramos)</f>
        <v>0.26037153621129416</v>
      </c>
      <c r="W30" s="58"/>
      <c r="X30" s="10">
        <f ca="1">IF((T29-O30)&lt;0,(T29-O30)*_Costo_Faltante,0)</f>
        <v>0</v>
      </c>
      <c r="Y30">
        <f ca="1">IF(B30=0,E30*_Costo_Frasco,0)</f>
        <v>0</v>
      </c>
      <c r="Z30">
        <f t="shared" ca="1" si="12"/>
        <v>-2000</v>
      </c>
    </row>
    <row r="31" spans="1:26" x14ac:dyDescent="0.25">
      <c r="A31" s="30">
        <f t="shared" si="6"/>
        <v>15</v>
      </c>
      <c r="B31" s="10">
        <f>IF(B30=0,_Proxima_Compra,B30-1)</f>
        <v>1</v>
      </c>
      <c r="C31" s="3">
        <f t="shared" ca="1" si="7"/>
        <v>-1</v>
      </c>
      <c r="D31" s="3">
        <f ca="1">IF(D30&gt;0,D30-1,IF(C31&gt;0,LOOKUP(C31,$S$3:$S$5,$P$3:$P$5),-1))</f>
        <v>0</v>
      </c>
      <c r="E31" s="25">
        <f t="shared" ca="1" si="8"/>
        <v>2</v>
      </c>
      <c r="F31" s="28">
        <f ca="1">E31*_GramosXFrasco</f>
        <v>340</v>
      </c>
      <c r="G31" s="38">
        <f t="shared" ca="1" si="0"/>
        <v>0.50036844951004089</v>
      </c>
      <c r="H31" s="36">
        <f t="shared" ca="1" si="1"/>
        <v>0.67750303725348027</v>
      </c>
      <c r="I31" s="36">
        <f t="shared" ca="1" si="9"/>
        <v>0.65273424082601395</v>
      </c>
      <c r="J31" s="36">
        <f t="shared" ca="1" si="2"/>
        <v>-0.56888745105017924</v>
      </c>
      <c r="K31" s="37">
        <f ca="1">IF(J31&lt;&gt;-1,_Media_M + J31*_Sigma,-1)</f>
        <v>66.466688234247314</v>
      </c>
      <c r="L31" s="3">
        <f t="shared" ca="1" si="3"/>
        <v>-1</v>
      </c>
      <c r="M31" s="18">
        <f ca="1">IF(LOOKUP(G31,$H$3:$H$4,$E$3:$E$4)=1,50,_Media_M + J31*_Sigma)</f>
        <v>66.466688234247314</v>
      </c>
      <c r="N31" s="36">
        <f t="shared" ca="1" si="4"/>
        <v>14.593738782302012</v>
      </c>
      <c r="O31" s="35">
        <f t="shared" ca="1" si="5"/>
        <v>81.060427016549326</v>
      </c>
      <c r="P31" s="19">
        <f t="shared" ca="1" si="10"/>
        <v>81.060427016549326</v>
      </c>
      <c r="Q31" s="20">
        <f ca="1" xml:space="preserve"> P31*_Precio_cafe</f>
        <v>121.59064052482398</v>
      </c>
      <c r="R31" s="20">
        <f t="shared" ca="1" si="11"/>
        <v>2007.6432231860242</v>
      </c>
      <c r="S31" s="20">
        <f ca="1">(1/A31)*((A31-1)*S30 +Q31)</f>
        <v>133.84288154573494</v>
      </c>
      <c r="T31" s="20">
        <f ca="1">IF((T30-P31+F31)&gt;_Max_Stock_Gramos,_Max_Stock_Gramos,T30-P31+F31)</f>
        <v>701.57118454265071</v>
      </c>
      <c r="U31" s="20">
        <f ca="1">T31/_GramosXFrasco</f>
        <v>4.1268893208391217</v>
      </c>
      <c r="V31" s="58">
        <f ca="1">(T31/_Max_Stock_Gramos)</f>
        <v>0.41268893208391216</v>
      </c>
      <c r="W31" s="58"/>
      <c r="X31" s="10">
        <f ca="1">IF((T30-O31)&lt;0,(T30-O31)*_Costo_Faltante,0)</f>
        <v>0</v>
      </c>
      <c r="Y31">
        <f>IF(B31=0,E31*_Costo_Frasco,0)</f>
        <v>0</v>
      </c>
      <c r="Z31">
        <f t="shared" ca="1" si="12"/>
        <v>-2000</v>
      </c>
    </row>
    <row r="32" spans="1:26" x14ac:dyDescent="0.25">
      <c r="A32" s="30">
        <f t="shared" si="6"/>
        <v>16</v>
      </c>
      <c r="B32" s="10">
        <f>IF(B31=0,_Proxima_Compra,B31-1)</f>
        <v>0</v>
      </c>
      <c r="C32" s="3">
        <f t="shared" ca="1" si="7"/>
        <v>0.87711818356237392</v>
      </c>
      <c r="D32" s="3">
        <f ca="1">IF(D31&gt;0,D31-1,IF(C32&gt;0,LOOKUP(C32,$S$3:$S$5,$P$3:$P$5),-1))</f>
        <v>2</v>
      </c>
      <c r="E32" s="25">
        <f t="shared" ca="1" si="8"/>
        <v>0</v>
      </c>
      <c r="F32" s="28">
        <f ca="1">E32*_GramosXFrasco</f>
        <v>0</v>
      </c>
      <c r="G32" s="38">
        <f t="shared" ca="1" si="0"/>
        <v>0.82591481439606462</v>
      </c>
      <c r="H32" s="36">
        <f t="shared" ca="1" si="1"/>
        <v>0.5782753266139663</v>
      </c>
      <c r="I32" s="36">
        <f t="shared" ca="1" si="9"/>
        <v>0.23526669835784619</v>
      </c>
      <c r="J32" s="36">
        <f t="shared" ca="1" si="2"/>
        <v>8.0052208226373461E-2</v>
      </c>
      <c r="K32" s="37">
        <f ca="1">IF(J32&lt;&gt;-1,_Media_M + J32*_Sigma,-1)</f>
        <v>76.200783123395595</v>
      </c>
      <c r="L32" s="3">
        <f t="shared" ca="1" si="3"/>
        <v>-1</v>
      </c>
      <c r="M32" s="18">
        <f ca="1">IF(LOOKUP(G32,$H$3:$H$4,$E$3:$E$4)=1,50,_Media_M + J32*_Sigma)</f>
        <v>76.200783123395595</v>
      </c>
      <c r="N32" s="36">
        <f t="shared" ca="1" si="4"/>
        <v>3.3188027909518594</v>
      </c>
      <c r="O32" s="35">
        <f t="shared" ca="1" si="5"/>
        <v>79.519585914347459</v>
      </c>
      <c r="P32" s="19">
        <f t="shared" ca="1" si="10"/>
        <v>79.519585914347459</v>
      </c>
      <c r="Q32" s="20">
        <f ca="1" xml:space="preserve"> P32*_Precio_cafe</f>
        <v>119.27937887152119</v>
      </c>
      <c r="R32" s="20">
        <f t="shared" ca="1" si="11"/>
        <v>2126.9226020575452</v>
      </c>
      <c r="S32" s="20">
        <f ca="1">(1/A32)*((A32-1)*S31 +Q32)</f>
        <v>132.93266262859657</v>
      </c>
      <c r="T32" s="20">
        <f ca="1">IF((T31-P32+F32)&gt;_Max_Stock_Gramos,_Max_Stock_Gramos,T31-P32+F32)</f>
        <v>622.05159862830328</v>
      </c>
      <c r="U32" s="20">
        <f ca="1">T32/_GramosXFrasco</f>
        <v>3.6591270507547251</v>
      </c>
      <c r="V32" s="58">
        <f ca="1">(T32/_Max_Stock_Gramos)</f>
        <v>0.36591270507547252</v>
      </c>
      <c r="W32" s="58"/>
      <c r="X32" s="10">
        <f ca="1">IF((T31-O32)&lt;0,(T31-O32)*_Costo_Faltante,0)</f>
        <v>0</v>
      </c>
      <c r="Y32">
        <f ca="1">IF(B32=0,E32*_Costo_Frasco,0)</f>
        <v>0</v>
      </c>
      <c r="Z32">
        <f t="shared" ca="1" si="12"/>
        <v>-2000</v>
      </c>
    </row>
    <row r="33" spans="1:26" x14ac:dyDescent="0.25">
      <c r="A33" s="30">
        <f t="shared" si="6"/>
        <v>17</v>
      </c>
      <c r="B33" s="10">
        <f>IF(B32=0,_Proxima_Compra,B32-1)</f>
        <v>1</v>
      </c>
      <c r="C33" s="3">
        <f t="shared" ca="1" si="7"/>
        <v>-1</v>
      </c>
      <c r="D33" s="3">
        <f ca="1">IF(D32&gt;0,D32-1,IF(C33&gt;0,LOOKUP(C33,$S$3:$S$5,$P$3:$P$5),-1))</f>
        <v>1</v>
      </c>
      <c r="E33" s="25">
        <f t="shared" ca="1" si="8"/>
        <v>0</v>
      </c>
      <c r="F33" s="28">
        <f ca="1">E33*_GramosXFrasco</f>
        <v>0</v>
      </c>
      <c r="G33" s="38">
        <f t="shared" ca="1" si="0"/>
        <v>0.21950925978278157</v>
      </c>
      <c r="H33" s="36">
        <f t="shared" ca="1" si="1"/>
        <v>-1</v>
      </c>
      <c r="I33" s="36">
        <f t="shared" ca="1" si="9"/>
        <v>-1</v>
      </c>
      <c r="J33" s="36">
        <f t="shared" ca="1" si="2"/>
        <v>-1</v>
      </c>
      <c r="K33" s="37">
        <f ca="1">IF(J33&lt;&gt;-1,_Media_M + J33*_Sigma,-1)</f>
        <v>-1</v>
      </c>
      <c r="L33" s="3">
        <f t="shared" ca="1" si="3"/>
        <v>50</v>
      </c>
      <c r="M33" s="18">
        <f ca="1">IF(LOOKUP(G33,$H$3:$H$4,$E$3:$E$4)=1,50,_Media_M + J33*_Sigma)</f>
        <v>50</v>
      </c>
      <c r="N33" s="36">
        <f t="shared" ca="1" si="4"/>
        <v>3.1331427020012681</v>
      </c>
      <c r="O33" s="35">
        <f t="shared" ca="1" si="5"/>
        <v>53.133142702001265</v>
      </c>
      <c r="P33" s="19">
        <f t="shared" ca="1" si="10"/>
        <v>53.133142702001265</v>
      </c>
      <c r="Q33" s="20">
        <f ca="1" xml:space="preserve"> P33*_Precio_cafe</f>
        <v>79.699714053001898</v>
      </c>
      <c r="R33" s="20">
        <f t="shared" ca="1" si="11"/>
        <v>2206.6223161105472</v>
      </c>
      <c r="S33" s="20">
        <f ca="1">(1/A33)*((A33-1)*S32 +Q33)</f>
        <v>129.80131271238514</v>
      </c>
      <c r="T33" s="20">
        <f ca="1">IF((T32-P33+F33)&gt;_Max_Stock_Gramos,_Max_Stock_Gramos,T32-P33+F33)</f>
        <v>568.91845592630204</v>
      </c>
      <c r="U33" s="20">
        <f ca="1">T33/_GramosXFrasco</f>
        <v>3.3465791525076591</v>
      </c>
      <c r="V33" s="58">
        <f ca="1">(T33/_Max_Stock_Gramos)</f>
        <v>0.33465791525076594</v>
      </c>
      <c r="W33" s="58"/>
      <c r="X33" s="10">
        <f ca="1">IF((T32-O33)&lt;0,(T32-O33)*_Costo_Faltante,0)</f>
        <v>0</v>
      </c>
      <c r="Y33">
        <f>IF(B33=0,E33*_Costo_Frasco,0)</f>
        <v>0</v>
      </c>
      <c r="Z33">
        <f t="shared" ca="1" si="12"/>
        <v>-2000</v>
      </c>
    </row>
    <row r="34" spans="1:26" x14ac:dyDescent="0.25">
      <c r="A34" s="30">
        <f t="shared" si="6"/>
        <v>18</v>
      </c>
      <c r="B34" s="10">
        <f>IF(B33=0,_Proxima_Compra,B33-1)</f>
        <v>0</v>
      </c>
      <c r="C34" s="3">
        <f t="shared" ca="1" si="7"/>
        <v>0.49251937542443924</v>
      </c>
      <c r="D34" s="3">
        <f ca="1">IF(D33&gt;0,D33-1,IF(C34&gt;0,LOOKUP(C34,$S$3:$S$5,$P$3:$P$5),-1))</f>
        <v>0</v>
      </c>
      <c r="E34" s="25">
        <f t="shared" ca="1" si="8"/>
        <v>2</v>
      </c>
      <c r="F34" s="28">
        <f ca="1">E34*_GramosXFrasco</f>
        <v>340</v>
      </c>
      <c r="G34" s="38">
        <f t="shared" ca="1" si="0"/>
        <v>0.18460306684681838</v>
      </c>
      <c r="H34" s="36">
        <f t="shared" ca="1" si="1"/>
        <v>-1</v>
      </c>
      <c r="I34" s="36">
        <f t="shared" ca="1" si="9"/>
        <v>-1</v>
      </c>
      <c r="J34" s="36">
        <f t="shared" ca="1" si="2"/>
        <v>-1</v>
      </c>
      <c r="K34" s="37">
        <f ca="1">IF(J34&lt;&gt;-1,_Media_M + J34*_Sigma,-1)</f>
        <v>-1</v>
      </c>
      <c r="L34" s="3">
        <f t="shared" ca="1" si="3"/>
        <v>50</v>
      </c>
      <c r="M34" s="18">
        <f ca="1">IF(LOOKUP(G34,$H$3:$H$4,$E$3:$E$4)=1,50,_Media_M + J34*_Sigma)</f>
        <v>50</v>
      </c>
      <c r="N34" s="36">
        <f t="shared" ca="1" si="4"/>
        <v>17.331322655440488</v>
      </c>
      <c r="O34" s="35">
        <f t="shared" ca="1" si="5"/>
        <v>67.331322655440488</v>
      </c>
      <c r="P34" s="19">
        <f t="shared" ca="1" si="10"/>
        <v>67.331322655440488</v>
      </c>
      <c r="Q34" s="20">
        <f ca="1" xml:space="preserve"> P34*_Precio_cafe</f>
        <v>100.99698398316073</v>
      </c>
      <c r="R34" s="20">
        <f t="shared" ca="1" si="11"/>
        <v>2307.6193000937078</v>
      </c>
      <c r="S34" s="20">
        <f ca="1">(1/A34)*((A34-1)*S33 +Q34)</f>
        <v>128.2010722274282</v>
      </c>
      <c r="T34" s="20">
        <f ca="1">IF((T33-P34+F34)&gt;_Max_Stock_Gramos,_Max_Stock_Gramos,T33-P34+F34)</f>
        <v>841.58713327086161</v>
      </c>
      <c r="U34" s="20">
        <f ca="1">T34/_GramosXFrasco</f>
        <v>4.9505125486521271</v>
      </c>
      <c r="V34" s="58">
        <f ca="1">(T34/_Max_Stock_Gramos)</f>
        <v>0.49505125486521273</v>
      </c>
      <c r="W34" s="58"/>
      <c r="X34" s="10">
        <f ca="1">IF((T33-O34)&lt;0,(T33-O34)*_Costo_Faltante,0)</f>
        <v>0</v>
      </c>
      <c r="Y34">
        <f ca="1">IF(B34=0,E34*_Costo_Frasco,0)</f>
        <v>-500</v>
      </c>
      <c r="Z34" s="11">
        <f t="shared" ca="1" si="12"/>
        <v>-2500</v>
      </c>
    </row>
    <row r="35" spans="1:26" x14ac:dyDescent="0.25">
      <c r="A35" s="30">
        <f t="shared" si="6"/>
        <v>19</v>
      </c>
      <c r="B35" s="10">
        <f>IF(B34=0,_Proxima_Compra,B34-1)</f>
        <v>1</v>
      </c>
      <c r="C35" s="3">
        <f t="shared" ca="1" si="7"/>
        <v>-1</v>
      </c>
      <c r="D35" s="3">
        <f ca="1">IF(D34&gt;0,D34-1,IF(C35&gt;0,LOOKUP(C35,$S$3:$S$5,$P$3:$P$5),-1))</f>
        <v>-1</v>
      </c>
      <c r="E35" s="25">
        <f t="shared" ca="1" si="8"/>
        <v>0</v>
      </c>
      <c r="F35" s="28">
        <f ca="1">E35*_GramosXFrasco</f>
        <v>0</v>
      </c>
      <c r="G35" s="38">
        <f t="shared" ca="1" si="0"/>
        <v>0.37820018526138455</v>
      </c>
      <c r="H35" s="36">
        <f t="shared" ca="1" si="1"/>
        <v>-1</v>
      </c>
      <c r="I35" s="36">
        <f t="shared" ca="1" si="9"/>
        <v>-1</v>
      </c>
      <c r="J35" s="36">
        <f t="shared" ca="1" si="2"/>
        <v>-1</v>
      </c>
      <c r="K35" s="37">
        <f ca="1">IF(J35&lt;&gt;-1,_Media_M + J35*_Sigma,-1)</f>
        <v>-1</v>
      </c>
      <c r="L35" s="3">
        <f t="shared" ca="1" si="3"/>
        <v>50</v>
      </c>
      <c r="M35" s="18">
        <f ca="1">IF(LOOKUP(G35,$H$3:$H$4,$E$3:$E$4)=1,50,_Media_M + J35*_Sigma)</f>
        <v>50</v>
      </c>
      <c r="N35" s="36">
        <f t="shared" ca="1" si="4"/>
        <v>4.0420946617291502</v>
      </c>
      <c r="O35" s="35">
        <f t="shared" ca="1" si="5"/>
        <v>54.042094661729152</v>
      </c>
      <c r="P35" s="19">
        <f t="shared" ca="1" si="10"/>
        <v>54.042094661729152</v>
      </c>
      <c r="Q35" s="20">
        <f ca="1" xml:space="preserve"> P35*_Precio_cafe</f>
        <v>81.063141992593728</v>
      </c>
      <c r="R35" s="20">
        <f t="shared" ca="1" si="11"/>
        <v>2388.6824420863013</v>
      </c>
      <c r="S35" s="20">
        <f ca="1">(1/A35)*((A35-1)*S34 +Q35)</f>
        <v>125.72012853085796</v>
      </c>
      <c r="T35" s="20">
        <f ca="1">IF((T34-P35+F35)&gt;_Max_Stock_Gramos,_Max_Stock_Gramos,T34-P35+F35)</f>
        <v>787.54503860913246</v>
      </c>
      <c r="U35" s="20">
        <f ca="1">T35/_GramosXFrasco</f>
        <v>4.6326178741713671</v>
      </c>
      <c r="V35" s="58">
        <f ca="1">(T35/_Max_Stock_Gramos)</f>
        <v>0.46326178741713675</v>
      </c>
      <c r="W35" s="58"/>
      <c r="X35" s="10">
        <f ca="1">IF((T34-O35)&lt;0,(T34-O35)*_Costo_Faltante,0)</f>
        <v>0</v>
      </c>
      <c r="Y35">
        <f>IF(B35=0,E35*_Costo_Frasco,0)</f>
        <v>0</v>
      </c>
      <c r="Z35" s="11">
        <f t="shared" ca="1" si="12"/>
        <v>-2500</v>
      </c>
    </row>
    <row r="36" spans="1:26" x14ac:dyDescent="0.25">
      <c r="A36" s="30">
        <f t="shared" si="6"/>
        <v>20</v>
      </c>
      <c r="B36" s="10">
        <f>IF(B35=0,_Proxima_Compra,B35-1)</f>
        <v>0</v>
      </c>
      <c r="C36" s="3">
        <f t="shared" ca="1" si="7"/>
        <v>0.5831708019854237</v>
      </c>
      <c r="D36" s="3">
        <f ca="1">IF(D35&gt;0,D35-1,IF(C36&gt;0,LOOKUP(C36,$S$3:$S$5,$P$3:$P$5),-1))</f>
        <v>1</v>
      </c>
      <c r="E36" s="25">
        <f t="shared" ca="1" si="8"/>
        <v>0</v>
      </c>
      <c r="F36" s="28">
        <f ca="1">E36*_GramosXFrasco</f>
        <v>0</v>
      </c>
      <c r="G36" s="38">
        <f t="shared" ca="1" si="0"/>
        <v>0.2425675540163329</v>
      </c>
      <c r="H36" s="36">
        <f t="shared" ca="1" si="1"/>
        <v>-1</v>
      </c>
      <c r="I36" s="36">
        <f t="shared" ca="1" si="9"/>
        <v>-1</v>
      </c>
      <c r="J36" s="36">
        <f t="shared" ref="J36:J99" ca="1" si="13">IF(I36&gt;0,SQRT(-2*LOG(1-H36)) * COS(2*PI()*I36),-1)</f>
        <v>-1</v>
      </c>
      <c r="K36" s="37">
        <f ca="1">IF(J36&lt;&gt;-1,_Media_M + J36*_Sigma,-1)</f>
        <v>-1</v>
      </c>
      <c r="L36" s="3">
        <f t="shared" ca="1" si="3"/>
        <v>50</v>
      </c>
      <c r="M36" s="18">
        <f ca="1">IF(LOOKUP(G36,$H$3:$H$4,$E$3:$E$4)=1,50,_Media_M + J36*_Sigma)</f>
        <v>50</v>
      </c>
      <c r="N36" s="36">
        <f t="shared" ca="1" si="4"/>
        <v>30.599925184492424</v>
      </c>
      <c r="O36" s="35">
        <f t="shared" ref="O36:O99" ca="1" si="14">M36+N36</f>
        <v>80.59992518449242</v>
      </c>
      <c r="P36" s="19">
        <f t="shared" ca="1" si="10"/>
        <v>80.59992518449242</v>
      </c>
      <c r="Q36" s="20">
        <f ca="1" xml:space="preserve"> P36*_Precio_cafe</f>
        <v>120.89988777673864</v>
      </c>
      <c r="R36" s="20">
        <f t="shared" ca="1" si="11"/>
        <v>2509.5823298630398</v>
      </c>
      <c r="S36" s="20">
        <f ca="1">(1/A36)*((A36-1)*S35 +Q36)</f>
        <v>125.47911649315199</v>
      </c>
      <c r="T36" s="20">
        <f ca="1">IF((T35-P36+F36)&gt;_Max_Stock_Gramos,_Max_Stock_Gramos,T35-P36+F36)</f>
        <v>706.94511342464</v>
      </c>
      <c r="U36" s="20">
        <f ca="1">T36/_GramosXFrasco</f>
        <v>4.1585006672037643</v>
      </c>
      <c r="V36" s="58">
        <f ca="1">(T36/_Max_Stock_Gramos)</f>
        <v>0.41585006672037644</v>
      </c>
      <c r="W36" s="58"/>
      <c r="X36" s="10">
        <f ca="1">IF((T35-O36)&lt;0,(T35-O36)*_Costo_Faltante,0)</f>
        <v>0</v>
      </c>
      <c r="Y36">
        <f ca="1">IF(B36=0,E36*_Costo_Frasco,0)</f>
        <v>0</v>
      </c>
      <c r="Z36" s="11">
        <f t="shared" ca="1" si="12"/>
        <v>-2500</v>
      </c>
    </row>
    <row r="37" spans="1:26" x14ac:dyDescent="0.25">
      <c r="A37" s="30">
        <f t="shared" si="6"/>
        <v>21</v>
      </c>
      <c r="B37" s="10">
        <f>IF(B36=0,_Proxima_Compra,B36-1)</f>
        <v>1</v>
      </c>
      <c r="C37" s="3">
        <f t="shared" ca="1" si="7"/>
        <v>-1</v>
      </c>
      <c r="D37" s="3">
        <f ca="1">IF(D36&gt;0,D36-1,IF(C37&gt;0,LOOKUP(C37,$S$3:$S$5,$P$3:$P$5),-1))</f>
        <v>0</v>
      </c>
      <c r="E37" s="25">
        <f t="shared" ca="1" si="8"/>
        <v>2</v>
      </c>
      <c r="F37" s="28">
        <f ca="1">E37*_GramosXFrasco</f>
        <v>340</v>
      </c>
      <c r="G37" s="38">
        <f t="shared" ca="1" si="0"/>
        <v>0.38716560481067031</v>
      </c>
      <c r="H37" s="36">
        <f t="shared" ca="1" si="1"/>
        <v>-1</v>
      </c>
      <c r="I37" s="36">
        <f t="shared" ca="1" si="9"/>
        <v>-1</v>
      </c>
      <c r="J37" s="36">
        <f t="shared" ca="1" si="13"/>
        <v>-1</v>
      </c>
      <c r="K37" s="37">
        <f ca="1">IF(J37&lt;&gt;-1,_Media_M + J37*_Sigma,-1)</f>
        <v>-1</v>
      </c>
      <c r="L37" s="3">
        <f t="shared" ca="1" si="3"/>
        <v>50</v>
      </c>
      <c r="M37" s="18">
        <f ca="1">IF(LOOKUP(G37,$H$3:$H$4,$E$3:$E$4)=1,50,_Media_M + J37*_Sigma)</f>
        <v>50</v>
      </c>
      <c r="N37" s="36">
        <f t="shared" ca="1" si="4"/>
        <v>8.2656264938714337</v>
      </c>
      <c r="O37" s="35">
        <f t="shared" ca="1" si="14"/>
        <v>58.265626493871437</v>
      </c>
      <c r="P37" s="19">
        <f t="shared" ca="1" si="10"/>
        <v>58.265626493871437</v>
      </c>
      <c r="Q37" s="20">
        <f ca="1" xml:space="preserve"> P37*_Precio_cafe</f>
        <v>87.398439740807163</v>
      </c>
      <c r="R37" s="20">
        <f t="shared" ca="1" si="11"/>
        <v>2596.980769603847</v>
      </c>
      <c r="S37" s="20">
        <f ca="1">(1/A37)*((A37-1)*S36 +Q37)</f>
        <v>123.66575093351652</v>
      </c>
      <c r="T37" s="20">
        <f ca="1">IF((T36-P37+F37)&gt;_Max_Stock_Gramos,_Max_Stock_Gramos,T36-P37+F37)</f>
        <v>988.67948693076858</v>
      </c>
      <c r="U37" s="20">
        <f ca="1">T37/_GramosXFrasco</f>
        <v>5.8157616878280507</v>
      </c>
      <c r="V37" s="58">
        <f ca="1">(T37/_Max_Stock_Gramos)</f>
        <v>0.58157616878280505</v>
      </c>
      <c r="W37" s="58"/>
      <c r="X37" s="10">
        <f ca="1">IF((T36-O37)&lt;0,(T36-O37)*_Costo_Faltante,0)</f>
        <v>0</v>
      </c>
      <c r="Y37">
        <f>IF(B37=0,E37*_Costo_Frasco,0)</f>
        <v>0</v>
      </c>
      <c r="Z37" s="11">
        <f t="shared" ca="1" si="12"/>
        <v>-2500</v>
      </c>
    </row>
    <row r="38" spans="1:26" x14ac:dyDescent="0.25">
      <c r="A38" s="30">
        <f t="shared" si="6"/>
        <v>22</v>
      </c>
      <c r="B38" s="10">
        <f>IF(B37=0,_Proxima_Compra,B37-1)</f>
        <v>0</v>
      </c>
      <c r="C38" s="3">
        <f t="shared" ca="1" si="7"/>
        <v>0.72809632273242908</v>
      </c>
      <c r="D38" s="3">
        <f ca="1">IF(D37&gt;0,D37-1,IF(C38&gt;0,LOOKUP(C38,$S$3:$S$5,$P$3:$P$5),-1))</f>
        <v>1</v>
      </c>
      <c r="E38" s="25">
        <f t="shared" ca="1" si="8"/>
        <v>0</v>
      </c>
      <c r="F38" s="28">
        <f ca="1">E38*_GramosXFrasco</f>
        <v>0</v>
      </c>
      <c r="G38" s="38">
        <f t="shared" ca="1" si="0"/>
        <v>0.37614824339386632</v>
      </c>
      <c r="H38" s="36">
        <f t="shared" ca="1" si="1"/>
        <v>-1</v>
      </c>
      <c r="I38" s="36">
        <f t="shared" ca="1" si="9"/>
        <v>-1</v>
      </c>
      <c r="J38" s="36">
        <f t="shared" ca="1" si="13"/>
        <v>-1</v>
      </c>
      <c r="K38" s="37">
        <f ca="1">IF(J38&lt;&gt;-1,_Media_M + J38*_Sigma,-1)</f>
        <v>-1</v>
      </c>
      <c r="L38" s="3">
        <f t="shared" ca="1" si="3"/>
        <v>50</v>
      </c>
      <c r="M38" s="18">
        <f ca="1">IF(LOOKUP(G38,$H$3:$H$4,$E$3:$E$4)=1,50,_Media_M + J38*_Sigma)</f>
        <v>50</v>
      </c>
      <c r="N38" s="36">
        <f t="shared" ca="1" si="4"/>
        <v>0.29142636666937738</v>
      </c>
      <c r="O38" s="35">
        <f t="shared" ca="1" si="14"/>
        <v>50.291426366669377</v>
      </c>
      <c r="P38" s="19">
        <f t="shared" ca="1" si="10"/>
        <v>50.291426366669377</v>
      </c>
      <c r="Q38" s="20">
        <f ca="1" xml:space="preserve"> P38*_Precio_cafe</f>
        <v>75.437139550004062</v>
      </c>
      <c r="R38" s="20">
        <f t="shared" ca="1" si="11"/>
        <v>2672.4179091538508</v>
      </c>
      <c r="S38" s="20">
        <f ca="1">(1/A38)*((A38-1)*S37 +Q38)</f>
        <v>121.47354132517503</v>
      </c>
      <c r="T38" s="20">
        <f ca="1">IF((T37-P38+F38)&gt;_Max_Stock_Gramos,_Max_Stock_Gramos,T37-P38+F38)</f>
        <v>938.38806056409919</v>
      </c>
      <c r="U38" s="20">
        <f ca="1">T38/_GramosXFrasco</f>
        <v>5.5199297680241131</v>
      </c>
      <c r="V38" s="58">
        <f ca="1">(T38/_Max_Stock_Gramos)</f>
        <v>0.55199297680241133</v>
      </c>
      <c r="W38" s="58"/>
      <c r="X38" s="10">
        <f ca="1">IF((T37-O38)&lt;0,(T37-O38)*_Costo_Faltante,0)</f>
        <v>0</v>
      </c>
      <c r="Y38">
        <f ca="1">IF(B38=0,E38*_Costo_Frasco,0)</f>
        <v>0</v>
      </c>
      <c r="Z38" s="11">
        <f t="shared" ca="1" si="12"/>
        <v>-2500</v>
      </c>
    </row>
    <row r="39" spans="1:26" x14ac:dyDescent="0.25">
      <c r="A39" s="30">
        <f t="shared" si="6"/>
        <v>23</v>
      </c>
      <c r="B39" s="10">
        <f>IF(B38=0,_Proxima_Compra,B38-1)</f>
        <v>1</v>
      </c>
      <c r="C39" s="3">
        <f t="shared" ca="1" si="7"/>
        <v>-1</v>
      </c>
      <c r="D39" s="3">
        <f ca="1">IF(D38&gt;0,D38-1,IF(C39&gt;0,LOOKUP(C39,$S$3:$S$5,$P$3:$P$5),-1))</f>
        <v>0</v>
      </c>
      <c r="E39" s="25">
        <f t="shared" ca="1" si="8"/>
        <v>2</v>
      </c>
      <c r="F39" s="28">
        <f ca="1">E39*_GramosXFrasco</f>
        <v>340</v>
      </c>
      <c r="G39" s="38">
        <f t="shared" ca="1" si="0"/>
        <v>0.48952311839754592</v>
      </c>
      <c r="H39" s="36">
        <f t="shared" ca="1" si="1"/>
        <v>-1</v>
      </c>
      <c r="I39" s="36">
        <f t="shared" ca="1" si="9"/>
        <v>-1</v>
      </c>
      <c r="J39" s="36">
        <f t="shared" ca="1" si="13"/>
        <v>-1</v>
      </c>
      <c r="K39" s="37">
        <f ca="1">IF(J39&lt;&gt;-1,_Media_M + J39*_Sigma,-1)</f>
        <v>-1</v>
      </c>
      <c r="L39" s="3">
        <f t="shared" ca="1" si="3"/>
        <v>50</v>
      </c>
      <c r="M39" s="18">
        <f ca="1">IF(LOOKUP(G39,$H$3:$H$4,$E$3:$E$4)=1,50,_Media_M + J39*_Sigma)</f>
        <v>50</v>
      </c>
      <c r="N39" s="36">
        <f t="shared" ca="1" si="4"/>
        <v>0.85858661838051253</v>
      </c>
      <c r="O39" s="35">
        <f t="shared" ca="1" si="14"/>
        <v>50.858586618380514</v>
      </c>
      <c r="P39" s="19">
        <f t="shared" ca="1" si="10"/>
        <v>50.858586618380514</v>
      </c>
      <c r="Q39" s="20">
        <f ca="1" xml:space="preserve"> P39*_Precio_cafe</f>
        <v>76.287879927570771</v>
      </c>
      <c r="R39" s="20">
        <f t="shared" ca="1" si="11"/>
        <v>2748.7057890814217</v>
      </c>
      <c r="S39" s="20">
        <f ca="1">(1/A39)*((A39-1)*S38 +Q39)</f>
        <v>119.50894735136616</v>
      </c>
      <c r="T39" s="20">
        <f ca="1">IF((T38-P39+F39)&gt;_Max_Stock_Gramos,_Max_Stock_Gramos,T38-P39+F39)</f>
        <v>1227.5294739457186</v>
      </c>
      <c r="U39" s="20">
        <f ca="1">T39/_GramosXFrasco</f>
        <v>7.2207616114454032</v>
      </c>
      <c r="V39" s="58">
        <f ca="1">(T39/_Max_Stock_Gramos)</f>
        <v>0.72207616114454032</v>
      </c>
      <c r="W39" s="58"/>
      <c r="X39" s="10">
        <f ca="1">IF((T38-O39)&lt;0,(T38-O39)*_Costo_Faltante,0)</f>
        <v>0</v>
      </c>
      <c r="Y39">
        <f>IF(B39=0,E39*_Costo_Frasco,0)</f>
        <v>0</v>
      </c>
      <c r="Z39" s="11">
        <f t="shared" ca="1" si="12"/>
        <v>-2500</v>
      </c>
    </row>
    <row r="40" spans="1:26" x14ac:dyDescent="0.25">
      <c r="A40" s="30">
        <f t="shared" si="6"/>
        <v>24</v>
      </c>
      <c r="B40" s="10">
        <f>IF(B39=0,_Proxima_Compra,B39-1)</f>
        <v>0</v>
      </c>
      <c r="C40" s="3">
        <f t="shared" ca="1" si="7"/>
        <v>0.66800108120008062</v>
      </c>
      <c r="D40" s="3">
        <f ca="1">IF(D39&gt;0,D39-1,IF(C40&gt;0,LOOKUP(C40,$S$3:$S$5,$P$3:$P$5),-1))</f>
        <v>1</v>
      </c>
      <c r="E40" s="25">
        <f t="shared" ca="1" si="8"/>
        <v>0</v>
      </c>
      <c r="F40" s="28">
        <f ca="1">E40*_GramosXFrasco</f>
        <v>0</v>
      </c>
      <c r="G40" s="38">
        <f t="shared" ca="1" si="0"/>
        <v>0.49640848190886067</v>
      </c>
      <c r="H40" s="36">
        <f t="shared" ca="1" si="1"/>
        <v>-1</v>
      </c>
      <c r="I40" s="36">
        <f t="shared" ca="1" si="9"/>
        <v>-1</v>
      </c>
      <c r="J40" s="36">
        <f t="shared" ca="1" si="13"/>
        <v>-1</v>
      </c>
      <c r="K40" s="37">
        <f ca="1">IF(J40&lt;&gt;-1,_Media_M + J40*_Sigma,-1)</f>
        <v>-1</v>
      </c>
      <c r="L40" s="3">
        <f t="shared" ca="1" si="3"/>
        <v>50</v>
      </c>
      <c r="M40" s="18">
        <f ca="1">IF(LOOKUP(G40,$H$3:$H$4,$E$3:$E$4)=1,50,_Media_M + J40*_Sigma)</f>
        <v>50</v>
      </c>
      <c r="N40" s="36">
        <f t="shared" ca="1" si="4"/>
        <v>75.816933799518949</v>
      </c>
      <c r="O40" s="35">
        <f t="shared" ca="1" si="14"/>
        <v>125.81693379951895</v>
      </c>
      <c r="P40" s="19">
        <f t="shared" ca="1" si="10"/>
        <v>125.81693379951895</v>
      </c>
      <c r="Q40" s="20">
        <f ca="1" xml:space="preserve"> P40*_Precio_cafe</f>
        <v>188.72540069927842</v>
      </c>
      <c r="R40" s="20">
        <f t="shared" ca="1" si="11"/>
        <v>2937.4311897807002</v>
      </c>
      <c r="S40" s="20">
        <f ca="1">(1/A40)*((A40-1)*S39 +Q40)</f>
        <v>122.39296624086251</v>
      </c>
      <c r="T40" s="20">
        <f ca="1">IF((T39-P40+F40)&gt;_Max_Stock_Gramos,_Max_Stock_Gramos,T39-P40+F40)</f>
        <v>1101.7125401461997</v>
      </c>
      <c r="U40" s="20">
        <f ca="1">T40/_GramosXFrasco</f>
        <v>6.480662000859998</v>
      </c>
      <c r="V40" s="58">
        <f ca="1">(T40/_Max_Stock_Gramos)</f>
        <v>0.6480662000859998</v>
      </c>
      <c r="W40" s="58"/>
      <c r="X40" s="10">
        <f ca="1">IF((T39-O40)&lt;0,(T39-O40)*_Costo_Faltante,0)</f>
        <v>0</v>
      </c>
      <c r="Y40">
        <f ca="1">IF(B40=0,E40*_Costo_Frasco,0)</f>
        <v>0</v>
      </c>
      <c r="Z40" s="11">
        <f t="shared" ca="1" si="12"/>
        <v>-2500</v>
      </c>
    </row>
    <row r="41" spans="1:26" x14ac:dyDescent="0.25">
      <c r="A41" s="30">
        <f t="shared" si="6"/>
        <v>25</v>
      </c>
      <c r="B41" s="10">
        <f>IF(B40=0,_Proxima_Compra,B40-1)</f>
        <v>1</v>
      </c>
      <c r="C41" s="3">
        <f t="shared" ca="1" si="7"/>
        <v>-1</v>
      </c>
      <c r="D41" s="3">
        <f ca="1">IF(D40&gt;0,D40-1,IF(C41&gt;0,LOOKUP(C41,$S$3:$S$5,$P$3:$P$5),-1))</f>
        <v>0</v>
      </c>
      <c r="E41" s="25">
        <f t="shared" ca="1" si="8"/>
        <v>2</v>
      </c>
      <c r="F41" s="28">
        <f ca="1">E41*_GramosXFrasco</f>
        <v>340</v>
      </c>
      <c r="G41" s="38">
        <f t="shared" ca="1" si="0"/>
        <v>1.670110933653679E-2</v>
      </c>
      <c r="H41" s="36">
        <f t="shared" ca="1" si="1"/>
        <v>-1</v>
      </c>
      <c r="I41" s="36">
        <f t="shared" ca="1" si="9"/>
        <v>-1</v>
      </c>
      <c r="J41" s="36">
        <f t="shared" ca="1" si="13"/>
        <v>-1</v>
      </c>
      <c r="K41" s="37">
        <f ca="1">IF(J41&lt;&gt;-1,_Media_M + J41*_Sigma,-1)</f>
        <v>-1</v>
      </c>
      <c r="L41" s="3">
        <f t="shared" ca="1" si="3"/>
        <v>50</v>
      </c>
      <c r="M41" s="18">
        <f ca="1">IF(LOOKUP(G41,$H$3:$H$4,$E$3:$E$4)=1,50,_Media_M + J41*_Sigma)</f>
        <v>50</v>
      </c>
      <c r="N41" s="36">
        <f t="shared" ca="1" si="4"/>
        <v>26.242632384715009</v>
      </c>
      <c r="O41" s="35">
        <f t="shared" ca="1" si="14"/>
        <v>76.242632384715009</v>
      </c>
      <c r="P41" s="19">
        <f t="shared" ca="1" si="10"/>
        <v>76.242632384715009</v>
      </c>
      <c r="Q41" s="20">
        <f ca="1" xml:space="preserve"> P41*_Precio_cafe</f>
        <v>114.36394857707251</v>
      </c>
      <c r="R41" s="20">
        <f t="shared" ca="1" si="11"/>
        <v>3051.7951383577729</v>
      </c>
      <c r="S41" s="20">
        <f ca="1">(1/A41)*((A41-1)*S40 +Q41)</f>
        <v>122.07180553431091</v>
      </c>
      <c r="T41" s="20">
        <f ca="1">IF((T40-P41+F41)&gt;_Max_Stock_Gramos,_Max_Stock_Gramos,T40-P41+F41)</f>
        <v>1365.4699077614846</v>
      </c>
      <c r="U41" s="20">
        <f ca="1">T41/_GramosXFrasco</f>
        <v>8.0321759280087335</v>
      </c>
      <c r="V41" s="58">
        <f ca="1">(T41/_Max_Stock_Gramos)</f>
        <v>0.80321759280087324</v>
      </c>
      <c r="W41" s="58"/>
      <c r="X41" s="10">
        <f ca="1">IF((T40-O41)&lt;0,(T40-O41)*_Costo_Faltante,0)</f>
        <v>0</v>
      </c>
      <c r="Y41">
        <f>IF(B41=0,E41*_Costo_Frasco,0)</f>
        <v>0</v>
      </c>
      <c r="Z41" s="11">
        <f t="shared" ca="1" si="12"/>
        <v>-2500</v>
      </c>
    </row>
    <row r="42" spans="1:26" x14ac:dyDescent="0.25">
      <c r="A42" s="30">
        <f t="shared" si="6"/>
        <v>26</v>
      </c>
      <c r="B42" s="10">
        <f>IF(B41=0,_Proxima_Compra,B41-1)</f>
        <v>0</v>
      </c>
      <c r="C42" s="3">
        <f t="shared" ca="1" si="7"/>
        <v>0.28890564969266963</v>
      </c>
      <c r="D42" s="3">
        <f ca="1">IF(D41&gt;0,D41-1,IF(C42&gt;0,LOOKUP(C42,$S$3:$S$5,$P$3:$P$5),-1))</f>
        <v>0</v>
      </c>
      <c r="E42" s="25">
        <f t="shared" ca="1" si="8"/>
        <v>2</v>
      </c>
      <c r="F42" s="28">
        <f ca="1">E42*_GramosXFrasco</f>
        <v>340</v>
      </c>
      <c r="G42" s="38">
        <f t="shared" ca="1" si="0"/>
        <v>0.82685866349943515</v>
      </c>
      <c r="H42" s="36">
        <f t="shared" ca="1" si="1"/>
        <v>0.7224182724133531</v>
      </c>
      <c r="I42" s="36">
        <f t="shared" ca="1" si="9"/>
        <v>0.54175584501024721</v>
      </c>
      <c r="J42" s="36">
        <f t="shared" ca="1" si="13"/>
        <v>-1.0189870383502275</v>
      </c>
      <c r="K42" s="37">
        <f ca="1">IF(J42&lt;&gt;-1,_Media_M + J42*_Sigma,-1)</f>
        <v>59.715194424746585</v>
      </c>
      <c r="L42" s="3">
        <f t="shared" ca="1" si="3"/>
        <v>-1</v>
      </c>
      <c r="M42" s="18">
        <f ca="1">IF(LOOKUP(G42,$H$3:$H$4,$E$3:$E$4)=1,50,_Media_M + J42*_Sigma)</f>
        <v>59.715194424746585</v>
      </c>
      <c r="N42" s="36">
        <f t="shared" ca="1" si="4"/>
        <v>11.268959446125246</v>
      </c>
      <c r="O42" s="35">
        <f t="shared" ca="1" si="14"/>
        <v>70.984153870871836</v>
      </c>
      <c r="P42" s="19">
        <f t="shared" ca="1" si="10"/>
        <v>70.984153870871836</v>
      </c>
      <c r="Q42" s="20">
        <f ca="1" xml:space="preserve"> P42*_Precio_cafe</f>
        <v>106.47623080630775</v>
      </c>
      <c r="R42" s="20">
        <f t="shared" ca="1" si="11"/>
        <v>3158.2713691640806</v>
      </c>
      <c r="S42" s="20">
        <f ca="1">(1/A42)*((A42-1)*S41 +Q42)</f>
        <v>121.47197573708003</v>
      </c>
      <c r="T42" s="20">
        <f ca="1">IF((T41-P42+F42)&gt;_Max_Stock_Gramos,_Max_Stock_Gramos,T41-P42+F42)</f>
        <v>1634.4857538906128</v>
      </c>
      <c r="U42" s="20">
        <f ca="1">T42/_GramosXFrasco</f>
        <v>9.6146220817094878</v>
      </c>
      <c r="V42" s="58">
        <f ca="1">(T42/_Max_Stock_Gramos)</f>
        <v>0.96146220817094874</v>
      </c>
      <c r="W42" s="58"/>
      <c r="X42" s="10">
        <f ca="1">IF((T41-O42)&lt;0,(T41-O42)*_Costo_Faltante,0)</f>
        <v>0</v>
      </c>
      <c r="Y42">
        <f ca="1">IF(B42=0,E42*_Costo_Frasco,0)</f>
        <v>-500</v>
      </c>
      <c r="Z42" s="11">
        <f t="shared" ca="1" si="12"/>
        <v>-3000</v>
      </c>
    </row>
    <row r="43" spans="1:26" x14ac:dyDescent="0.25">
      <c r="A43" s="30">
        <f t="shared" si="6"/>
        <v>27</v>
      </c>
      <c r="B43" s="10">
        <f>IF(B42=0,_Proxima_Compra,B42-1)</f>
        <v>1</v>
      </c>
      <c r="C43" s="3">
        <f t="shared" ca="1" si="7"/>
        <v>-1</v>
      </c>
      <c r="D43" s="3">
        <f ca="1">IF(D42&gt;0,D42-1,IF(C43&gt;0,LOOKUP(C43,$S$3:$S$5,$P$3:$P$5),-1))</f>
        <v>-1</v>
      </c>
      <c r="E43" s="25">
        <f t="shared" ca="1" si="8"/>
        <v>0</v>
      </c>
      <c r="F43" s="28">
        <f ca="1">E43*_GramosXFrasco</f>
        <v>0</v>
      </c>
      <c r="G43" s="38">
        <f t="shared" ca="1" si="0"/>
        <v>0.58553894354927238</v>
      </c>
      <c r="H43" s="36">
        <f t="shared" ca="1" si="1"/>
        <v>0.90307418643634096</v>
      </c>
      <c r="I43" s="36">
        <f t="shared" ca="1" si="9"/>
        <v>0.93430991505891725</v>
      </c>
      <c r="J43" s="36">
        <f t="shared" ca="1" si="13"/>
        <v>1.3042075124027395</v>
      </c>
      <c r="K43" s="37">
        <f ca="1">IF(J43&lt;&gt;-1,_Media_M + J43*_Sigma,-1)</f>
        <v>94.563112686041094</v>
      </c>
      <c r="L43" s="3">
        <f t="shared" ca="1" si="3"/>
        <v>-1</v>
      </c>
      <c r="M43" s="18">
        <f ca="1">IF(LOOKUP(G43,$H$3:$H$4,$E$3:$E$4)=1,50,_Media_M + J43*_Sigma)</f>
        <v>94.563112686041094</v>
      </c>
      <c r="N43" s="36">
        <f t="shared" ca="1" si="4"/>
        <v>26.604206880105615</v>
      </c>
      <c r="O43" s="35">
        <f t="shared" ca="1" si="14"/>
        <v>121.16731956614672</v>
      </c>
      <c r="P43" s="19">
        <f t="shared" ca="1" si="10"/>
        <v>121.16731956614672</v>
      </c>
      <c r="Q43" s="20">
        <f ca="1" xml:space="preserve"> P43*_Precio_cafe</f>
        <v>181.75097934922007</v>
      </c>
      <c r="R43" s="20">
        <f t="shared" ca="1" si="11"/>
        <v>3340.0223485133006</v>
      </c>
      <c r="S43" s="20">
        <f ca="1">(1/A43)*((A43-1)*S42 +Q43)</f>
        <v>123.70453142641853</v>
      </c>
      <c r="T43" s="20">
        <f ca="1">IF((T42-P43+F43)&gt;_Max_Stock_Gramos,_Max_Stock_Gramos,T42-P43+F43)</f>
        <v>1513.3184343244661</v>
      </c>
      <c r="U43" s="20">
        <f ca="1">T43/_GramosXFrasco</f>
        <v>8.9018731430850941</v>
      </c>
      <c r="V43" s="58">
        <f ca="1">(T43/_Max_Stock_Gramos)</f>
        <v>0.8901873143085095</v>
      </c>
      <c r="W43" s="58"/>
      <c r="X43" s="10">
        <f ca="1">IF((T42-O43)&lt;0,(T42-O43)*_Costo_Faltante,0)</f>
        <v>0</v>
      </c>
      <c r="Y43">
        <f>IF(B43=0,E43*_Costo_Frasco,0)</f>
        <v>0</v>
      </c>
      <c r="Z43" s="11">
        <f t="shared" ca="1" si="12"/>
        <v>-3000</v>
      </c>
    </row>
    <row r="44" spans="1:26" x14ac:dyDescent="0.25">
      <c r="A44" s="30">
        <f t="shared" si="6"/>
        <v>28</v>
      </c>
      <c r="B44" s="10">
        <f>IF(B43=0,_Proxima_Compra,B43-1)</f>
        <v>0</v>
      </c>
      <c r="C44" s="3">
        <f t="shared" ca="1" si="7"/>
        <v>0.89264214149660615</v>
      </c>
      <c r="D44" s="3">
        <f ca="1">IF(D43&gt;0,D43-1,IF(C44&gt;0,LOOKUP(C44,$S$3:$S$5,$P$3:$P$5),-1))</f>
        <v>2</v>
      </c>
      <c r="E44" s="25">
        <f t="shared" ca="1" si="8"/>
        <v>0</v>
      </c>
      <c r="F44" s="28">
        <f ca="1">E44*_GramosXFrasco</f>
        <v>0</v>
      </c>
      <c r="G44" s="38">
        <f t="shared" ca="1" si="0"/>
        <v>5.3394448418757734E-2</v>
      </c>
      <c r="H44" s="36">
        <f t="shared" ca="1" si="1"/>
        <v>-1</v>
      </c>
      <c r="I44" s="36">
        <f t="shared" ca="1" si="9"/>
        <v>-1</v>
      </c>
      <c r="J44" s="36">
        <f t="shared" ca="1" si="13"/>
        <v>-1</v>
      </c>
      <c r="K44" s="37">
        <f ca="1">IF(J44&lt;&gt;-1,_Media_M + J44*_Sigma,-1)</f>
        <v>-1</v>
      </c>
      <c r="L44" s="3">
        <f t="shared" ca="1" si="3"/>
        <v>50</v>
      </c>
      <c r="M44" s="18">
        <f ca="1">IF(LOOKUP(G44,$H$3:$H$4,$E$3:$E$4)=1,50,_Media_M + J44*_Sigma)</f>
        <v>50</v>
      </c>
      <c r="N44" s="36">
        <f t="shared" ca="1" si="4"/>
        <v>29.562755076169783</v>
      </c>
      <c r="O44" s="35">
        <f t="shared" ca="1" si="14"/>
        <v>79.562755076169779</v>
      </c>
      <c r="P44" s="19">
        <f t="shared" ca="1" si="10"/>
        <v>79.562755076169779</v>
      </c>
      <c r="Q44" s="20">
        <f ca="1" xml:space="preserve"> P44*_Precio_cafe</f>
        <v>119.34413261425468</v>
      </c>
      <c r="R44" s="20">
        <f t="shared" ca="1" si="11"/>
        <v>3459.3664811275553</v>
      </c>
      <c r="S44" s="20">
        <f ca="1">(1/A44)*((A44-1)*S43 +Q44)</f>
        <v>123.54880289741267</v>
      </c>
      <c r="T44" s="20">
        <f ca="1">IF((T43-P44+F44)&gt;_Max_Stock_Gramos,_Max_Stock_Gramos,T43-P44+F44)</f>
        <v>1433.7556792482962</v>
      </c>
      <c r="U44" s="20">
        <f ca="1">T44/_GramosXFrasco</f>
        <v>8.4338569367546832</v>
      </c>
      <c r="V44" s="58">
        <f ca="1">(T44/_Max_Stock_Gramos)</f>
        <v>0.84338569367546834</v>
      </c>
      <c r="W44" s="58"/>
      <c r="X44" s="10">
        <f ca="1">IF((T43-O44)&lt;0,(T43-O44)*_Costo_Faltante,0)</f>
        <v>0</v>
      </c>
      <c r="Y44">
        <f ca="1">IF(B44=0,E44*_Costo_Frasco,0)</f>
        <v>0</v>
      </c>
      <c r="Z44" s="11">
        <f t="shared" ca="1" si="12"/>
        <v>-3000</v>
      </c>
    </row>
    <row r="45" spans="1:26" x14ac:dyDescent="0.25">
      <c r="A45" s="30">
        <f t="shared" si="6"/>
        <v>29</v>
      </c>
      <c r="B45" s="10">
        <f>IF(B44=0,_Proxima_Compra,B44-1)</f>
        <v>1</v>
      </c>
      <c r="C45" s="3">
        <f t="shared" ca="1" si="7"/>
        <v>-1</v>
      </c>
      <c r="D45" s="3">
        <f ca="1">IF(D44&gt;0,D44-1,IF(C45&gt;0,LOOKUP(C45,$S$3:$S$5,$P$3:$P$5),-1))</f>
        <v>1</v>
      </c>
      <c r="E45" s="25">
        <f t="shared" ca="1" si="8"/>
        <v>0</v>
      </c>
      <c r="F45" s="28">
        <f ca="1">E45*_GramosXFrasco</f>
        <v>0</v>
      </c>
      <c r="G45" s="38">
        <f t="shared" ca="1" si="0"/>
        <v>0.91362531878233977</v>
      </c>
      <c r="H45" s="36">
        <f t="shared" ca="1" si="1"/>
        <v>7.0698563685593796E-2</v>
      </c>
      <c r="I45" s="36">
        <f t="shared" ca="1" si="9"/>
        <v>0.27014766450886096</v>
      </c>
      <c r="J45" s="36">
        <f t="shared" ca="1" si="13"/>
        <v>-3.1861678973068158E-2</v>
      </c>
      <c r="K45" s="37">
        <f ca="1">IF(J45&lt;&gt;-1,_Media_M + J45*_Sigma,-1)</f>
        <v>74.522074815403982</v>
      </c>
      <c r="L45" s="3">
        <f t="shared" ca="1" si="3"/>
        <v>-1</v>
      </c>
      <c r="M45" s="18">
        <f ca="1">IF(LOOKUP(G45,$H$3:$H$4,$E$3:$E$4)=1,50,_Media_M + J45*_Sigma)</f>
        <v>74.522074815403982</v>
      </c>
      <c r="N45" s="36">
        <f t="shared" ca="1" si="4"/>
        <v>34.205503445272868</v>
      </c>
      <c r="O45" s="35">
        <f t="shared" ca="1" si="14"/>
        <v>108.72757826067685</v>
      </c>
      <c r="P45" s="19">
        <f t="shared" ca="1" si="10"/>
        <v>108.72757826067685</v>
      </c>
      <c r="Q45" s="20">
        <f ca="1" xml:space="preserve"> P45*_Precio_cafe</f>
        <v>163.09136739101527</v>
      </c>
      <c r="R45" s="20">
        <f t="shared" ca="1" si="11"/>
        <v>3622.4578485185707</v>
      </c>
      <c r="S45" s="20">
        <f ca="1">(1/A45)*((A45-1)*S44 +Q45)</f>
        <v>124.91233960408863</v>
      </c>
      <c r="T45" s="20">
        <f ca="1">IF((T44-P45+F45)&gt;_Max_Stock_Gramos,_Max_Stock_Gramos,T44-P45+F45)</f>
        <v>1325.0281009876194</v>
      </c>
      <c r="U45" s="20">
        <f ca="1">T45/_GramosXFrasco</f>
        <v>7.7942829469859962</v>
      </c>
      <c r="V45" s="58">
        <f ca="1">(T45/_Max_Stock_Gramos)</f>
        <v>0.77942829469859964</v>
      </c>
      <c r="W45" s="58"/>
      <c r="X45" s="10">
        <f ca="1">IF((T44-O45)&lt;0,(T44-O45)*_Costo_Faltante,0)</f>
        <v>0</v>
      </c>
      <c r="Y45">
        <f>IF(B45=0,E45*_Costo_Frasco,0)</f>
        <v>0</v>
      </c>
      <c r="Z45" s="11">
        <f t="shared" ca="1" si="12"/>
        <v>-3000</v>
      </c>
    </row>
    <row r="46" spans="1:26" x14ac:dyDescent="0.25">
      <c r="A46" s="30">
        <f t="shared" si="6"/>
        <v>30</v>
      </c>
      <c r="B46" s="10">
        <f>IF(B45=0,_Proxima_Compra,B45-1)</f>
        <v>0</v>
      </c>
      <c r="C46" s="3">
        <f t="shared" ca="1" si="7"/>
        <v>0.45999642386864603</v>
      </c>
      <c r="D46" s="3">
        <f ca="1">IF(D45&gt;0,D45-1,IF(C46&gt;0,LOOKUP(C46,$S$3:$S$5,$P$3:$P$5),-1))</f>
        <v>0</v>
      </c>
      <c r="E46" s="25">
        <f t="shared" ca="1" si="8"/>
        <v>2</v>
      </c>
      <c r="F46" s="28">
        <f ca="1">E46*_GramosXFrasco</f>
        <v>340</v>
      </c>
      <c r="G46" s="38">
        <f t="shared" ca="1" si="0"/>
        <v>0.67701063297457542</v>
      </c>
      <c r="H46" s="36">
        <f t="shared" ca="1" si="1"/>
        <v>0.63316137708390541</v>
      </c>
      <c r="I46" s="36">
        <f t="shared" ca="1" si="9"/>
        <v>0.52822146836993966</v>
      </c>
      <c r="J46" s="36">
        <f t="shared" ca="1" si="13"/>
        <v>-0.91866622719239643</v>
      </c>
      <c r="K46" s="37">
        <f ca="1">IF(J46&lt;&gt;-1,_Media_M + J46*_Sigma,-1)</f>
        <v>61.220006592114053</v>
      </c>
      <c r="L46" s="3">
        <f t="shared" ca="1" si="3"/>
        <v>-1</v>
      </c>
      <c r="M46" s="18">
        <f ca="1">IF(LOOKUP(G46,$H$3:$H$4,$E$3:$E$4)=1,50,_Media_M + J46*_Sigma)</f>
        <v>61.220006592114053</v>
      </c>
      <c r="N46" s="36">
        <f t="shared" ca="1" si="4"/>
        <v>9.3051480568551774</v>
      </c>
      <c r="O46" s="35">
        <f t="shared" ca="1" si="14"/>
        <v>70.525154648969234</v>
      </c>
      <c r="P46" s="19">
        <f t="shared" ca="1" si="10"/>
        <v>70.525154648969234</v>
      </c>
      <c r="Q46" s="20">
        <f ca="1" xml:space="preserve"> P46*_Precio_cafe</f>
        <v>105.78773197345384</v>
      </c>
      <c r="R46" s="20">
        <f t="shared" ca="1" si="11"/>
        <v>3728.2455804920246</v>
      </c>
      <c r="S46" s="20">
        <f ca="1">(1/A46)*((A46-1)*S45 +Q46)</f>
        <v>124.27485268306746</v>
      </c>
      <c r="T46" s="20">
        <f ca="1">IF((T45-P46+F46)&gt;_Max_Stock_Gramos,_Max_Stock_Gramos,T45-P46+F46)</f>
        <v>1594.5029463386502</v>
      </c>
      <c r="U46" s="20">
        <f ca="1">T46/_GramosXFrasco</f>
        <v>9.3794290961097069</v>
      </c>
      <c r="V46" s="58">
        <f ca="1">(T46/_Max_Stock_Gramos)</f>
        <v>0.93794290961097071</v>
      </c>
      <c r="W46" s="58"/>
      <c r="X46" s="10">
        <f ca="1">IF((T45-O46)&lt;0,(T45-O46)*_Costo_Faltante,0)</f>
        <v>0</v>
      </c>
      <c r="Y46">
        <f ca="1">IF(B46=0,E46*_Costo_Frasco,0)</f>
        <v>-500</v>
      </c>
      <c r="Z46" s="11">
        <f t="shared" ca="1" si="12"/>
        <v>-3500</v>
      </c>
    </row>
    <row r="47" spans="1:26" x14ac:dyDescent="0.25">
      <c r="A47" s="30">
        <f t="shared" si="6"/>
        <v>31</v>
      </c>
      <c r="B47" s="10">
        <f>IF(B46=0,_Proxima_Compra,B46-1)</f>
        <v>1</v>
      </c>
      <c r="C47" s="3">
        <f t="shared" ca="1" si="7"/>
        <v>-1</v>
      </c>
      <c r="D47" s="3">
        <f ca="1">IF(D46&gt;0,D46-1,IF(C47&gt;0,LOOKUP(C47,$S$3:$S$5,$P$3:$P$5),-1))</f>
        <v>-1</v>
      </c>
      <c r="E47" s="25">
        <f t="shared" ca="1" si="8"/>
        <v>0</v>
      </c>
      <c r="F47" s="28">
        <f ca="1">E47*_GramosXFrasco</f>
        <v>0</v>
      </c>
      <c r="G47" s="38">
        <f t="shared" ca="1" si="0"/>
        <v>0.29182810778485746</v>
      </c>
      <c r="H47" s="36">
        <f t="shared" ca="1" si="1"/>
        <v>-1</v>
      </c>
      <c r="I47" s="36">
        <f t="shared" ca="1" si="9"/>
        <v>-1</v>
      </c>
      <c r="J47" s="36">
        <f t="shared" ca="1" si="13"/>
        <v>-1</v>
      </c>
      <c r="K47" s="37">
        <f ca="1">IF(J47&lt;&gt;-1,_Media_M + J47*_Sigma,-1)</f>
        <v>-1</v>
      </c>
      <c r="L47" s="3">
        <f t="shared" ca="1" si="3"/>
        <v>50</v>
      </c>
      <c r="M47" s="18">
        <f ca="1">IF(LOOKUP(G47,$H$3:$H$4,$E$3:$E$4)=1,50,_Media_M + J47*_Sigma)</f>
        <v>50</v>
      </c>
      <c r="N47" s="36">
        <f t="shared" ca="1" si="4"/>
        <v>19.295671362743434</v>
      </c>
      <c r="O47" s="35">
        <f t="shared" ca="1" si="14"/>
        <v>69.295671362743434</v>
      </c>
      <c r="P47" s="19">
        <f t="shared" ca="1" si="10"/>
        <v>69.295671362743434</v>
      </c>
      <c r="Q47" s="20">
        <f ca="1" xml:space="preserve"> P47*_Precio_cafe</f>
        <v>103.94350704411515</v>
      </c>
      <c r="R47" s="20">
        <f t="shared" ca="1" si="11"/>
        <v>3832.1890875361396</v>
      </c>
      <c r="S47" s="20">
        <f ca="1">(1/A47)*((A47-1)*S46 +Q47)</f>
        <v>123.61900282374643</v>
      </c>
      <c r="T47" s="20">
        <f ca="1">IF((T46-P47+F47)&gt;_Max_Stock_Gramos,_Max_Stock_Gramos,T46-P47+F47)</f>
        <v>1525.2072749759068</v>
      </c>
      <c r="U47" s="20">
        <f ca="1">T47/_GramosXFrasco</f>
        <v>8.9718074998582757</v>
      </c>
      <c r="V47" s="58">
        <f ca="1">(T47/_Max_Stock_Gramos)</f>
        <v>0.89718074998582753</v>
      </c>
      <c r="W47" s="58"/>
      <c r="X47" s="10">
        <f ca="1">IF((T46-O47)&lt;0,(T46-O47)*_Costo_Faltante,0)</f>
        <v>0</v>
      </c>
      <c r="Y47">
        <f>IF(B47=0,E47*_Costo_Frasco,0)</f>
        <v>0</v>
      </c>
      <c r="Z47" s="11">
        <f t="shared" ca="1" si="12"/>
        <v>-3500</v>
      </c>
    </row>
    <row r="48" spans="1:26" x14ac:dyDescent="0.25">
      <c r="A48" s="30">
        <f t="shared" si="6"/>
        <v>32</v>
      </c>
      <c r="B48" s="10">
        <f>IF(B47=0,_Proxima_Compra,B47-1)</f>
        <v>0</v>
      </c>
      <c r="C48" s="3">
        <f t="shared" ca="1" si="7"/>
        <v>0.67519765264860054</v>
      </c>
      <c r="D48" s="3">
        <f ca="1">IF(D47&gt;0,D47-1,IF(C48&gt;0,LOOKUP(C48,$S$3:$S$5,$P$3:$P$5),-1))</f>
        <v>1</v>
      </c>
      <c r="E48" s="25">
        <f t="shared" ca="1" si="8"/>
        <v>0</v>
      </c>
      <c r="F48" s="28">
        <f ca="1">E48*_GramosXFrasco</f>
        <v>0</v>
      </c>
      <c r="G48" s="38">
        <f t="shared" ca="1" si="0"/>
        <v>3.2320708760479988E-2</v>
      </c>
      <c r="H48" s="36">
        <f t="shared" ca="1" si="1"/>
        <v>-1</v>
      </c>
      <c r="I48" s="36">
        <f t="shared" ca="1" si="9"/>
        <v>-1</v>
      </c>
      <c r="J48" s="36">
        <f t="shared" ca="1" si="13"/>
        <v>-1</v>
      </c>
      <c r="K48" s="37">
        <f ca="1">IF(J48&lt;&gt;-1,_Media_M + J48*_Sigma,-1)</f>
        <v>-1</v>
      </c>
      <c r="L48" s="3">
        <f t="shared" ca="1" si="3"/>
        <v>50</v>
      </c>
      <c r="M48" s="18">
        <f ca="1">IF(LOOKUP(G48,$H$3:$H$4,$E$3:$E$4)=1,50,_Media_M + J48*_Sigma)</f>
        <v>50</v>
      </c>
      <c r="N48" s="36">
        <f t="shared" ca="1" si="4"/>
        <v>6.1018513382497446</v>
      </c>
      <c r="O48" s="35">
        <f t="shared" ca="1" si="14"/>
        <v>56.101851338249745</v>
      </c>
      <c r="P48" s="19">
        <f t="shared" ca="1" si="10"/>
        <v>56.101851338249745</v>
      </c>
      <c r="Q48" s="20">
        <f ca="1" xml:space="preserve"> P48*_Precio_cafe</f>
        <v>84.152777007374624</v>
      </c>
      <c r="R48" s="20">
        <f t="shared" ca="1" si="11"/>
        <v>3916.341864543514</v>
      </c>
      <c r="S48" s="20">
        <f ca="1">(1/A48)*((A48-1)*S47 +Q48)</f>
        <v>122.3856832669848</v>
      </c>
      <c r="T48" s="20">
        <f ca="1">IF((T47-P48+F48)&gt;_Max_Stock_Gramos,_Max_Stock_Gramos,T47-P48+F48)</f>
        <v>1469.1054236376569</v>
      </c>
      <c r="U48" s="20">
        <f ca="1">T48/_GramosXFrasco</f>
        <v>8.6417966096332766</v>
      </c>
      <c r="V48" s="58">
        <f ca="1">(T48/_Max_Stock_Gramos)</f>
        <v>0.86417966096332766</v>
      </c>
      <c r="W48" s="58"/>
      <c r="X48" s="10">
        <f ca="1">IF((T47-O48)&lt;0,(T47-O48)*_Costo_Faltante,0)</f>
        <v>0</v>
      </c>
      <c r="Y48">
        <f ca="1">IF(B48=0,E48*_Costo_Frasco,0)</f>
        <v>0</v>
      </c>
      <c r="Z48" s="11">
        <f t="shared" ca="1" si="12"/>
        <v>-3500</v>
      </c>
    </row>
    <row r="49" spans="1:26" x14ac:dyDescent="0.25">
      <c r="A49" s="30">
        <f t="shared" si="6"/>
        <v>33</v>
      </c>
      <c r="B49" s="10">
        <f>IF(B48=0,_Proxima_Compra,B48-1)</f>
        <v>1</v>
      </c>
      <c r="C49" s="3">
        <f t="shared" ca="1" si="7"/>
        <v>-1</v>
      </c>
      <c r="D49" s="3">
        <f ca="1">IF(D48&gt;0,D48-1,IF(C49&gt;0,LOOKUP(C49,$S$3:$S$5,$P$3:$P$5),-1))</f>
        <v>0</v>
      </c>
      <c r="E49" s="25">
        <f t="shared" ca="1" si="8"/>
        <v>2</v>
      </c>
      <c r="F49" s="28">
        <f ca="1">E49*_GramosXFrasco</f>
        <v>340</v>
      </c>
      <c r="G49" s="38">
        <f t="shared" ca="1" si="0"/>
        <v>0.28979122970514282</v>
      </c>
      <c r="H49" s="36">
        <f t="shared" ca="1" si="1"/>
        <v>-1</v>
      </c>
      <c r="I49" s="36">
        <f t="shared" ca="1" si="9"/>
        <v>-1</v>
      </c>
      <c r="J49" s="36">
        <f t="shared" ca="1" si="13"/>
        <v>-1</v>
      </c>
      <c r="K49" s="37">
        <f ca="1">IF(J49&lt;&gt;-1,_Media_M + J49*_Sigma,-1)</f>
        <v>-1</v>
      </c>
      <c r="L49" s="3">
        <f t="shared" ca="1" si="3"/>
        <v>50</v>
      </c>
      <c r="M49" s="18">
        <f ca="1">IF(LOOKUP(G49,$H$3:$H$4,$E$3:$E$4)=1,50,_Media_M + J49*_Sigma)</f>
        <v>50</v>
      </c>
      <c r="N49" s="36">
        <f t="shared" ca="1" si="4"/>
        <v>52.836876295387817</v>
      </c>
      <c r="O49" s="35">
        <f t="shared" ca="1" si="14"/>
        <v>102.83687629538781</v>
      </c>
      <c r="P49" s="19">
        <f t="shared" ca="1" si="10"/>
        <v>102.83687629538781</v>
      </c>
      <c r="Q49" s="20">
        <f ca="1" xml:space="preserve"> P49*_Precio_cafe</f>
        <v>154.25531444308172</v>
      </c>
      <c r="R49" s="20">
        <f t="shared" ca="1" si="11"/>
        <v>4070.5971789865957</v>
      </c>
      <c r="S49" s="20">
        <f ca="1">(1/A49)*((A49-1)*S48 +Q49)</f>
        <v>123.35142966626047</v>
      </c>
      <c r="T49" s="20">
        <f ca="1">IF((T48-P49+F49)&gt;_Max_Stock_Gramos,_Max_Stock_Gramos,T48-P49+F49)</f>
        <v>1700</v>
      </c>
      <c r="U49" s="20">
        <f ca="1">T49/_GramosXFrasco</f>
        <v>10</v>
      </c>
      <c r="V49" s="58">
        <f ca="1">(T49/_Max_Stock_Gramos)</f>
        <v>1</v>
      </c>
      <c r="W49" s="58"/>
      <c r="X49" s="10">
        <f ca="1">IF((T48-O49)&lt;0,(T48-O49)*_Costo_Faltante,0)</f>
        <v>0</v>
      </c>
      <c r="Y49">
        <f>IF(B49=0,E49*_Costo_Frasco,0)</f>
        <v>0</v>
      </c>
      <c r="Z49" s="11">
        <f t="shared" ca="1" si="12"/>
        <v>-3500</v>
      </c>
    </row>
    <row r="50" spans="1:26" x14ac:dyDescent="0.25">
      <c r="A50" s="30">
        <f t="shared" si="6"/>
        <v>34</v>
      </c>
      <c r="B50" s="10">
        <f>IF(B49=0,_Proxima_Compra,B49-1)</f>
        <v>0</v>
      </c>
      <c r="C50" s="3">
        <f t="shared" ca="1" si="7"/>
        <v>0.23347505685905412</v>
      </c>
      <c r="D50" s="3">
        <f ca="1">IF(D49&gt;0,D49-1,IF(C50&gt;0,LOOKUP(C50,$S$3:$S$5,$P$3:$P$5),-1))</f>
        <v>0</v>
      </c>
      <c r="E50" s="25">
        <f t="shared" ca="1" si="8"/>
        <v>2</v>
      </c>
      <c r="F50" s="28">
        <f ca="1">E50*_GramosXFrasco</f>
        <v>340</v>
      </c>
      <c r="G50" s="38">
        <f t="shared" ca="1" si="0"/>
        <v>0.16561899001678371</v>
      </c>
      <c r="H50" s="36">
        <f t="shared" ca="1" si="1"/>
        <v>-1</v>
      </c>
      <c r="I50" s="36">
        <f t="shared" ca="1" si="9"/>
        <v>-1</v>
      </c>
      <c r="J50" s="36">
        <f t="shared" ca="1" si="13"/>
        <v>-1</v>
      </c>
      <c r="K50" s="37">
        <f ca="1">IF(J50&lt;&gt;-1,_Media_M + J50*_Sigma,-1)</f>
        <v>-1</v>
      </c>
      <c r="L50" s="3">
        <f t="shared" ca="1" si="3"/>
        <v>50</v>
      </c>
      <c r="M50" s="18">
        <f ca="1">IF(LOOKUP(G50,$H$3:$H$4,$E$3:$E$4)=1,50,_Media_M + J50*_Sigma)</f>
        <v>50</v>
      </c>
      <c r="N50" s="36">
        <f t="shared" ca="1" si="4"/>
        <v>29.301586142732159</v>
      </c>
      <c r="O50" s="35">
        <f t="shared" ca="1" si="14"/>
        <v>79.301586142732162</v>
      </c>
      <c r="P50" s="19">
        <f t="shared" ca="1" si="10"/>
        <v>79.301586142732162</v>
      </c>
      <c r="Q50" s="20">
        <f ca="1" xml:space="preserve"> P50*_Precio_cafe</f>
        <v>118.95237921409824</v>
      </c>
      <c r="R50" s="20">
        <f t="shared" ca="1" si="11"/>
        <v>4189.5495582006943</v>
      </c>
      <c r="S50" s="20">
        <f ca="1">(1/A50)*((A50-1)*S49 +Q50)</f>
        <v>123.22204582943218</v>
      </c>
      <c r="T50" s="20">
        <f ca="1">IF((T49-P50+F50)&gt;_Max_Stock_Gramos,_Max_Stock_Gramos,T49-P50+F50)</f>
        <v>1700</v>
      </c>
      <c r="U50" s="20">
        <f ca="1">T50/_GramosXFrasco</f>
        <v>10</v>
      </c>
      <c r="V50" s="58">
        <f ca="1">(T50/_Max_Stock_Gramos)</f>
        <v>1</v>
      </c>
      <c r="W50" s="58"/>
      <c r="X50" s="10">
        <f ca="1">IF((T49-O50)&lt;0,(T49-O50)*_Costo_Faltante,0)</f>
        <v>0</v>
      </c>
      <c r="Y50">
        <f ca="1">IF(B50=0,E50*_Costo_Frasco,0)</f>
        <v>-500</v>
      </c>
      <c r="Z50" s="11">
        <f t="shared" ca="1" si="12"/>
        <v>-4000</v>
      </c>
    </row>
    <row r="51" spans="1:26" x14ac:dyDescent="0.25">
      <c r="A51" s="30">
        <f t="shared" si="6"/>
        <v>35</v>
      </c>
      <c r="B51" s="10">
        <f>IF(B50=0,_Proxima_Compra,B50-1)</f>
        <v>1</v>
      </c>
      <c r="C51" s="3">
        <f t="shared" ca="1" si="7"/>
        <v>-1</v>
      </c>
      <c r="D51" s="3">
        <f ca="1">IF(D50&gt;0,D50-1,IF(C51&gt;0,LOOKUP(C51,$S$3:$S$5,$P$3:$P$5),-1))</f>
        <v>-1</v>
      </c>
      <c r="E51" s="25">
        <f t="shared" ca="1" si="8"/>
        <v>0</v>
      </c>
      <c r="F51" s="28">
        <f ca="1">E51*_GramosXFrasco</f>
        <v>0</v>
      </c>
      <c r="G51" s="38">
        <f t="shared" ca="1" si="0"/>
        <v>0.70836413538521104</v>
      </c>
      <c r="H51" s="36">
        <f t="shared" ca="1" si="1"/>
        <v>0.94117125225169729</v>
      </c>
      <c r="I51" s="36">
        <f t="shared" ca="1" si="9"/>
        <v>0.94062960673045271</v>
      </c>
      <c r="J51" s="36">
        <f t="shared" ca="1" si="13"/>
        <v>1.4608137438004734</v>
      </c>
      <c r="K51" s="37">
        <f ca="1">IF(J51&lt;&gt;-1,_Media_M + J51*_Sigma,-1)</f>
        <v>96.912206157007105</v>
      </c>
      <c r="L51" s="3">
        <f t="shared" ca="1" si="3"/>
        <v>-1</v>
      </c>
      <c r="M51" s="18">
        <f ca="1">IF(LOOKUP(G51,$H$3:$H$4,$E$3:$E$4)=1,50,_Media_M + J51*_Sigma)</f>
        <v>96.912206157007105</v>
      </c>
      <c r="N51" s="36">
        <f t="shared" ca="1" si="4"/>
        <v>8.0715733102017584</v>
      </c>
      <c r="O51" s="35">
        <f t="shared" ca="1" si="14"/>
        <v>104.98377946720886</v>
      </c>
      <c r="P51" s="19">
        <f t="shared" ca="1" si="10"/>
        <v>104.98377946720886</v>
      </c>
      <c r="Q51" s="20">
        <f ca="1" xml:space="preserve"> P51*_Precio_cafe</f>
        <v>157.47566920081329</v>
      </c>
      <c r="R51" s="20">
        <f t="shared" ca="1" si="11"/>
        <v>4347.0252274015074</v>
      </c>
      <c r="S51" s="20">
        <f ca="1">(1/A51)*((A51-1)*S50 +Q51)</f>
        <v>124.20072078290021</v>
      </c>
      <c r="T51" s="20">
        <f ca="1">IF((T50-P51+F51)&gt;_Max_Stock_Gramos,_Max_Stock_Gramos,T50-P51+F51)</f>
        <v>1595.0162205327911</v>
      </c>
      <c r="U51" s="20">
        <f ca="1">T51/_GramosXFrasco</f>
        <v>9.3824483560752423</v>
      </c>
      <c r="V51" s="58">
        <f ca="1">(T51/_Max_Stock_Gramos)</f>
        <v>0.93824483560752414</v>
      </c>
      <c r="W51" s="58"/>
      <c r="X51" s="10">
        <f ca="1">IF((T50-O51)&lt;0,(T50-O51)*_Costo_Faltante,0)</f>
        <v>0</v>
      </c>
      <c r="Y51">
        <f>IF(B51=0,E51*_Costo_Frasco,0)</f>
        <v>0</v>
      </c>
      <c r="Z51" s="11">
        <f t="shared" ca="1" si="12"/>
        <v>-4000</v>
      </c>
    </row>
    <row r="52" spans="1:26" x14ac:dyDescent="0.25">
      <c r="A52" s="30">
        <f t="shared" si="6"/>
        <v>36</v>
      </c>
      <c r="B52" s="10">
        <f>IF(B51=0,_Proxima_Compra,B51-1)</f>
        <v>0</v>
      </c>
      <c r="C52" s="3">
        <f t="shared" ca="1" si="7"/>
        <v>0.16065939547982921</v>
      </c>
      <c r="D52" s="3">
        <f ca="1">IF(D51&gt;0,D51-1,IF(C52&gt;0,LOOKUP(C52,$S$3:$S$5,$P$3:$P$5),-1))</f>
        <v>0</v>
      </c>
      <c r="E52" s="25">
        <f t="shared" ca="1" si="8"/>
        <v>2</v>
      </c>
      <c r="F52" s="28">
        <f ca="1">E52*_GramosXFrasco</f>
        <v>340</v>
      </c>
      <c r="G52" s="38">
        <f t="shared" ca="1" si="0"/>
        <v>0.9397982152339498</v>
      </c>
      <c r="H52" s="36">
        <f t="shared" ca="1" si="1"/>
        <v>0.12404003874717395</v>
      </c>
      <c r="I52" s="36">
        <f t="shared" ca="1" si="9"/>
        <v>0.64862251673920357</v>
      </c>
      <c r="J52" s="36">
        <f t="shared" ca="1" si="13"/>
        <v>-0.20172229644930492</v>
      </c>
      <c r="K52" s="37">
        <f ca="1">IF(J52&lt;&gt;-1,_Media_M + J52*_Sigma,-1)</f>
        <v>71.97416555326042</v>
      </c>
      <c r="L52" s="3">
        <f t="shared" ca="1" si="3"/>
        <v>-1</v>
      </c>
      <c r="M52" s="18">
        <f ca="1">IF(LOOKUP(G52,$H$3:$H$4,$E$3:$E$4)=1,50,_Media_M + J52*_Sigma)</f>
        <v>71.97416555326042</v>
      </c>
      <c r="N52" s="36">
        <f t="shared" ca="1" si="4"/>
        <v>20.965704834789989</v>
      </c>
      <c r="O52" s="35">
        <f t="shared" ca="1" si="14"/>
        <v>92.939870388050409</v>
      </c>
      <c r="P52" s="19">
        <f t="shared" ca="1" si="10"/>
        <v>92.939870388050409</v>
      </c>
      <c r="Q52" s="20">
        <f ca="1" xml:space="preserve"> P52*_Precio_cafe</f>
        <v>139.40980558207562</v>
      </c>
      <c r="R52" s="20">
        <f t="shared" ca="1" si="11"/>
        <v>4486.4350329835834</v>
      </c>
      <c r="S52" s="20">
        <f ca="1">(1/A52)*((A52-1)*S51 +Q52)</f>
        <v>124.62319536065509</v>
      </c>
      <c r="T52" s="20">
        <f ca="1">IF((T51-P52+F52)&gt;_Max_Stock_Gramos,_Max_Stock_Gramos,T51-P52+F52)</f>
        <v>1700</v>
      </c>
      <c r="U52" s="20">
        <f ca="1">T52/_GramosXFrasco</f>
        <v>10</v>
      </c>
      <c r="V52" s="58">
        <f ca="1">(T52/_Max_Stock_Gramos)</f>
        <v>1</v>
      </c>
      <c r="W52" s="58"/>
      <c r="X52" s="10">
        <f ca="1">IF((T51-O52)&lt;0,(T51-O52)*_Costo_Faltante,0)</f>
        <v>0</v>
      </c>
      <c r="Y52">
        <f ca="1">IF(B52=0,E52*_Costo_Frasco,0)</f>
        <v>-500</v>
      </c>
      <c r="Z52" s="11">
        <f t="shared" ca="1" si="12"/>
        <v>-4500</v>
      </c>
    </row>
    <row r="53" spans="1:26" x14ac:dyDescent="0.25">
      <c r="A53" s="30">
        <f t="shared" si="6"/>
        <v>37</v>
      </c>
      <c r="B53" s="10">
        <f>IF(B52=0,_Proxima_Compra,B52-1)</f>
        <v>1</v>
      </c>
      <c r="C53" s="3">
        <f t="shared" ca="1" si="7"/>
        <v>-1</v>
      </c>
      <c r="D53" s="3">
        <f ca="1">IF(D52&gt;0,D52-1,IF(C53&gt;0,LOOKUP(C53,$S$3:$S$5,$P$3:$P$5),-1))</f>
        <v>-1</v>
      </c>
      <c r="E53" s="25">
        <f t="shared" ca="1" si="8"/>
        <v>0</v>
      </c>
      <c r="F53" s="28">
        <f ca="1">E53*_GramosXFrasco</f>
        <v>0</v>
      </c>
      <c r="G53" s="38">
        <f t="shared" ca="1" si="0"/>
        <v>0.47997485934414075</v>
      </c>
      <c r="H53" s="36">
        <f t="shared" ca="1" si="1"/>
        <v>-1</v>
      </c>
      <c r="I53" s="36">
        <f t="shared" ca="1" si="9"/>
        <v>-1</v>
      </c>
      <c r="J53" s="36">
        <f t="shared" ca="1" si="13"/>
        <v>-1</v>
      </c>
      <c r="K53" s="37">
        <f ca="1">IF(J53&lt;&gt;-1,_Media_M + J53*_Sigma,-1)</f>
        <v>-1</v>
      </c>
      <c r="L53" s="3">
        <f t="shared" ca="1" si="3"/>
        <v>50</v>
      </c>
      <c r="M53" s="18">
        <f ca="1">IF(LOOKUP(G53,$H$3:$H$4,$E$3:$E$4)=1,50,_Media_M + J53*_Sigma)</f>
        <v>50</v>
      </c>
      <c r="N53" s="36">
        <f t="shared" ca="1" si="4"/>
        <v>30.349837896343388</v>
      </c>
      <c r="O53" s="35">
        <f t="shared" ca="1" si="14"/>
        <v>80.349837896343388</v>
      </c>
      <c r="P53" s="19">
        <f t="shared" ca="1" si="10"/>
        <v>80.349837896343388</v>
      </c>
      <c r="Q53" s="20">
        <f ca="1" xml:space="preserve"> P53*_Precio_cafe</f>
        <v>120.52475684451508</v>
      </c>
      <c r="R53" s="20">
        <f t="shared" ca="1" si="11"/>
        <v>4606.9597898280981</v>
      </c>
      <c r="S53" s="20">
        <f ca="1">(1/A53)*((A53-1)*S52 +Q53)</f>
        <v>124.51242675211077</v>
      </c>
      <c r="T53" s="20">
        <f ca="1">IF((T52-P53+F53)&gt;_Max_Stock_Gramos,_Max_Stock_Gramos,T52-P53+F53)</f>
        <v>1619.6501621036566</v>
      </c>
      <c r="U53" s="20">
        <f ca="1">T53/_GramosXFrasco</f>
        <v>9.5273538947273924</v>
      </c>
      <c r="V53" s="58">
        <f ca="1">(T53/_Max_Stock_Gramos)</f>
        <v>0.95273538947273917</v>
      </c>
      <c r="W53" s="58"/>
      <c r="X53" s="10">
        <f ca="1">IF((T52-O53)&lt;0,(T52-O53)*_Costo_Faltante,0)</f>
        <v>0</v>
      </c>
      <c r="Y53">
        <f>IF(B53=0,E53*_Costo_Frasco,0)</f>
        <v>0</v>
      </c>
      <c r="Z53" s="11">
        <f t="shared" ca="1" si="12"/>
        <v>-4500</v>
      </c>
    </row>
    <row r="54" spans="1:26" x14ac:dyDescent="0.25">
      <c r="A54" s="30">
        <f t="shared" si="6"/>
        <v>38</v>
      </c>
      <c r="B54" s="10">
        <f>IF(B53=0,_Proxima_Compra,B53-1)</f>
        <v>0</v>
      </c>
      <c r="C54" s="3">
        <f t="shared" ca="1" si="7"/>
        <v>0.55354225263270207</v>
      </c>
      <c r="D54" s="3">
        <f ca="1">IF(D53&gt;0,D53-1,IF(C54&gt;0,LOOKUP(C54,$S$3:$S$5,$P$3:$P$5),-1))</f>
        <v>1</v>
      </c>
      <c r="E54" s="25">
        <f t="shared" ca="1" si="8"/>
        <v>0</v>
      </c>
      <c r="F54" s="28">
        <f ca="1">E54*_GramosXFrasco</f>
        <v>0</v>
      </c>
      <c r="G54" s="38">
        <f t="shared" ca="1" si="0"/>
        <v>0.63842059726791733</v>
      </c>
      <c r="H54" s="36">
        <f t="shared" ca="1" si="1"/>
        <v>4.5722771923968786E-2</v>
      </c>
      <c r="I54" s="36">
        <f t="shared" ca="1" si="9"/>
        <v>0.88678661614434517</v>
      </c>
      <c r="J54" s="36">
        <f t="shared" ca="1" si="13"/>
        <v>0.1527250682936839</v>
      </c>
      <c r="K54" s="37">
        <f ca="1">IF(J54&lt;&gt;-1,_Media_M + J54*_Sigma,-1)</f>
        <v>77.290876024405264</v>
      </c>
      <c r="L54" s="3">
        <f t="shared" ca="1" si="3"/>
        <v>-1</v>
      </c>
      <c r="M54" s="18">
        <f ca="1">IF(LOOKUP(G54,$H$3:$H$4,$E$3:$E$4)=1,50,_Media_M + J54*_Sigma)</f>
        <v>77.290876024405264</v>
      </c>
      <c r="N54" s="36">
        <f t="shared" ca="1" si="4"/>
        <v>0.1305710719342715</v>
      </c>
      <c r="O54" s="35">
        <f t="shared" ca="1" si="14"/>
        <v>77.421447096339534</v>
      </c>
      <c r="P54" s="19">
        <f t="shared" ca="1" si="10"/>
        <v>77.421447096339534</v>
      </c>
      <c r="Q54" s="20">
        <f ca="1" xml:space="preserve"> P54*_Precio_cafe</f>
        <v>116.1321706445093</v>
      </c>
      <c r="R54" s="20">
        <f t="shared" ca="1" si="11"/>
        <v>4723.0919604726078</v>
      </c>
      <c r="S54" s="20">
        <f ca="1">(1/A54)*((A54-1)*S53 +Q54)</f>
        <v>124.29189369664756</v>
      </c>
      <c r="T54" s="20">
        <f ca="1">IF((T53-P54+F54)&gt;_Max_Stock_Gramos,_Max_Stock_Gramos,T53-P54+F54)</f>
        <v>1542.2287150073171</v>
      </c>
      <c r="U54" s="20">
        <f ca="1">T54/_GramosXFrasco</f>
        <v>9.0719336176901013</v>
      </c>
      <c r="V54" s="58">
        <f ca="1">(T54/_Max_Stock_Gramos)</f>
        <v>0.90719336176901</v>
      </c>
      <c r="W54" s="58"/>
      <c r="X54" s="10">
        <f ca="1">IF((T53-O54)&lt;0,(T53-O54)*_Costo_Faltante,0)</f>
        <v>0</v>
      </c>
      <c r="Y54">
        <f ca="1">IF(B54=0,E54*_Costo_Frasco,0)</f>
        <v>0</v>
      </c>
      <c r="Z54" s="11">
        <f t="shared" ca="1" si="12"/>
        <v>-4500</v>
      </c>
    </row>
    <row r="55" spans="1:26" x14ac:dyDescent="0.25">
      <c r="A55" s="30">
        <f t="shared" si="6"/>
        <v>39</v>
      </c>
      <c r="B55" s="10">
        <f>IF(B54=0,_Proxima_Compra,B54-1)</f>
        <v>1</v>
      </c>
      <c r="C55" s="3">
        <f t="shared" ca="1" si="7"/>
        <v>-1</v>
      </c>
      <c r="D55" s="3">
        <f ca="1">IF(D54&gt;0,D54-1,IF(C55&gt;0,LOOKUP(C55,$S$3:$S$5,$P$3:$P$5),-1))</f>
        <v>0</v>
      </c>
      <c r="E55" s="25">
        <f t="shared" ca="1" si="8"/>
        <v>2</v>
      </c>
      <c r="F55" s="28">
        <f ca="1">E55*_GramosXFrasco</f>
        <v>340</v>
      </c>
      <c r="G55" s="38">
        <f t="shared" ca="1" si="0"/>
        <v>8.0154806852492877E-2</v>
      </c>
      <c r="H55" s="36">
        <f t="shared" ca="1" si="1"/>
        <v>-1</v>
      </c>
      <c r="I55" s="36">
        <f t="shared" ca="1" si="9"/>
        <v>-1</v>
      </c>
      <c r="J55" s="36">
        <f t="shared" ca="1" si="13"/>
        <v>-1</v>
      </c>
      <c r="K55" s="37">
        <f ca="1">IF(J55&lt;&gt;-1,_Media_M + J55*_Sigma,-1)</f>
        <v>-1</v>
      </c>
      <c r="L55" s="3">
        <f t="shared" ca="1" si="3"/>
        <v>50</v>
      </c>
      <c r="M55" s="18">
        <f ca="1">IF(LOOKUP(G55,$H$3:$H$4,$E$3:$E$4)=1,50,_Media_M + J55*_Sigma)</f>
        <v>50</v>
      </c>
      <c r="N55" s="36">
        <f t="shared" ca="1" si="4"/>
        <v>73.040915381821719</v>
      </c>
      <c r="O55" s="35">
        <f t="shared" ca="1" si="14"/>
        <v>123.04091538182172</v>
      </c>
      <c r="P55" s="19">
        <f t="shared" ca="1" si="10"/>
        <v>123.04091538182172</v>
      </c>
      <c r="Q55" s="20">
        <f ca="1" xml:space="preserve"> P55*_Precio_cafe</f>
        <v>184.56137307273258</v>
      </c>
      <c r="R55" s="20">
        <f t="shared" ca="1" si="11"/>
        <v>4907.6533335453405</v>
      </c>
      <c r="S55" s="20">
        <f ca="1">(1/A55)*((A55-1)*S54 +Q55)</f>
        <v>125.83726496270103</v>
      </c>
      <c r="T55" s="20">
        <f ca="1">IF((T54-P55+F55)&gt;_Max_Stock_Gramos,_Max_Stock_Gramos,T54-P55+F55)</f>
        <v>1700</v>
      </c>
      <c r="U55" s="20">
        <f ca="1">T55/_GramosXFrasco</f>
        <v>10</v>
      </c>
      <c r="V55" s="58">
        <f ca="1">(T55/_Max_Stock_Gramos)</f>
        <v>1</v>
      </c>
      <c r="W55" s="58"/>
      <c r="X55" s="10">
        <f ca="1">IF((T54-O55)&lt;0,(T54-O55)*_Costo_Faltante,0)</f>
        <v>0</v>
      </c>
      <c r="Y55">
        <f>IF(B55=0,E55*_Costo_Frasco,0)</f>
        <v>0</v>
      </c>
      <c r="Z55" s="11">
        <f t="shared" ca="1" si="12"/>
        <v>-4500</v>
      </c>
    </row>
    <row r="56" spans="1:26" x14ac:dyDescent="0.25">
      <c r="A56" s="30">
        <f t="shared" si="6"/>
        <v>40</v>
      </c>
      <c r="B56" s="10">
        <f>IF(B55=0,_Proxima_Compra,B55-1)</f>
        <v>0</v>
      </c>
      <c r="C56" s="3">
        <f t="shared" ca="1" si="7"/>
        <v>0.15545551486977727</v>
      </c>
      <c r="D56" s="3">
        <f ca="1">IF(D55&gt;0,D55-1,IF(C56&gt;0,LOOKUP(C56,$S$3:$S$5,$P$3:$P$5),-1))</f>
        <v>0</v>
      </c>
      <c r="E56" s="25">
        <f t="shared" ca="1" si="8"/>
        <v>2</v>
      </c>
      <c r="F56" s="28">
        <f ca="1">E56*_GramosXFrasco</f>
        <v>340</v>
      </c>
      <c r="G56" s="38">
        <f t="shared" ca="1" si="0"/>
        <v>0.21480588470214024</v>
      </c>
      <c r="H56" s="36">
        <f t="shared" ca="1" si="1"/>
        <v>-1</v>
      </c>
      <c r="I56" s="36">
        <f t="shared" ca="1" si="9"/>
        <v>-1</v>
      </c>
      <c r="J56" s="36">
        <f t="shared" ca="1" si="13"/>
        <v>-1</v>
      </c>
      <c r="K56" s="37">
        <f ca="1">IF(J56&lt;&gt;-1,_Media_M + J56*_Sigma,-1)</f>
        <v>-1</v>
      </c>
      <c r="L56" s="3">
        <f t="shared" ca="1" si="3"/>
        <v>50</v>
      </c>
      <c r="M56" s="18">
        <f ca="1">IF(LOOKUP(G56,$H$3:$H$4,$E$3:$E$4)=1,50,_Media_M + J56*_Sigma)</f>
        <v>50</v>
      </c>
      <c r="N56" s="36">
        <f t="shared" ca="1" si="4"/>
        <v>13.194570916015206</v>
      </c>
      <c r="O56" s="35">
        <f t="shared" ca="1" si="14"/>
        <v>63.194570916015209</v>
      </c>
      <c r="P56" s="19">
        <f t="shared" ca="1" si="10"/>
        <v>63.194570916015209</v>
      </c>
      <c r="Q56" s="20">
        <f ca="1" xml:space="preserve"> P56*_Precio_cafe</f>
        <v>94.791856374022814</v>
      </c>
      <c r="R56" s="20">
        <f t="shared" ca="1" si="11"/>
        <v>5002.4451899193637</v>
      </c>
      <c r="S56" s="20">
        <f ca="1">(1/A56)*((A56-1)*S55 +Q56)</f>
        <v>125.0611297479841</v>
      </c>
      <c r="T56" s="20">
        <f ca="1">IF((T55-P56+F56)&gt;_Max_Stock_Gramos,_Max_Stock_Gramos,T55-P56+F56)</f>
        <v>1700</v>
      </c>
      <c r="U56" s="20">
        <f ca="1">T56/_GramosXFrasco</f>
        <v>10</v>
      </c>
      <c r="V56" s="58">
        <f ca="1">(T56/_Max_Stock_Gramos)</f>
        <v>1</v>
      </c>
      <c r="W56" s="58"/>
      <c r="X56" s="10">
        <f ca="1">IF((T55-O56)&lt;0,(T55-O56)*_Costo_Faltante,0)</f>
        <v>0</v>
      </c>
      <c r="Y56">
        <f ca="1">IF(B56=0,E56*_Costo_Frasco,0)</f>
        <v>-500</v>
      </c>
      <c r="Z56" s="11">
        <f t="shared" ca="1" si="12"/>
        <v>-5000</v>
      </c>
    </row>
    <row r="57" spans="1:26" x14ac:dyDescent="0.25">
      <c r="A57" s="30">
        <f t="shared" si="6"/>
        <v>41</v>
      </c>
      <c r="B57" s="10">
        <f>IF(B56=0,_Proxima_Compra,B56-1)</f>
        <v>1</v>
      </c>
      <c r="C57" s="3">
        <f t="shared" ca="1" si="7"/>
        <v>-1</v>
      </c>
      <c r="D57" s="3">
        <f ca="1">IF(D56&gt;0,D56-1,IF(C57&gt;0,LOOKUP(C57,$S$3:$S$5,$P$3:$P$5),-1))</f>
        <v>-1</v>
      </c>
      <c r="E57" s="25">
        <f t="shared" ca="1" si="8"/>
        <v>0</v>
      </c>
      <c r="F57" s="28">
        <f ca="1">E57*_GramosXFrasco</f>
        <v>0</v>
      </c>
      <c r="G57" s="38">
        <f t="shared" ca="1" si="0"/>
        <v>0.65986725906620358</v>
      </c>
      <c r="H57" s="36">
        <f t="shared" ca="1" si="1"/>
        <v>0.41723447014188564</v>
      </c>
      <c r="I57" s="36">
        <f t="shared" ca="1" si="9"/>
        <v>0.57523905997994174</v>
      </c>
      <c r="J57" s="36">
        <f t="shared" ca="1" si="13"/>
        <v>-0.60973341478962473</v>
      </c>
      <c r="K57" s="37">
        <f ca="1">IF(J57&lt;&gt;-1,_Media_M + J57*_Sigma,-1)</f>
        <v>65.853998778155628</v>
      </c>
      <c r="L57" s="3">
        <f t="shared" ca="1" si="3"/>
        <v>-1</v>
      </c>
      <c r="M57" s="18">
        <f ca="1">IF(LOOKUP(G57,$H$3:$H$4,$E$3:$E$4)=1,50,_Media_M + J57*_Sigma)</f>
        <v>65.853998778155628</v>
      </c>
      <c r="N57" s="36">
        <f t="shared" ca="1" si="4"/>
        <v>14.685025156925107</v>
      </c>
      <c r="O57" s="35">
        <f t="shared" ca="1" si="14"/>
        <v>80.539023935080735</v>
      </c>
      <c r="P57" s="19">
        <f t="shared" ca="1" si="10"/>
        <v>80.539023935080735</v>
      </c>
      <c r="Q57" s="20">
        <f ca="1" xml:space="preserve"> P57*_Precio_cafe</f>
        <v>120.8085359026211</v>
      </c>
      <c r="R57" s="20">
        <f t="shared" ca="1" si="11"/>
        <v>5123.2537258219845</v>
      </c>
      <c r="S57" s="20">
        <f ca="1">(1/A57)*((A57-1)*S56 +Q57)</f>
        <v>124.95740794687768</v>
      </c>
      <c r="T57" s="20">
        <f ca="1">IF((T56-P57+F57)&gt;_Max_Stock_Gramos,_Max_Stock_Gramos,T56-P57+F57)</f>
        <v>1619.4609760649194</v>
      </c>
      <c r="U57" s="20">
        <f ca="1">T57/_GramosXFrasco</f>
        <v>9.5262410356759961</v>
      </c>
      <c r="V57" s="58">
        <f ca="1">(T57/_Max_Stock_Gramos)</f>
        <v>0.95262410356759963</v>
      </c>
      <c r="W57" s="58"/>
      <c r="X57" s="10">
        <f ca="1">IF((T56-O57)&lt;0,(T56-O57)*_Costo_Faltante,0)</f>
        <v>0</v>
      </c>
      <c r="Y57">
        <f>IF(B57=0,E57*_Costo_Frasco,0)</f>
        <v>0</v>
      </c>
      <c r="Z57" s="11">
        <f t="shared" ca="1" si="12"/>
        <v>-5000</v>
      </c>
    </row>
    <row r="58" spans="1:26" x14ac:dyDescent="0.25">
      <c r="A58" s="30">
        <f t="shared" si="6"/>
        <v>42</v>
      </c>
      <c r="B58" s="10">
        <f>IF(B57=0,_Proxima_Compra,B57-1)</f>
        <v>0</v>
      </c>
      <c r="C58" s="3">
        <f t="shared" ca="1" si="7"/>
        <v>0.38029122906799817</v>
      </c>
      <c r="D58" s="3">
        <f ca="1">IF(D57&gt;0,D57-1,IF(C58&gt;0,LOOKUP(C58,$S$3:$S$5,$P$3:$P$5),-1))</f>
        <v>0</v>
      </c>
      <c r="E58" s="25">
        <f t="shared" ca="1" si="8"/>
        <v>2</v>
      </c>
      <c r="F58" s="28">
        <f ca="1">E58*_GramosXFrasco</f>
        <v>340</v>
      </c>
      <c r="G58" s="38">
        <f t="shared" ca="1" si="0"/>
        <v>0.4021767215157861</v>
      </c>
      <c r="H58" s="36">
        <f t="shared" ca="1" si="1"/>
        <v>-1</v>
      </c>
      <c r="I58" s="36">
        <f t="shared" ca="1" si="9"/>
        <v>-1</v>
      </c>
      <c r="J58" s="36">
        <f t="shared" ca="1" si="13"/>
        <v>-1</v>
      </c>
      <c r="K58" s="37">
        <f ca="1">IF(J58&lt;&gt;-1,_Media_M + J58*_Sigma,-1)</f>
        <v>-1</v>
      </c>
      <c r="L58" s="3">
        <f t="shared" ca="1" si="3"/>
        <v>50</v>
      </c>
      <c r="M58" s="18">
        <f ca="1">IF(LOOKUP(G58,$H$3:$H$4,$E$3:$E$4)=1,50,_Media_M + J58*_Sigma)</f>
        <v>50</v>
      </c>
      <c r="N58" s="36">
        <f t="shared" ca="1" si="4"/>
        <v>70.342659698177243</v>
      </c>
      <c r="O58" s="35">
        <f t="shared" ca="1" si="14"/>
        <v>120.34265969817724</v>
      </c>
      <c r="P58" s="19">
        <f t="shared" ca="1" si="10"/>
        <v>120.34265969817724</v>
      </c>
      <c r="Q58" s="20">
        <f ca="1" xml:space="preserve"> P58*_Precio_cafe</f>
        <v>180.51398954726585</v>
      </c>
      <c r="R58" s="20">
        <f t="shared" ca="1" si="11"/>
        <v>5303.7677153692503</v>
      </c>
      <c r="S58" s="20">
        <f ca="1">(1/A58)*((A58-1)*S57 +Q58)</f>
        <v>126.28018369926785</v>
      </c>
      <c r="T58" s="20">
        <f ca="1">IF((T57-P58+F58)&gt;_Max_Stock_Gramos,_Max_Stock_Gramos,T57-P58+F58)</f>
        <v>1700</v>
      </c>
      <c r="U58" s="20">
        <f ca="1">T58/_GramosXFrasco</f>
        <v>10</v>
      </c>
      <c r="V58" s="58">
        <f ca="1">(T58/_Max_Stock_Gramos)</f>
        <v>1</v>
      </c>
      <c r="W58" s="58"/>
      <c r="X58" s="10">
        <f ca="1">IF((T57-O58)&lt;0,(T57-O58)*_Costo_Faltante,0)</f>
        <v>0</v>
      </c>
      <c r="Y58">
        <f ca="1">IF(B58=0,E58*_Costo_Frasco,0)</f>
        <v>-500</v>
      </c>
      <c r="Z58" s="11">
        <f t="shared" ca="1" si="12"/>
        <v>-5500</v>
      </c>
    </row>
    <row r="59" spans="1:26" x14ac:dyDescent="0.25">
      <c r="A59" s="30">
        <f t="shared" si="6"/>
        <v>43</v>
      </c>
      <c r="B59" s="10">
        <f>IF(B58=0,_Proxima_Compra,B58-1)</f>
        <v>1</v>
      </c>
      <c r="C59" s="3">
        <f t="shared" ca="1" si="7"/>
        <v>-1</v>
      </c>
      <c r="D59" s="3">
        <f ca="1">IF(D58&gt;0,D58-1,IF(C59&gt;0,LOOKUP(C59,$S$3:$S$5,$P$3:$P$5),-1))</f>
        <v>-1</v>
      </c>
      <c r="E59" s="25">
        <f t="shared" ca="1" si="8"/>
        <v>0</v>
      </c>
      <c r="F59" s="28">
        <f ca="1">E59*_GramosXFrasco</f>
        <v>0</v>
      </c>
      <c r="G59" s="38">
        <f t="shared" ca="1" si="0"/>
        <v>0.52029812451253821</v>
      </c>
      <c r="H59" s="36">
        <f t="shared" ca="1" si="1"/>
        <v>0.51820262411892082</v>
      </c>
      <c r="I59" s="36">
        <f t="shared" ca="1" si="9"/>
        <v>0.72801780355502688</v>
      </c>
      <c r="J59" s="36">
        <f t="shared" ca="1" si="13"/>
        <v>-0.10964952025927792</v>
      </c>
      <c r="K59" s="37">
        <f ca="1">IF(J59&lt;&gt;-1,_Media_M + J59*_Sigma,-1)</f>
        <v>73.355257196110827</v>
      </c>
      <c r="L59" s="3">
        <f t="shared" ca="1" si="3"/>
        <v>-1</v>
      </c>
      <c r="M59" s="18">
        <f ca="1">IF(LOOKUP(G59,$H$3:$H$4,$E$3:$E$4)=1,50,_Media_M + J59*_Sigma)</f>
        <v>73.355257196110827</v>
      </c>
      <c r="N59" s="36">
        <f t="shared" ca="1" si="4"/>
        <v>16.470915912081676</v>
      </c>
      <c r="O59" s="35">
        <f t="shared" ca="1" si="14"/>
        <v>89.826173108192506</v>
      </c>
      <c r="P59" s="19">
        <f t="shared" ca="1" si="10"/>
        <v>89.826173108192506</v>
      </c>
      <c r="Q59" s="20">
        <f ca="1" xml:space="preserve"> P59*_Precio_cafe</f>
        <v>134.73925966228876</v>
      </c>
      <c r="R59" s="20">
        <f t="shared" ca="1" si="11"/>
        <v>5438.5069750315388</v>
      </c>
      <c r="S59" s="20">
        <f ca="1">(1/A59)*((A59-1)*S58 +Q59)</f>
        <v>126.47690639608227</v>
      </c>
      <c r="T59" s="20">
        <f ca="1">IF((T58-P59+F59)&gt;_Max_Stock_Gramos,_Max_Stock_Gramos,T58-P59+F59)</f>
        <v>1610.1738268918075</v>
      </c>
      <c r="U59" s="20">
        <f ca="1">T59/_GramosXFrasco</f>
        <v>9.4716107464223978</v>
      </c>
      <c r="V59" s="58">
        <f ca="1">(T59/_Max_Stock_Gramos)</f>
        <v>0.94716107464223975</v>
      </c>
      <c r="W59" s="58"/>
      <c r="X59" s="10">
        <f ca="1">IF((T58-O59)&lt;0,(T58-O59)*_Costo_Faltante,0)</f>
        <v>0</v>
      </c>
      <c r="Y59">
        <f>IF(B59=0,E59*_Costo_Frasco,0)</f>
        <v>0</v>
      </c>
      <c r="Z59" s="11">
        <f t="shared" ca="1" si="12"/>
        <v>-5500</v>
      </c>
    </row>
    <row r="60" spans="1:26" x14ac:dyDescent="0.25">
      <c r="A60" s="30">
        <f t="shared" si="6"/>
        <v>44</v>
      </c>
      <c r="B60" s="10">
        <f>IF(B59=0,_Proxima_Compra,B59-1)</f>
        <v>0</v>
      </c>
      <c r="C60" s="3">
        <f t="shared" ca="1" si="7"/>
        <v>0.17558472565470884</v>
      </c>
      <c r="D60" s="3">
        <f ca="1">IF(D59&gt;0,D59-1,IF(C60&gt;0,LOOKUP(C60,$S$3:$S$5,$P$3:$P$5),-1))</f>
        <v>0</v>
      </c>
      <c r="E60" s="25">
        <f t="shared" ca="1" si="8"/>
        <v>2</v>
      </c>
      <c r="F60" s="28">
        <f ca="1">E60*_GramosXFrasco</f>
        <v>340</v>
      </c>
      <c r="G60" s="38">
        <f t="shared" ca="1" si="0"/>
        <v>0.20843612992345584</v>
      </c>
      <c r="H60" s="36">
        <f t="shared" ca="1" si="1"/>
        <v>-1</v>
      </c>
      <c r="I60" s="36">
        <f t="shared" ca="1" si="9"/>
        <v>-1</v>
      </c>
      <c r="J60" s="36">
        <f t="shared" ca="1" si="13"/>
        <v>-1</v>
      </c>
      <c r="K60" s="37">
        <f ca="1">IF(J60&lt;&gt;-1,_Media_M + J60*_Sigma,-1)</f>
        <v>-1</v>
      </c>
      <c r="L60" s="3">
        <f t="shared" ca="1" si="3"/>
        <v>50</v>
      </c>
      <c r="M60" s="18">
        <f ca="1">IF(LOOKUP(G60,$H$3:$H$4,$E$3:$E$4)=1,50,_Media_M + J60*_Sigma)</f>
        <v>50</v>
      </c>
      <c r="N60" s="36">
        <f t="shared" ca="1" si="4"/>
        <v>33.940600328352282</v>
      </c>
      <c r="O60" s="35">
        <f t="shared" ca="1" si="14"/>
        <v>83.940600328352275</v>
      </c>
      <c r="P60" s="19">
        <f t="shared" ca="1" si="10"/>
        <v>83.940600328352275</v>
      </c>
      <c r="Q60" s="20">
        <f ca="1" xml:space="preserve"> P60*_Precio_cafe</f>
        <v>125.91090049252841</v>
      </c>
      <c r="R60" s="20">
        <f t="shared" ca="1" si="11"/>
        <v>5564.4178755240673</v>
      </c>
      <c r="S60" s="20">
        <f ca="1">(1/A60)*((A60-1)*S59 +Q60)</f>
        <v>126.46404262554697</v>
      </c>
      <c r="T60" s="20">
        <f ca="1">IF((T59-P60+F60)&gt;_Max_Stock_Gramos,_Max_Stock_Gramos,T59-P60+F60)</f>
        <v>1700</v>
      </c>
      <c r="U60" s="20">
        <f ca="1">T60/_GramosXFrasco</f>
        <v>10</v>
      </c>
      <c r="V60" s="58">
        <f ca="1">(T60/_Max_Stock_Gramos)</f>
        <v>1</v>
      </c>
      <c r="W60" s="58"/>
      <c r="X60" s="10">
        <f ca="1">IF((T59-O60)&lt;0,(T59-O60)*_Costo_Faltante,0)</f>
        <v>0</v>
      </c>
      <c r="Y60">
        <f ca="1">IF(B60=0,E60*_Costo_Frasco,0)</f>
        <v>-500</v>
      </c>
      <c r="Z60" s="11">
        <f t="shared" ca="1" si="12"/>
        <v>-6000</v>
      </c>
    </row>
    <row r="61" spans="1:26" x14ac:dyDescent="0.25">
      <c r="A61" s="30">
        <f t="shared" si="6"/>
        <v>45</v>
      </c>
      <c r="B61" s="10">
        <f>IF(B60=0,_Proxima_Compra,B60-1)</f>
        <v>1</v>
      </c>
      <c r="C61" s="3">
        <f t="shared" ca="1" si="7"/>
        <v>-1</v>
      </c>
      <c r="D61" s="3">
        <f ca="1">IF(D60&gt;0,D60-1,IF(C61&gt;0,LOOKUP(C61,$S$3:$S$5,$P$3:$P$5),-1))</f>
        <v>-1</v>
      </c>
      <c r="E61" s="25">
        <f t="shared" ca="1" si="8"/>
        <v>0</v>
      </c>
      <c r="F61" s="28">
        <f ca="1">E61*_GramosXFrasco</f>
        <v>0</v>
      </c>
      <c r="G61" s="38">
        <f t="shared" ca="1" si="0"/>
        <v>0.70826183821248512</v>
      </c>
      <c r="H61" s="36">
        <f t="shared" ca="1" si="1"/>
        <v>0.99927803198483967</v>
      </c>
      <c r="I61" s="36">
        <f t="shared" ca="1" si="9"/>
        <v>0.11535526887825542</v>
      </c>
      <c r="J61" s="36">
        <f t="shared" ca="1" si="13"/>
        <v>1.8765116303675424</v>
      </c>
      <c r="K61" s="37">
        <f ca="1">IF(J61&lt;&gt;-1,_Media_M + J61*_Sigma,-1)</f>
        <v>103.14767445551314</v>
      </c>
      <c r="L61" s="3">
        <f t="shared" ca="1" si="3"/>
        <v>-1</v>
      </c>
      <c r="M61" s="18">
        <f ca="1">IF(LOOKUP(G61,$H$3:$H$4,$E$3:$E$4)=1,50,_Media_M + J61*_Sigma)</f>
        <v>103.14767445551314</v>
      </c>
      <c r="N61" s="36">
        <f t="shared" ca="1" si="4"/>
        <v>3.8868117903183337</v>
      </c>
      <c r="O61" s="35">
        <f t="shared" ca="1" si="14"/>
        <v>107.03448624583147</v>
      </c>
      <c r="P61" s="19">
        <f t="shared" ca="1" si="10"/>
        <v>107.03448624583147</v>
      </c>
      <c r="Q61" s="20">
        <f ca="1" xml:space="preserve"> P61*_Precio_cafe</f>
        <v>160.5517293687472</v>
      </c>
      <c r="R61" s="20">
        <f t="shared" ca="1" si="11"/>
        <v>5724.9696048928145</v>
      </c>
      <c r="S61" s="20">
        <f ca="1">(1/A61)*((A61-1)*S60 +Q61)</f>
        <v>127.22154677539586</v>
      </c>
      <c r="T61" s="20">
        <f ca="1">IF((T60-P61+F61)&gt;_Max_Stock_Gramos,_Max_Stock_Gramos,T60-P61+F61)</f>
        <v>1592.9655137541686</v>
      </c>
      <c r="U61" s="20">
        <f ca="1">T61/_GramosXFrasco</f>
        <v>9.3703853750245205</v>
      </c>
      <c r="V61" s="58">
        <f ca="1">(T61/_Max_Stock_Gramos)</f>
        <v>0.93703853750245214</v>
      </c>
      <c r="W61" s="58"/>
      <c r="X61" s="10">
        <f ca="1">IF((T60-O61)&lt;0,(T60-O61)*_Costo_Faltante,0)</f>
        <v>0</v>
      </c>
      <c r="Y61">
        <f>IF(B61=0,E61*_Costo_Frasco,0)</f>
        <v>0</v>
      </c>
      <c r="Z61" s="11">
        <f t="shared" ca="1" si="12"/>
        <v>-6000</v>
      </c>
    </row>
    <row r="62" spans="1:26" x14ac:dyDescent="0.25">
      <c r="A62" s="30">
        <f t="shared" si="6"/>
        <v>46</v>
      </c>
      <c r="B62" s="10">
        <f>IF(B61=0,_Proxima_Compra,B61-1)</f>
        <v>0</v>
      </c>
      <c r="C62" s="3">
        <f t="shared" ca="1" si="7"/>
        <v>0.73497032091470671</v>
      </c>
      <c r="D62" s="3">
        <f ca="1">IF(D61&gt;0,D61-1,IF(C62&gt;0,LOOKUP(C62,$S$3:$S$5,$P$3:$P$5),-1))</f>
        <v>1</v>
      </c>
      <c r="E62" s="25">
        <f t="shared" ca="1" si="8"/>
        <v>0</v>
      </c>
      <c r="F62" s="28">
        <f ca="1">E62*_GramosXFrasco</f>
        <v>0</v>
      </c>
      <c r="G62" s="38">
        <f t="shared" ca="1" si="0"/>
        <v>0.10957414055043202</v>
      </c>
      <c r="H62" s="36">
        <f t="shared" ca="1" si="1"/>
        <v>-1</v>
      </c>
      <c r="I62" s="36">
        <f t="shared" ca="1" si="9"/>
        <v>-1</v>
      </c>
      <c r="J62" s="36">
        <f t="shared" ca="1" si="13"/>
        <v>-1</v>
      </c>
      <c r="K62" s="37">
        <f ca="1">IF(J62&lt;&gt;-1,_Media_M + J62*_Sigma,-1)</f>
        <v>-1</v>
      </c>
      <c r="L62" s="3">
        <f t="shared" ca="1" si="3"/>
        <v>50</v>
      </c>
      <c r="M62" s="18">
        <f ca="1">IF(LOOKUP(G62,$H$3:$H$4,$E$3:$E$4)=1,50,_Media_M + J62*_Sigma)</f>
        <v>50</v>
      </c>
      <c r="N62" s="36">
        <f t="shared" ca="1" si="4"/>
        <v>1.1799984613437708</v>
      </c>
      <c r="O62" s="35">
        <f t="shared" ca="1" si="14"/>
        <v>51.179998461343772</v>
      </c>
      <c r="P62" s="19">
        <f t="shared" ca="1" si="10"/>
        <v>51.179998461343772</v>
      </c>
      <c r="Q62" s="20">
        <f ca="1" xml:space="preserve"> P62*_Precio_cafe</f>
        <v>76.769997692015664</v>
      </c>
      <c r="R62" s="20">
        <f t="shared" ca="1" si="11"/>
        <v>5801.7396025848302</v>
      </c>
      <c r="S62" s="20">
        <f ca="1">(1/A62)*((A62-1)*S61 +Q62)</f>
        <v>126.12477396923542</v>
      </c>
      <c r="T62" s="20">
        <f ca="1">IF((T61-P62+F62)&gt;_Max_Stock_Gramos,_Max_Stock_Gramos,T61-P62+F62)</f>
        <v>1541.7855152928248</v>
      </c>
      <c r="U62" s="20">
        <f ca="1">T62/_GramosXFrasco</f>
        <v>9.0693265605460276</v>
      </c>
      <c r="V62" s="58">
        <f ca="1">(T62/_Max_Stock_Gramos)</f>
        <v>0.90693265605460283</v>
      </c>
      <c r="W62" s="58"/>
      <c r="X62" s="10">
        <f ca="1">IF((T61-O62)&lt;0,(T61-O62)*_Costo_Faltante,0)</f>
        <v>0</v>
      </c>
      <c r="Y62">
        <f ca="1">IF(B62=0,E62*_Costo_Frasco,0)</f>
        <v>0</v>
      </c>
      <c r="Z62" s="11">
        <f t="shared" ca="1" si="12"/>
        <v>-6000</v>
      </c>
    </row>
    <row r="63" spans="1:26" x14ac:dyDescent="0.25">
      <c r="A63" s="30">
        <f t="shared" si="6"/>
        <v>47</v>
      </c>
      <c r="B63" s="10">
        <f>IF(B62=0,_Proxima_Compra,B62-1)</f>
        <v>1</v>
      </c>
      <c r="C63" s="3">
        <f t="shared" ca="1" si="7"/>
        <v>-1</v>
      </c>
      <c r="D63" s="3">
        <f ca="1">IF(D62&gt;0,D62-1,IF(C63&gt;0,LOOKUP(C63,$S$3:$S$5,$P$3:$P$5),-1))</f>
        <v>0</v>
      </c>
      <c r="E63" s="25">
        <f t="shared" ca="1" si="8"/>
        <v>2</v>
      </c>
      <c r="F63" s="28">
        <f ca="1">E63*_GramosXFrasco</f>
        <v>340</v>
      </c>
      <c r="G63" s="38">
        <f t="shared" ca="1" si="0"/>
        <v>0.67951708801928457</v>
      </c>
      <c r="H63" s="36">
        <f t="shared" ca="1" si="1"/>
        <v>0.9827003469462835</v>
      </c>
      <c r="I63" s="36">
        <f t="shared" ca="1" si="9"/>
        <v>0.78339296259056745</v>
      </c>
      <c r="J63" s="36">
        <f t="shared" ca="1" si="13"/>
        <v>0.39098226147320697</v>
      </c>
      <c r="K63" s="37">
        <f ca="1">IF(J63&lt;&gt;-1,_Media_M + J63*_Sigma,-1)</f>
        <v>80.864733922098111</v>
      </c>
      <c r="L63" s="3">
        <f t="shared" ca="1" si="3"/>
        <v>-1</v>
      </c>
      <c r="M63" s="18">
        <f ca="1">IF(LOOKUP(G63,$H$3:$H$4,$E$3:$E$4)=1,50,_Media_M + J63*_Sigma)</f>
        <v>80.864733922098111</v>
      </c>
      <c r="N63" s="36">
        <f t="shared" ca="1" si="4"/>
        <v>42.17561000972406</v>
      </c>
      <c r="O63" s="35">
        <f t="shared" ca="1" si="14"/>
        <v>123.04034393182218</v>
      </c>
      <c r="P63" s="19">
        <f t="shared" ca="1" si="10"/>
        <v>123.04034393182218</v>
      </c>
      <c r="Q63" s="20">
        <f ca="1" xml:space="preserve"> P63*_Precio_cafe</f>
        <v>184.56051589773327</v>
      </c>
      <c r="R63" s="20">
        <f t="shared" ca="1" si="11"/>
        <v>5986.3001184825634</v>
      </c>
      <c r="S63" s="20">
        <f ca="1">(1/A63)*((A63-1)*S62 +Q63)</f>
        <v>127.36808762728856</v>
      </c>
      <c r="T63" s="20">
        <f ca="1">IF((T62-P63+F63)&gt;_Max_Stock_Gramos,_Max_Stock_Gramos,T62-P63+F63)</f>
        <v>1700</v>
      </c>
      <c r="U63" s="20">
        <f ca="1">T63/_GramosXFrasco</f>
        <v>10</v>
      </c>
      <c r="V63" s="58">
        <f ca="1">(T63/_Max_Stock_Gramos)</f>
        <v>1</v>
      </c>
      <c r="W63" s="58"/>
      <c r="X63" s="10">
        <f ca="1">IF((T62-O63)&lt;0,(T62-O63)*_Costo_Faltante,0)</f>
        <v>0</v>
      </c>
      <c r="Y63">
        <f>IF(B63=0,E63*_Costo_Frasco,0)</f>
        <v>0</v>
      </c>
      <c r="Z63" s="11">
        <f t="shared" ca="1" si="12"/>
        <v>-6000</v>
      </c>
    </row>
    <row r="64" spans="1:26" x14ac:dyDescent="0.25">
      <c r="A64" s="30">
        <f t="shared" si="6"/>
        <v>48</v>
      </c>
      <c r="B64" s="10">
        <f>IF(B63=0,_Proxima_Compra,B63-1)</f>
        <v>0</v>
      </c>
      <c r="C64" s="3">
        <f t="shared" ca="1" si="7"/>
        <v>0.31638933212752829</v>
      </c>
      <c r="D64" s="3">
        <f ca="1">IF(D63&gt;0,D63-1,IF(C64&gt;0,LOOKUP(C64,$S$3:$S$5,$P$3:$P$5),-1))</f>
        <v>0</v>
      </c>
      <c r="E64" s="25">
        <f t="shared" ca="1" si="8"/>
        <v>2</v>
      </c>
      <c r="F64" s="28">
        <f ca="1">E64*_GramosXFrasco</f>
        <v>340</v>
      </c>
      <c r="G64" s="38">
        <f t="shared" ca="1" si="0"/>
        <v>0.73575362709783854</v>
      </c>
      <c r="H64" s="36">
        <f t="shared" ca="1" si="1"/>
        <v>0.81531548067160697</v>
      </c>
      <c r="I64" s="36">
        <f t="shared" ca="1" si="9"/>
        <v>0.77490490653424271</v>
      </c>
      <c r="J64" s="36">
        <f t="shared" ca="1" si="13"/>
        <v>0.18876721343910782</v>
      </c>
      <c r="K64" s="37">
        <f ca="1">IF(J64&lt;&gt;-1,_Media_M + J64*_Sigma,-1)</f>
        <v>77.831508201586615</v>
      </c>
      <c r="L64" s="3">
        <f t="shared" ca="1" si="3"/>
        <v>-1</v>
      </c>
      <c r="M64" s="18">
        <f ca="1">IF(LOOKUP(G64,$H$3:$H$4,$E$3:$E$4)=1,50,_Media_M + J64*_Sigma)</f>
        <v>77.831508201586615</v>
      </c>
      <c r="N64" s="36">
        <f t="shared" ca="1" si="4"/>
        <v>18.464380805220671</v>
      </c>
      <c r="O64" s="35">
        <f t="shared" ca="1" si="14"/>
        <v>96.295889006807286</v>
      </c>
      <c r="P64" s="19">
        <f t="shared" ca="1" si="10"/>
        <v>96.295889006807286</v>
      </c>
      <c r="Q64" s="20">
        <f ca="1" xml:space="preserve"> P64*_Precio_cafe</f>
        <v>144.44383351021094</v>
      </c>
      <c r="R64" s="20">
        <f t="shared" ca="1" si="11"/>
        <v>6130.7439519927748</v>
      </c>
      <c r="S64" s="20">
        <f ca="1">(1/A64)*((A64-1)*S63 +Q64)</f>
        <v>127.72383233318278</v>
      </c>
      <c r="T64" s="20">
        <f ca="1">IF((T63-P64+F64)&gt;_Max_Stock_Gramos,_Max_Stock_Gramos,T63-P64+F64)</f>
        <v>1700</v>
      </c>
      <c r="U64" s="20">
        <f ca="1">T64/_GramosXFrasco</f>
        <v>10</v>
      </c>
      <c r="V64" s="58">
        <f ca="1">(T64/_Max_Stock_Gramos)</f>
        <v>1</v>
      </c>
      <c r="W64" s="58"/>
      <c r="X64" s="10">
        <f ca="1">IF((T63-O64)&lt;0,(T63-O64)*_Costo_Faltante,0)</f>
        <v>0</v>
      </c>
      <c r="Y64">
        <f ca="1">IF(B64=0,E64*_Costo_Frasco,0)</f>
        <v>-500</v>
      </c>
      <c r="Z64" s="11">
        <f t="shared" ca="1" si="12"/>
        <v>-6500</v>
      </c>
    </row>
    <row r="65" spans="1:26" x14ac:dyDescent="0.25">
      <c r="A65" s="30">
        <f t="shared" si="6"/>
        <v>49</v>
      </c>
      <c r="B65" s="10">
        <f>IF(B64=0,_Proxima_Compra,B64-1)</f>
        <v>1</v>
      </c>
      <c r="C65" s="3">
        <f t="shared" ca="1" si="7"/>
        <v>-1</v>
      </c>
      <c r="D65" s="3">
        <f ca="1">IF(D64&gt;0,D64-1,IF(C65&gt;0,LOOKUP(C65,$S$3:$S$5,$P$3:$P$5),-1))</f>
        <v>-1</v>
      </c>
      <c r="E65" s="25">
        <f t="shared" ca="1" si="8"/>
        <v>0</v>
      </c>
      <c r="F65" s="28">
        <f ca="1">E65*_GramosXFrasco</f>
        <v>0</v>
      </c>
      <c r="G65" s="38">
        <f t="shared" ca="1" si="0"/>
        <v>0.17491442009468439</v>
      </c>
      <c r="H65" s="36">
        <f t="shared" ca="1" si="1"/>
        <v>-1</v>
      </c>
      <c r="I65" s="36">
        <f t="shared" ca="1" si="9"/>
        <v>-1</v>
      </c>
      <c r="J65" s="36">
        <f t="shared" ca="1" si="13"/>
        <v>-1</v>
      </c>
      <c r="K65" s="37">
        <f ca="1">IF(J65&lt;&gt;-1,_Media_M + J65*_Sigma,-1)</f>
        <v>-1</v>
      </c>
      <c r="L65" s="3">
        <f t="shared" ca="1" si="3"/>
        <v>50</v>
      </c>
      <c r="M65" s="18">
        <f ca="1">IF(LOOKUP(G65,$H$3:$H$4,$E$3:$E$4)=1,50,_Media_M + J65*_Sigma)</f>
        <v>50</v>
      </c>
      <c r="N65" s="36">
        <f t="shared" ca="1" si="4"/>
        <v>55.884391996997316</v>
      </c>
      <c r="O65" s="35">
        <f t="shared" ca="1" si="14"/>
        <v>105.88439199699732</v>
      </c>
      <c r="P65" s="19">
        <f t="shared" ca="1" si="10"/>
        <v>105.88439199699732</v>
      </c>
      <c r="Q65" s="20">
        <f ca="1" xml:space="preserve"> P65*_Precio_cafe</f>
        <v>158.82658799549597</v>
      </c>
      <c r="R65" s="20">
        <f t="shared" ca="1" si="11"/>
        <v>6289.5705399882709</v>
      </c>
      <c r="S65" s="20">
        <f ca="1">(1/A65)*((A65-1)*S64 +Q65)</f>
        <v>128.35858244874018</v>
      </c>
      <c r="T65" s="20">
        <f ca="1">IF((T64-P65+F65)&gt;_Max_Stock_Gramos,_Max_Stock_Gramos,T64-P65+F65)</f>
        <v>1594.1156080030028</v>
      </c>
      <c r="U65" s="20">
        <f ca="1">T65/_GramosXFrasco</f>
        <v>9.3771506353117804</v>
      </c>
      <c r="V65" s="58">
        <f ca="1">(T65/_Max_Stock_Gramos)</f>
        <v>0.93771506353117806</v>
      </c>
      <c r="W65" s="58"/>
      <c r="X65" s="10">
        <f ca="1">IF((T64-O65)&lt;0,(T64-O65)*_Costo_Faltante,0)</f>
        <v>0</v>
      </c>
      <c r="Y65">
        <f>IF(B65=0,E65*_Costo_Frasco,0)</f>
        <v>0</v>
      </c>
      <c r="Z65" s="11">
        <f t="shared" ca="1" si="12"/>
        <v>-6500</v>
      </c>
    </row>
    <row r="66" spans="1:26" x14ac:dyDescent="0.25">
      <c r="A66" s="30">
        <f t="shared" si="6"/>
        <v>50</v>
      </c>
      <c r="B66" s="10">
        <f>IF(B65=0,_Proxima_Compra,B65-1)</f>
        <v>0</v>
      </c>
      <c r="C66" s="3">
        <f t="shared" ca="1" si="7"/>
        <v>0.49762774191514902</v>
      </c>
      <c r="D66" s="3">
        <f ca="1">IF(D65&gt;0,D65-1,IF(C66&gt;0,LOOKUP(C66,$S$3:$S$5,$P$3:$P$5),-1))</f>
        <v>0</v>
      </c>
      <c r="E66" s="25">
        <f t="shared" ca="1" si="8"/>
        <v>2</v>
      </c>
      <c r="F66" s="28">
        <f ca="1">E66*_GramosXFrasco</f>
        <v>340</v>
      </c>
      <c r="G66" s="38">
        <f t="shared" ca="1" si="0"/>
        <v>0.54160836957838099</v>
      </c>
      <c r="H66" s="36">
        <f t="shared" ca="1" si="1"/>
        <v>0.61730743828312229</v>
      </c>
      <c r="I66" s="36">
        <f t="shared" ca="1" si="9"/>
        <v>0.21606494828295941</v>
      </c>
      <c r="J66" s="36">
        <f t="shared" ca="1" si="13"/>
        <v>0.19328305512099955</v>
      </c>
      <c r="K66" s="37">
        <f ca="1">IF(J66&lt;&gt;-1,_Media_M + J66*_Sigma,-1)</f>
        <v>77.89924582681499</v>
      </c>
      <c r="L66" s="3">
        <f t="shared" ca="1" si="3"/>
        <v>-1</v>
      </c>
      <c r="M66" s="18">
        <f ca="1">IF(LOOKUP(G66,$H$3:$H$4,$E$3:$E$4)=1,50,_Media_M + J66*_Sigma)</f>
        <v>77.89924582681499</v>
      </c>
      <c r="N66" s="36">
        <f t="shared" ca="1" si="4"/>
        <v>0.88694153237631979</v>
      </c>
      <c r="O66" s="35">
        <f t="shared" ca="1" si="14"/>
        <v>78.786187359191317</v>
      </c>
      <c r="P66" s="19">
        <f t="shared" ca="1" si="10"/>
        <v>78.786187359191317</v>
      </c>
      <c r="Q66" s="20">
        <f ca="1" xml:space="preserve"> P66*_Precio_cafe</f>
        <v>118.17928103878697</v>
      </c>
      <c r="R66" s="20">
        <f t="shared" ca="1" si="11"/>
        <v>6407.7498210270578</v>
      </c>
      <c r="S66" s="20">
        <f ca="1">(1/A66)*((A66-1)*S65 +Q66)</f>
        <v>128.15499642054112</v>
      </c>
      <c r="T66" s="20">
        <f ca="1">IF((T65-P66+F66)&gt;_Max_Stock_Gramos,_Max_Stock_Gramos,T65-P66+F66)</f>
        <v>1700</v>
      </c>
      <c r="U66" s="20">
        <f ca="1">T66/_GramosXFrasco</f>
        <v>10</v>
      </c>
      <c r="V66" s="58">
        <f ca="1">(T66/_Max_Stock_Gramos)</f>
        <v>1</v>
      </c>
      <c r="W66" s="58"/>
      <c r="X66" s="10">
        <f ca="1">IF((T65-O66)&lt;0,(T65-O66)*_Costo_Faltante,0)</f>
        <v>0</v>
      </c>
      <c r="Y66">
        <f ca="1">IF(B66=0,E66*_Costo_Frasco,0)</f>
        <v>-500</v>
      </c>
      <c r="Z66" s="11">
        <f t="shared" ca="1" si="12"/>
        <v>-7000</v>
      </c>
    </row>
    <row r="67" spans="1:26" x14ac:dyDescent="0.25">
      <c r="A67" s="30">
        <f t="shared" si="6"/>
        <v>51</v>
      </c>
      <c r="B67" s="10">
        <f>IF(B66=0,_Proxima_Compra,B66-1)</f>
        <v>1</v>
      </c>
      <c r="C67" s="3">
        <f t="shared" ca="1" si="7"/>
        <v>-1</v>
      </c>
      <c r="D67" s="3">
        <f ca="1">IF(D66&gt;0,D66-1,IF(C67&gt;0,LOOKUP(C67,$S$3:$S$5,$P$3:$P$5),-1))</f>
        <v>-1</v>
      </c>
      <c r="E67" s="25">
        <f t="shared" ca="1" si="8"/>
        <v>0</v>
      </c>
      <c r="F67" s="28">
        <f ca="1">E67*_GramosXFrasco</f>
        <v>0</v>
      </c>
      <c r="G67" s="38">
        <f t="shared" ca="1" si="0"/>
        <v>0.64628762967789111</v>
      </c>
      <c r="H67" s="36">
        <f t="shared" ca="1" si="1"/>
        <v>0.13607614572285609</v>
      </c>
      <c r="I67" s="36">
        <f t="shared" ca="1" si="9"/>
        <v>0.4331939819622731</v>
      </c>
      <c r="J67" s="36">
        <f t="shared" ca="1" si="13"/>
        <v>-0.32549656152093082</v>
      </c>
      <c r="K67" s="37">
        <f ca="1">IF(J67&lt;&gt;-1,_Media_M + J67*_Sigma,-1)</f>
        <v>70.117551577186035</v>
      </c>
      <c r="L67" s="3">
        <f t="shared" ca="1" si="3"/>
        <v>-1</v>
      </c>
      <c r="M67" s="18">
        <f ca="1">IF(LOOKUP(G67,$H$3:$H$4,$E$3:$E$4)=1,50,_Media_M + J67*_Sigma)</f>
        <v>70.117551577186035</v>
      </c>
      <c r="N67" s="36">
        <f t="shared" ca="1" si="4"/>
        <v>3.5990392077259243</v>
      </c>
      <c r="O67" s="35">
        <f t="shared" ca="1" si="14"/>
        <v>73.716590784911958</v>
      </c>
      <c r="P67" s="19">
        <f t="shared" ca="1" si="10"/>
        <v>73.716590784911958</v>
      </c>
      <c r="Q67" s="20">
        <f ca="1" xml:space="preserve"> P67*_Precio_cafe</f>
        <v>110.57488617736794</v>
      </c>
      <c r="R67" s="20">
        <f t="shared" ca="1" si="11"/>
        <v>6518.324707204426</v>
      </c>
      <c r="S67" s="20">
        <f ca="1">(1/A67)*((A67-1)*S66 +Q67)</f>
        <v>127.81028837655734</v>
      </c>
      <c r="T67" s="20">
        <f ca="1">IF((T66-P67+F67)&gt;_Max_Stock_Gramos,_Max_Stock_Gramos,T66-P67+F67)</f>
        <v>1626.2834092150881</v>
      </c>
      <c r="U67" s="20">
        <f ca="1">T67/_GramosXFrasco</f>
        <v>9.5663729953828707</v>
      </c>
      <c r="V67" s="58">
        <f ca="1">(T67/_Max_Stock_Gramos)</f>
        <v>0.95663729953828713</v>
      </c>
      <c r="W67" s="58"/>
      <c r="X67" s="10">
        <f ca="1">IF((T66-O67)&lt;0,(T66-O67)*_Costo_Faltante,0)</f>
        <v>0</v>
      </c>
      <c r="Y67">
        <f>IF(B67=0,E67*_Costo_Frasco,0)</f>
        <v>0</v>
      </c>
      <c r="Z67" s="11">
        <f t="shared" ca="1" si="12"/>
        <v>-7000</v>
      </c>
    </row>
    <row r="68" spans="1:26" x14ac:dyDescent="0.25">
      <c r="A68" s="30">
        <f t="shared" si="6"/>
        <v>52</v>
      </c>
      <c r="B68" s="10">
        <f>IF(B67=0,_Proxima_Compra,B67-1)</f>
        <v>0</v>
      </c>
      <c r="C68" s="3">
        <f t="shared" ca="1" si="7"/>
        <v>3.7888665202340133E-2</v>
      </c>
      <c r="D68" s="3">
        <f ca="1">IF(D67&gt;0,D67-1,IF(C68&gt;0,LOOKUP(C68,$S$3:$S$5,$P$3:$P$5),-1))</f>
        <v>0</v>
      </c>
      <c r="E68" s="25">
        <f t="shared" ca="1" si="8"/>
        <v>2</v>
      </c>
      <c r="F68" s="28">
        <f ca="1">E68*_GramosXFrasco</f>
        <v>340</v>
      </c>
      <c r="G68" s="38">
        <f t="shared" ca="1" si="0"/>
        <v>0.34011459771544428</v>
      </c>
      <c r="H68" s="36">
        <f t="shared" ca="1" si="1"/>
        <v>-1</v>
      </c>
      <c r="I68" s="36">
        <f t="shared" ca="1" si="9"/>
        <v>-1</v>
      </c>
      <c r="J68" s="36">
        <f t="shared" ca="1" si="13"/>
        <v>-1</v>
      </c>
      <c r="K68" s="37">
        <f ca="1">IF(J68&lt;&gt;-1,_Media_M + J68*_Sigma,-1)</f>
        <v>-1</v>
      </c>
      <c r="L68" s="3">
        <f t="shared" ca="1" si="3"/>
        <v>50</v>
      </c>
      <c r="M68" s="18">
        <f ca="1">IF(LOOKUP(G68,$H$3:$H$4,$E$3:$E$4)=1,50,_Media_M + J68*_Sigma)</f>
        <v>50</v>
      </c>
      <c r="N68" s="36">
        <f t="shared" ca="1" si="4"/>
        <v>9.0766193539249578</v>
      </c>
      <c r="O68" s="35">
        <f t="shared" ca="1" si="14"/>
        <v>59.076619353924954</v>
      </c>
      <c r="P68" s="19">
        <f t="shared" ca="1" si="10"/>
        <v>59.076619353924954</v>
      </c>
      <c r="Q68" s="20">
        <f ca="1" xml:space="preserve"> P68*_Precio_cafe</f>
        <v>88.614929030887424</v>
      </c>
      <c r="R68" s="20">
        <f t="shared" ca="1" si="11"/>
        <v>6606.9396362353136</v>
      </c>
      <c r="S68" s="20">
        <f ca="1">(1/A68)*((A68-1)*S67 +Q68)</f>
        <v>127.05653146606369</v>
      </c>
      <c r="T68" s="20">
        <f ca="1">IF((T67-P68+F68)&gt;_Max_Stock_Gramos,_Max_Stock_Gramos,T67-P68+F68)</f>
        <v>1700</v>
      </c>
      <c r="U68" s="20">
        <f ca="1">T68/_GramosXFrasco</f>
        <v>10</v>
      </c>
      <c r="V68" s="58">
        <f ca="1">(T68/_Max_Stock_Gramos)</f>
        <v>1</v>
      </c>
      <c r="W68" s="58"/>
      <c r="X68" s="10">
        <f ca="1">IF((T67-O68)&lt;0,(T67-O68)*_Costo_Faltante,0)</f>
        <v>0</v>
      </c>
      <c r="Y68">
        <f ca="1">IF(B68=0,E68*_Costo_Frasco,0)</f>
        <v>-500</v>
      </c>
      <c r="Z68" s="11">
        <f t="shared" ca="1" si="12"/>
        <v>-7500</v>
      </c>
    </row>
    <row r="69" spans="1:26" x14ac:dyDescent="0.25">
      <c r="A69" s="30">
        <f t="shared" si="6"/>
        <v>53</v>
      </c>
      <c r="B69" s="10">
        <f>IF(B68=0,_Proxima_Compra,B68-1)</f>
        <v>1</v>
      </c>
      <c r="C69" s="3">
        <f t="shared" ca="1" si="7"/>
        <v>-1</v>
      </c>
      <c r="D69" s="3">
        <f ca="1">IF(D68&gt;0,D68-1,IF(C69&gt;0,LOOKUP(C69,$S$3:$S$5,$P$3:$P$5),-1))</f>
        <v>-1</v>
      </c>
      <c r="E69" s="25">
        <f t="shared" ca="1" si="8"/>
        <v>0</v>
      </c>
      <c r="F69" s="28">
        <f ca="1">E69*_GramosXFrasco</f>
        <v>0</v>
      </c>
      <c r="G69" s="38">
        <f t="shared" ca="1" si="0"/>
        <v>0.41182448257115412</v>
      </c>
      <c r="H69" s="36">
        <f t="shared" ca="1" si="1"/>
        <v>-1</v>
      </c>
      <c r="I69" s="36">
        <f t="shared" ca="1" si="9"/>
        <v>-1</v>
      </c>
      <c r="J69" s="36">
        <f t="shared" ca="1" si="13"/>
        <v>-1</v>
      </c>
      <c r="K69" s="37">
        <f ca="1">IF(J69&lt;&gt;-1,_Media_M + J69*_Sigma,-1)</f>
        <v>-1</v>
      </c>
      <c r="L69" s="3">
        <f t="shared" ca="1" si="3"/>
        <v>50</v>
      </c>
      <c r="M69" s="18">
        <f ca="1">IF(LOOKUP(G69,$H$3:$H$4,$E$3:$E$4)=1,50,_Media_M + J69*_Sigma)</f>
        <v>50</v>
      </c>
      <c r="N69" s="36">
        <f t="shared" ca="1" si="4"/>
        <v>38.360308755105891</v>
      </c>
      <c r="O69" s="35">
        <f t="shared" ca="1" si="14"/>
        <v>88.360308755105891</v>
      </c>
      <c r="P69" s="19">
        <f t="shared" ca="1" si="10"/>
        <v>88.360308755105891</v>
      </c>
      <c r="Q69" s="20">
        <f ca="1" xml:space="preserve"> P69*_Precio_cafe</f>
        <v>132.54046313265883</v>
      </c>
      <c r="R69" s="20">
        <f t="shared" ca="1" si="11"/>
        <v>6739.4800993679728</v>
      </c>
      <c r="S69" s="20">
        <f ca="1">(1/A69)*((A69-1)*S68 +Q69)</f>
        <v>127.16000187486738</v>
      </c>
      <c r="T69" s="20">
        <f ca="1">IF((T68-P69+F69)&gt;_Max_Stock_Gramos,_Max_Stock_Gramos,T68-P69+F69)</f>
        <v>1611.639691244894</v>
      </c>
      <c r="U69" s="20">
        <f ca="1">T69/_GramosXFrasco</f>
        <v>9.4802334779111419</v>
      </c>
      <c r="V69" s="58">
        <f ca="1">(T69/_Max_Stock_Gramos)</f>
        <v>0.94802334779111419</v>
      </c>
      <c r="W69" s="58"/>
      <c r="X69" s="10">
        <f ca="1">IF((T68-O69)&lt;0,(T68-O69)*_Costo_Faltante,0)</f>
        <v>0</v>
      </c>
      <c r="Y69">
        <f>IF(B69=0,E69*_Costo_Frasco,0)</f>
        <v>0</v>
      </c>
      <c r="Z69" s="11">
        <f t="shared" ca="1" si="12"/>
        <v>-7500</v>
      </c>
    </row>
    <row r="70" spans="1:26" x14ac:dyDescent="0.25">
      <c r="A70" s="30">
        <f t="shared" si="6"/>
        <v>54</v>
      </c>
      <c r="B70" s="10">
        <f>IF(B69=0,_Proxima_Compra,B69-1)</f>
        <v>0</v>
      </c>
      <c r="C70" s="3">
        <f t="shared" ca="1" si="7"/>
        <v>0.85062394537296804</v>
      </c>
      <c r="D70" s="3">
        <f ca="1">IF(D69&gt;0,D69-1,IF(C70&gt;0,LOOKUP(C70,$S$3:$S$5,$P$3:$P$5),-1))</f>
        <v>2</v>
      </c>
      <c r="E70" s="25">
        <f t="shared" ca="1" si="8"/>
        <v>0</v>
      </c>
      <c r="F70" s="28">
        <f ca="1">E70*_GramosXFrasco</f>
        <v>0</v>
      </c>
      <c r="G70" s="38">
        <f t="shared" ca="1" si="0"/>
        <v>0.34929288082906551</v>
      </c>
      <c r="H70" s="36">
        <f t="shared" ca="1" si="1"/>
        <v>-1</v>
      </c>
      <c r="I70" s="36">
        <f t="shared" ca="1" si="9"/>
        <v>-1</v>
      </c>
      <c r="J70" s="36">
        <f t="shared" ca="1" si="13"/>
        <v>-1</v>
      </c>
      <c r="K70" s="37">
        <f ca="1">IF(J70&lt;&gt;-1,_Media_M + J70*_Sigma,-1)</f>
        <v>-1</v>
      </c>
      <c r="L70" s="3">
        <f t="shared" ca="1" si="3"/>
        <v>50</v>
      </c>
      <c r="M70" s="18">
        <f ca="1">IF(LOOKUP(G70,$H$3:$H$4,$E$3:$E$4)=1,50,_Media_M + J70*_Sigma)</f>
        <v>50</v>
      </c>
      <c r="N70" s="36">
        <f t="shared" ca="1" si="4"/>
        <v>28.569108809234656</v>
      </c>
      <c r="O70" s="35">
        <f t="shared" ca="1" si="14"/>
        <v>78.569108809234649</v>
      </c>
      <c r="P70" s="19">
        <f t="shared" ca="1" si="10"/>
        <v>78.569108809234649</v>
      </c>
      <c r="Q70" s="20">
        <f ca="1" xml:space="preserve"> P70*_Precio_cafe</f>
        <v>117.85366321385197</v>
      </c>
      <c r="R70" s="20">
        <f t="shared" ca="1" si="11"/>
        <v>6857.3337625818249</v>
      </c>
      <c r="S70" s="20">
        <f ca="1">(1/A70)*((A70-1)*S69 +Q70)</f>
        <v>126.98766227003375</v>
      </c>
      <c r="T70" s="20">
        <f ca="1">IF((T69-P70+F70)&gt;_Max_Stock_Gramos,_Max_Stock_Gramos,T69-P70+F70)</f>
        <v>1533.0705824356594</v>
      </c>
      <c r="U70" s="20">
        <f ca="1">T70/_GramosXFrasco</f>
        <v>9.0180622496215257</v>
      </c>
      <c r="V70" s="58">
        <f ca="1">(T70/_Max_Stock_Gramos)</f>
        <v>0.90180622496215257</v>
      </c>
      <c r="W70" s="58"/>
      <c r="X70" s="10">
        <f ca="1">IF((T69-O70)&lt;0,(T69-O70)*_Costo_Faltante,0)</f>
        <v>0</v>
      </c>
      <c r="Y70">
        <f ca="1">IF(B70=0,E70*_Costo_Frasco,0)</f>
        <v>0</v>
      </c>
      <c r="Z70" s="11">
        <f t="shared" ca="1" si="12"/>
        <v>-7500</v>
      </c>
    </row>
    <row r="71" spans="1:26" x14ac:dyDescent="0.25">
      <c r="A71" s="30">
        <f t="shared" si="6"/>
        <v>55</v>
      </c>
      <c r="B71" s="10">
        <f>IF(B70=0,_Proxima_Compra,B70-1)</f>
        <v>1</v>
      </c>
      <c r="C71" s="3">
        <f t="shared" ca="1" si="7"/>
        <v>-1</v>
      </c>
      <c r="D71" s="3">
        <f ca="1">IF(D70&gt;0,D70-1,IF(C71&gt;0,LOOKUP(C71,$S$3:$S$5,$P$3:$P$5),-1))</f>
        <v>1</v>
      </c>
      <c r="E71" s="25">
        <f t="shared" ca="1" si="8"/>
        <v>0</v>
      </c>
      <c r="F71" s="28">
        <f ca="1">E71*_GramosXFrasco</f>
        <v>0</v>
      </c>
      <c r="G71" s="38">
        <f t="shared" ca="1" si="0"/>
        <v>0.97555534512179864</v>
      </c>
      <c r="H71" s="36">
        <f t="shared" ca="1" si="1"/>
        <v>0.58074152556151093</v>
      </c>
      <c r="I71" s="36">
        <f t="shared" ca="1" si="9"/>
        <v>0.46622354781177533</v>
      </c>
      <c r="J71" s="36">
        <f t="shared" ca="1" si="13"/>
        <v>-0.84943379344959802</v>
      </c>
      <c r="K71" s="37">
        <f ca="1">IF(J71&lt;&gt;-1,_Media_M + J71*_Sigma,-1)</f>
        <v>62.258493098256032</v>
      </c>
      <c r="L71" s="3">
        <f t="shared" ca="1" si="3"/>
        <v>-1</v>
      </c>
      <c r="M71" s="18">
        <f ca="1">IF(LOOKUP(G71,$H$3:$H$4,$E$3:$E$4)=1,50,_Media_M + J71*_Sigma)</f>
        <v>62.258493098256032</v>
      </c>
      <c r="N71" s="36">
        <f t="shared" ca="1" si="4"/>
        <v>47.124733989155686</v>
      </c>
      <c r="O71" s="35">
        <f t="shared" ca="1" si="14"/>
        <v>109.38322708741171</v>
      </c>
      <c r="P71" s="19">
        <f t="shared" ca="1" si="10"/>
        <v>109.38322708741171</v>
      </c>
      <c r="Q71" s="20">
        <f ca="1" xml:space="preserve"> P71*_Precio_cafe</f>
        <v>164.07484063111758</v>
      </c>
      <c r="R71" s="20">
        <f t="shared" ca="1" si="11"/>
        <v>7021.4086032129426</v>
      </c>
      <c r="S71" s="20">
        <f ca="1">(1/A71)*((A71-1)*S70 +Q71)</f>
        <v>127.66197460387163</v>
      </c>
      <c r="T71" s="20">
        <f ca="1">IF((T70-P71+F71)&gt;_Max_Stock_Gramos,_Max_Stock_Gramos,T70-P71+F71)</f>
        <v>1423.6873553482476</v>
      </c>
      <c r="U71" s="20">
        <f ca="1">T71/_GramosXFrasco</f>
        <v>8.3746315020485156</v>
      </c>
      <c r="V71" s="58">
        <f ca="1">(T71/_Max_Stock_Gramos)</f>
        <v>0.83746315020485151</v>
      </c>
      <c r="W71" s="58"/>
      <c r="X71" s="10">
        <f ca="1">IF((T70-O71)&lt;0,(T70-O71)*_Costo_Faltante,0)</f>
        <v>0</v>
      </c>
      <c r="Y71">
        <f>IF(B71=0,E71*_Costo_Frasco,0)</f>
        <v>0</v>
      </c>
      <c r="Z71" s="11">
        <f t="shared" ca="1" si="12"/>
        <v>-7500</v>
      </c>
    </row>
    <row r="72" spans="1:26" x14ac:dyDescent="0.25">
      <c r="A72" s="30">
        <f t="shared" si="6"/>
        <v>56</v>
      </c>
      <c r="B72" s="10">
        <f>IF(B71=0,_Proxima_Compra,B71-1)</f>
        <v>0</v>
      </c>
      <c r="C72" s="3">
        <f t="shared" ca="1" si="7"/>
        <v>0.42638283414209344</v>
      </c>
      <c r="D72" s="3">
        <f ca="1">IF(D71&gt;0,D71-1,IF(C72&gt;0,LOOKUP(C72,$S$3:$S$5,$P$3:$P$5),-1))</f>
        <v>0</v>
      </c>
      <c r="E72" s="25">
        <f t="shared" ca="1" si="8"/>
        <v>2</v>
      </c>
      <c r="F72" s="28">
        <f ca="1">E72*_GramosXFrasco</f>
        <v>340</v>
      </c>
      <c r="G72" s="38">
        <f t="shared" ca="1" si="0"/>
        <v>0.82041979844621771</v>
      </c>
      <c r="H72" s="36">
        <f t="shared" ca="1" si="1"/>
        <v>2.334578074531457E-2</v>
      </c>
      <c r="I72" s="36">
        <f t="shared" ca="1" si="9"/>
        <v>0.97781446722262977</v>
      </c>
      <c r="J72" s="36">
        <f t="shared" ca="1" si="13"/>
        <v>0.14185280640607956</v>
      </c>
      <c r="K72" s="37">
        <f ca="1">IF(J72&lt;&gt;-1,_Media_M + J72*_Sigma,-1)</f>
        <v>77.127792096091198</v>
      </c>
      <c r="L72" s="3">
        <f t="shared" ca="1" si="3"/>
        <v>-1</v>
      </c>
      <c r="M72" s="18">
        <f ca="1">IF(LOOKUP(G72,$H$3:$H$4,$E$3:$E$4)=1,50,_Media_M + J72*_Sigma)</f>
        <v>77.127792096091198</v>
      </c>
      <c r="N72" s="36">
        <f t="shared" ca="1" si="4"/>
        <v>19.292539045497076</v>
      </c>
      <c r="O72" s="35">
        <f t="shared" ca="1" si="14"/>
        <v>96.420331141588278</v>
      </c>
      <c r="P72" s="19">
        <f t="shared" ca="1" si="10"/>
        <v>96.420331141588278</v>
      </c>
      <c r="Q72" s="20">
        <f ca="1" xml:space="preserve"> P72*_Precio_cafe</f>
        <v>144.63049671238241</v>
      </c>
      <c r="R72" s="20">
        <f t="shared" ca="1" si="11"/>
        <v>7166.039099925325</v>
      </c>
      <c r="S72" s="20">
        <f ca="1">(1/A72)*((A72-1)*S71 +Q72)</f>
        <v>127.9649839272379</v>
      </c>
      <c r="T72" s="20">
        <f ca="1">IF((T71-P72+F72)&gt;_Max_Stock_Gramos,_Max_Stock_Gramos,T71-P72+F72)</f>
        <v>1667.2670242066592</v>
      </c>
      <c r="U72" s="20">
        <f ca="1">T72/_GramosXFrasco</f>
        <v>9.8074530835685838</v>
      </c>
      <c r="V72" s="58">
        <f ca="1">(T72/_Max_Stock_Gramos)</f>
        <v>0.98074530835685836</v>
      </c>
      <c r="W72" s="58"/>
      <c r="X72" s="10">
        <f ca="1">IF((T71-O72)&lt;0,(T71-O72)*_Costo_Faltante,0)</f>
        <v>0</v>
      </c>
      <c r="Y72">
        <f ca="1">IF(B72=0,E72*_Costo_Frasco,0)</f>
        <v>-500</v>
      </c>
      <c r="Z72" s="11">
        <f t="shared" ca="1" si="12"/>
        <v>-8000</v>
      </c>
    </row>
    <row r="73" spans="1:26" x14ac:dyDescent="0.25">
      <c r="A73" s="30">
        <f t="shared" si="6"/>
        <v>57</v>
      </c>
      <c r="B73" s="10">
        <f>IF(B72=0,_Proxima_Compra,B72-1)</f>
        <v>1</v>
      </c>
      <c r="C73" s="3">
        <f t="shared" ca="1" si="7"/>
        <v>-1</v>
      </c>
      <c r="D73" s="3">
        <f ca="1">IF(D72&gt;0,D72-1,IF(C73&gt;0,LOOKUP(C73,$S$3:$S$5,$P$3:$P$5),-1))</f>
        <v>-1</v>
      </c>
      <c r="E73" s="25">
        <f t="shared" ca="1" si="8"/>
        <v>0</v>
      </c>
      <c r="F73" s="28">
        <f ca="1">E73*_GramosXFrasco</f>
        <v>0</v>
      </c>
      <c r="G73" s="38">
        <f t="shared" ca="1" si="0"/>
        <v>0.60895062662669119</v>
      </c>
      <c r="H73" s="36">
        <f t="shared" ca="1" si="1"/>
        <v>8.09290495489291E-2</v>
      </c>
      <c r="I73" s="36">
        <f t="shared" ca="1" si="9"/>
        <v>0.8406706660696599</v>
      </c>
      <c r="J73" s="36">
        <f t="shared" ca="1" si="13"/>
        <v>0.14603349629535958</v>
      </c>
      <c r="K73" s="37">
        <f ca="1">IF(J73&lt;&gt;-1,_Media_M + J73*_Sigma,-1)</f>
        <v>77.190502444430393</v>
      </c>
      <c r="L73" s="3">
        <f t="shared" ca="1" si="3"/>
        <v>-1</v>
      </c>
      <c r="M73" s="18">
        <f ca="1">IF(LOOKUP(G73,$H$3:$H$4,$E$3:$E$4)=1,50,_Media_M + J73*_Sigma)</f>
        <v>77.190502444430393</v>
      </c>
      <c r="N73" s="36">
        <f t="shared" ca="1" si="4"/>
        <v>37.353980552509903</v>
      </c>
      <c r="O73" s="35">
        <f t="shared" ca="1" si="14"/>
        <v>114.5444829969403</v>
      </c>
      <c r="P73" s="19">
        <f t="shared" ca="1" si="10"/>
        <v>114.5444829969403</v>
      </c>
      <c r="Q73" s="20">
        <f ca="1" xml:space="preserve"> P73*_Precio_cafe</f>
        <v>171.81672449541045</v>
      </c>
      <c r="R73" s="20">
        <f t="shared" ca="1" si="11"/>
        <v>7337.8558244207352</v>
      </c>
      <c r="S73" s="20">
        <f ca="1">(1/A73)*((A73-1)*S72 +Q73)</f>
        <v>128.73431270913565</v>
      </c>
      <c r="T73" s="20">
        <f ca="1">IF((T72-P73+F73)&gt;_Max_Stock_Gramos,_Max_Stock_Gramos,T72-P73+F73)</f>
        <v>1552.7225412097189</v>
      </c>
      <c r="U73" s="20">
        <f ca="1">T73/_GramosXFrasco</f>
        <v>9.1336620071159942</v>
      </c>
      <c r="V73" s="58">
        <f ca="1">(T73/_Max_Stock_Gramos)</f>
        <v>0.91336620071159935</v>
      </c>
      <c r="W73" s="58"/>
      <c r="X73" s="10">
        <f ca="1">IF((T72-O73)&lt;0,(T72-O73)*_Costo_Faltante,0)</f>
        <v>0</v>
      </c>
      <c r="Y73">
        <f>IF(B73=0,E73*_Costo_Frasco,0)</f>
        <v>0</v>
      </c>
      <c r="Z73" s="11">
        <f t="shared" ca="1" si="12"/>
        <v>-8000</v>
      </c>
    </row>
    <row r="74" spans="1:26" x14ac:dyDescent="0.25">
      <c r="A74" s="30">
        <f t="shared" si="6"/>
        <v>58</v>
      </c>
      <c r="B74" s="10">
        <f>IF(B73=0,_Proxima_Compra,B73-1)</f>
        <v>0</v>
      </c>
      <c r="C74" s="3">
        <f t="shared" ca="1" si="7"/>
        <v>0.55019398053156265</v>
      </c>
      <c r="D74" s="3">
        <f ca="1">IF(D73&gt;0,D73-1,IF(C74&gt;0,LOOKUP(C74,$S$3:$S$5,$P$3:$P$5),-1))</f>
        <v>1</v>
      </c>
      <c r="E74" s="25">
        <f t="shared" ca="1" si="8"/>
        <v>0</v>
      </c>
      <c r="F74" s="28">
        <f ca="1">E74*_GramosXFrasco</f>
        <v>0</v>
      </c>
      <c r="G74" s="38">
        <f t="shared" ca="1" si="0"/>
        <v>0.59968154413834696</v>
      </c>
      <c r="H74" s="36">
        <f t="shared" ca="1" si="1"/>
        <v>0.73764812763586407</v>
      </c>
      <c r="I74" s="36">
        <f t="shared" ca="1" si="9"/>
        <v>0.58878344423430895</v>
      </c>
      <c r="J74" s="36">
        <f t="shared" ca="1" si="13"/>
        <v>-0.91463222304743397</v>
      </c>
      <c r="K74" s="37">
        <f ca="1">IF(J74&lt;&gt;-1,_Media_M + J74*_Sigma,-1)</f>
        <v>61.28051665428849</v>
      </c>
      <c r="L74" s="3">
        <f t="shared" ca="1" si="3"/>
        <v>-1</v>
      </c>
      <c r="M74" s="18">
        <f ca="1">IF(LOOKUP(G74,$H$3:$H$4,$E$3:$E$4)=1,50,_Media_M + J74*_Sigma)</f>
        <v>61.28051665428849</v>
      </c>
      <c r="N74" s="36">
        <f t="shared" ca="1" si="4"/>
        <v>51.838519794928104</v>
      </c>
      <c r="O74" s="35">
        <f t="shared" ca="1" si="14"/>
        <v>113.11903644921659</v>
      </c>
      <c r="P74" s="19">
        <f t="shared" ca="1" si="10"/>
        <v>113.11903644921659</v>
      </c>
      <c r="Q74" s="20">
        <f ca="1" xml:space="preserve"> P74*_Precio_cafe</f>
        <v>169.67855467382489</v>
      </c>
      <c r="R74" s="20">
        <f t="shared" ca="1" si="11"/>
        <v>7507.5343790945599</v>
      </c>
      <c r="S74" s="20">
        <f ca="1">(1/A74)*((A74-1)*S73 +Q74)</f>
        <v>129.44024791542338</v>
      </c>
      <c r="T74" s="20">
        <f ca="1">IF((T73-P74+F74)&gt;_Max_Stock_Gramos,_Max_Stock_Gramos,T73-P74+F74)</f>
        <v>1439.6035047605023</v>
      </c>
      <c r="U74" s="20">
        <f ca="1">T74/_GramosXFrasco</f>
        <v>8.4682559103558965</v>
      </c>
      <c r="V74" s="58">
        <f ca="1">(T74/_Max_Stock_Gramos)</f>
        <v>0.84682559103558963</v>
      </c>
      <c r="W74" s="58"/>
      <c r="X74" s="10">
        <f ca="1">IF((T73-O74)&lt;0,(T73-O74)*_Costo_Faltante,0)</f>
        <v>0</v>
      </c>
      <c r="Y74">
        <f ca="1">IF(B74=0,E74*_Costo_Frasco,0)</f>
        <v>0</v>
      </c>
      <c r="Z74" s="11">
        <f t="shared" ca="1" si="12"/>
        <v>-8000</v>
      </c>
    </row>
    <row r="75" spans="1:26" x14ac:dyDescent="0.25">
      <c r="A75" s="30">
        <f t="shared" si="6"/>
        <v>59</v>
      </c>
      <c r="B75" s="10">
        <f>IF(B74=0,_Proxima_Compra,B74-1)</f>
        <v>1</v>
      </c>
      <c r="C75" s="3">
        <f t="shared" ca="1" si="7"/>
        <v>-1</v>
      </c>
      <c r="D75" s="3">
        <f ca="1">IF(D74&gt;0,D74-1,IF(C75&gt;0,LOOKUP(C75,$S$3:$S$5,$P$3:$P$5),-1))</f>
        <v>0</v>
      </c>
      <c r="E75" s="25">
        <f t="shared" ca="1" si="8"/>
        <v>2</v>
      </c>
      <c r="F75" s="28">
        <f ca="1">E75*_GramosXFrasco</f>
        <v>340</v>
      </c>
      <c r="G75" s="38">
        <f t="shared" ca="1" si="0"/>
        <v>0.55060501882984547</v>
      </c>
      <c r="H75" s="36">
        <f t="shared" ca="1" si="1"/>
        <v>0.69524221456728441</v>
      </c>
      <c r="I75" s="36">
        <f t="shared" ca="1" si="9"/>
        <v>0.92555617716568761</v>
      </c>
      <c r="J75" s="36">
        <f t="shared" ca="1" si="13"/>
        <v>0.90679622746432542</v>
      </c>
      <c r="K75" s="37">
        <f ca="1">IF(J75&lt;&gt;-1,_Media_M + J75*_Sigma,-1)</f>
        <v>88.601943411964882</v>
      </c>
      <c r="L75" s="3">
        <f t="shared" ca="1" si="3"/>
        <v>-1</v>
      </c>
      <c r="M75" s="18">
        <f ca="1">IF(LOOKUP(G75,$H$3:$H$4,$E$3:$E$4)=1,50,_Media_M + J75*_Sigma)</f>
        <v>88.601943411964882</v>
      </c>
      <c r="N75" s="36">
        <f t="shared" ca="1" si="4"/>
        <v>32.437488166097111</v>
      </c>
      <c r="O75" s="35">
        <f t="shared" ca="1" si="14"/>
        <v>121.03943157806199</v>
      </c>
      <c r="P75" s="19">
        <f t="shared" ca="1" si="10"/>
        <v>121.03943157806199</v>
      </c>
      <c r="Q75" s="20">
        <f ca="1" xml:space="preserve"> P75*_Precio_cafe</f>
        <v>181.55914736709298</v>
      </c>
      <c r="R75" s="20">
        <f t="shared" ca="1" si="11"/>
        <v>7689.0935264616528</v>
      </c>
      <c r="S75" s="20">
        <f ca="1">(1/A75)*((A75-1)*S74 +Q75)</f>
        <v>130.32361909257031</v>
      </c>
      <c r="T75" s="20">
        <f ca="1">IF((T74-P75+F75)&gt;_Max_Stock_Gramos,_Max_Stock_Gramos,T74-P75+F75)</f>
        <v>1658.5640731824403</v>
      </c>
      <c r="U75" s="20">
        <f ca="1">T75/_GramosXFrasco</f>
        <v>9.7562592540143545</v>
      </c>
      <c r="V75" s="58">
        <f ca="1">(T75/_Max_Stock_Gramos)</f>
        <v>0.97562592540143545</v>
      </c>
      <c r="W75" s="58"/>
      <c r="X75" s="10">
        <f ca="1">IF((T74-O75)&lt;0,(T74-O75)*_Costo_Faltante,0)</f>
        <v>0</v>
      </c>
      <c r="Y75">
        <f>IF(B75=0,E75*_Costo_Frasco,0)</f>
        <v>0</v>
      </c>
      <c r="Z75" s="11">
        <f t="shared" ca="1" si="12"/>
        <v>-8000</v>
      </c>
    </row>
    <row r="76" spans="1:26" x14ac:dyDescent="0.25">
      <c r="A76" s="30">
        <f t="shared" si="6"/>
        <v>60</v>
      </c>
      <c r="B76" s="10">
        <f>IF(B75=0,_Proxima_Compra,B75-1)</f>
        <v>0</v>
      </c>
      <c r="C76" s="3">
        <f t="shared" ca="1" si="7"/>
        <v>0.80287175137459987</v>
      </c>
      <c r="D76" s="3">
        <f ca="1">IF(D75&gt;0,D75-1,IF(C76&gt;0,LOOKUP(C76,$S$3:$S$5,$P$3:$P$5),-1))</f>
        <v>2</v>
      </c>
      <c r="E76" s="25">
        <f t="shared" ca="1" si="8"/>
        <v>0</v>
      </c>
      <c r="F76" s="28">
        <f ca="1">E76*_GramosXFrasco</f>
        <v>0</v>
      </c>
      <c r="G76" s="38">
        <f t="shared" ca="1" si="0"/>
        <v>0.34591846768206824</v>
      </c>
      <c r="H76" s="36">
        <f t="shared" ca="1" si="1"/>
        <v>-1</v>
      </c>
      <c r="I76" s="36">
        <f t="shared" ca="1" si="9"/>
        <v>-1</v>
      </c>
      <c r="J76" s="36">
        <f t="shared" ca="1" si="13"/>
        <v>-1</v>
      </c>
      <c r="K76" s="37">
        <f ca="1">IF(J76&lt;&gt;-1,_Media_M + J76*_Sigma,-1)</f>
        <v>-1</v>
      </c>
      <c r="L76" s="3">
        <f t="shared" ca="1" si="3"/>
        <v>50</v>
      </c>
      <c r="M76" s="18">
        <f ca="1">IF(LOOKUP(G76,$H$3:$H$4,$E$3:$E$4)=1,50,_Media_M + J76*_Sigma)</f>
        <v>50</v>
      </c>
      <c r="N76" s="36">
        <f t="shared" ca="1" si="4"/>
        <v>21.588209822974001</v>
      </c>
      <c r="O76" s="35">
        <f t="shared" ca="1" si="14"/>
        <v>71.588209822973994</v>
      </c>
      <c r="P76" s="19">
        <f t="shared" ca="1" si="10"/>
        <v>71.588209822973994</v>
      </c>
      <c r="Q76" s="20">
        <f ca="1" xml:space="preserve"> P76*_Precio_cafe</f>
        <v>107.38231473446099</v>
      </c>
      <c r="R76" s="20">
        <f t="shared" ca="1" si="11"/>
        <v>7796.4758411961138</v>
      </c>
      <c r="S76" s="20">
        <f ca="1">(1/A76)*((A76-1)*S75 +Q76)</f>
        <v>129.94126401993515</v>
      </c>
      <c r="T76" s="20">
        <f ca="1">IF((T75-P76+F76)&gt;_Max_Stock_Gramos,_Max_Stock_Gramos,T75-P76+F76)</f>
        <v>1586.9758633594663</v>
      </c>
      <c r="U76" s="20">
        <f ca="1">T76/_GramosXFrasco</f>
        <v>9.3351521374086257</v>
      </c>
      <c r="V76" s="58">
        <f ca="1">(T76/_Max_Stock_Gramos)</f>
        <v>0.93351521374086255</v>
      </c>
      <c r="W76" s="58"/>
      <c r="X76" s="10">
        <f ca="1">IF((T75-O76)&lt;0,(T75-O76)*_Costo_Faltante,0)</f>
        <v>0</v>
      </c>
      <c r="Y76">
        <f ca="1">IF(B76=0,E76*_Costo_Frasco,0)</f>
        <v>0</v>
      </c>
      <c r="Z76" s="11">
        <f t="shared" ca="1" si="12"/>
        <v>-8000</v>
      </c>
    </row>
    <row r="77" spans="1:26" x14ac:dyDescent="0.25">
      <c r="A77" s="30">
        <f t="shared" si="6"/>
        <v>61</v>
      </c>
      <c r="B77" s="10">
        <f>IF(B76=0,_Proxima_Compra,B76-1)</f>
        <v>1</v>
      </c>
      <c r="C77" s="3">
        <f t="shared" ca="1" si="7"/>
        <v>-1</v>
      </c>
      <c r="D77" s="3">
        <f ca="1">IF(D76&gt;0,D76-1,IF(C77&gt;0,LOOKUP(C77,$S$3:$S$5,$P$3:$P$5),-1))</f>
        <v>1</v>
      </c>
      <c r="E77" s="25">
        <f t="shared" ca="1" si="8"/>
        <v>0</v>
      </c>
      <c r="F77" s="28">
        <f ca="1">E77*_GramosXFrasco</f>
        <v>0</v>
      </c>
      <c r="G77" s="38">
        <f t="shared" ca="1" si="0"/>
        <v>0.35538139010673075</v>
      </c>
      <c r="H77" s="36">
        <f t="shared" ca="1" si="1"/>
        <v>-1</v>
      </c>
      <c r="I77" s="36">
        <f t="shared" ca="1" si="9"/>
        <v>-1</v>
      </c>
      <c r="J77" s="36">
        <f t="shared" ca="1" si="13"/>
        <v>-1</v>
      </c>
      <c r="K77" s="37">
        <f ca="1">IF(J77&lt;&gt;-1,_Media_M + J77*_Sigma,-1)</f>
        <v>-1</v>
      </c>
      <c r="L77" s="3">
        <f t="shared" ca="1" si="3"/>
        <v>50</v>
      </c>
      <c r="M77" s="18">
        <f ca="1">IF(LOOKUP(G77,$H$3:$H$4,$E$3:$E$4)=1,50,_Media_M + J77*_Sigma)</f>
        <v>50</v>
      </c>
      <c r="N77" s="36">
        <f t="shared" ca="1" si="4"/>
        <v>85.708912812169331</v>
      </c>
      <c r="O77" s="35">
        <f t="shared" ca="1" si="14"/>
        <v>135.70891281216933</v>
      </c>
      <c r="P77" s="19">
        <f t="shared" ca="1" si="10"/>
        <v>135.70891281216933</v>
      </c>
      <c r="Q77" s="20">
        <f ca="1" xml:space="preserve"> P77*_Precio_cafe</f>
        <v>203.563369218254</v>
      </c>
      <c r="R77" s="20">
        <f t="shared" ca="1" si="11"/>
        <v>8000.0392104143675</v>
      </c>
      <c r="S77" s="20">
        <f ca="1">(1/A77)*((A77-1)*S76 +Q77)</f>
        <v>131.14818377728463</v>
      </c>
      <c r="T77" s="20">
        <f ca="1">IF((T76-P77+F77)&gt;_Max_Stock_Gramos,_Max_Stock_Gramos,T76-P77+F77)</f>
        <v>1451.266950547297</v>
      </c>
      <c r="U77" s="20">
        <f ca="1">T77/_GramosXFrasco</f>
        <v>8.5368644149841</v>
      </c>
      <c r="V77" s="58">
        <f ca="1">(T77/_Max_Stock_Gramos)</f>
        <v>0.85368644149841</v>
      </c>
      <c r="W77" s="58"/>
      <c r="X77" s="10">
        <f ca="1">IF((T76-O77)&lt;0,(T76-O77)*_Costo_Faltante,0)</f>
        <v>0</v>
      </c>
      <c r="Y77">
        <f>IF(B77=0,E77*_Costo_Frasco,0)</f>
        <v>0</v>
      </c>
      <c r="Z77" s="11">
        <f t="shared" ca="1" si="12"/>
        <v>-8000</v>
      </c>
    </row>
    <row r="78" spans="1:26" x14ac:dyDescent="0.25">
      <c r="A78" s="30">
        <f t="shared" si="6"/>
        <v>62</v>
      </c>
      <c r="B78" s="10">
        <f>IF(B77=0,_Proxima_Compra,B77-1)</f>
        <v>0</v>
      </c>
      <c r="C78" s="3">
        <f t="shared" ca="1" si="7"/>
        <v>0.60486257125194687</v>
      </c>
      <c r="D78" s="3">
        <f ca="1">IF(D77&gt;0,D77-1,IF(C78&gt;0,LOOKUP(C78,$S$3:$S$5,$P$3:$P$5),-1))</f>
        <v>0</v>
      </c>
      <c r="E78" s="25">
        <f t="shared" ca="1" si="8"/>
        <v>2</v>
      </c>
      <c r="F78" s="28">
        <f ca="1">E78*_GramosXFrasco</f>
        <v>340</v>
      </c>
      <c r="G78" s="38">
        <f t="shared" ca="1" si="0"/>
        <v>0.46890659351483421</v>
      </c>
      <c r="H78" s="36">
        <f t="shared" ca="1" si="1"/>
        <v>-1</v>
      </c>
      <c r="I78" s="36">
        <f t="shared" ca="1" si="9"/>
        <v>-1</v>
      </c>
      <c r="J78" s="36">
        <f t="shared" ca="1" si="13"/>
        <v>-1</v>
      </c>
      <c r="K78" s="37">
        <f ca="1">IF(J78&lt;&gt;-1,_Media_M + J78*_Sigma,-1)</f>
        <v>-1</v>
      </c>
      <c r="L78" s="3">
        <f t="shared" ca="1" si="3"/>
        <v>50</v>
      </c>
      <c r="M78" s="18">
        <f ca="1">IF(LOOKUP(G78,$H$3:$H$4,$E$3:$E$4)=1,50,_Media_M + J78*_Sigma)</f>
        <v>50</v>
      </c>
      <c r="N78" s="36">
        <f t="shared" ca="1" si="4"/>
        <v>7.06244245025092</v>
      </c>
      <c r="O78" s="35">
        <f t="shared" ca="1" si="14"/>
        <v>57.06244245025092</v>
      </c>
      <c r="P78" s="19">
        <f t="shared" ca="1" si="10"/>
        <v>57.06244245025092</v>
      </c>
      <c r="Q78" s="20">
        <f ca="1" xml:space="preserve"> P78*_Precio_cafe</f>
        <v>85.593663675376376</v>
      </c>
      <c r="R78" s="20">
        <f t="shared" ca="1" si="11"/>
        <v>8085.6328740897443</v>
      </c>
      <c r="S78" s="20">
        <f ca="1">(1/A78)*((A78-1)*S77 +Q78)</f>
        <v>130.41343345306029</v>
      </c>
      <c r="T78" s="20">
        <f ca="1">IF((T77-P78+F78)&gt;_Max_Stock_Gramos,_Max_Stock_Gramos,T77-P78+F78)</f>
        <v>1700</v>
      </c>
      <c r="U78" s="20">
        <f ca="1">T78/_GramosXFrasco</f>
        <v>10</v>
      </c>
      <c r="V78" s="58">
        <f ca="1">(T78/_Max_Stock_Gramos)</f>
        <v>1</v>
      </c>
      <c r="W78" s="58"/>
      <c r="X78" s="10">
        <f ca="1">IF((T77-O78)&lt;0,(T77-O78)*_Costo_Faltante,0)</f>
        <v>0</v>
      </c>
      <c r="Y78">
        <f ca="1">IF(B78=0,E78*_Costo_Frasco,0)</f>
        <v>-500</v>
      </c>
      <c r="Z78" s="11">
        <f t="shared" ca="1" si="12"/>
        <v>-8500</v>
      </c>
    </row>
    <row r="79" spans="1:26" x14ac:dyDescent="0.25">
      <c r="A79" s="30">
        <f t="shared" si="6"/>
        <v>63</v>
      </c>
      <c r="B79" s="10">
        <f>IF(B78=0,_Proxima_Compra,B78-1)</f>
        <v>1</v>
      </c>
      <c r="C79" s="3">
        <f t="shared" ca="1" si="7"/>
        <v>-1</v>
      </c>
      <c r="D79" s="3">
        <f ca="1">IF(D78&gt;0,D78-1,IF(C79&gt;0,LOOKUP(C79,$S$3:$S$5,$P$3:$P$5),-1))</f>
        <v>-1</v>
      </c>
      <c r="E79" s="25">
        <f t="shared" ca="1" si="8"/>
        <v>0</v>
      </c>
      <c r="F79" s="28">
        <f ca="1">E79*_GramosXFrasco</f>
        <v>0</v>
      </c>
      <c r="G79" s="38">
        <f t="shared" ca="1" si="0"/>
        <v>0.5575127113957109</v>
      </c>
      <c r="H79" s="36">
        <f t="shared" ca="1" si="1"/>
        <v>0.51505814856643994</v>
      </c>
      <c r="I79" s="36">
        <f t="shared" ca="1" si="9"/>
        <v>0.52957072321624277</v>
      </c>
      <c r="J79" s="36">
        <f t="shared" ca="1" si="13"/>
        <v>-0.77921024326285526</v>
      </c>
      <c r="K79" s="37">
        <f ca="1">IF(J79&lt;&gt;-1,_Media_M + J79*_Sigma,-1)</f>
        <v>63.31184635105717</v>
      </c>
      <c r="L79" s="3">
        <f t="shared" ca="1" si="3"/>
        <v>-1</v>
      </c>
      <c r="M79" s="18">
        <f ca="1">IF(LOOKUP(G79,$H$3:$H$4,$E$3:$E$4)=1,50,_Media_M + J79*_Sigma)</f>
        <v>63.31184635105717</v>
      </c>
      <c r="N79" s="36">
        <f t="shared" ca="1" si="4"/>
        <v>20.219605363542808</v>
      </c>
      <c r="O79" s="35">
        <f t="shared" ca="1" si="14"/>
        <v>83.531451714599982</v>
      </c>
      <c r="P79" s="19">
        <f t="shared" ca="1" si="10"/>
        <v>83.531451714599982</v>
      </c>
      <c r="Q79" s="20">
        <f ca="1" xml:space="preserve"> P79*_Precio_cafe</f>
        <v>125.29717757189997</v>
      </c>
      <c r="R79" s="20">
        <f t="shared" ca="1" si="11"/>
        <v>8210.930051661644</v>
      </c>
      <c r="S79" s="20">
        <f ca="1">(1/A79)*((A79-1)*S78 +Q79)</f>
        <v>130.33222304224822</v>
      </c>
      <c r="T79" s="20">
        <f ca="1">IF((T78-P79+F79)&gt;_Max_Stock_Gramos,_Max_Stock_Gramos,T78-P79+F79)</f>
        <v>1616.4685482853999</v>
      </c>
      <c r="U79" s="20">
        <f ca="1">T79/_GramosXFrasco</f>
        <v>9.5086385193258813</v>
      </c>
      <c r="V79" s="58">
        <f ca="1">(T79/_Max_Stock_Gramos)</f>
        <v>0.95086385193258816</v>
      </c>
      <c r="W79" s="58"/>
      <c r="X79" s="10">
        <f ca="1">IF((T78-O79)&lt;0,(T78-O79)*_Costo_Faltante,0)</f>
        <v>0</v>
      </c>
      <c r="Y79">
        <f>IF(B79=0,E79*_Costo_Frasco,0)</f>
        <v>0</v>
      </c>
      <c r="Z79" s="11">
        <f t="shared" ca="1" si="12"/>
        <v>-8500</v>
      </c>
    </row>
    <row r="80" spans="1:26" x14ac:dyDescent="0.25">
      <c r="A80" s="30">
        <f t="shared" si="6"/>
        <v>64</v>
      </c>
      <c r="B80" s="10">
        <f>IF(B79=0,_Proxima_Compra,B79-1)</f>
        <v>0</v>
      </c>
      <c r="C80" s="3">
        <f t="shared" ca="1" si="7"/>
        <v>0.38112701635832913</v>
      </c>
      <c r="D80" s="3">
        <f ca="1">IF(D79&gt;0,D79-1,IF(C80&gt;0,LOOKUP(C80,$S$3:$S$5,$P$3:$P$5),-1))</f>
        <v>0</v>
      </c>
      <c r="E80" s="25">
        <f t="shared" ca="1" si="8"/>
        <v>2</v>
      </c>
      <c r="F80" s="28">
        <f ca="1">E80*_GramosXFrasco</f>
        <v>340</v>
      </c>
      <c r="G80" s="38">
        <f t="shared" ca="1" si="0"/>
        <v>0.25064948546706201</v>
      </c>
      <c r="H80" s="36">
        <f t="shared" ca="1" si="1"/>
        <v>-1</v>
      </c>
      <c r="I80" s="36">
        <f t="shared" ca="1" si="9"/>
        <v>-1</v>
      </c>
      <c r="J80" s="36">
        <f t="shared" ca="1" si="13"/>
        <v>-1</v>
      </c>
      <c r="K80" s="37">
        <f ca="1">IF(J80&lt;&gt;-1,_Media_M + J80*_Sigma,-1)</f>
        <v>-1</v>
      </c>
      <c r="L80" s="3">
        <f t="shared" ca="1" si="3"/>
        <v>50</v>
      </c>
      <c r="M80" s="18">
        <f ca="1">IF(LOOKUP(G80,$H$3:$H$4,$E$3:$E$4)=1,50,_Media_M + J80*_Sigma)</f>
        <v>50</v>
      </c>
      <c r="N80" s="36">
        <f t="shared" ca="1" si="4"/>
        <v>37.131668193869181</v>
      </c>
      <c r="O80" s="35">
        <f t="shared" ca="1" si="14"/>
        <v>87.131668193869189</v>
      </c>
      <c r="P80" s="19">
        <f t="shared" ca="1" si="10"/>
        <v>87.131668193869189</v>
      </c>
      <c r="Q80" s="20">
        <f ca="1" xml:space="preserve"> P80*_Precio_cafe</f>
        <v>130.69750229080378</v>
      </c>
      <c r="R80" s="20">
        <f t="shared" ca="1" si="11"/>
        <v>8341.6275539524486</v>
      </c>
      <c r="S80" s="20">
        <f ca="1">(1/A80)*((A80-1)*S79 +Q80)</f>
        <v>130.3379305305069</v>
      </c>
      <c r="T80" s="20">
        <f ca="1">IF((T79-P80+F80)&gt;_Max_Stock_Gramos,_Max_Stock_Gramos,T79-P80+F80)</f>
        <v>1700</v>
      </c>
      <c r="U80" s="20">
        <f ca="1">T80/_GramosXFrasco</f>
        <v>10</v>
      </c>
      <c r="V80" s="58">
        <f ca="1">(T80/_Max_Stock_Gramos)</f>
        <v>1</v>
      </c>
      <c r="W80" s="58"/>
      <c r="X80" s="10">
        <f ca="1">IF((T79-O80)&lt;0,(T79-O80)*_Costo_Faltante,0)</f>
        <v>0</v>
      </c>
      <c r="Y80">
        <f ca="1">IF(B80=0,E80*_Costo_Frasco,0)</f>
        <v>-500</v>
      </c>
      <c r="Z80" s="11">
        <f t="shared" ca="1" si="12"/>
        <v>-9000</v>
      </c>
    </row>
    <row r="81" spans="1:26" x14ac:dyDescent="0.25">
      <c r="A81" s="30">
        <f t="shared" si="6"/>
        <v>65</v>
      </c>
      <c r="B81" s="10">
        <f>IF(B80=0,_Proxima_Compra,B80-1)</f>
        <v>1</v>
      </c>
      <c r="C81" s="3">
        <f t="shared" ref="C81:C144" ca="1" si="15">IF(B81=0,RAND(),-1)</f>
        <v>-1</v>
      </c>
      <c r="D81" s="3">
        <f ca="1">IF(D80&gt;0,D80-1,IF(C81&gt;0,LOOKUP(C81,$S$3:$S$5,$P$3:$P$5),-1))</f>
        <v>-1</v>
      </c>
      <c r="E81" s="25">
        <f t="shared" ref="E81:E144" ca="1" si="16">IF(D81=0,2,)</f>
        <v>0</v>
      </c>
      <c r="F81" s="28">
        <f ca="1">E81*_GramosXFrasco</f>
        <v>0</v>
      </c>
      <c r="G81" s="38">
        <f t="shared" ref="G81:G144" ca="1" si="17">RAND()</f>
        <v>0.2748225310963035</v>
      </c>
      <c r="H81" s="36">
        <f t="shared" ref="H81:H144" ca="1" si="18">IF(G81&gt;0.5,RAND(),-1)</f>
        <v>-1</v>
      </c>
      <c r="I81" s="36">
        <f t="shared" ref="I81:I144" ca="1" si="19">IF(G81&gt;0.5,RAND(),-1)</f>
        <v>-1</v>
      </c>
      <c r="J81" s="36">
        <f t="shared" ca="1" si="13"/>
        <v>-1</v>
      </c>
      <c r="K81" s="37">
        <f ca="1">IF(J81&lt;&gt;-1,_Media_M + J81*_Sigma,-1)</f>
        <v>-1</v>
      </c>
      <c r="L81" s="3">
        <f t="shared" ref="L81:L144" ca="1" si="20">IF(K81=-1,50,-1)</f>
        <v>50</v>
      </c>
      <c r="M81" s="18">
        <f ca="1">IF(LOOKUP(G81,$H$3:$H$4,$E$3:$E$4)=1,50,_Media_M + J81*_Sigma)</f>
        <v>50</v>
      </c>
      <c r="N81" s="36">
        <f t="shared" ref="N81:N144" ca="1" si="21">(-1/(1/70)*(LOG(1-RAND())))</f>
        <v>27.313619104041305</v>
      </c>
      <c r="O81" s="35">
        <f t="shared" ca="1" si="14"/>
        <v>77.313619104041308</v>
      </c>
      <c r="P81" s="19">
        <f t="shared" ca="1" si="10"/>
        <v>77.313619104041308</v>
      </c>
      <c r="Q81" s="20">
        <f ca="1" xml:space="preserve"> P81*_Precio_cafe</f>
        <v>115.97042865606196</v>
      </c>
      <c r="R81" s="20">
        <f t="shared" ca="1" si="11"/>
        <v>8457.5979826085113</v>
      </c>
      <c r="S81" s="20">
        <f ca="1">(1/A81)*((A81-1)*S80 +Q81)</f>
        <v>130.11689204013084</v>
      </c>
      <c r="T81" s="20">
        <f ca="1">IF((T80-P81+F81)&gt;_Max_Stock_Gramos,_Max_Stock_Gramos,T80-P81+F81)</f>
        <v>1622.6863808959588</v>
      </c>
      <c r="U81" s="20">
        <f ca="1">T81/_GramosXFrasco</f>
        <v>9.5452140052703456</v>
      </c>
      <c r="V81" s="58">
        <f ca="1">(T81/_Max_Stock_Gramos)</f>
        <v>0.9545214005270346</v>
      </c>
      <c r="W81" s="58"/>
      <c r="X81" s="10">
        <f ca="1">IF((T80-O81)&lt;0,(T80-O81)*_Costo_Faltante,0)</f>
        <v>0</v>
      </c>
      <c r="Y81">
        <f>IF(B81=0,E81*_Costo_Frasco,0)</f>
        <v>0</v>
      </c>
      <c r="Z81" s="11">
        <f t="shared" ca="1" si="12"/>
        <v>-9000</v>
      </c>
    </row>
    <row r="82" spans="1:26" x14ac:dyDescent="0.25">
      <c r="A82" s="30">
        <f t="shared" ref="A82:A145" si="22">A81+1</f>
        <v>66</v>
      </c>
      <c r="B82" s="10">
        <f>IF(B81=0,_Proxima_Compra,B81-1)</f>
        <v>0</v>
      </c>
      <c r="C82" s="3">
        <f t="shared" ca="1" si="15"/>
        <v>0.34582688219913293</v>
      </c>
      <c r="D82" s="3">
        <f ca="1">IF(D81&gt;0,D81-1,IF(C82&gt;0,LOOKUP(C82,$S$3:$S$5,$P$3:$P$5),-1))</f>
        <v>0</v>
      </c>
      <c r="E82" s="25">
        <f t="shared" ca="1" si="16"/>
        <v>2</v>
      </c>
      <c r="F82" s="28">
        <f ca="1">E82*_GramosXFrasco</f>
        <v>340</v>
      </c>
      <c r="G82" s="38">
        <f t="shared" ca="1" si="17"/>
        <v>6.1553316960070048E-2</v>
      </c>
      <c r="H82" s="36">
        <f t="shared" ca="1" si="18"/>
        <v>-1</v>
      </c>
      <c r="I82" s="36">
        <f t="shared" ca="1" si="19"/>
        <v>-1</v>
      </c>
      <c r="J82" s="36">
        <f t="shared" ca="1" si="13"/>
        <v>-1</v>
      </c>
      <c r="K82" s="37">
        <f ca="1">IF(J82&lt;&gt;-1,_Media_M + J82*_Sigma,-1)</f>
        <v>-1</v>
      </c>
      <c r="L82" s="3">
        <f t="shared" ca="1" si="20"/>
        <v>50</v>
      </c>
      <c r="M82" s="18">
        <f ca="1">IF(LOOKUP(G82,$H$3:$H$4,$E$3:$E$4)=1,50,_Media_M + J82*_Sigma)</f>
        <v>50</v>
      </c>
      <c r="N82" s="36">
        <f t="shared" ca="1" si="21"/>
        <v>5.6819206704305492</v>
      </c>
      <c r="O82" s="35">
        <f t="shared" ca="1" si="14"/>
        <v>55.68192067043055</v>
      </c>
      <c r="P82" s="19">
        <f t="shared" ref="P82:P145" ca="1" si="23">IF(O82&lt;T81,O82,T81)</f>
        <v>55.68192067043055</v>
      </c>
      <c r="Q82" s="20">
        <f ca="1" xml:space="preserve"> P82*_Precio_cafe</f>
        <v>83.522881005645829</v>
      </c>
      <c r="R82" s="20">
        <f t="shared" ref="R82:R145" ca="1" si="24">Q82+R81</f>
        <v>8541.1208636141564</v>
      </c>
      <c r="S82" s="20">
        <f ca="1">(1/A82)*((A82-1)*S81 +Q82)</f>
        <v>129.41092217597196</v>
      </c>
      <c r="T82" s="20">
        <f ca="1">IF((T81-P82+F82)&gt;_Max_Stock_Gramos,_Max_Stock_Gramos,T81-P82+F82)</f>
        <v>1700</v>
      </c>
      <c r="U82" s="20">
        <f ca="1">T82/_GramosXFrasco</f>
        <v>10</v>
      </c>
      <c r="V82" s="58">
        <f ca="1">(T82/_Max_Stock_Gramos)</f>
        <v>1</v>
      </c>
      <c r="W82" s="58"/>
      <c r="X82" s="10">
        <f ca="1">IF((T81-O82)&lt;0,(T81-O82)*_Costo_Faltante,0)</f>
        <v>0</v>
      </c>
      <c r="Y82">
        <f ca="1">IF(B82=0,E82*_Costo_Frasco,0)</f>
        <v>-500</v>
      </c>
      <c r="Z82" s="11">
        <f t="shared" ref="Z82:Z145" ca="1" si="25">X82+Y82+Z81</f>
        <v>-9500</v>
      </c>
    </row>
    <row r="83" spans="1:26" x14ac:dyDescent="0.25">
      <c r="A83" s="30">
        <f t="shared" si="22"/>
        <v>67</v>
      </c>
      <c r="B83" s="10">
        <f>IF(B82=0,_Proxima_Compra,B82-1)</f>
        <v>1</v>
      </c>
      <c r="C83" s="3">
        <f t="shared" ca="1" si="15"/>
        <v>-1</v>
      </c>
      <c r="D83" s="3">
        <f ca="1">IF(D82&gt;0,D82-1,IF(C83&gt;0,LOOKUP(C83,$S$3:$S$5,$P$3:$P$5),-1))</f>
        <v>-1</v>
      </c>
      <c r="E83" s="25">
        <f t="shared" ca="1" si="16"/>
        <v>0</v>
      </c>
      <c r="F83" s="28">
        <f ca="1">E83*_GramosXFrasco</f>
        <v>0</v>
      </c>
      <c r="G83" s="38">
        <f t="shared" ca="1" si="17"/>
        <v>0.23041356039171645</v>
      </c>
      <c r="H83" s="36">
        <f t="shared" ca="1" si="18"/>
        <v>-1</v>
      </c>
      <c r="I83" s="36">
        <f t="shared" ca="1" si="19"/>
        <v>-1</v>
      </c>
      <c r="J83" s="36">
        <f t="shared" ca="1" si="13"/>
        <v>-1</v>
      </c>
      <c r="K83" s="37">
        <f ca="1">IF(J83&lt;&gt;-1,_Media_M + J83*_Sigma,-1)</f>
        <v>-1</v>
      </c>
      <c r="L83" s="3">
        <f t="shared" ca="1" si="20"/>
        <v>50</v>
      </c>
      <c r="M83" s="18">
        <f ca="1">IF(LOOKUP(G83,$H$3:$H$4,$E$3:$E$4)=1,50,_Media_M + J83*_Sigma)</f>
        <v>50</v>
      </c>
      <c r="N83" s="36">
        <f t="shared" ca="1" si="21"/>
        <v>49.543302224470146</v>
      </c>
      <c r="O83" s="35">
        <f t="shared" ca="1" si="14"/>
        <v>99.543302224470153</v>
      </c>
      <c r="P83" s="19">
        <f t="shared" ca="1" si="23"/>
        <v>99.543302224470153</v>
      </c>
      <c r="Q83" s="20">
        <f ca="1" xml:space="preserve"> P83*_Precio_cafe</f>
        <v>149.31495333670523</v>
      </c>
      <c r="R83" s="20">
        <f t="shared" ca="1" si="24"/>
        <v>8690.4358169508614</v>
      </c>
      <c r="S83" s="20">
        <f ca="1">(1/A83)*((A83-1)*S82 +Q83)</f>
        <v>129.70799726792319</v>
      </c>
      <c r="T83" s="20">
        <f ca="1">IF((T82-P83+F83)&gt;_Max_Stock_Gramos,_Max_Stock_Gramos,T82-P83+F83)</f>
        <v>1600.4566977755298</v>
      </c>
      <c r="U83" s="20">
        <f ca="1">T83/_GramosXFrasco</f>
        <v>9.4144511633854702</v>
      </c>
      <c r="V83" s="58">
        <f ca="1">(T83/_Max_Stock_Gramos)</f>
        <v>0.94144511633854699</v>
      </c>
      <c r="W83" s="58"/>
      <c r="X83" s="10">
        <f ca="1">IF((T82-O83)&lt;0,(T82-O83)*_Costo_Faltante,0)</f>
        <v>0</v>
      </c>
      <c r="Y83">
        <f>IF(B83=0,E83*_Costo_Frasco,0)</f>
        <v>0</v>
      </c>
      <c r="Z83" s="11">
        <f t="shared" ca="1" si="25"/>
        <v>-9500</v>
      </c>
    </row>
    <row r="84" spans="1:26" x14ac:dyDescent="0.25">
      <c r="A84" s="30">
        <f t="shared" si="22"/>
        <v>68</v>
      </c>
      <c r="B84" s="10">
        <f>IF(B83=0,_Proxima_Compra,B83-1)</f>
        <v>0</v>
      </c>
      <c r="C84" s="3">
        <f t="shared" ca="1" si="15"/>
        <v>0.2136434866531558</v>
      </c>
      <c r="D84" s="3">
        <f ca="1">IF(D83&gt;0,D83-1,IF(C84&gt;0,LOOKUP(C84,$S$3:$S$5,$P$3:$P$5),-1))</f>
        <v>0</v>
      </c>
      <c r="E84" s="25">
        <f t="shared" ca="1" si="16"/>
        <v>2</v>
      </c>
      <c r="F84" s="28">
        <f ca="1">E84*_GramosXFrasco</f>
        <v>340</v>
      </c>
      <c r="G84" s="38">
        <f t="shared" ca="1" si="17"/>
        <v>0.20302906257712861</v>
      </c>
      <c r="H84" s="36">
        <f t="shared" ca="1" si="18"/>
        <v>-1</v>
      </c>
      <c r="I84" s="36">
        <f t="shared" ca="1" si="19"/>
        <v>-1</v>
      </c>
      <c r="J84" s="36">
        <f t="shared" ca="1" si="13"/>
        <v>-1</v>
      </c>
      <c r="K84" s="37">
        <f ca="1">IF(J84&lt;&gt;-1,_Media_M + J84*_Sigma,-1)</f>
        <v>-1</v>
      </c>
      <c r="L84" s="3">
        <f t="shared" ca="1" si="20"/>
        <v>50</v>
      </c>
      <c r="M84" s="18">
        <f ca="1">IF(LOOKUP(G84,$H$3:$H$4,$E$3:$E$4)=1,50,_Media_M + J84*_Sigma)</f>
        <v>50</v>
      </c>
      <c r="N84" s="36">
        <f t="shared" ca="1" si="21"/>
        <v>25.782513103360639</v>
      </c>
      <c r="O84" s="35">
        <f t="shared" ca="1" si="14"/>
        <v>75.782513103360643</v>
      </c>
      <c r="P84" s="19">
        <f t="shared" ca="1" si="23"/>
        <v>75.782513103360643</v>
      </c>
      <c r="Q84" s="20">
        <f ca="1" xml:space="preserve"> P84*_Precio_cafe</f>
        <v>113.67376965504096</v>
      </c>
      <c r="R84" s="20">
        <f t="shared" ca="1" si="24"/>
        <v>8804.1095866059022</v>
      </c>
      <c r="S84" s="20">
        <f ca="1">(1/A84)*((A84-1)*S83 +Q84)</f>
        <v>129.47219980302788</v>
      </c>
      <c r="T84" s="20">
        <f ca="1">IF((T83-P84+F84)&gt;_Max_Stock_Gramos,_Max_Stock_Gramos,T83-P84+F84)</f>
        <v>1700</v>
      </c>
      <c r="U84" s="20">
        <f ca="1">T84/_GramosXFrasco</f>
        <v>10</v>
      </c>
      <c r="V84" s="58">
        <f ca="1">(T84/_Max_Stock_Gramos)</f>
        <v>1</v>
      </c>
      <c r="W84" s="58"/>
      <c r="X84" s="10">
        <f ca="1">IF((T83-O84)&lt;0,(T83-O84)*_Costo_Faltante,0)</f>
        <v>0</v>
      </c>
      <c r="Y84">
        <f ca="1">IF(B84=0,E84*_Costo_Frasco,0)</f>
        <v>-500</v>
      </c>
      <c r="Z84" s="11">
        <f t="shared" ca="1" si="25"/>
        <v>-10000</v>
      </c>
    </row>
    <row r="85" spans="1:26" x14ac:dyDescent="0.25">
      <c r="A85" s="30">
        <f t="shared" si="22"/>
        <v>69</v>
      </c>
      <c r="B85" s="10">
        <f>IF(B84=0,_Proxima_Compra,B84-1)</f>
        <v>1</v>
      </c>
      <c r="C85" s="3">
        <f t="shared" ca="1" si="15"/>
        <v>-1</v>
      </c>
      <c r="D85" s="3">
        <f ca="1">IF(D84&gt;0,D84-1,IF(C85&gt;0,LOOKUP(C85,$S$3:$S$5,$P$3:$P$5),-1))</f>
        <v>-1</v>
      </c>
      <c r="E85" s="25">
        <f t="shared" ca="1" si="16"/>
        <v>0</v>
      </c>
      <c r="F85" s="28">
        <f ca="1">E85*_GramosXFrasco</f>
        <v>0</v>
      </c>
      <c r="G85" s="38">
        <f t="shared" ca="1" si="17"/>
        <v>0.71150306055769719</v>
      </c>
      <c r="H85" s="36">
        <f t="shared" ca="1" si="18"/>
        <v>0.93352224556656815</v>
      </c>
      <c r="I85" s="36">
        <f t="shared" ca="1" si="19"/>
        <v>0.12680334275877392</v>
      </c>
      <c r="J85" s="36">
        <f t="shared" ca="1" si="13"/>
        <v>1.0726817112933669</v>
      </c>
      <c r="K85" s="37">
        <f ca="1">IF(J85&lt;&gt;-1,_Media_M + J85*_Sigma,-1)</f>
        <v>91.090225669400496</v>
      </c>
      <c r="L85" s="3">
        <f t="shared" ca="1" si="20"/>
        <v>-1</v>
      </c>
      <c r="M85" s="18">
        <f ca="1">IF(LOOKUP(G85,$H$3:$H$4,$E$3:$E$4)=1,50,_Media_M + J85*_Sigma)</f>
        <v>91.090225669400496</v>
      </c>
      <c r="N85" s="36">
        <f t="shared" ca="1" si="21"/>
        <v>51.435829989682382</v>
      </c>
      <c r="O85" s="35">
        <f t="shared" ca="1" si="14"/>
        <v>142.52605565908289</v>
      </c>
      <c r="P85" s="19">
        <f t="shared" ca="1" si="23"/>
        <v>142.52605565908289</v>
      </c>
      <c r="Q85" s="20">
        <f ca="1" xml:space="preserve"> P85*_Precio_cafe</f>
        <v>213.78908348862433</v>
      </c>
      <c r="R85" s="20">
        <f t="shared" ca="1" si="24"/>
        <v>9017.8986700945261</v>
      </c>
      <c r="S85" s="20">
        <f ca="1">(1/A85)*((A85-1)*S84 +Q85)</f>
        <v>130.69418362455824</v>
      </c>
      <c r="T85" s="20">
        <f ca="1">IF((T84-P85+F85)&gt;_Max_Stock_Gramos,_Max_Stock_Gramos,T84-P85+F85)</f>
        <v>1557.4739443409171</v>
      </c>
      <c r="U85" s="20">
        <f ca="1">T85/_GramosXFrasco</f>
        <v>9.1616114372995128</v>
      </c>
      <c r="V85" s="58">
        <f ca="1">(T85/_Max_Stock_Gramos)</f>
        <v>0.91616114372995128</v>
      </c>
      <c r="W85" s="58"/>
      <c r="X85" s="10">
        <f ca="1">IF((T84-O85)&lt;0,(T84-O85)*_Costo_Faltante,0)</f>
        <v>0</v>
      </c>
      <c r="Y85">
        <f>IF(B85=0,E85*_Costo_Frasco,0)</f>
        <v>0</v>
      </c>
      <c r="Z85" s="11">
        <f t="shared" ca="1" si="25"/>
        <v>-10000</v>
      </c>
    </row>
    <row r="86" spans="1:26" x14ac:dyDescent="0.25">
      <c r="A86" s="30">
        <f t="shared" si="22"/>
        <v>70</v>
      </c>
      <c r="B86" s="10">
        <f>IF(B85=0,_Proxima_Compra,B85-1)</f>
        <v>0</v>
      </c>
      <c r="C86" s="3">
        <f t="shared" ca="1" si="15"/>
        <v>5.3464112087438065E-2</v>
      </c>
      <c r="D86" s="3">
        <f ca="1">IF(D85&gt;0,D85-1,IF(C86&gt;0,LOOKUP(C86,$S$3:$S$5,$P$3:$P$5),-1))</f>
        <v>0</v>
      </c>
      <c r="E86" s="25">
        <f t="shared" ca="1" si="16"/>
        <v>2</v>
      </c>
      <c r="F86" s="28">
        <f ca="1">E86*_GramosXFrasco</f>
        <v>340</v>
      </c>
      <c r="G86" s="38">
        <f t="shared" ca="1" si="17"/>
        <v>0.42863820308612899</v>
      </c>
      <c r="H86" s="36">
        <f t="shared" ca="1" si="18"/>
        <v>-1</v>
      </c>
      <c r="I86" s="36">
        <f t="shared" ca="1" si="19"/>
        <v>-1</v>
      </c>
      <c r="J86" s="36">
        <f t="shared" ca="1" si="13"/>
        <v>-1</v>
      </c>
      <c r="K86" s="37">
        <f ca="1">IF(J86&lt;&gt;-1,_Media_M + J86*_Sigma,-1)</f>
        <v>-1</v>
      </c>
      <c r="L86" s="3">
        <f t="shared" ca="1" si="20"/>
        <v>50</v>
      </c>
      <c r="M86" s="18">
        <f ca="1">IF(LOOKUP(G86,$H$3:$H$4,$E$3:$E$4)=1,50,_Media_M + J86*_Sigma)</f>
        <v>50</v>
      </c>
      <c r="N86" s="36">
        <f t="shared" ca="1" si="21"/>
        <v>42.815848346283865</v>
      </c>
      <c r="O86" s="35">
        <f t="shared" ca="1" si="14"/>
        <v>92.815848346283872</v>
      </c>
      <c r="P86" s="19">
        <f t="shared" ca="1" si="23"/>
        <v>92.815848346283872</v>
      </c>
      <c r="Q86" s="20">
        <f ca="1" xml:space="preserve"> P86*_Precio_cafe</f>
        <v>139.22377251942581</v>
      </c>
      <c r="R86" s="20">
        <f t="shared" ca="1" si="24"/>
        <v>9157.1224426139524</v>
      </c>
      <c r="S86" s="20">
        <f ca="1">(1/A86)*((A86-1)*S85 +Q86)</f>
        <v>130.81603489448491</v>
      </c>
      <c r="T86" s="20">
        <f ca="1">IF((T85-P86+F86)&gt;_Max_Stock_Gramos,_Max_Stock_Gramos,T85-P86+F86)</f>
        <v>1700</v>
      </c>
      <c r="U86" s="20">
        <f ca="1">T86/_GramosXFrasco</f>
        <v>10</v>
      </c>
      <c r="V86" s="58">
        <f ca="1">(T86/_Max_Stock_Gramos)</f>
        <v>1</v>
      </c>
      <c r="W86" s="58"/>
      <c r="X86" s="10">
        <f ca="1">IF((T85-O86)&lt;0,(T85-O86)*_Costo_Faltante,0)</f>
        <v>0</v>
      </c>
      <c r="Y86">
        <f ca="1">IF(B86=0,E86*_Costo_Frasco,0)</f>
        <v>-500</v>
      </c>
      <c r="Z86" s="11">
        <f t="shared" ca="1" si="25"/>
        <v>-10500</v>
      </c>
    </row>
    <row r="87" spans="1:26" x14ac:dyDescent="0.25">
      <c r="A87" s="30">
        <f t="shared" si="22"/>
        <v>71</v>
      </c>
      <c r="B87" s="10">
        <f>IF(B86=0,_Proxima_Compra,B86-1)</f>
        <v>1</v>
      </c>
      <c r="C87" s="3">
        <f t="shared" ca="1" si="15"/>
        <v>-1</v>
      </c>
      <c r="D87" s="3">
        <f ca="1">IF(D86&gt;0,D86-1,IF(C87&gt;0,LOOKUP(C87,$S$3:$S$5,$P$3:$P$5),-1))</f>
        <v>-1</v>
      </c>
      <c r="E87" s="25">
        <f t="shared" ca="1" si="16"/>
        <v>0</v>
      </c>
      <c r="F87" s="28">
        <f ca="1">E87*_GramosXFrasco</f>
        <v>0</v>
      </c>
      <c r="G87" s="38">
        <f t="shared" ca="1" si="17"/>
        <v>0.22589010649145524</v>
      </c>
      <c r="H87" s="36">
        <f t="shared" ca="1" si="18"/>
        <v>-1</v>
      </c>
      <c r="I87" s="36">
        <f t="shared" ca="1" si="19"/>
        <v>-1</v>
      </c>
      <c r="J87" s="36">
        <f t="shared" ca="1" si="13"/>
        <v>-1</v>
      </c>
      <c r="K87" s="37">
        <f ca="1">IF(J87&lt;&gt;-1,_Media_M + J87*_Sigma,-1)</f>
        <v>-1</v>
      </c>
      <c r="L87" s="3">
        <f t="shared" ca="1" si="20"/>
        <v>50</v>
      </c>
      <c r="M87" s="18">
        <f ca="1">IF(LOOKUP(G87,$H$3:$H$4,$E$3:$E$4)=1,50,_Media_M + J87*_Sigma)</f>
        <v>50</v>
      </c>
      <c r="N87" s="36">
        <f t="shared" ca="1" si="21"/>
        <v>24.041957986917744</v>
      </c>
      <c r="O87" s="35">
        <f t="shared" ca="1" si="14"/>
        <v>74.041957986917737</v>
      </c>
      <c r="P87" s="19">
        <f t="shared" ca="1" si="23"/>
        <v>74.041957986917737</v>
      </c>
      <c r="Q87" s="20">
        <f ca="1" xml:space="preserve"> P87*_Precio_cafe</f>
        <v>111.06293698037661</v>
      </c>
      <c r="R87" s="20">
        <f t="shared" ca="1" si="24"/>
        <v>9268.1853795943298</v>
      </c>
      <c r="S87" s="20">
        <f ca="1">(1/A87)*((A87-1)*S86 +Q87)</f>
        <v>130.53782224780733</v>
      </c>
      <c r="T87" s="20">
        <f ca="1">IF((T86-P87+F87)&gt;_Max_Stock_Gramos,_Max_Stock_Gramos,T86-P87+F87)</f>
        <v>1625.9580420130824</v>
      </c>
      <c r="U87" s="20">
        <f ca="1">T87/_GramosXFrasco</f>
        <v>9.5644590706651904</v>
      </c>
      <c r="V87" s="58">
        <f ca="1">(T87/_Max_Stock_Gramos)</f>
        <v>0.956445907066519</v>
      </c>
      <c r="W87" s="58"/>
      <c r="X87" s="10">
        <f ca="1">IF((T86-O87)&lt;0,(T86-O87)*_Costo_Faltante,0)</f>
        <v>0</v>
      </c>
      <c r="Y87">
        <f>IF(B87=0,E87*_Costo_Frasco,0)</f>
        <v>0</v>
      </c>
      <c r="Z87" s="11">
        <f t="shared" ca="1" si="25"/>
        <v>-10500</v>
      </c>
    </row>
    <row r="88" spans="1:26" x14ac:dyDescent="0.25">
      <c r="A88" s="30">
        <f t="shared" si="22"/>
        <v>72</v>
      </c>
      <c r="B88" s="10">
        <f>IF(B87=0,_Proxima_Compra,B87-1)</f>
        <v>0</v>
      </c>
      <c r="C88" s="3">
        <f t="shared" ca="1" si="15"/>
        <v>1.6674321535068426E-2</v>
      </c>
      <c r="D88" s="3">
        <f ca="1">IF(D87&gt;0,D87-1,IF(C88&gt;0,LOOKUP(C88,$S$3:$S$5,$P$3:$P$5),-1))</f>
        <v>0</v>
      </c>
      <c r="E88" s="25">
        <f t="shared" ca="1" si="16"/>
        <v>2</v>
      </c>
      <c r="F88" s="28">
        <f ca="1">E88*_GramosXFrasco</f>
        <v>340</v>
      </c>
      <c r="G88" s="38">
        <f t="shared" ca="1" si="17"/>
        <v>1.088442927370048E-2</v>
      </c>
      <c r="H88" s="36">
        <f t="shared" ca="1" si="18"/>
        <v>-1</v>
      </c>
      <c r="I88" s="36">
        <f t="shared" ca="1" si="19"/>
        <v>-1</v>
      </c>
      <c r="J88" s="36">
        <f t="shared" ca="1" si="13"/>
        <v>-1</v>
      </c>
      <c r="K88" s="37">
        <f ca="1">IF(J88&lt;&gt;-1,_Media_M + J88*_Sigma,-1)</f>
        <v>-1</v>
      </c>
      <c r="L88" s="3">
        <f t="shared" ca="1" si="20"/>
        <v>50</v>
      </c>
      <c r="M88" s="18">
        <f ca="1">IF(LOOKUP(G88,$H$3:$H$4,$E$3:$E$4)=1,50,_Media_M + J88*_Sigma)</f>
        <v>50</v>
      </c>
      <c r="N88" s="36">
        <f t="shared" ca="1" si="21"/>
        <v>23.320549588197821</v>
      </c>
      <c r="O88" s="35">
        <f t="shared" ca="1" si="14"/>
        <v>73.320549588197821</v>
      </c>
      <c r="P88" s="19">
        <f t="shared" ca="1" si="23"/>
        <v>73.320549588197821</v>
      </c>
      <c r="Q88" s="20">
        <f ca="1" xml:space="preserve"> P88*_Precio_cafe</f>
        <v>109.98082438229673</v>
      </c>
      <c r="R88" s="20">
        <f t="shared" ca="1" si="24"/>
        <v>9378.166203976627</v>
      </c>
      <c r="S88" s="20">
        <f ca="1">(1/A88)*((A88-1)*S87 +Q88)</f>
        <v>130.25230838856413</v>
      </c>
      <c r="T88" s="20">
        <f ca="1">IF((T87-P88+F88)&gt;_Max_Stock_Gramos,_Max_Stock_Gramos,T87-P88+F88)</f>
        <v>1700</v>
      </c>
      <c r="U88" s="20">
        <f ca="1">T88/_GramosXFrasco</f>
        <v>10</v>
      </c>
      <c r="V88" s="58">
        <f ca="1">(T88/_Max_Stock_Gramos)</f>
        <v>1</v>
      </c>
      <c r="W88" s="58"/>
      <c r="X88" s="10">
        <f ca="1">IF((T87-O88)&lt;0,(T87-O88)*_Costo_Faltante,0)</f>
        <v>0</v>
      </c>
      <c r="Y88">
        <f ca="1">IF(B88=0,E88*_Costo_Frasco,0)</f>
        <v>-500</v>
      </c>
      <c r="Z88" s="11">
        <f t="shared" ca="1" si="25"/>
        <v>-11000</v>
      </c>
    </row>
    <row r="89" spans="1:26" x14ac:dyDescent="0.25">
      <c r="A89" s="30">
        <f t="shared" si="22"/>
        <v>73</v>
      </c>
      <c r="B89" s="10">
        <f>IF(B88=0,_Proxima_Compra,B88-1)</f>
        <v>1</v>
      </c>
      <c r="C89" s="3">
        <f t="shared" ca="1" si="15"/>
        <v>-1</v>
      </c>
      <c r="D89" s="3">
        <f ca="1">IF(D88&gt;0,D88-1,IF(C89&gt;0,LOOKUP(C89,$S$3:$S$5,$P$3:$P$5),-1))</f>
        <v>-1</v>
      </c>
      <c r="E89" s="25">
        <f t="shared" ca="1" si="16"/>
        <v>0</v>
      </c>
      <c r="F89" s="28">
        <f ca="1">E89*_GramosXFrasco</f>
        <v>0</v>
      </c>
      <c r="G89" s="38">
        <f t="shared" ca="1" si="17"/>
        <v>0.32169281260080951</v>
      </c>
      <c r="H89" s="36">
        <f t="shared" ca="1" si="18"/>
        <v>-1</v>
      </c>
      <c r="I89" s="36">
        <f t="shared" ca="1" si="19"/>
        <v>-1</v>
      </c>
      <c r="J89" s="36">
        <f t="shared" ca="1" si="13"/>
        <v>-1</v>
      </c>
      <c r="K89" s="37">
        <f ca="1">IF(J89&lt;&gt;-1,_Media_M + J89*_Sigma,-1)</f>
        <v>-1</v>
      </c>
      <c r="L89" s="3">
        <f t="shared" ca="1" si="20"/>
        <v>50</v>
      </c>
      <c r="M89" s="18">
        <f ca="1">IF(LOOKUP(G89,$H$3:$H$4,$E$3:$E$4)=1,50,_Media_M + J89*_Sigma)</f>
        <v>50</v>
      </c>
      <c r="N89" s="36">
        <f t="shared" ca="1" si="21"/>
        <v>28.136640056728975</v>
      </c>
      <c r="O89" s="35">
        <f t="shared" ca="1" si="14"/>
        <v>78.136640056728979</v>
      </c>
      <c r="P89" s="19">
        <f t="shared" ca="1" si="23"/>
        <v>78.136640056728979</v>
      </c>
      <c r="Q89" s="20">
        <f ca="1" xml:space="preserve"> P89*_Precio_cafe</f>
        <v>117.20496008509346</v>
      </c>
      <c r="R89" s="20">
        <f t="shared" ca="1" si="24"/>
        <v>9495.3711640617203</v>
      </c>
      <c r="S89" s="20">
        <f ca="1">(1/A89)*((A89-1)*S88 +Q89)</f>
        <v>130.07357758988644</v>
      </c>
      <c r="T89" s="20">
        <f ca="1">IF((T88-P89+F89)&gt;_Max_Stock_Gramos,_Max_Stock_Gramos,T88-P89+F89)</f>
        <v>1621.863359943271</v>
      </c>
      <c r="U89" s="20">
        <f ca="1">T89/_GramosXFrasco</f>
        <v>9.5403727055486538</v>
      </c>
      <c r="V89" s="58">
        <f ca="1">(T89/_Max_Stock_Gramos)</f>
        <v>0.95403727055486531</v>
      </c>
      <c r="W89" s="58"/>
      <c r="X89" s="10">
        <f ca="1">IF((T88-O89)&lt;0,(T88-O89)*_Costo_Faltante,0)</f>
        <v>0</v>
      </c>
      <c r="Y89">
        <f>IF(B89=0,E89*_Costo_Frasco,0)</f>
        <v>0</v>
      </c>
      <c r="Z89" s="11">
        <f t="shared" ca="1" si="25"/>
        <v>-11000</v>
      </c>
    </row>
    <row r="90" spans="1:26" x14ac:dyDescent="0.25">
      <c r="A90" s="30">
        <f t="shared" si="22"/>
        <v>74</v>
      </c>
      <c r="B90" s="10">
        <f>IF(B89=0,_Proxima_Compra,B89-1)</f>
        <v>0</v>
      </c>
      <c r="C90" s="3">
        <f t="shared" ca="1" si="15"/>
        <v>0.56214818163222602</v>
      </c>
      <c r="D90" s="3">
        <f ca="1">IF(D89&gt;0,D89-1,IF(C90&gt;0,LOOKUP(C90,$S$3:$S$5,$P$3:$P$5),-1))</f>
        <v>1</v>
      </c>
      <c r="E90" s="25">
        <f t="shared" ca="1" si="16"/>
        <v>0</v>
      </c>
      <c r="F90" s="28">
        <f ca="1">E90*_GramosXFrasco</f>
        <v>0</v>
      </c>
      <c r="G90" s="38">
        <f t="shared" ca="1" si="17"/>
        <v>1.2640434013963642E-2</v>
      </c>
      <c r="H90" s="36">
        <f t="shared" ca="1" si="18"/>
        <v>-1</v>
      </c>
      <c r="I90" s="36">
        <f t="shared" ca="1" si="19"/>
        <v>-1</v>
      </c>
      <c r="J90" s="36">
        <f t="shared" ca="1" si="13"/>
        <v>-1</v>
      </c>
      <c r="K90" s="37">
        <f ca="1">IF(J90&lt;&gt;-1,_Media_M + J90*_Sigma,-1)</f>
        <v>-1</v>
      </c>
      <c r="L90" s="3">
        <f t="shared" ca="1" si="20"/>
        <v>50</v>
      </c>
      <c r="M90" s="18">
        <f ca="1">IF(LOOKUP(G90,$H$3:$H$4,$E$3:$E$4)=1,50,_Media_M + J90*_Sigma)</f>
        <v>50</v>
      </c>
      <c r="N90" s="36">
        <f t="shared" ca="1" si="21"/>
        <v>55.523791831972019</v>
      </c>
      <c r="O90" s="35">
        <f t="shared" ca="1" si="14"/>
        <v>105.52379183197202</v>
      </c>
      <c r="P90" s="19">
        <f t="shared" ca="1" si="23"/>
        <v>105.52379183197202</v>
      </c>
      <c r="Q90" s="20">
        <f ca="1" xml:space="preserve"> P90*_Precio_cafe</f>
        <v>158.28568774795804</v>
      </c>
      <c r="R90" s="20">
        <f t="shared" ca="1" si="24"/>
        <v>9653.6568518096792</v>
      </c>
      <c r="S90" s="20">
        <f ca="1">(1/A90)*((A90-1)*S89 +Q90)</f>
        <v>130.45482232175229</v>
      </c>
      <c r="T90" s="20">
        <f ca="1">IF((T89-P90+F90)&gt;_Max_Stock_Gramos,_Max_Stock_Gramos,T89-P90+F90)</f>
        <v>1516.3395681112991</v>
      </c>
      <c r="U90" s="20">
        <f ca="1">T90/_GramosXFrasco</f>
        <v>8.9196445183017588</v>
      </c>
      <c r="V90" s="58">
        <f ca="1">(T90/_Max_Stock_Gramos)</f>
        <v>0.89196445183017592</v>
      </c>
      <c r="W90" s="58"/>
      <c r="X90" s="10">
        <f ca="1">IF((T89-O90)&lt;0,(T89-O90)*_Costo_Faltante,0)</f>
        <v>0</v>
      </c>
      <c r="Y90">
        <f ca="1">IF(B90=0,E90*_Costo_Frasco,0)</f>
        <v>0</v>
      </c>
      <c r="Z90" s="11">
        <f t="shared" ca="1" si="25"/>
        <v>-11000</v>
      </c>
    </row>
    <row r="91" spans="1:26" x14ac:dyDescent="0.25">
      <c r="A91" s="30">
        <f t="shared" si="22"/>
        <v>75</v>
      </c>
      <c r="B91" s="10">
        <f>IF(B90=0,_Proxima_Compra,B90-1)</f>
        <v>1</v>
      </c>
      <c r="C91" s="3">
        <f t="shared" ca="1" si="15"/>
        <v>-1</v>
      </c>
      <c r="D91" s="3">
        <f ca="1">IF(D90&gt;0,D90-1,IF(C91&gt;0,LOOKUP(C91,$S$3:$S$5,$P$3:$P$5),-1))</f>
        <v>0</v>
      </c>
      <c r="E91" s="25">
        <f t="shared" ca="1" si="16"/>
        <v>2</v>
      </c>
      <c r="F91" s="28">
        <f ca="1">E91*_GramosXFrasco</f>
        <v>340</v>
      </c>
      <c r="G91" s="38">
        <f t="shared" ca="1" si="17"/>
        <v>0.71377189461281876</v>
      </c>
      <c r="H91" s="36">
        <f t="shared" ca="1" si="18"/>
        <v>0.12283627996865398</v>
      </c>
      <c r="I91" s="36">
        <f t="shared" ca="1" si="19"/>
        <v>0.73440779926308553</v>
      </c>
      <c r="J91" s="36">
        <f t="shared" ca="1" si="13"/>
        <v>-3.3001772769069126E-2</v>
      </c>
      <c r="K91" s="37">
        <f ca="1">IF(J91&lt;&gt;-1,_Media_M + J91*_Sigma,-1)</f>
        <v>74.504973408463968</v>
      </c>
      <c r="L91" s="3">
        <f t="shared" ca="1" si="20"/>
        <v>-1</v>
      </c>
      <c r="M91" s="18">
        <f ca="1">IF(LOOKUP(G91,$H$3:$H$4,$E$3:$E$4)=1,50,_Media_M + J91*_Sigma)</f>
        <v>74.504973408463968</v>
      </c>
      <c r="N91" s="36">
        <f t="shared" ca="1" si="21"/>
        <v>81.604713200171844</v>
      </c>
      <c r="O91" s="35">
        <f t="shared" ca="1" si="14"/>
        <v>156.1096866086358</v>
      </c>
      <c r="P91" s="19">
        <f t="shared" ca="1" si="23"/>
        <v>156.1096866086358</v>
      </c>
      <c r="Q91" s="20">
        <f ca="1" xml:space="preserve"> P91*_Precio_cafe</f>
        <v>234.1645299129537</v>
      </c>
      <c r="R91" s="20">
        <f t="shared" ca="1" si="24"/>
        <v>9887.8213817226333</v>
      </c>
      <c r="S91" s="20">
        <f ca="1">(1/A91)*((A91-1)*S90 +Q91)</f>
        <v>131.83761842296832</v>
      </c>
      <c r="T91" s="20">
        <f ca="1">IF((T90-P91+F91)&gt;_Max_Stock_Gramos,_Max_Stock_Gramos,T90-P91+F91)</f>
        <v>1700</v>
      </c>
      <c r="U91" s="20">
        <f ca="1">T91/_GramosXFrasco</f>
        <v>10</v>
      </c>
      <c r="V91" s="58">
        <f ca="1">(T91/_Max_Stock_Gramos)</f>
        <v>1</v>
      </c>
      <c r="W91" s="58"/>
      <c r="X91" s="10">
        <f ca="1">IF((T90-O91)&lt;0,(T90-O91)*_Costo_Faltante,0)</f>
        <v>0</v>
      </c>
      <c r="Y91">
        <f>IF(B91=0,E91*_Costo_Frasco,0)</f>
        <v>0</v>
      </c>
      <c r="Z91" s="11">
        <f t="shared" ca="1" si="25"/>
        <v>-11000</v>
      </c>
    </row>
    <row r="92" spans="1:26" x14ac:dyDescent="0.25">
      <c r="A92" s="30">
        <f t="shared" si="22"/>
        <v>76</v>
      </c>
      <c r="B92" s="10">
        <f>IF(B91=0,_Proxima_Compra,B91-1)</f>
        <v>0</v>
      </c>
      <c r="C92" s="3">
        <f t="shared" ca="1" si="15"/>
        <v>9.5791114847574188E-2</v>
      </c>
      <c r="D92" s="3">
        <f ca="1">IF(D91&gt;0,D91-1,IF(C92&gt;0,LOOKUP(C92,$S$3:$S$5,$P$3:$P$5),-1))</f>
        <v>0</v>
      </c>
      <c r="E92" s="25">
        <f t="shared" ca="1" si="16"/>
        <v>2</v>
      </c>
      <c r="F92" s="28">
        <f ca="1">E92*_GramosXFrasco</f>
        <v>340</v>
      </c>
      <c r="G92" s="38">
        <f t="shared" ca="1" si="17"/>
        <v>0.29767930241973062</v>
      </c>
      <c r="H92" s="36">
        <f t="shared" ca="1" si="18"/>
        <v>-1</v>
      </c>
      <c r="I92" s="36">
        <f t="shared" ca="1" si="19"/>
        <v>-1</v>
      </c>
      <c r="J92" s="36">
        <f t="shared" ca="1" si="13"/>
        <v>-1</v>
      </c>
      <c r="K92" s="37">
        <f ca="1">IF(J92&lt;&gt;-1,_Media_M + J92*_Sigma,-1)</f>
        <v>-1</v>
      </c>
      <c r="L92" s="3">
        <f t="shared" ca="1" si="20"/>
        <v>50</v>
      </c>
      <c r="M92" s="18">
        <f ca="1">IF(LOOKUP(G92,$H$3:$H$4,$E$3:$E$4)=1,50,_Media_M + J92*_Sigma)</f>
        <v>50</v>
      </c>
      <c r="N92" s="36">
        <f t="shared" ca="1" si="21"/>
        <v>0.9064745879475018</v>
      </c>
      <c r="O92" s="35">
        <f t="shared" ca="1" si="14"/>
        <v>50.9064745879475</v>
      </c>
      <c r="P92" s="19">
        <f t="shared" ca="1" si="23"/>
        <v>50.9064745879475</v>
      </c>
      <c r="Q92" s="20">
        <f ca="1" xml:space="preserve"> P92*_Precio_cafe</f>
        <v>76.359711881921243</v>
      </c>
      <c r="R92" s="20">
        <f t="shared" ca="1" si="24"/>
        <v>9964.1810936045549</v>
      </c>
      <c r="S92" s="20">
        <f ca="1">(1/A92)*((A92-1)*S91 +Q92)</f>
        <v>131.10764596848085</v>
      </c>
      <c r="T92" s="20">
        <f ca="1">IF((T91-P92+F92)&gt;_Max_Stock_Gramos,_Max_Stock_Gramos,T91-P92+F92)</f>
        <v>1700</v>
      </c>
      <c r="U92" s="20">
        <f ca="1">T92/_GramosXFrasco</f>
        <v>10</v>
      </c>
      <c r="V92" s="58">
        <f ca="1">(T92/_Max_Stock_Gramos)</f>
        <v>1</v>
      </c>
      <c r="W92" s="58"/>
      <c r="X92" s="10">
        <f ca="1">IF((T91-O92)&lt;0,(T91-O92)*_Costo_Faltante,0)</f>
        <v>0</v>
      </c>
      <c r="Y92">
        <f ca="1">IF(B92=0,E92*_Costo_Frasco,0)</f>
        <v>-500</v>
      </c>
      <c r="Z92" s="11">
        <f t="shared" ca="1" si="25"/>
        <v>-11500</v>
      </c>
    </row>
    <row r="93" spans="1:26" x14ac:dyDescent="0.25">
      <c r="A93" s="30">
        <f t="shared" si="22"/>
        <v>77</v>
      </c>
      <c r="B93" s="10">
        <f>IF(B92=0,_Proxima_Compra,B92-1)</f>
        <v>1</v>
      </c>
      <c r="C93" s="3">
        <f t="shared" ca="1" si="15"/>
        <v>-1</v>
      </c>
      <c r="D93" s="3">
        <f ca="1">IF(D92&gt;0,D92-1,IF(C93&gt;0,LOOKUP(C93,$S$3:$S$5,$P$3:$P$5),-1))</f>
        <v>-1</v>
      </c>
      <c r="E93" s="25">
        <f t="shared" ca="1" si="16"/>
        <v>0</v>
      </c>
      <c r="F93" s="28">
        <f ca="1">E93*_GramosXFrasco</f>
        <v>0</v>
      </c>
      <c r="G93" s="38">
        <f t="shared" ca="1" si="17"/>
        <v>0.30008536122118512</v>
      </c>
      <c r="H93" s="36">
        <f t="shared" ca="1" si="18"/>
        <v>-1</v>
      </c>
      <c r="I93" s="36">
        <f t="shared" ca="1" si="19"/>
        <v>-1</v>
      </c>
      <c r="J93" s="36">
        <f t="shared" ca="1" si="13"/>
        <v>-1</v>
      </c>
      <c r="K93" s="37">
        <f ca="1">IF(J93&lt;&gt;-1,_Media_M + J93*_Sigma,-1)</f>
        <v>-1</v>
      </c>
      <c r="L93" s="3">
        <f t="shared" ca="1" si="20"/>
        <v>50</v>
      </c>
      <c r="M93" s="18">
        <f ca="1">IF(LOOKUP(G93,$H$3:$H$4,$E$3:$E$4)=1,50,_Media_M + J93*_Sigma)</f>
        <v>50</v>
      </c>
      <c r="N93" s="36">
        <f t="shared" ca="1" si="21"/>
        <v>44.879749760992432</v>
      </c>
      <c r="O93" s="35">
        <f t="shared" ca="1" si="14"/>
        <v>94.879749760992439</v>
      </c>
      <c r="P93" s="19">
        <f t="shared" ca="1" si="23"/>
        <v>94.879749760992439</v>
      </c>
      <c r="Q93" s="20">
        <f ca="1" xml:space="preserve"> P93*_Precio_cafe</f>
        <v>142.31962464148864</v>
      </c>
      <c r="R93" s="20">
        <f t="shared" ca="1" si="24"/>
        <v>10106.500718246043</v>
      </c>
      <c r="S93" s="20">
        <f ca="1">(1/A93)*((A93-1)*S92 +Q93)</f>
        <v>131.25325608111731</v>
      </c>
      <c r="T93" s="20">
        <f ca="1">IF((T92-P93+F93)&gt;_Max_Stock_Gramos,_Max_Stock_Gramos,T92-P93+F93)</f>
        <v>1605.1202502390076</v>
      </c>
      <c r="U93" s="20">
        <f ca="1">T93/_GramosXFrasco</f>
        <v>9.4418838249353385</v>
      </c>
      <c r="V93" s="58">
        <f ca="1">(T93/_Max_Stock_Gramos)</f>
        <v>0.94418838249353387</v>
      </c>
      <c r="W93" s="58"/>
      <c r="X93" s="10">
        <f ca="1">IF((T92-O93)&lt;0,(T92-O93)*_Costo_Faltante,0)</f>
        <v>0</v>
      </c>
      <c r="Y93">
        <f>IF(B93=0,E93*_Costo_Frasco,0)</f>
        <v>0</v>
      </c>
      <c r="Z93" s="11">
        <f t="shared" ca="1" si="25"/>
        <v>-11500</v>
      </c>
    </row>
    <row r="94" spans="1:26" x14ac:dyDescent="0.25">
      <c r="A94" s="30">
        <f t="shared" si="22"/>
        <v>78</v>
      </c>
      <c r="B94" s="10">
        <f>IF(B93=0,_Proxima_Compra,B93-1)</f>
        <v>0</v>
      </c>
      <c r="C94" s="3">
        <f t="shared" ca="1" si="15"/>
        <v>0.40951231429114288</v>
      </c>
      <c r="D94" s="3">
        <f ca="1">IF(D93&gt;0,D93-1,IF(C94&gt;0,LOOKUP(C94,$S$3:$S$5,$P$3:$P$5),-1))</f>
        <v>0</v>
      </c>
      <c r="E94" s="25">
        <f t="shared" ca="1" si="16"/>
        <v>2</v>
      </c>
      <c r="F94" s="28">
        <f ca="1">E94*_GramosXFrasco</f>
        <v>340</v>
      </c>
      <c r="G94" s="38">
        <f t="shared" ca="1" si="17"/>
        <v>0.21917694806141508</v>
      </c>
      <c r="H94" s="36">
        <f t="shared" ca="1" si="18"/>
        <v>-1</v>
      </c>
      <c r="I94" s="36">
        <f t="shared" ca="1" si="19"/>
        <v>-1</v>
      </c>
      <c r="J94" s="36">
        <f t="shared" ca="1" si="13"/>
        <v>-1</v>
      </c>
      <c r="K94" s="37">
        <f ca="1">IF(J94&lt;&gt;-1,_Media_M + J94*_Sigma,-1)</f>
        <v>-1</v>
      </c>
      <c r="L94" s="3">
        <f t="shared" ca="1" si="20"/>
        <v>50</v>
      </c>
      <c r="M94" s="18">
        <f ca="1">IF(LOOKUP(G94,$H$3:$H$4,$E$3:$E$4)=1,50,_Media_M + J94*_Sigma)</f>
        <v>50</v>
      </c>
      <c r="N94" s="36">
        <f t="shared" ca="1" si="21"/>
        <v>2.9964222304775321</v>
      </c>
      <c r="O94" s="35">
        <f t="shared" ca="1" si="14"/>
        <v>52.996422230477535</v>
      </c>
      <c r="P94" s="19">
        <f t="shared" ca="1" si="23"/>
        <v>52.996422230477535</v>
      </c>
      <c r="Q94" s="20">
        <f ca="1" xml:space="preserve"> P94*_Precio_cafe</f>
        <v>79.494633345716295</v>
      </c>
      <c r="R94" s="20">
        <f t="shared" ca="1" si="24"/>
        <v>10185.995351591759</v>
      </c>
      <c r="S94" s="20">
        <f ca="1">(1/A94)*((A94-1)*S93 +Q94)</f>
        <v>130.58968399476601</v>
      </c>
      <c r="T94" s="20">
        <f ca="1">IF((T93-P94+F94)&gt;_Max_Stock_Gramos,_Max_Stock_Gramos,T93-P94+F94)</f>
        <v>1700</v>
      </c>
      <c r="U94" s="20">
        <f ca="1">T94/_GramosXFrasco</f>
        <v>10</v>
      </c>
      <c r="V94" s="58">
        <f ca="1">(T94/_Max_Stock_Gramos)</f>
        <v>1</v>
      </c>
      <c r="W94" s="58"/>
      <c r="X94" s="10">
        <f ca="1">IF((T93-O94)&lt;0,(T93-O94)*_Costo_Faltante,0)</f>
        <v>0</v>
      </c>
      <c r="Y94">
        <f ca="1">IF(B94=0,E94*_Costo_Frasco,0)</f>
        <v>-500</v>
      </c>
      <c r="Z94" s="11">
        <f t="shared" ca="1" si="25"/>
        <v>-12000</v>
      </c>
    </row>
    <row r="95" spans="1:26" x14ac:dyDescent="0.25">
      <c r="A95" s="30">
        <f t="shared" si="22"/>
        <v>79</v>
      </c>
      <c r="B95" s="10">
        <f>IF(B94=0,_Proxima_Compra,B94-1)</f>
        <v>1</v>
      </c>
      <c r="C95" s="3">
        <f t="shared" ca="1" si="15"/>
        <v>-1</v>
      </c>
      <c r="D95" s="3">
        <f ca="1">IF(D94&gt;0,D94-1,IF(C95&gt;0,LOOKUP(C95,$S$3:$S$5,$P$3:$P$5),-1))</f>
        <v>-1</v>
      </c>
      <c r="E95" s="25">
        <f t="shared" ca="1" si="16"/>
        <v>0</v>
      </c>
      <c r="F95" s="28">
        <f ca="1">E95*_GramosXFrasco</f>
        <v>0</v>
      </c>
      <c r="G95" s="38">
        <f t="shared" ca="1" si="17"/>
        <v>1.9154438534377816E-2</v>
      </c>
      <c r="H95" s="36">
        <f t="shared" ca="1" si="18"/>
        <v>-1</v>
      </c>
      <c r="I95" s="36">
        <f t="shared" ca="1" si="19"/>
        <v>-1</v>
      </c>
      <c r="J95" s="36">
        <f t="shared" ca="1" si="13"/>
        <v>-1</v>
      </c>
      <c r="K95" s="37">
        <f ca="1">IF(J95&lt;&gt;-1,_Media_M + J95*_Sigma,-1)</f>
        <v>-1</v>
      </c>
      <c r="L95" s="3">
        <f t="shared" ca="1" si="20"/>
        <v>50</v>
      </c>
      <c r="M95" s="18">
        <f ca="1">IF(LOOKUP(G95,$H$3:$H$4,$E$3:$E$4)=1,50,_Media_M + J95*_Sigma)</f>
        <v>50</v>
      </c>
      <c r="N95" s="36">
        <f t="shared" ca="1" si="21"/>
        <v>86.320284468034799</v>
      </c>
      <c r="O95" s="35">
        <f t="shared" ca="1" si="14"/>
        <v>136.3202844680348</v>
      </c>
      <c r="P95" s="19">
        <f t="shared" ca="1" si="23"/>
        <v>136.3202844680348</v>
      </c>
      <c r="Q95" s="20">
        <f ca="1" xml:space="preserve"> P95*_Precio_cafe</f>
        <v>204.4804267020522</v>
      </c>
      <c r="R95" s="20">
        <f t="shared" ca="1" si="24"/>
        <v>10390.47577829381</v>
      </c>
      <c r="S95" s="20">
        <f ca="1">(1/A95)*((A95-1)*S94 +Q95)</f>
        <v>131.52500985182024</v>
      </c>
      <c r="T95" s="20">
        <f ca="1">IF((T94-P95+F95)&gt;_Max_Stock_Gramos,_Max_Stock_Gramos,T94-P95+F95)</f>
        <v>1563.6797155319653</v>
      </c>
      <c r="U95" s="20">
        <f ca="1">T95/_GramosXFrasco</f>
        <v>9.1981159737174423</v>
      </c>
      <c r="V95" s="58">
        <f ca="1">(T95/_Max_Stock_Gramos)</f>
        <v>0.91981159737174423</v>
      </c>
      <c r="W95" s="58"/>
      <c r="X95" s="10">
        <f ca="1">IF((T94-O95)&lt;0,(T94-O95)*_Costo_Faltante,0)</f>
        <v>0</v>
      </c>
      <c r="Y95">
        <f>IF(B95=0,E95*_Costo_Frasco,0)</f>
        <v>0</v>
      </c>
      <c r="Z95" s="11">
        <f t="shared" ca="1" si="25"/>
        <v>-12000</v>
      </c>
    </row>
    <row r="96" spans="1:26" x14ac:dyDescent="0.25">
      <c r="A96" s="30">
        <f t="shared" si="22"/>
        <v>80</v>
      </c>
      <c r="B96" s="10">
        <f>IF(B95=0,_Proxima_Compra,B95-1)</f>
        <v>0</v>
      </c>
      <c r="C96" s="3">
        <f t="shared" ca="1" si="15"/>
        <v>0.66344391728868879</v>
      </c>
      <c r="D96" s="3">
        <f ca="1">IF(D95&gt;0,D95-1,IF(C96&gt;0,LOOKUP(C96,$S$3:$S$5,$P$3:$P$5),-1))</f>
        <v>1</v>
      </c>
      <c r="E96" s="25">
        <f t="shared" ca="1" si="16"/>
        <v>0</v>
      </c>
      <c r="F96" s="28">
        <f ca="1">E96*_GramosXFrasco</f>
        <v>0</v>
      </c>
      <c r="G96" s="38">
        <f t="shared" ca="1" si="17"/>
        <v>0.68428361363591028</v>
      </c>
      <c r="H96" s="36">
        <f t="shared" ca="1" si="18"/>
        <v>0.93688444347289312</v>
      </c>
      <c r="I96" s="36">
        <f t="shared" ca="1" si="19"/>
        <v>0.26032848945225273</v>
      </c>
      <c r="J96" s="36">
        <f t="shared" ca="1" si="13"/>
        <v>-0.1004598982446714</v>
      </c>
      <c r="K96" s="37">
        <f ca="1">IF(J96&lt;&gt;-1,_Media_M + J96*_Sigma,-1)</f>
        <v>73.493101526329923</v>
      </c>
      <c r="L96" s="3">
        <f t="shared" ca="1" si="20"/>
        <v>-1</v>
      </c>
      <c r="M96" s="18">
        <f ca="1">IF(LOOKUP(G96,$H$3:$H$4,$E$3:$E$4)=1,50,_Media_M + J96*_Sigma)</f>
        <v>73.493101526329923</v>
      </c>
      <c r="N96" s="36">
        <f t="shared" ca="1" si="21"/>
        <v>10.319406099081171</v>
      </c>
      <c r="O96" s="35">
        <f t="shared" ca="1" si="14"/>
        <v>83.812507625411087</v>
      </c>
      <c r="P96" s="19">
        <f t="shared" ca="1" si="23"/>
        <v>83.812507625411087</v>
      </c>
      <c r="Q96" s="20">
        <f ca="1" xml:space="preserve"> P96*_Precio_cafe</f>
        <v>125.71876143811663</v>
      </c>
      <c r="R96" s="20">
        <f t="shared" ca="1" si="24"/>
        <v>10516.194539731927</v>
      </c>
      <c r="S96" s="20">
        <f ca="1">(1/A96)*((A96-1)*S95 +Q96)</f>
        <v>131.45243174664895</v>
      </c>
      <c r="T96" s="20">
        <f ca="1">IF((T95-P96+F96)&gt;_Max_Stock_Gramos,_Max_Stock_Gramos,T95-P96+F96)</f>
        <v>1479.8672079065541</v>
      </c>
      <c r="U96" s="20">
        <f ca="1">T96/_GramosXFrasco</f>
        <v>8.7051012229797298</v>
      </c>
      <c r="V96" s="58">
        <f ca="1">(T96/_Max_Stock_Gramos)</f>
        <v>0.87051012229797298</v>
      </c>
      <c r="W96" s="58"/>
      <c r="X96" s="10">
        <f ca="1">IF((T95-O96)&lt;0,(T95-O96)*_Costo_Faltante,0)</f>
        <v>0</v>
      </c>
      <c r="Y96">
        <f ca="1">IF(B96=0,E96*_Costo_Frasco,0)</f>
        <v>0</v>
      </c>
      <c r="Z96" s="11">
        <f t="shared" ca="1" si="25"/>
        <v>-12000</v>
      </c>
    </row>
    <row r="97" spans="1:26" x14ac:dyDescent="0.25">
      <c r="A97" s="30">
        <f t="shared" si="22"/>
        <v>81</v>
      </c>
      <c r="B97" s="10">
        <f>IF(B96=0,_Proxima_Compra,B96-1)</f>
        <v>1</v>
      </c>
      <c r="C97" s="3">
        <f t="shared" ca="1" si="15"/>
        <v>-1</v>
      </c>
      <c r="D97" s="3">
        <f ca="1">IF(D96&gt;0,D96-1,IF(C97&gt;0,LOOKUP(C97,$S$3:$S$5,$P$3:$P$5),-1))</f>
        <v>0</v>
      </c>
      <c r="E97" s="25">
        <f t="shared" ca="1" si="16"/>
        <v>2</v>
      </c>
      <c r="F97" s="28">
        <f ca="1">E97*_GramosXFrasco</f>
        <v>340</v>
      </c>
      <c r="G97" s="38">
        <f t="shared" ca="1" si="17"/>
        <v>0.32156269145538774</v>
      </c>
      <c r="H97" s="36">
        <f t="shared" ca="1" si="18"/>
        <v>-1</v>
      </c>
      <c r="I97" s="36">
        <f t="shared" ca="1" si="19"/>
        <v>-1</v>
      </c>
      <c r="J97" s="36">
        <f t="shared" ca="1" si="13"/>
        <v>-1</v>
      </c>
      <c r="K97" s="37">
        <f ca="1">IF(J97&lt;&gt;-1,_Media_M + J97*_Sigma,-1)</f>
        <v>-1</v>
      </c>
      <c r="L97" s="3">
        <f t="shared" ca="1" si="20"/>
        <v>50</v>
      </c>
      <c r="M97" s="18">
        <f ca="1">IF(LOOKUP(G97,$H$3:$H$4,$E$3:$E$4)=1,50,_Media_M + J97*_Sigma)</f>
        <v>50</v>
      </c>
      <c r="N97" s="36">
        <f t="shared" ca="1" si="21"/>
        <v>30.88244860316598</v>
      </c>
      <c r="O97" s="35">
        <f t="shared" ca="1" si="14"/>
        <v>80.882448603165983</v>
      </c>
      <c r="P97" s="19">
        <f t="shared" ca="1" si="23"/>
        <v>80.882448603165983</v>
      </c>
      <c r="Q97" s="20">
        <f ca="1" xml:space="preserve"> P97*_Precio_cafe</f>
        <v>121.32367290474897</v>
      </c>
      <c r="R97" s="20">
        <f t="shared" ca="1" si="24"/>
        <v>10637.518212636676</v>
      </c>
      <c r="S97" s="20">
        <f ca="1">(1/A97)*((A97-1)*S96 +Q97)</f>
        <v>131.32738534119341</v>
      </c>
      <c r="T97" s="20">
        <f ca="1">IF((T96-P97+F97)&gt;_Max_Stock_Gramos,_Max_Stock_Gramos,T96-P97+F97)</f>
        <v>1700</v>
      </c>
      <c r="U97" s="20">
        <f ca="1">T97/_GramosXFrasco</f>
        <v>10</v>
      </c>
      <c r="V97" s="58">
        <f ca="1">(T97/_Max_Stock_Gramos)</f>
        <v>1</v>
      </c>
      <c r="W97" s="58"/>
      <c r="X97" s="10">
        <f ca="1">IF((T96-O97)&lt;0,(T96-O97)*_Costo_Faltante,0)</f>
        <v>0</v>
      </c>
      <c r="Y97">
        <f>IF(B97=0,E97*_Costo_Frasco,0)</f>
        <v>0</v>
      </c>
      <c r="Z97" s="11">
        <f t="shared" ca="1" si="25"/>
        <v>-12000</v>
      </c>
    </row>
    <row r="98" spans="1:26" x14ac:dyDescent="0.25">
      <c r="A98" s="30">
        <f t="shared" si="22"/>
        <v>82</v>
      </c>
      <c r="B98" s="10">
        <f>IF(B97=0,_Proxima_Compra,B97-1)</f>
        <v>0</v>
      </c>
      <c r="C98" s="3">
        <f t="shared" ca="1" si="15"/>
        <v>0.92022330782216011</v>
      </c>
      <c r="D98" s="3">
        <f ca="1">IF(D97&gt;0,D97-1,IF(C98&gt;0,LOOKUP(C98,$S$3:$S$5,$P$3:$P$5),-1))</f>
        <v>2</v>
      </c>
      <c r="E98" s="25">
        <f t="shared" ca="1" si="16"/>
        <v>0</v>
      </c>
      <c r="F98" s="28">
        <f ca="1">E98*_GramosXFrasco</f>
        <v>0</v>
      </c>
      <c r="G98" s="38">
        <f t="shared" ca="1" si="17"/>
        <v>0.45450893532212255</v>
      </c>
      <c r="H98" s="36">
        <f t="shared" ca="1" si="18"/>
        <v>-1</v>
      </c>
      <c r="I98" s="36">
        <f t="shared" ca="1" si="19"/>
        <v>-1</v>
      </c>
      <c r="J98" s="36">
        <f t="shared" ca="1" si="13"/>
        <v>-1</v>
      </c>
      <c r="K98" s="37">
        <f ca="1">IF(J98&lt;&gt;-1,_Media_M + J98*_Sigma,-1)</f>
        <v>-1</v>
      </c>
      <c r="L98" s="3">
        <f t="shared" ca="1" si="20"/>
        <v>50</v>
      </c>
      <c r="M98" s="18">
        <f ca="1">IF(LOOKUP(G98,$H$3:$H$4,$E$3:$E$4)=1,50,_Media_M + J98*_Sigma)</f>
        <v>50</v>
      </c>
      <c r="N98" s="36">
        <f t="shared" ca="1" si="21"/>
        <v>52.643162534592044</v>
      </c>
      <c r="O98" s="35">
        <f t="shared" ca="1" si="14"/>
        <v>102.64316253459205</v>
      </c>
      <c r="P98" s="19">
        <f t="shared" ca="1" si="23"/>
        <v>102.64316253459205</v>
      </c>
      <c r="Q98" s="20">
        <f ca="1" xml:space="preserve"> P98*_Precio_cafe</f>
        <v>153.96474380188806</v>
      </c>
      <c r="R98" s="20">
        <f t="shared" ca="1" si="24"/>
        <v>10791.482956438564</v>
      </c>
      <c r="S98" s="20">
        <f ca="1">(1/A98)*((A98-1)*S97 +Q98)</f>
        <v>131.60345068827505</v>
      </c>
      <c r="T98" s="20">
        <f ca="1">IF((T97-P98+F98)&gt;_Max_Stock_Gramos,_Max_Stock_Gramos,T97-P98+F98)</f>
        <v>1597.356837465408</v>
      </c>
      <c r="U98" s="20">
        <f ca="1">T98/_GramosXFrasco</f>
        <v>9.3962166909729881</v>
      </c>
      <c r="V98" s="58">
        <f ca="1">(T98/_Max_Stock_Gramos)</f>
        <v>0.93962166909729883</v>
      </c>
      <c r="W98" s="58"/>
      <c r="X98" s="10">
        <f ca="1">IF((T97-O98)&lt;0,(T97-O98)*_Costo_Faltante,0)</f>
        <v>0</v>
      </c>
      <c r="Y98">
        <f ca="1">IF(B98=0,E98*_Costo_Frasco,0)</f>
        <v>0</v>
      </c>
      <c r="Z98" s="11">
        <f t="shared" ca="1" si="25"/>
        <v>-12000</v>
      </c>
    </row>
    <row r="99" spans="1:26" x14ac:dyDescent="0.25">
      <c r="A99" s="30">
        <f t="shared" si="22"/>
        <v>83</v>
      </c>
      <c r="B99" s="10">
        <f>IF(B98=0,_Proxima_Compra,B98-1)</f>
        <v>1</v>
      </c>
      <c r="C99" s="3">
        <f t="shared" ca="1" si="15"/>
        <v>-1</v>
      </c>
      <c r="D99" s="3">
        <f ca="1">IF(D98&gt;0,D98-1,IF(C99&gt;0,LOOKUP(C99,$S$3:$S$5,$P$3:$P$5),-1))</f>
        <v>1</v>
      </c>
      <c r="E99" s="25">
        <f t="shared" ca="1" si="16"/>
        <v>0</v>
      </c>
      <c r="F99" s="28">
        <f ca="1">E99*_GramosXFrasco</f>
        <v>0</v>
      </c>
      <c r="G99" s="38">
        <f t="shared" ca="1" si="17"/>
        <v>9.2348821444745877E-2</v>
      </c>
      <c r="H99" s="36">
        <f t="shared" ca="1" si="18"/>
        <v>-1</v>
      </c>
      <c r="I99" s="36">
        <f t="shared" ca="1" si="19"/>
        <v>-1</v>
      </c>
      <c r="J99" s="36">
        <f t="shared" ca="1" si="13"/>
        <v>-1</v>
      </c>
      <c r="K99" s="37">
        <f ca="1">IF(J99&lt;&gt;-1,_Media_M + J99*_Sigma,-1)</f>
        <v>-1</v>
      </c>
      <c r="L99" s="3">
        <f t="shared" ca="1" si="20"/>
        <v>50</v>
      </c>
      <c r="M99" s="18">
        <f ca="1">IF(LOOKUP(G99,$H$3:$H$4,$E$3:$E$4)=1,50,_Media_M + J99*_Sigma)</f>
        <v>50</v>
      </c>
      <c r="N99" s="36">
        <f t="shared" ca="1" si="21"/>
        <v>10.806246671368266</v>
      </c>
      <c r="O99" s="35">
        <f t="shared" ca="1" si="14"/>
        <v>60.806246671368264</v>
      </c>
      <c r="P99" s="19">
        <f t="shared" ca="1" si="23"/>
        <v>60.806246671368264</v>
      </c>
      <c r="Q99" s="20">
        <f ca="1" xml:space="preserve"> P99*_Precio_cafe</f>
        <v>91.209370007052399</v>
      </c>
      <c r="R99" s="20">
        <f t="shared" ca="1" si="24"/>
        <v>10882.692326445616</v>
      </c>
      <c r="S99" s="20">
        <f ca="1">(1/A99)*((A99-1)*S98 +Q99)</f>
        <v>131.11677501741696</v>
      </c>
      <c r="T99" s="20">
        <f ca="1">IF((T98-P99+F99)&gt;_Max_Stock_Gramos,_Max_Stock_Gramos,T98-P99+F99)</f>
        <v>1536.5505907940399</v>
      </c>
      <c r="U99" s="20">
        <f ca="1">T99/_GramosXFrasco</f>
        <v>9.0385328870237647</v>
      </c>
      <c r="V99" s="58">
        <f ca="1">(T99/_Max_Stock_Gramos)</f>
        <v>0.90385328870237636</v>
      </c>
      <c r="W99" s="58"/>
      <c r="X99" s="10">
        <f ca="1">IF((T98-O99)&lt;0,(T98-O99)*_Costo_Faltante,0)</f>
        <v>0</v>
      </c>
      <c r="Y99">
        <f>IF(B99=0,E99*_Costo_Frasco,0)</f>
        <v>0</v>
      </c>
      <c r="Z99" s="11">
        <f t="shared" ca="1" si="25"/>
        <v>-12000</v>
      </c>
    </row>
    <row r="100" spans="1:26" x14ac:dyDescent="0.25">
      <c r="A100" s="30">
        <f t="shared" si="22"/>
        <v>84</v>
      </c>
      <c r="B100" s="10">
        <f>IF(B99=0,_Proxima_Compra,B99-1)</f>
        <v>0</v>
      </c>
      <c r="C100" s="3">
        <f t="shared" ca="1" si="15"/>
        <v>0.26375085939801868</v>
      </c>
      <c r="D100" s="3">
        <f ca="1">IF(D99&gt;0,D99-1,IF(C100&gt;0,LOOKUP(C100,$S$3:$S$5,$P$3:$P$5),-1))</f>
        <v>0</v>
      </c>
      <c r="E100" s="25">
        <f t="shared" ca="1" si="16"/>
        <v>2</v>
      </c>
      <c r="F100" s="28">
        <f ca="1">E100*_GramosXFrasco</f>
        <v>340</v>
      </c>
      <c r="G100" s="38">
        <f t="shared" ca="1" si="17"/>
        <v>0.60745993734932424</v>
      </c>
      <c r="H100" s="36">
        <f t="shared" ca="1" si="18"/>
        <v>0.74930885309999051</v>
      </c>
      <c r="I100" s="36">
        <f t="shared" ca="1" si="19"/>
        <v>0.56298110397923173</v>
      </c>
      <c r="J100" s="36">
        <f t="shared" ref="J100:J163" ca="1" si="26">IF(I100&gt;0,SQRT(-2*LOG(1-H100)) * COS(2*PI()*I100),-1)</f>
        <v>-1.0115124696081694</v>
      </c>
      <c r="K100" s="37">
        <f ca="1">IF(J100&lt;&gt;-1,_Media_M + J100*_Sigma,-1)</f>
        <v>59.82731295587746</v>
      </c>
      <c r="L100" s="3">
        <f t="shared" ca="1" si="20"/>
        <v>-1</v>
      </c>
      <c r="M100" s="18">
        <f ca="1">IF(LOOKUP(G100,$H$3:$H$4,$E$3:$E$4)=1,50,_Media_M + J100*_Sigma)</f>
        <v>59.82731295587746</v>
      </c>
      <c r="N100" s="36">
        <f t="shared" ca="1" si="21"/>
        <v>27.870920436654568</v>
      </c>
      <c r="O100" s="35">
        <f t="shared" ref="O100:O163" ca="1" si="27">M100+N100</f>
        <v>87.698233392532032</v>
      </c>
      <c r="P100" s="19">
        <f t="shared" ca="1" si="23"/>
        <v>87.698233392532032</v>
      </c>
      <c r="Q100" s="20">
        <f ca="1" xml:space="preserve"> P100*_Precio_cafe</f>
        <v>131.54735008879805</v>
      </c>
      <c r="R100" s="20">
        <f t="shared" ca="1" si="24"/>
        <v>11014.239676534415</v>
      </c>
      <c r="S100" s="20">
        <f ca="1">(1/A100)*((A100-1)*S99 +Q100)</f>
        <v>131.12190091112387</v>
      </c>
      <c r="T100" s="20">
        <f ca="1">IF((T99-P100+F100)&gt;_Max_Stock_Gramos,_Max_Stock_Gramos,T99-P100+F100)</f>
        <v>1700</v>
      </c>
      <c r="U100" s="20">
        <f ca="1">T100/_GramosXFrasco</f>
        <v>10</v>
      </c>
      <c r="V100" s="58">
        <f ca="1">(T100/_Max_Stock_Gramos)</f>
        <v>1</v>
      </c>
      <c r="W100" s="58"/>
      <c r="X100" s="10">
        <f ca="1">IF((T99-O100)&lt;0,(T99-O100)*_Costo_Faltante,0)</f>
        <v>0</v>
      </c>
      <c r="Y100">
        <f ca="1">IF(B100=0,E100*_Costo_Frasco,0)</f>
        <v>-500</v>
      </c>
      <c r="Z100" s="11">
        <f t="shared" ca="1" si="25"/>
        <v>-12500</v>
      </c>
    </row>
    <row r="101" spans="1:26" x14ac:dyDescent="0.25">
      <c r="A101" s="30">
        <f t="shared" si="22"/>
        <v>85</v>
      </c>
      <c r="B101" s="10">
        <f>IF(B100=0,_Proxima_Compra,B100-1)</f>
        <v>1</v>
      </c>
      <c r="C101" s="3">
        <f t="shared" ca="1" si="15"/>
        <v>-1</v>
      </c>
      <c r="D101" s="3">
        <f ca="1">IF(D100&gt;0,D100-1,IF(C101&gt;0,LOOKUP(C101,$S$3:$S$5,$P$3:$P$5),-1))</f>
        <v>-1</v>
      </c>
      <c r="E101" s="25">
        <f t="shared" ca="1" si="16"/>
        <v>0</v>
      </c>
      <c r="F101" s="28">
        <f ca="1">E101*_GramosXFrasco</f>
        <v>0</v>
      </c>
      <c r="G101" s="38">
        <f t="shared" ca="1" si="17"/>
        <v>0.26523297817502567</v>
      </c>
      <c r="H101" s="36">
        <f t="shared" ca="1" si="18"/>
        <v>-1</v>
      </c>
      <c r="I101" s="36">
        <f t="shared" ca="1" si="19"/>
        <v>-1</v>
      </c>
      <c r="J101" s="36">
        <f t="shared" ca="1" si="26"/>
        <v>-1</v>
      </c>
      <c r="K101" s="37">
        <f ca="1">IF(J101&lt;&gt;-1,_Media_M + J101*_Sigma,-1)</f>
        <v>-1</v>
      </c>
      <c r="L101" s="3">
        <f t="shared" ca="1" si="20"/>
        <v>50</v>
      </c>
      <c r="M101" s="18">
        <f ca="1">IF(LOOKUP(G101,$H$3:$H$4,$E$3:$E$4)=1,50,_Media_M + J101*_Sigma)</f>
        <v>50</v>
      </c>
      <c r="N101" s="36">
        <f t="shared" ca="1" si="21"/>
        <v>188.15074864927527</v>
      </c>
      <c r="O101" s="35">
        <f t="shared" ca="1" si="27"/>
        <v>238.15074864927527</v>
      </c>
      <c r="P101" s="19">
        <f t="shared" ca="1" si="23"/>
        <v>238.15074864927527</v>
      </c>
      <c r="Q101" s="20">
        <f ca="1" xml:space="preserve"> P101*_Precio_cafe</f>
        <v>357.22612297391288</v>
      </c>
      <c r="R101" s="20">
        <f t="shared" ca="1" si="24"/>
        <v>11371.465799508327</v>
      </c>
      <c r="S101" s="20">
        <f ca="1">(1/A101)*((A101-1)*S100 +Q101)</f>
        <v>133.7819505824508</v>
      </c>
      <c r="T101" s="20">
        <f ca="1">IF((T100-P101+F101)&gt;_Max_Stock_Gramos,_Max_Stock_Gramos,T100-P101+F101)</f>
        <v>1461.8492513507247</v>
      </c>
      <c r="U101" s="20">
        <f ca="1">T101/_GramosXFrasco</f>
        <v>8.5991132432395574</v>
      </c>
      <c r="V101" s="58">
        <f ca="1">(T101/_Max_Stock_Gramos)</f>
        <v>0.85991132432395567</v>
      </c>
      <c r="W101" s="58"/>
      <c r="X101" s="10">
        <f ca="1">IF((T100-O101)&lt;0,(T100-O101)*_Costo_Faltante,0)</f>
        <v>0</v>
      </c>
      <c r="Y101">
        <f>IF(B101=0,E101*_Costo_Frasco,0)</f>
        <v>0</v>
      </c>
      <c r="Z101" s="11">
        <f t="shared" ca="1" si="25"/>
        <v>-12500</v>
      </c>
    </row>
    <row r="102" spans="1:26" x14ac:dyDescent="0.25">
      <c r="A102" s="30">
        <f t="shared" si="22"/>
        <v>86</v>
      </c>
      <c r="B102" s="10">
        <f>IF(B101=0,_Proxima_Compra,B101-1)</f>
        <v>0</v>
      </c>
      <c r="C102" s="3">
        <f t="shared" ca="1" si="15"/>
        <v>0.82385586763121277</v>
      </c>
      <c r="D102" s="3">
        <f ca="1">IF(D101&gt;0,D101-1,IF(C102&gt;0,LOOKUP(C102,$S$3:$S$5,$P$3:$P$5),-1))</f>
        <v>2</v>
      </c>
      <c r="E102" s="25">
        <f t="shared" ca="1" si="16"/>
        <v>0</v>
      </c>
      <c r="F102" s="28">
        <f ca="1">E102*_GramosXFrasco</f>
        <v>0</v>
      </c>
      <c r="G102" s="38">
        <f t="shared" ca="1" si="17"/>
        <v>0.33056403435531445</v>
      </c>
      <c r="H102" s="36">
        <f t="shared" ca="1" si="18"/>
        <v>-1</v>
      </c>
      <c r="I102" s="36">
        <f t="shared" ca="1" si="19"/>
        <v>-1</v>
      </c>
      <c r="J102" s="36">
        <f t="shared" ca="1" si="26"/>
        <v>-1</v>
      </c>
      <c r="K102" s="37">
        <f ca="1">IF(J102&lt;&gt;-1,_Media_M + J102*_Sigma,-1)</f>
        <v>-1</v>
      </c>
      <c r="L102" s="3">
        <f t="shared" ca="1" si="20"/>
        <v>50</v>
      </c>
      <c r="M102" s="18">
        <f ca="1">IF(LOOKUP(G102,$H$3:$H$4,$E$3:$E$4)=1,50,_Media_M + J102*_Sigma)</f>
        <v>50</v>
      </c>
      <c r="N102" s="36">
        <f t="shared" ca="1" si="21"/>
        <v>5.9329500884309212</v>
      </c>
      <c r="O102" s="35">
        <f t="shared" ca="1" si="27"/>
        <v>55.932950088430921</v>
      </c>
      <c r="P102" s="19">
        <f t="shared" ca="1" si="23"/>
        <v>55.932950088430921</v>
      </c>
      <c r="Q102" s="20">
        <f ca="1" xml:space="preserve"> P102*_Precio_cafe</f>
        <v>83.899425132646385</v>
      </c>
      <c r="R102" s="20">
        <f t="shared" ca="1" si="24"/>
        <v>11455.365224640973</v>
      </c>
      <c r="S102" s="20">
        <f ca="1">(1/A102)*((A102-1)*S101 +Q102)</f>
        <v>133.20192121675538</v>
      </c>
      <c r="T102" s="20">
        <f ca="1">IF((T101-P102+F102)&gt;_Max_Stock_Gramos,_Max_Stock_Gramos,T101-P102+F102)</f>
        <v>1405.9163012622937</v>
      </c>
      <c r="U102" s="20">
        <f ca="1">T102/_GramosXFrasco</f>
        <v>8.2700958897781991</v>
      </c>
      <c r="V102" s="58">
        <f ca="1">(T102/_Max_Stock_Gramos)</f>
        <v>0.82700958897781984</v>
      </c>
      <c r="W102" s="58"/>
      <c r="X102" s="10">
        <f ca="1">IF((T101-O102)&lt;0,(T101-O102)*_Costo_Faltante,0)</f>
        <v>0</v>
      </c>
      <c r="Y102">
        <f ca="1">IF(B102=0,E102*_Costo_Frasco,0)</f>
        <v>0</v>
      </c>
      <c r="Z102" s="11">
        <f t="shared" ca="1" si="25"/>
        <v>-12500</v>
      </c>
    </row>
    <row r="103" spans="1:26" x14ac:dyDescent="0.25">
      <c r="A103" s="30">
        <f t="shared" si="22"/>
        <v>87</v>
      </c>
      <c r="B103" s="10">
        <f>IF(B102=0,_Proxima_Compra,B102-1)</f>
        <v>1</v>
      </c>
      <c r="C103" s="3">
        <f t="shared" ca="1" si="15"/>
        <v>-1</v>
      </c>
      <c r="D103" s="3">
        <f ca="1">IF(D102&gt;0,D102-1,IF(C103&gt;0,LOOKUP(C103,$S$3:$S$5,$P$3:$P$5),-1))</f>
        <v>1</v>
      </c>
      <c r="E103" s="25">
        <f t="shared" ca="1" si="16"/>
        <v>0</v>
      </c>
      <c r="F103" s="28">
        <f ca="1">E103*_GramosXFrasco</f>
        <v>0</v>
      </c>
      <c r="G103" s="38">
        <f t="shared" ca="1" si="17"/>
        <v>0.88780371655677137</v>
      </c>
      <c r="H103" s="36">
        <f t="shared" ca="1" si="18"/>
        <v>0.57120359969706613</v>
      </c>
      <c r="I103" s="36">
        <f t="shared" ca="1" si="19"/>
        <v>0.86193392194281082</v>
      </c>
      <c r="J103" s="36">
        <f t="shared" ca="1" si="26"/>
        <v>0.55465120338262586</v>
      </c>
      <c r="K103" s="37">
        <f ca="1">IF(J103&lt;&gt;-1,_Media_M + J103*_Sigma,-1)</f>
        <v>83.319768050739384</v>
      </c>
      <c r="L103" s="3">
        <f t="shared" ca="1" si="20"/>
        <v>-1</v>
      </c>
      <c r="M103" s="18">
        <f ca="1">IF(LOOKUP(G103,$H$3:$H$4,$E$3:$E$4)=1,50,_Media_M + J103*_Sigma)</f>
        <v>83.319768050739384</v>
      </c>
      <c r="N103" s="36">
        <f t="shared" ca="1" si="21"/>
        <v>27.264594687203996</v>
      </c>
      <c r="O103" s="35">
        <f t="shared" ca="1" si="27"/>
        <v>110.58436273794338</v>
      </c>
      <c r="P103" s="19">
        <f t="shared" ca="1" si="23"/>
        <v>110.58436273794338</v>
      </c>
      <c r="Q103" s="20">
        <f ca="1" xml:space="preserve"> P103*_Precio_cafe</f>
        <v>165.87654410691508</v>
      </c>
      <c r="R103" s="20">
        <f t="shared" ca="1" si="24"/>
        <v>11621.241768747888</v>
      </c>
      <c r="S103" s="20">
        <f ca="1">(1/A103)*((A103-1)*S102 +Q103)</f>
        <v>133.57749159480318</v>
      </c>
      <c r="T103" s="20">
        <f ca="1">IF((T102-P103+F103)&gt;_Max_Stock_Gramos,_Max_Stock_Gramos,T102-P103+F103)</f>
        <v>1295.3319385243503</v>
      </c>
      <c r="U103" s="20">
        <f ca="1">T103/_GramosXFrasco</f>
        <v>7.6195996383785314</v>
      </c>
      <c r="V103" s="58">
        <f ca="1">(T103/_Max_Stock_Gramos)</f>
        <v>0.76195996383785314</v>
      </c>
      <c r="W103" s="58"/>
      <c r="X103" s="10">
        <f ca="1">IF((T102-O103)&lt;0,(T102-O103)*_Costo_Faltante,0)</f>
        <v>0</v>
      </c>
      <c r="Y103">
        <f>IF(B103=0,E103*_Costo_Frasco,0)</f>
        <v>0</v>
      </c>
      <c r="Z103" s="11">
        <f t="shared" ca="1" si="25"/>
        <v>-12500</v>
      </c>
    </row>
    <row r="104" spans="1:26" x14ac:dyDescent="0.25">
      <c r="A104" s="30">
        <f t="shared" si="22"/>
        <v>88</v>
      </c>
      <c r="B104" s="10">
        <f>IF(B103=0,_Proxima_Compra,B103-1)</f>
        <v>0</v>
      </c>
      <c r="C104" s="3">
        <f t="shared" ca="1" si="15"/>
        <v>0.51925365268785473</v>
      </c>
      <c r="D104" s="3">
        <f ca="1">IF(D103&gt;0,D103-1,IF(C104&gt;0,LOOKUP(C104,$S$3:$S$5,$P$3:$P$5),-1))</f>
        <v>0</v>
      </c>
      <c r="E104" s="25">
        <f t="shared" ca="1" si="16"/>
        <v>2</v>
      </c>
      <c r="F104" s="28">
        <f ca="1">E104*_GramosXFrasco</f>
        <v>340</v>
      </c>
      <c r="G104" s="38">
        <f t="shared" ca="1" si="17"/>
        <v>0.52264586011941783</v>
      </c>
      <c r="H104" s="36">
        <f t="shared" ca="1" si="18"/>
        <v>0.42055105590892705</v>
      </c>
      <c r="I104" s="36">
        <f t="shared" ca="1" si="19"/>
        <v>0.10213043722347648</v>
      </c>
      <c r="J104" s="36">
        <f t="shared" ca="1" si="26"/>
        <v>0.55150488517688689</v>
      </c>
      <c r="K104" s="37">
        <f ca="1">IF(J104&lt;&gt;-1,_Media_M + J104*_Sigma,-1)</f>
        <v>83.272573277653308</v>
      </c>
      <c r="L104" s="3">
        <f t="shared" ca="1" si="20"/>
        <v>-1</v>
      </c>
      <c r="M104" s="18">
        <f ca="1">IF(LOOKUP(G104,$H$3:$H$4,$E$3:$E$4)=1,50,_Media_M + J104*_Sigma)</f>
        <v>83.272573277653308</v>
      </c>
      <c r="N104" s="36">
        <f t="shared" ca="1" si="21"/>
        <v>41.038819514323315</v>
      </c>
      <c r="O104" s="35">
        <f t="shared" ca="1" si="27"/>
        <v>124.31139279197663</v>
      </c>
      <c r="P104" s="19">
        <f t="shared" ca="1" si="23"/>
        <v>124.31139279197663</v>
      </c>
      <c r="Q104" s="20">
        <f ca="1" xml:space="preserve"> P104*_Precio_cafe</f>
        <v>186.46708918796494</v>
      </c>
      <c r="R104" s="20">
        <f t="shared" ca="1" si="24"/>
        <v>11807.708857935853</v>
      </c>
      <c r="S104" s="20">
        <f ca="1">(1/A104)*((A104-1)*S103 +Q104)</f>
        <v>134.17850974927094</v>
      </c>
      <c r="T104" s="20">
        <f ca="1">IF((T103-P104+F104)&gt;_Max_Stock_Gramos,_Max_Stock_Gramos,T103-P104+F104)</f>
        <v>1511.0205457323736</v>
      </c>
      <c r="U104" s="20">
        <f ca="1">T104/_GramosXFrasco</f>
        <v>8.8883561513669029</v>
      </c>
      <c r="V104" s="58">
        <f ca="1">(T104/_Max_Stock_Gramos)</f>
        <v>0.8888356151366904</v>
      </c>
      <c r="W104" s="58"/>
      <c r="X104" s="10">
        <f ca="1">IF((T103-O104)&lt;0,(T103-O104)*_Costo_Faltante,0)</f>
        <v>0</v>
      </c>
      <c r="Y104">
        <f ca="1">IF(B104=0,E104*_Costo_Frasco,0)</f>
        <v>-500</v>
      </c>
      <c r="Z104" s="11">
        <f t="shared" ca="1" si="25"/>
        <v>-13000</v>
      </c>
    </row>
    <row r="105" spans="1:26" x14ac:dyDescent="0.25">
      <c r="A105" s="30">
        <f t="shared" si="22"/>
        <v>89</v>
      </c>
      <c r="B105" s="10">
        <f>IF(B104=0,_Proxima_Compra,B104-1)</f>
        <v>1</v>
      </c>
      <c r="C105" s="3">
        <f t="shared" ca="1" si="15"/>
        <v>-1</v>
      </c>
      <c r="D105" s="3">
        <f ca="1">IF(D104&gt;0,D104-1,IF(C105&gt;0,LOOKUP(C105,$S$3:$S$5,$P$3:$P$5),-1))</f>
        <v>-1</v>
      </c>
      <c r="E105" s="25">
        <f t="shared" ca="1" si="16"/>
        <v>0</v>
      </c>
      <c r="F105" s="28">
        <f ca="1">E105*_GramosXFrasco</f>
        <v>0</v>
      </c>
      <c r="G105" s="38">
        <f t="shared" ca="1" si="17"/>
        <v>0.8179097146362132</v>
      </c>
      <c r="H105" s="36">
        <f t="shared" ca="1" si="18"/>
        <v>0.98533160974019762</v>
      </c>
      <c r="I105" s="36">
        <f t="shared" ca="1" si="19"/>
        <v>0.79569869534619342</v>
      </c>
      <c r="J105" s="36">
        <f t="shared" ca="1" si="26"/>
        <v>0.54233664419837557</v>
      </c>
      <c r="K105" s="37">
        <f ca="1">IF(J105&lt;&gt;-1,_Media_M + J105*_Sigma,-1)</f>
        <v>83.135049662975632</v>
      </c>
      <c r="L105" s="3">
        <f t="shared" ca="1" si="20"/>
        <v>-1</v>
      </c>
      <c r="M105" s="18">
        <f ca="1">IF(LOOKUP(G105,$H$3:$H$4,$E$3:$E$4)=1,50,_Media_M + J105*_Sigma)</f>
        <v>83.135049662975632</v>
      </c>
      <c r="N105" s="36">
        <f t="shared" ca="1" si="21"/>
        <v>3.2882550498502021</v>
      </c>
      <c r="O105" s="35">
        <f t="shared" ca="1" si="27"/>
        <v>86.423304712825839</v>
      </c>
      <c r="P105" s="19">
        <f t="shared" ca="1" si="23"/>
        <v>86.423304712825839</v>
      </c>
      <c r="Q105" s="20">
        <f ca="1" xml:space="preserve"> P105*_Precio_cafe</f>
        <v>129.63495706923877</v>
      </c>
      <c r="R105" s="20">
        <f t="shared" ca="1" si="24"/>
        <v>11937.343815005092</v>
      </c>
      <c r="S105" s="20">
        <f ca="1">(1/A105)*((A105-1)*S104 +Q105)</f>
        <v>134.1274585955627</v>
      </c>
      <c r="T105" s="20">
        <f ca="1">IF((T104-P105+F105)&gt;_Max_Stock_Gramos,_Max_Stock_Gramos,T104-P105+F105)</f>
        <v>1424.5972410195477</v>
      </c>
      <c r="U105" s="20">
        <f ca="1">T105/_GramosXFrasco</f>
        <v>8.3799837707032214</v>
      </c>
      <c r="V105" s="58">
        <f ca="1">(T105/_Max_Stock_Gramos)</f>
        <v>0.83799837707032221</v>
      </c>
      <c r="W105" s="58"/>
      <c r="X105" s="10">
        <f ca="1">IF((T104-O105)&lt;0,(T104-O105)*_Costo_Faltante,0)</f>
        <v>0</v>
      </c>
      <c r="Y105">
        <f>IF(B105=0,E105*_Costo_Frasco,0)</f>
        <v>0</v>
      </c>
      <c r="Z105" s="11">
        <f t="shared" ca="1" si="25"/>
        <v>-13000</v>
      </c>
    </row>
    <row r="106" spans="1:26" x14ac:dyDescent="0.25">
      <c r="A106" s="30">
        <f t="shared" si="22"/>
        <v>90</v>
      </c>
      <c r="B106" s="10">
        <f>IF(B105=0,_Proxima_Compra,B105-1)</f>
        <v>0</v>
      </c>
      <c r="C106" s="3">
        <f t="shared" ca="1" si="15"/>
        <v>0.93475070251525461</v>
      </c>
      <c r="D106" s="3">
        <f ca="1">IF(D105&gt;0,D105-1,IF(C106&gt;0,LOOKUP(C106,$S$3:$S$5,$P$3:$P$5),-1))</f>
        <v>2</v>
      </c>
      <c r="E106" s="25">
        <f t="shared" ca="1" si="16"/>
        <v>0</v>
      </c>
      <c r="F106" s="28">
        <f ca="1">E106*_GramosXFrasco</f>
        <v>0</v>
      </c>
      <c r="G106" s="38">
        <f t="shared" ca="1" si="17"/>
        <v>0.80087091864068261</v>
      </c>
      <c r="H106" s="36">
        <f t="shared" ca="1" si="18"/>
        <v>0.44379142691656903</v>
      </c>
      <c r="I106" s="36">
        <f t="shared" ca="1" si="19"/>
        <v>0.23039927399536286</v>
      </c>
      <c r="J106" s="36">
        <f t="shared" ca="1" si="26"/>
        <v>8.7687205969776902E-2</v>
      </c>
      <c r="K106" s="37">
        <f ca="1">IF(J106&lt;&gt;-1,_Media_M + J106*_Sigma,-1)</f>
        <v>76.315308089546647</v>
      </c>
      <c r="L106" s="3">
        <f t="shared" ca="1" si="20"/>
        <v>-1</v>
      </c>
      <c r="M106" s="18">
        <f ca="1">IF(LOOKUP(G106,$H$3:$H$4,$E$3:$E$4)=1,50,_Media_M + J106*_Sigma)</f>
        <v>76.315308089546647</v>
      </c>
      <c r="N106" s="36">
        <f t="shared" ca="1" si="21"/>
        <v>104.82973441378658</v>
      </c>
      <c r="O106" s="35">
        <f t="shared" ca="1" si="27"/>
        <v>181.14504250333323</v>
      </c>
      <c r="P106" s="19">
        <f t="shared" ca="1" si="23"/>
        <v>181.14504250333323</v>
      </c>
      <c r="Q106" s="20">
        <f ca="1" xml:space="preserve"> P106*_Precio_cafe</f>
        <v>271.71756375499984</v>
      </c>
      <c r="R106" s="20">
        <f t="shared" ca="1" si="24"/>
        <v>12209.061378760091</v>
      </c>
      <c r="S106" s="20">
        <f ca="1">(1/A106)*((A106-1)*S105 +Q106)</f>
        <v>135.65623754177867</v>
      </c>
      <c r="T106" s="20">
        <f ca="1">IF((T105-P106+F106)&gt;_Max_Stock_Gramos,_Max_Stock_Gramos,T105-P106+F106)</f>
        <v>1243.4521985162146</v>
      </c>
      <c r="U106" s="20">
        <f ca="1">T106/_GramosXFrasco</f>
        <v>7.3144246971542035</v>
      </c>
      <c r="V106" s="58">
        <f ca="1">(T106/_Max_Stock_Gramos)</f>
        <v>0.73144246971542037</v>
      </c>
      <c r="W106" s="58"/>
      <c r="X106" s="10">
        <f ca="1">IF((T105-O106)&lt;0,(T105-O106)*_Costo_Faltante,0)</f>
        <v>0</v>
      </c>
      <c r="Y106">
        <f ca="1">IF(B106=0,E106*_Costo_Frasco,0)</f>
        <v>0</v>
      </c>
      <c r="Z106" s="11">
        <f t="shared" ca="1" si="25"/>
        <v>-13000</v>
      </c>
    </row>
    <row r="107" spans="1:26" x14ac:dyDescent="0.25">
      <c r="A107" s="30">
        <f t="shared" si="22"/>
        <v>91</v>
      </c>
      <c r="B107" s="10">
        <f>IF(B106=0,_Proxima_Compra,B106-1)</f>
        <v>1</v>
      </c>
      <c r="C107" s="3">
        <f t="shared" ca="1" si="15"/>
        <v>-1</v>
      </c>
      <c r="D107" s="3">
        <f ca="1">IF(D106&gt;0,D106-1,IF(C107&gt;0,LOOKUP(C107,$S$3:$S$5,$P$3:$P$5),-1))</f>
        <v>1</v>
      </c>
      <c r="E107" s="25">
        <f t="shared" ca="1" si="16"/>
        <v>0</v>
      </c>
      <c r="F107" s="28">
        <f ca="1">E107*_GramosXFrasco</f>
        <v>0</v>
      </c>
      <c r="G107" s="38">
        <f t="shared" ca="1" si="17"/>
        <v>0.43687774610381669</v>
      </c>
      <c r="H107" s="36">
        <f t="shared" ca="1" si="18"/>
        <v>-1</v>
      </c>
      <c r="I107" s="36">
        <f t="shared" ca="1" si="19"/>
        <v>-1</v>
      </c>
      <c r="J107" s="36">
        <f t="shared" ca="1" si="26"/>
        <v>-1</v>
      </c>
      <c r="K107" s="37">
        <f ca="1">IF(J107&lt;&gt;-1,_Media_M + J107*_Sigma,-1)</f>
        <v>-1</v>
      </c>
      <c r="L107" s="3">
        <f t="shared" ca="1" si="20"/>
        <v>50</v>
      </c>
      <c r="M107" s="18">
        <f ca="1">IF(LOOKUP(G107,$H$3:$H$4,$E$3:$E$4)=1,50,_Media_M + J107*_Sigma)</f>
        <v>50</v>
      </c>
      <c r="N107" s="36">
        <f t="shared" ca="1" si="21"/>
        <v>185.62866941627564</v>
      </c>
      <c r="O107" s="35">
        <f t="shared" ca="1" si="27"/>
        <v>235.62866941627564</v>
      </c>
      <c r="P107" s="19">
        <f t="shared" ca="1" si="23"/>
        <v>235.62866941627564</v>
      </c>
      <c r="Q107" s="20">
        <f ca="1" xml:space="preserve"> P107*_Precio_cafe</f>
        <v>353.44300412441345</v>
      </c>
      <c r="R107" s="20">
        <f t="shared" ca="1" si="24"/>
        <v>12562.504382884505</v>
      </c>
      <c r="S107" s="20">
        <f ca="1">(1/A107)*((A107-1)*S106 +Q107)</f>
        <v>138.04949871301642</v>
      </c>
      <c r="T107" s="20">
        <f ca="1">IF((T106-P107+F107)&gt;_Max_Stock_Gramos,_Max_Stock_Gramos,T106-P107+F107)</f>
        <v>1007.8235290999389</v>
      </c>
      <c r="U107" s="20">
        <f ca="1">T107/_GramosXFrasco</f>
        <v>5.9283737005878763</v>
      </c>
      <c r="V107" s="58">
        <f ca="1">(T107/_Max_Stock_Gramos)</f>
        <v>0.59283737005878756</v>
      </c>
      <c r="W107" s="58"/>
      <c r="X107" s="10">
        <f ca="1">IF((T106-O107)&lt;0,(T106-O107)*_Costo_Faltante,0)</f>
        <v>0</v>
      </c>
      <c r="Y107">
        <f>IF(B107=0,E107*_Costo_Frasco,0)</f>
        <v>0</v>
      </c>
      <c r="Z107" s="11">
        <f t="shared" ca="1" si="25"/>
        <v>-13000</v>
      </c>
    </row>
    <row r="108" spans="1:26" x14ac:dyDescent="0.25">
      <c r="A108" s="30">
        <f t="shared" si="22"/>
        <v>92</v>
      </c>
      <c r="B108" s="10">
        <f>IF(B107=0,_Proxima_Compra,B107-1)</f>
        <v>0</v>
      </c>
      <c r="C108" s="3">
        <f t="shared" ca="1" si="15"/>
        <v>0.43987217039301674</v>
      </c>
      <c r="D108" s="3">
        <f ca="1">IF(D107&gt;0,D107-1,IF(C108&gt;0,LOOKUP(C108,$S$3:$S$5,$P$3:$P$5),-1))</f>
        <v>0</v>
      </c>
      <c r="E108" s="25">
        <f t="shared" ca="1" si="16"/>
        <v>2</v>
      </c>
      <c r="F108" s="28">
        <f ca="1">E108*_GramosXFrasco</f>
        <v>340</v>
      </c>
      <c r="G108" s="38">
        <f t="shared" ca="1" si="17"/>
        <v>0.6875614230027548</v>
      </c>
      <c r="H108" s="36">
        <f t="shared" ca="1" si="18"/>
        <v>0.19755481212081705</v>
      </c>
      <c r="I108" s="36">
        <f t="shared" ca="1" si="19"/>
        <v>5.7443437600842251E-2</v>
      </c>
      <c r="J108" s="36">
        <f t="shared" ca="1" si="26"/>
        <v>0.40905820883342658</v>
      </c>
      <c r="K108" s="37">
        <f ca="1">IF(J108&lt;&gt;-1,_Media_M + J108*_Sigma,-1)</f>
        <v>81.135873132501402</v>
      </c>
      <c r="L108" s="3">
        <f t="shared" ca="1" si="20"/>
        <v>-1</v>
      </c>
      <c r="M108" s="18">
        <f ca="1">IF(LOOKUP(G108,$H$3:$H$4,$E$3:$E$4)=1,50,_Media_M + J108*_Sigma)</f>
        <v>81.135873132501402</v>
      </c>
      <c r="N108" s="36">
        <f t="shared" ca="1" si="21"/>
        <v>25.728657197452439</v>
      </c>
      <c r="O108" s="35">
        <f t="shared" ca="1" si="27"/>
        <v>106.86453032995384</v>
      </c>
      <c r="P108" s="19">
        <f t="shared" ca="1" si="23"/>
        <v>106.86453032995384</v>
      </c>
      <c r="Q108" s="20">
        <f ca="1" xml:space="preserve"> P108*_Precio_cafe</f>
        <v>160.29679549493076</v>
      </c>
      <c r="R108" s="20">
        <f t="shared" ca="1" si="24"/>
        <v>12722.801178379435</v>
      </c>
      <c r="S108" s="20">
        <f ca="1">(1/A108)*((A108-1)*S107 +Q108)</f>
        <v>138.29131715629808</v>
      </c>
      <c r="T108" s="20">
        <f ca="1">IF((T107-P108+F108)&gt;_Max_Stock_Gramos,_Max_Stock_Gramos,T107-P108+F108)</f>
        <v>1240.9589987699851</v>
      </c>
      <c r="U108" s="20">
        <f ca="1">T108/_GramosXFrasco</f>
        <v>7.2997588162940303</v>
      </c>
      <c r="V108" s="58">
        <f ca="1">(T108/_Max_Stock_Gramos)</f>
        <v>0.72997588162940297</v>
      </c>
      <c r="W108" s="58"/>
      <c r="X108" s="10">
        <f ca="1">IF((T107-O108)&lt;0,(T107-O108)*_Costo_Faltante,0)</f>
        <v>0</v>
      </c>
      <c r="Y108">
        <f ca="1">IF(B108=0,E108*_Costo_Frasco,0)</f>
        <v>-500</v>
      </c>
      <c r="Z108" s="11">
        <f t="shared" ca="1" si="25"/>
        <v>-13500</v>
      </c>
    </row>
    <row r="109" spans="1:26" x14ac:dyDescent="0.25">
      <c r="A109" s="30">
        <f t="shared" si="22"/>
        <v>93</v>
      </c>
      <c r="B109" s="10">
        <f>IF(B108=0,_Proxima_Compra,B108-1)</f>
        <v>1</v>
      </c>
      <c r="C109" s="3">
        <f t="shared" ca="1" si="15"/>
        <v>-1</v>
      </c>
      <c r="D109" s="3">
        <f ca="1">IF(D108&gt;0,D108-1,IF(C109&gt;0,LOOKUP(C109,$S$3:$S$5,$P$3:$P$5),-1))</f>
        <v>-1</v>
      </c>
      <c r="E109" s="25">
        <f t="shared" ca="1" si="16"/>
        <v>0</v>
      </c>
      <c r="F109" s="28">
        <f ca="1">E109*_GramosXFrasco</f>
        <v>0</v>
      </c>
      <c r="G109" s="38">
        <f t="shared" ca="1" si="17"/>
        <v>0.49344966641315535</v>
      </c>
      <c r="H109" s="36">
        <f t="shared" ca="1" si="18"/>
        <v>-1</v>
      </c>
      <c r="I109" s="36">
        <f t="shared" ca="1" si="19"/>
        <v>-1</v>
      </c>
      <c r="J109" s="36">
        <f t="shared" ca="1" si="26"/>
        <v>-1</v>
      </c>
      <c r="K109" s="37">
        <f ca="1">IF(J109&lt;&gt;-1,_Media_M + J109*_Sigma,-1)</f>
        <v>-1</v>
      </c>
      <c r="L109" s="3">
        <f t="shared" ca="1" si="20"/>
        <v>50</v>
      </c>
      <c r="M109" s="18">
        <f ca="1">IF(LOOKUP(G109,$H$3:$H$4,$E$3:$E$4)=1,50,_Media_M + J109*_Sigma)</f>
        <v>50</v>
      </c>
      <c r="N109" s="36">
        <f t="shared" ca="1" si="21"/>
        <v>4.9542628001939919</v>
      </c>
      <c r="O109" s="35">
        <f t="shared" ca="1" si="27"/>
        <v>54.954262800193995</v>
      </c>
      <c r="P109" s="19">
        <f t="shared" ca="1" si="23"/>
        <v>54.954262800193995</v>
      </c>
      <c r="Q109" s="20">
        <f ca="1" xml:space="preserve"> P109*_Precio_cafe</f>
        <v>82.431394200290995</v>
      </c>
      <c r="R109" s="20">
        <f t="shared" ca="1" si="24"/>
        <v>12805.232572579727</v>
      </c>
      <c r="S109" s="20">
        <f ca="1">(1/A109)*((A109-1)*S108 +Q109)</f>
        <v>137.69067282343781</v>
      </c>
      <c r="T109" s="20">
        <f ca="1">IF((T108-P109+F109)&gt;_Max_Stock_Gramos,_Max_Stock_Gramos,T108-P109+F109)</f>
        <v>1186.004735969791</v>
      </c>
      <c r="U109" s="20">
        <f ca="1">T109/_GramosXFrasco</f>
        <v>6.9764984468811235</v>
      </c>
      <c r="V109" s="58">
        <f ca="1">(T109/_Max_Stock_Gramos)</f>
        <v>0.69764984468811231</v>
      </c>
      <c r="W109" s="58"/>
      <c r="X109" s="10">
        <f ca="1">IF((T108-O109)&lt;0,(T108-O109)*_Costo_Faltante,0)</f>
        <v>0</v>
      </c>
      <c r="Y109">
        <f>IF(B109=0,E109*_Costo_Frasco,0)</f>
        <v>0</v>
      </c>
      <c r="Z109" s="11">
        <f t="shared" ca="1" si="25"/>
        <v>-13500</v>
      </c>
    </row>
    <row r="110" spans="1:26" x14ac:dyDescent="0.25">
      <c r="A110" s="30">
        <f t="shared" si="22"/>
        <v>94</v>
      </c>
      <c r="B110" s="10">
        <f>IF(B109=0,_Proxima_Compra,B109-1)</f>
        <v>0</v>
      </c>
      <c r="C110" s="3">
        <f t="shared" ca="1" si="15"/>
        <v>0.33244071895443494</v>
      </c>
      <c r="D110" s="3">
        <f ca="1">IF(D109&gt;0,D109-1,IF(C110&gt;0,LOOKUP(C110,$S$3:$S$5,$P$3:$P$5),-1))</f>
        <v>0</v>
      </c>
      <c r="E110" s="25">
        <f t="shared" ca="1" si="16"/>
        <v>2</v>
      </c>
      <c r="F110" s="28">
        <f ca="1">E110*_GramosXFrasco</f>
        <v>340</v>
      </c>
      <c r="G110" s="38">
        <f t="shared" ca="1" si="17"/>
        <v>0.85699878907971316</v>
      </c>
      <c r="H110" s="36">
        <f t="shared" ca="1" si="18"/>
        <v>0.61324039013861431</v>
      </c>
      <c r="I110" s="36">
        <f t="shared" ca="1" si="19"/>
        <v>0.71537824300586816</v>
      </c>
      <c r="J110" s="36">
        <f t="shared" ca="1" si="26"/>
        <v>-0.1960452318209655</v>
      </c>
      <c r="K110" s="37">
        <f ca="1">IF(J110&lt;&gt;-1,_Media_M + J110*_Sigma,-1)</f>
        <v>72.059321522685522</v>
      </c>
      <c r="L110" s="3">
        <f t="shared" ca="1" si="20"/>
        <v>-1</v>
      </c>
      <c r="M110" s="18">
        <f ca="1">IF(LOOKUP(G110,$H$3:$H$4,$E$3:$E$4)=1,50,_Media_M + J110*_Sigma)</f>
        <v>72.059321522685522</v>
      </c>
      <c r="N110" s="36">
        <f t="shared" ca="1" si="21"/>
        <v>4.7827734052075774</v>
      </c>
      <c r="O110" s="35">
        <f t="shared" ca="1" si="27"/>
        <v>76.8420949278931</v>
      </c>
      <c r="P110" s="19">
        <f t="shared" ca="1" si="23"/>
        <v>76.8420949278931</v>
      </c>
      <c r="Q110" s="20">
        <f ca="1" xml:space="preserve"> P110*_Precio_cafe</f>
        <v>115.26314239183965</v>
      </c>
      <c r="R110" s="20">
        <f t="shared" ca="1" si="24"/>
        <v>12920.495714971566</v>
      </c>
      <c r="S110" s="20">
        <f ca="1">(1/A110)*((A110-1)*S109 +Q110)</f>
        <v>137.45208207416547</v>
      </c>
      <c r="T110" s="20">
        <f ca="1">IF((T109-P110+F110)&gt;_Max_Stock_Gramos,_Max_Stock_Gramos,T109-P110+F110)</f>
        <v>1449.1626410418978</v>
      </c>
      <c r="U110" s="20">
        <f ca="1">T110/_GramosXFrasco</f>
        <v>8.5244861237758691</v>
      </c>
      <c r="V110" s="58">
        <f ca="1">(T110/_Max_Stock_Gramos)</f>
        <v>0.85244861237758696</v>
      </c>
      <c r="W110" s="58"/>
      <c r="X110" s="10">
        <f ca="1">IF((T109-O110)&lt;0,(T109-O110)*_Costo_Faltante,0)</f>
        <v>0</v>
      </c>
      <c r="Y110">
        <f ca="1">IF(B110=0,E110*_Costo_Frasco,0)</f>
        <v>-500</v>
      </c>
      <c r="Z110" s="11">
        <f t="shared" ca="1" si="25"/>
        <v>-14000</v>
      </c>
    </row>
    <row r="111" spans="1:26" x14ac:dyDescent="0.25">
      <c r="A111" s="30">
        <f t="shared" si="22"/>
        <v>95</v>
      </c>
      <c r="B111" s="10">
        <f>IF(B110=0,_Proxima_Compra,B110-1)</f>
        <v>1</v>
      </c>
      <c r="C111" s="3">
        <f t="shared" ca="1" si="15"/>
        <v>-1</v>
      </c>
      <c r="D111" s="3">
        <f ca="1">IF(D110&gt;0,D110-1,IF(C111&gt;0,LOOKUP(C111,$S$3:$S$5,$P$3:$P$5),-1))</f>
        <v>-1</v>
      </c>
      <c r="E111" s="25">
        <f t="shared" ca="1" si="16"/>
        <v>0</v>
      </c>
      <c r="F111" s="28">
        <f ca="1">E111*_GramosXFrasco</f>
        <v>0</v>
      </c>
      <c r="G111" s="38">
        <f t="shared" ca="1" si="17"/>
        <v>0.36170025154994834</v>
      </c>
      <c r="H111" s="36">
        <f t="shared" ca="1" si="18"/>
        <v>-1</v>
      </c>
      <c r="I111" s="36">
        <f t="shared" ca="1" si="19"/>
        <v>-1</v>
      </c>
      <c r="J111" s="36">
        <f t="shared" ca="1" si="26"/>
        <v>-1</v>
      </c>
      <c r="K111" s="37">
        <f ca="1">IF(J111&lt;&gt;-1,_Media_M + J111*_Sigma,-1)</f>
        <v>-1</v>
      </c>
      <c r="L111" s="3">
        <f t="shared" ca="1" si="20"/>
        <v>50</v>
      </c>
      <c r="M111" s="18">
        <f ca="1">IF(LOOKUP(G111,$H$3:$H$4,$E$3:$E$4)=1,50,_Media_M + J111*_Sigma)</f>
        <v>50</v>
      </c>
      <c r="N111" s="36">
        <f t="shared" ca="1" si="21"/>
        <v>32.031163616257224</v>
      </c>
      <c r="O111" s="35">
        <f t="shared" ca="1" si="27"/>
        <v>82.031163616257231</v>
      </c>
      <c r="P111" s="19">
        <f t="shared" ca="1" si="23"/>
        <v>82.031163616257231</v>
      </c>
      <c r="Q111" s="20">
        <f ca="1" xml:space="preserve"> P111*_Precio_cafe</f>
        <v>123.04674542438585</v>
      </c>
      <c r="R111" s="20">
        <f t="shared" ca="1" si="24"/>
        <v>13043.542460395953</v>
      </c>
      <c r="S111" s="20">
        <f ca="1">(1/A111)*((A111-1)*S110 +Q111)</f>
        <v>137.3004469515362</v>
      </c>
      <c r="T111" s="20">
        <f ca="1">IF((T110-P111+F111)&gt;_Max_Stock_Gramos,_Max_Stock_Gramos,T110-P111+F111)</f>
        <v>1367.1314774256407</v>
      </c>
      <c r="U111" s="20">
        <f ca="1">T111/_GramosXFrasco</f>
        <v>8.0419498672096505</v>
      </c>
      <c r="V111" s="58">
        <f ca="1">(T111/_Max_Stock_Gramos)</f>
        <v>0.80419498672096512</v>
      </c>
      <c r="W111" s="58"/>
      <c r="X111" s="10">
        <f ca="1">IF((T110-O111)&lt;0,(T110-O111)*_Costo_Faltante,0)</f>
        <v>0</v>
      </c>
      <c r="Y111">
        <f>IF(B111=0,E111*_Costo_Frasco,0)</f>
        <v>0</v>
      </c>
      <c r="Z111" s="11">
        <f t="shared" ca="1" si="25"/>
        <v>-14000</v>
      </c>
    </row>
    <row r="112" spans="1:26" x14ac:dyDescent="0.25">
      <c r="A112" s="30">
        <f t="shared" si="22"/>
        <v>96</v>
      </c>
      <c r="B112" s="10">
        <f>IF(B111=0,_Proxima_Compra,B111-1)</f>
        <v>0</v>
      </c>
      <c r="C112" s="3">
        <f t="shared" ca="1" si="15"/>
        <v>0.23521599912744617</v>
      </c>
      <c r="D112" s="3">
        <f ca="1">IF(D111&gt;0,D111-1,IF(C112&gt;0,LOOKUP(C112,$S$3:$S$5,$P$3:$P$5),-1))</f>
        <v>0</v>
      </c>
      <c r="E112" s="25">
        <f t="shared" ca="1" si="16"/>
        <v>2</v>
      </c>
      <c r="F112" s="28">
        <f ca="1">E112*_GramosXFrasco</f>
        <v>340</v>
      </c>
      <c r="G112" s="38">
        <f t="shared" ca="1" si="17"/>
        <v>0.85094757957872602</v>
      </c>
      <c r="H112" s="36">
        <f t="shared" ca="1" si="18"/>
        <v>0.16862846981745838</v>
      </c>
      <c r="I112" s="36">
        <f t="shared" ca="1" si="19"/>
        <v>0.72279837874198594</v>
      </c>
      <c r="J112" s="36">
        <f t="shared" ca="1" si="26"/>
        <v>-6.8119827007242714E-2</v>
      </c>
      <c r="K112" s="37">
        <f ca="1">IF(J112&lt;&gt;-1,_Media_M + J112*_Sigma,-1)</f>
        <v>73.978202594891357</v>
      </c>
      <c r="L112" s="3">
        <f t="shared" ca="1" si="20"/>
        <v>-1</v>
      </c>
      <c r="M112" s="18">
        <f ca="1">IF(LOOKUP(G112,$H$3:$H$4,$E$3:$E$4)=1,50,_Media_M + J112*_Sigma)</f>
        <v>73.978202594891357</v>
      </c>
      <c r="N112" s="36">
        <f t="shared" ca="1" si="21"/>
        <v>39.925949339494395</v>
      </c>
      <c r="O112" s="35">
        <f t="shared" ca="1" si="27"/>
        <v>113.90415193438575</v>
      </c>
      <c r="P112" s="19">
        <f t="shared" ca="1" si="23"/>
        <v>113.90415193438575</v>
      </c>
      <c r="Q112" s="20">
        <f ca="1" xml:space="preserve"> P112*_Precio_cafe</f>
        <v>170.85622790157862</v>
      </c>
      <c r="R112" s="20">
        <f t="shared" ca="1" si="24"/>
        <v>13214.398688297531</v>
      </c>
      <c r="S112" s="20">
        <f ca="1">(1/A112)*((A112-1)*S111 +Q112)</f>
        <v>137.64998633643248</v>
      </c>
      <c r="T112" s="20">
        <f ca="1">IF((T111-P112+F112)&gt;_Max_Stock_Gramos,_Max_Stock_Gramos,T111-P112+F112)</f>
        <v>1593.227325491255</v>
      </c>
      <c r="U112" s="20">
        <f ca="1">T112/_GramosXFrasco</f>
        <v>9.3719254440662052</v>
      </c>
      <c r="V112" s="58">
        <f ca="1">(T112/_Max_Stock_Gramos)</f>
        <v>0.93719254440662059</v>
      </c>
      <c r="W112" s="58"/>
      <c r="X112" s="10">
        <f ca="1">IF((T111-O112)&lt;0,(T111-O112)*_Costo_Faltante,0)</f>
        <v>0</v>
      </c>
      <c r="Y112">
        <f ca="1">IF(B112=0,E112*_Costo_Frasco,0)</f>
        <v>-500</v>
      </c>
      <c r="Z112" s="11">
        <f t="shared" ca="1" si="25"/>
        <v>-14500</v>
      </c>
    </row>
    <row r="113" spans="1:26" x14ac:dyDescent="0.25">
      <c r="A113" s="30">
        <f t="shared" si="22"/>
        <v>97</v>
      </c>
      <c r="B113" s="10">
        <f>IF(B112=0,_Proxima_Compra,B112-1)</f>
        <v>1</v>
      </c>
      <c r="C113" s="3">
        <f t="shared" ca="1" si="15"/>
        <v>-1</v>
      </c>
      <c r="D113" s="3">
        <f ca="1">IF(D112&gt;0,D112-1,IF(C113&gt;0,LOOKUP(C113,$S$3:$S$5,$P$3:$P$5),-1))</f>
        <v>-1</v>
      </c>
      <c r="E113" s="25">
        <f t="shared" ca="1" si="16"/>
        <v>0</v>
      </c>
      <c r="F113" s="28">
        <f ca="1">E113*_GramosXFrasco</f>
        <v>0</v>
      </c>
      <c r="G113" s="38">
        <f t="shared" ca="1" si="17"/>
        <v>0.50776669062317492</v>
      </c>
      <c r="H113" s="36">
        <f t="shared" ca="1" si="18"/>
        <v>0.69556864670311014</v>
      </c>
      <c r="I113" s="36">
        <f t="shared" ca="1" si="19"/>
        <v>0.6219391453350932</v>
      </c>
      <c r="J113" s="36">
        <f t="shared" ca="1" si="26"/>
        <v>-0.73237470069356603</v>
      </c>
      <c r="K113" s="37">
        <f ca="1">IF(J113&lt;&gt;-1,_Media_M + J113*_Sigma,-1)</f>
        <v>64.014379489596507</v>
      </c>
      <c r="L113" s="3">
        <f t="shared" ca="1" si="20"/>
        <v>-1</v>
      </c>
      <c r="M113" s="18">
        <f ca="1">IF(LOOKUP(G113,$H$3:$H$4,$E$3:$E$4)=1,50,_Media_M + J113*_Sigma)</f>
        <v>64.014379489596507</v>
      </c>
      <c r="N113" s="36">
        <f t="shared" ca="1" si="21"/>
        <v>1.6116618297418637</v>
      </c>
      <c r="O113" s="35">
        <f t="shared" ca="1" si="27"/>
        <v>65.62604131933837</v>
      </c>
      <c r="P113" s="19">
        <f t="shared" ca="1" si="23"/>
        <v>65.62604131933837</v>
      </c>
      <c r="Q113" s="20">
        <f ca="1" xml:space="preserve"> P113*_Precio_cafe</f>
        <v>98.439061979007562</v>
      </c>
      <c r="R113" s="20">
        <f t="shared" ca="1" si="24"/>
        <v>13312.83775027654</v>
      </c>
      <c r="S113" s="20">
        <f ca="1">(1/A113)*((A113-1)*S112 +Q113)</f>
        <v>137.2457500028508</v>
      </c>
      <c r="T113" s="20">
        <f ca="1">IF((T112-P113+F113)&gt;_Max_Stock_Gramos,_Max_Stock_Gramos,T112-P113+F113)</f>
        <v>1527.6012841719166</v>
      </c>
      <c r="U113" s="20">
        <f ca="1">T113/_GramosXFrasco</f>
        <v>8.9858899068936271</v>
      </c>
      <c r="V113" s="58">
        <f ca="1">(T113/_Max_Stock_Gramos)</f>
        <v>0.89858899068936271</v>
      </c>
      <c r="W113" s="58"/>
      <c r="X113" s="10">
        <f ca="1">IF((T112-O113)&lt;0,(T112-O113)*_Costo_Faltante,0)</f>
        <v>0</v>
      </c>
      <c r="Y113">
        <f>IF(B113=0,E113*_Costo_Frasco,0)</f>
        <v>0</v>
      </c>
      <c r="Z113" s="11">
        <f t="shared" ca="1" si="25"/>
        <v>-14500</v>
      </c>
    </row>
    <row r="114" spans="1:26" x14ac:dyDescent="0.25">
      <c r="A114" s="30">
        <f t="shared" si="22"/>
        <v>98</v>
      </c>
      <c r="B114" s="10">
        <f>IF(B113=0,_Proxima_Compra,B113-1)</f>
        <v>0</v>
      </c>
      <c r="C114" s="3">
        <f t="shared" ca="1" si="15"/>
        <v>0.82746967692941931</v>
      </c>
      <c r="D114" s="3">
        <f ca="1">IF(D113&gt;0,D113-1,IF(C114&gt;0,LOOKUP(C114,$S$3:$S$5,$P$3:$P$5),-1))</f>
        <v>2</v>
      </c>
      <c r="E114" s="25">
        <f t="shared" ca="1" si="16"/>
        <v>0</v>
      </c>
      <c r="F114" s="28">
        <f ca="1">E114*_GramosXFrasco</f>
        <v>0</v>
      </c>
      <c r="G114" s="38">
        <f t="shared" ca="1" si="17"/>
        <v>0.68881247183153038</v>
      </c>
      <c r="H114" s="36">
        <f t="shared" ca="1" si="18"/>
        <v>0.88813803335585373</v>
      </c>
      <c r="I114" s="36">
        <f t="shared" ca="1" si="19"/>
        <v>0.5458158032412912</v>
      </c>
      <c r="J114" s="36">
        <f t="shared" ca="1" si="26"/>
        <v>-1.3226011104558537</v>
      </c>
      <c r="K114" s="37">
        <f ca="1">IF(J114&lt;&gt;-1,_Media_M + J114*_Sigma,-1)</f>
        <v>55.160983343162194</v>
      </c>
      <c r="L114" s="3">
        <f t="shared" ca="1" si="20"/>
        <v>-1</v>
      </c>
      <c r="M114" s="18">
        <f ca="1">IF(LOOKUP(G114,$H$3:$H$4,$E$3:$E$4)=1,50,_Media_M + J114*_Sigma)</f>
        <v>55.160983343162194</v>
      </c>
      <c r="N114" s="36">
        <f t="shared" ca="1" si="21"/>
        <v>29.605132582117133</v>
      </c>
      <c r="O114" s="35">
        <f t="shared" ca="1" si="27"/>
        <v>84.766115925279323</v>
      </c>
      <c r="P114" s="19">
        <f t="shared" ca="1" si="23"/>
        <v>84.766115925279323</v>
      </c>
      <c r="Q114" s="20">
        <f ca="1" xml:space="preserve"> P114*_Precio_cafe</f>
        <v>127.14917388791898</v>
      </c>
      <c r="R114" s="20">
        <f t="shared" ca="1" si="24"/>
        <v>13439.986924164459</v>
      </c>
      <c r="S114" s="20">
        <f ca="1">(1/A114)*((A114-1)*S113 +Q114)</f>
        <v>137.14272371596374</v>
      </c>
      <c r="T114" s="20">
        <f ca="1">IF((T113-P114+F114)&gt;_Max_Stock_Gramos,_Max_Stock_Gramos,T113-P114+F114)</f>
        <v>1442.8351682466373</v>
      </c>
      <c r="U114" s="20">
        <f ca="1">T114/_GramosXFrasco</f>
        <v>8.4872656955684551</v>
      </c>
      <c r="V114" s="58">
        <f ca="1">(T114/_Max_Stock_Gramos)</f>
        <v>0.84872656955684544</v>
      </c>
      <c r="W114" s="58"/>
      <c r="X114" s="10">
        <f ca="1">IF((T113-O114)&lt;0,(T113-O114)*_Costo_Faltante,0)</f>
        <v>0</v>
      </c>
      <c r="Y114">
        <f ca="1">IF(B114=0,E114*_Costo_Frasco,0)</f>
        <v>0</v>
      </c>
      <c r="Z114" s="11">
        <f t="shared" ca="1" si="25"/>
        <v>-14500</v>
      </c>
    </row>
    <row r="115" spans="1:26" x14ac:dyDescent="0.25">
      <c r="A115" s="30">
        <f t="shared" si="22"/>
        <v>99</v>
      </c>
      <c r="B115" s="10">
        <f>IF(B114=0,_Proxima_Compra,B114-1)</f>
        <v>1</v>
      </c>
      <c r="C115" s="3">
        <f t="shared" ca="1" si="15"/>
        <v>-1</v>
      </c>
      <c r="D115" s="3">
        <f ca="1">IF(D114&gt;0,D114-1,IF(C115&gt;0,LOOKUP(C115,$S$3:$S$5,$P$3:$P$5),-1))</f>
        <v>1</v>
      </c>
      <c r="E115" s="25">
        <f t="shared" ca="1" si="16"/>
        <v>0</v>
      </c>
      <c r="F115" s="28">
        <f ca="1">E115*_GramosXFrasco</f>
        <v>0</v>
      </c>
      <c r="G115" s="38">
        <f t="shared" ca="1" si="17"/>
        <v>0.99635016290938483</v>
      </c>
      <c r="H115" s="36">
        <f t="shared" ca="1" si="18"/>
        <v>0.13023194980577957</v>
      </c>
      <c r="I115" s="36">
        <f t="shared" ca="1" si="19"/>
        <v>0.64894448905229274</v>
      </c>
      <c r="J115" s="36">
        <f t="shared" ca="1" si="26"/>
        <v>-0.20648782427151507</v>
      </c>
      <c r="K115" s="37">
        <f ca="1">IF(J115&lt;&gt;-1,_Media_M + J115*_Sigma,-1)</f>
        <v>71.902682635927277</v>
      </c>
      <c r="L115" s="3">
        <f t="shared" ca="1" si="20"/>
        <v>-1</v>
      </c>
      <c r="M115" s="18">
        <f ca="1">IF(LOOKUP(G115,$H$3:$H$4,$E$3:$E$4)=1,50,_Media_M + J115*_Sigma)</f>
        <v>71.902682635927277</v>
      </c>
      <c r="N115" s="36">
        <f t="shared" ca="1" si="21"/>
        <v>7.6584255334929656</v>
      </c>
      <c r="O115" s="35">
        <f t="shared" ca="1" si="27"/>
        <v>79.561108169420237</v>
      </c>
      <c r="P115" s="19">
        <f t="shared" ca="1" si="23"/>
        <v>79.561108169420237</v>
      </c>
      <c r="Q115" s="20">
        <f ca="1" xml:space="preserve"> P115*_Precio_cafe</f>
        <v>119.34166225413036</v>
      </c>
      <c r="R115" s="20">
        <f t="shared" ca="1" si="24"/>
        <v>13559.328586418589</v>
      </c>
      <c r="S115" s="20">
        <f ca="1">(1/A115)*((A115-1)*S114 +Q115)</f>
        <v>136.96291501432907</v>
      </c>
      <c r="T115" s="20">
        <f ca="1">IF((T114-P115+F115)&gt;_Max_Stock_Gramos,_Max_Stock_Gramos,T114-P115+F115)</f>
        <v>1363.274060077217</v>
      </c>
      <c r="U115" s="20">
        <f ca="1">T115/_GramosXFrasco</f>
        <v>8.0192591769248054</v>
      </c>
      <c r="V115" s="58">
        <f ca="1">(T115/_Max_Stock_Gramos)</f>
        <v>0.80192591769248056</v>
      </c>
      <c r="W115" s="58"/>
      <c r="X115" s="10">
        <f ca="1">IF((T114-O115)&lt;0,(T114-O115)*_Costo_Faltante,0)</f>
        <v>0</v>
      </c>
      <c r="Y115">
        <f>IF(B115=0,E115*_Costo_Frasco,0)</f>
        <v>0</v>
      </c>
      <c r="Z115" s="11">
        <f t="shared" ca="1" si="25"/>
        <v>-14500</v>
      </c>
    </row>
    <row r="116" spans="1:26" x14ac:dyDescent="0.25">
      <c r="A116" s="30">
        <f t="shared" si="22"/>
        <v>100</v>
      </c>
      <c r="B116" s="10">
        <f>IF(B115=0,_Proxima_Compra,B115-1)</f>
        <v>0</v>
      </c>
      <c r="C116" s="3">
        <f t="shared" ca="1" si="15"/>
        <v>3.9437896861361565E-2</v>
      </c>
      <c r="D116" s="3">
        <f ca="1">IF(D115&gt;0,D115-1,IF(C116&gt;0,LOOKUP(C116,$S$3:$S$5,$P$3:$P$5),-1))</f>
        <v>0</v>
      </c>
      <c r="E116" s="25">
        <f t="shared" ca="1" si="16"/>
        <v>2</v>
      </c>
      <c r="F116" s="28">
        <f ca="1">E116*_GramosXFrasco</f>
        <v>340</v>
      </c>
      <c r="G116" s="38">
        <f t="shared" ca="1" si="17"/>
        <v>4.7284181202434938E-3</v>
      </c>
      <c r="H116" s="36">
        <f t="shared" ca="1" si="18"/>
        <v>-1</v>
      </c>
      <c r="I116" s="36">
        <f t="shared" ca="1" si="19"/>
        <v>-1</v>
      </c>
      <c r="J116" s="36">
        <f t="shared" ca="1" si="26"/>
        <v>-1</v>
      </c>
      <c r="K116" s="37">
        <f ca="1">IF(J116&lt;&gt;-1,_Media_M + J116*_Sigma,-1)</f>
        <v>-1</v>
      </c>
      <c r="L116" s="3">
        <f t="shared" ca="1" si="20"/>
        <v>50</v>
      </c>
      <c r="M116" s="18">
        <f ca="1">IF(LOOKUP(G116,$H$3:$H$4,$E$3:$E$4)=1,50,_Media_M + J116*_Sigma)</f>
        <v>50</v>
      </c>
      <c r="N116" s="36">
        <f t="shared" ca="1" si="21"/>
        <v>4.3006343334421508</v>
      </c>
      <c r="O116" s="35">
        <f t="shared" ca="1" si="27"/>
        <v>54.300634333442147</v>
      </c>
      <c r="P116" s="19">
        <f t="shared" ca="1" si="23"/>
        <v>54.300634333442147</v>
      </c>
      <c r="Q116" s="20">
        <f ca="1" xml:space="preserve"> P116*_Precio_cafe</f>
        <v>81.450951500163228</v>
      </c>
      <c r="R116" s="20">
        <f t="shared" ca="1" si="24"/>
        <v>13640.779537918752</v>
      </c>
      <c r="S116" s="20">
        <f ca="1">(1/A116)*((A116-1)*S115 +Q116)</f>
        <v>136.40779537918741</v>
      </c>
      <c r="T116" s="20">
        <f ca="1">IF((T115-P116+F116)&gt;_Max_Stock_Gramos,_Max_Stock_Gramos,T115-P116+F116)</f>
        <v>1648.9734257437749</v>
      </c>
      <c r="U116" s="20">
        <f ca="1">T116/_GramosXFrasco</f>
        <v>9.6998436808457349</v>
      </c>
      <c r="V116" s="58">
        <f ca="1">(T116/_Max_Stock_Gramos)</f>
        <v>0.96998436808457345</v>
      </c>
      <c r="W116" s="58"/>
      <c r="X116" s="10">
        <f ca="1">IF((T115-O116)&lt;0,(T115-O116)*_Costo_Faltante,0)</f>
        <v>0</v>
      </c>
      <c r="Y116">
        <f ca="1">IF(B116=0,E116*_Costo_Frasco,0)</f>
        <v>-500</v>
      </c>
      <c r="Z116" s="11">
        <f t="shared" ca="1" si="25"/>
        <v>-15000</v>
      </c>
    </row>
    <row r="117" spans="1:26" x14ac:dyDescent="0.25">
      <c r="A117" s="30">
        <f t="shared" si="22"/>
        <v>101</v>
      </c>
      <c r="B117" s="10">
        <f>IF(B116=0,_Proxima_Compra,B116-1)</f>
        <v>1</v>
      </c>
      <c r="C117" s="3">
        <f t="shared" ca="1" si="15"/>
        <v>-1</v>
      </c>
      <c r="D117" s="3">
        <f ca="1">IF(D116&gt;0,D116-1,IF(C117&gt;0,LOOKUP(C117,$S$3:$S$5,$P$3:$P$5),-1))</f>
        <v>-1</v>
      </c>
      <c r="E117" s="25">
        <f t="shared" ca="1" si="16"/>
        <v>0</v>
      </c>
      <c r="F117" s="28">
        <f ca="1">E117*_GramosXFrasco</f>
        <v>0</v>
      </c>
      <c r="G117" s="38">
        <f t="shared" ca="1" si="17"/>
        <v>0.16632155915842362</v>
      </c>
      <c r="H117" s="36">
        <f t="shared" ca="1" si="18"/>
        <v>-1</v>
      </c>
      <c r="I117" s="36">
        <f t="shared" ca="1" si="19"/>
        <v>-1</v>
      </c>
      <c r="J117" s="36">
        <f t="shared" ca="1" si="26"/>
        <v>-1</v>
      </c>
      <c r="K117" s="37">
        <f ca="1">IF(J117&lt;&gt;-1,_Media_M + J117*_Sigma,-1)</f>
        <v>-1</v>
      </c>
      <c r="L117" s="3">
        <f t="shared" ca="1" si="20"/>
        <v>50</v>
      </c>
      <c r="M117" s="18">
        <f ca="1">IF(LOOKUP(G117,$H$3:$H$4,$E$3:$E$4)=1,50,_Media_M + J117*_Sigma)</f>
        <v>50</v>
      </c>
      <c r="N117" s="36">
        <f t="shared" ca="1" si="21"/>
        <v>43.933240674223015</v>
      </c>
      <c r="O117" s="35">
        <f t="shared" ca="1" si="27"/>
        <v>93.933240674223015</v>
      </c>
      <c r="P117" s="19">
        <f t="shared" ca="1" si="23"/>
        <v>93.933240674223015</v>
      </c>
      <c r="Q117" s="20">
        <f ca="1" xml:space="preserve"> P117*_Precio_cafe</f>
        <v>140.89986101133451</v>
      </c>
      <c r="R117" s="20">
        <f t="shared" ca="1" si="24"/>
        <v>13781.679398930086</v>
      </c>
      <c r="S117" s="20">
        <f ca="1">(1/A117)*((A117-1)*S116 +Q117)</f>
        <v>136.45227127653538</v>
      </c>
      <c r="T117" s="20">
        <f ca="1">IF((T116-P117+F117)&gt;_Max_Stock_Gramos,_Max_Stock_Gramos,T116-P117+F117)</f>
        <v>1555.0401850695519</v>
      </c>
      <c r="U117" s="20">
        <f ca="1">T117/_GramosXFrasco</f>
        <v>9.1472952062914814</v>
      </c>
      <c r="V117" s="58">
        <f ca="1">(T117/_Max_Stock_Gramos)</f>
        <v>0.91472952062914814</v>
      </c>
      <c r="W117" s="58"/>
      <c r="X117" s="10">
        <f ca="1">IF((T116-O117)&lt;0,(T116-O117)*_Costo_Faltante,0)</f>
        <v>0</v>
      </c>
      <c r="Y117">
        <f>IF(B117=0,E117*_Costo_Frasco,0)</f>
        <v>0</v>
      </c>
      <c r="Z117" s="11">
        <f t="shared" ca="1" si="25"/>
        <v>-15000</v>
      </c>
    </row>
    <row r="118" spans="1:26" x14ac:dyDescent="0.25">
      <c r="A118" s="30">
        <f t="shared" si="22"/>
        <v>102</v>
      </c>
      <c r="B118" s="10">
        <f>IF(B117=0,_Proxima_Compra,B117-1)</f>
        <v>0</v>
      </c>
      <c r="C118" s="3">
        <f t="shared" ca="1" si="15"/>
        <v>0.92275759495401288</v>
      </c>
      <c r="D118" s="3">
        <f ca="1">IF(D117&gt;0,D117-1,IF(C118&gt;0,LOOKUP(C118,$S$3:$S$5,$P$3:$P$5),-1))</f>
        <v>2</v>
      </c>
      <c r="E118" s="25">
        <f t="shared" ca="1" si="16"/>
        <v>0</v>
      </c>
      <c r="F118" s="28">
        <f ca="1">E118*_GramosXFrasco</f>
        <v>0</v>
      </c>
      <c r="G118" s="38">
        <f t="shared" ca="1" si="17"/>
        <v>0.97925466366620628</v>
      </c>
      <c r="H118" s="36">
        <f t="shared" ca="1" si="18"/>
        <v>0.14659142109900192</v>
      </c>
      <c r="I118" s="36">
        <f t="shared" ca="1" si="19"/>
        <v>0.74246583930957299</v>
      </c>
      <c r="J118" s="36">
        <f t="shared" ca="1" si="26"/>
        <v>-1.7558904169268291E-2</v>
      </c>
      <c r="K118" s="37">
        <f ca="1">IF(J118&lt;&gt;-1,_Media_M + J118*_Sigma,-1)</f>
        <v>74.736616437460981</v>
      </c>
      <c r="L118" s="3">
        <f t="shared" ca="1" si="20"/>
        <v>-1</v>
      </c>
      <c r="M118" s="18">
        <f ca="1">IF(LOOKUP(G118,$H$3:$H$4,$E$3:$E$4)=1,50,_Media_M + J118*_Sigma)</f>
        <v>74.736616437460981</v>
      </c>
      <c r="N118" s="36">
        <f t="shared" ca="1" si="21"/>
        <v>17.257700789354658</v>
      </c>
      <c r="O118" s="35">
        <f t="shared" ca="1" si="27"/>
        <v>91.994317226815639</v>
      </c>
      <c r="P118" s="19">
        <f t="shared" ca="1" si="23"/>
        <v>91.994317226815639</v>
      </c>
      <c r="Q118" s="20">
        <f ca="1" xml:space="preserve"> P118*_Precio_cafe</f>
        <v>137.99147584022347</v>
      </c>
      <c r="R118" s="20">
        <f t="shared" ca="1" si="24"/>
        <v>13919.670874770309</v>
      </c>
      <c r="S118" s="20">
        <f ca="1">(1/A118)*((A118-1)*S117 +Q118)</f>
        <v>136.46736151735584</v>
      </c>
      <c r="T118" s="20">
        <f ca="1">IF((T117-P118+F118)&gt;_Max_Stock_Gramos,_Max_Stock_Gramos,T117-P118+F118)</f>
        <v>1463.0458678427362</v>
      </c>
      <c r="U118" s="20">
        <f ca="1">T118/_GramosXFrasco</f>
        <v>8.6061521637808021</v>
      </c>
      <c r="V118" s="58">
        <f ca="1">(T118/_Max_Stock_Gramos)</f>
        <v>0.86061521637808014</v>
      </c>
      <c r="W118" s="58"/>
      <c r="X118" s="10">
        <f ca="1">IF((T117-O118)&lt;0,(T117-O118)*_Costo_Faltante,0)</f>
        <v>0</v>
      </c>
      <c r="Y118">
        <f ca="1">IF(B118=0,E118*_Costo_Frasco,0)</f>
        <v>0</v>
      </c>
      <c r="Z118" s="11">
        <f t="shared" ca="1" si="25"/>
        <v>-15000</v>
      </c>
    </row>
    <row r="119" spans="1:26" x14ac:dyDescent="0.25">
      <c r="A119" s="30">
        <f t="shared" si="22"/>
        <v>103</v>
      </c>
      <c r="B119" s="10">
        <f>IF(B118=0,_Proxima_Compra,B118-1)</f>
        <v>1</v>
      </c>
      <c r="C119" s="3">
        <f t="shared" ca="1" si="15"/>
        <v>-1</v>
      </c>
      <c r="D119" s="3">
        <f ca="1">IF(D118&gt;0,D118-1,IF(C119&gt;0,LOOKUP(C119,$S$3:$S$5,$P$3:$P$5),-1))</f>
        <v>1</v>
      </c>
      <c r="E119" s="25">
        <f t="shared" ca="1" si="16"/>
        <v>0</v>
      </c>
      <c r="F119" s="28">
        <f ca="1">E119*_GramosXFrasco</f>
        <v>0</v>
      </c>
      <c r="G119" s="38">
        <f t="shared" ca="1" si="17"/>
        <v>0.71846099125333807</v>
      </c>
      <c r="H119" s="36">
        <f t="shared" ca="1" si="18"/>
        <v>0.7027535800282978</v>
      </c>
      <c r="I119" s="36">
        <f t="shared" ca="1" si="19"/>
        <v>0.56764352148880881</v>
      </c>
      <c r="J119" s="36">
        <f t="shared" ca="1" si="26"/>
        <v>-0.93520277203266633</v>
      </c>
      <c r="K119" s="37">
        <f ca="1">IF(J119&lt;&gt;-1,_Media_M + J119*_Sigma,-1)</f>
        <v>60.971958419510003</v>
      </c>
      <c r="L119" s="3">
        <f t="shared" ca="1" si="20"/>
        <v>-1</v>
      </c>
      <c r="M119" s="18">
        <f ca="1">IF(LOOKUP(G119,$H$3:$H$4,$E$3:$E$4)=1,50,_Media_M + J119*_Sigma)</f>
        <v>60.971958419510003</v>
      </c>
      <c r="N119" s="36">
        <f t="shared" ca="1" si="21"/>
        <v>1.3426644477015131</v>
      </c>
      <c r="O119" s="35">
        <f t="shared" ca="1" si="27"/>
        <v>62.314622867211519</v>
      </c>
      <c r="P119" s="19">
        <f t="shared" ca="1" si="23"/>
        <v>62.314622867211519</v>
      </c>
      <c r="Q119" s="20">
        <f ca="1" xml:space="preserve"> P119*_Precio_cafe</f>
        <v>93.471934300817281</v>
      </c>
      <c r="R119" s="20">
        <f t="shared" ca="1" si="24"/>
        <v>14013.142809071125</v>
      </c>
      <c r="S119" s="20">
        <f ca="1">(1/A119)*((A119-1)*S118 +Q119)</f>
        <v>136.04993018515643</v>
      </c>
      <c r="T119" s="20">
        <f ca="1">IF((T118-P119+F119)&gt;_Max_Stock_Gramos,_Max_Stock_Gramos,T118-P119+F119)</f>
        <v>1400.7312449755248</v>
      </c>
      <c r="U119" s="20">
        <f ca="1">T119/_GramosXFrasco</f>
        <v>8.2395955586795573</v>
      </c>
      <c r="V119" s="58">
        <f ca="1">(T119/_Max_Stock_Gramos)</f>
        <v>0.82395955586795577</v>
      </c>
      <c r="W119" s="58"/>
      <c r="X119" s="10">
        <f ca="1">IF((T118-O119)&lt;0,(T118-O119)*_Costo_Faltante,0)</f>
        <v>0</v>
      </c>
      <c r="Y119">
        <f>IF(B119=0,E119*_Costo_Frasco,0)</f>
        <v>0</v>
      </c>
      <c r="Z119" s="11">
        <f t="shared" ca="1" si="25"/>
        <v>-15000</v>
      </c>
    </row>
    <row r="120" spans="1:26" x14ac:dyDescent="0.25">
      <c r="A120" s="30">
        <f t="shared" si="22"/>
        <v>104</v>
      </c>
      <c r="B120" s="10">
        <f>IF(B119=0,_Proxima_Compra,B119-1)</f>
        <v>0</v>
      </c>
      <c r="C120" s="3">
        <f t="shared" ca="1" si="15"/>
        <v>0.2679617597792916</v>
      </c>
      <c r="D120" s="3">
        <f ca="1">IF(D119&gt;0,D119-1,IF(C120&gt;0,LOOKUP(C120,$S$3:$S$5,$P$3:$P$5),-1))</f>
        <v>0</v>
      </c>
      <c r="E120" s="25">
        <f t="shared" ca="1" si="16"/>
        <v>2</v>
      </c>
      <c r="F120" s="28">
        <f ca="1">E120*_GramosXFrasco</f>
        <v>340</v>
      </c>
      <c r="G120" s="38">
        <f t="shared" ca="1" si="17"/>
        <v>0.75219172329328121</v>
      </c>
      <c r="H120" s="36">
        <f t="shared" ca="1" si="18"/>
        <v>0.14518683232343921</v>
      </c>
      <c r="I120" s="36">
        <f t="shared" ca="1" si="19"/>
        <v>0.35228796026384024</v>
      </c>
      <c r="J120" s="36">
        <f t="shared" ca="1" si="26"/>
        <v>-0.22124016363893423</v>
      </c>
      <c r="K120" s="37">
        <f ca="1">IF(J120&lt;&gt;-1,_Media_M + J120*_Sigma,-1)</f>
        <v>71.68139754541599</v>
      </c>
      <c r="L120" s="3">
        <f t="shared" ca="1" si="20"/>
        <v>-1</v>
      </c>
      <c r="M120" s="18">
        <f ca="1">IF(LOOKUP(G120,$H$3:$H$4,$E$3:$E$4)=1,50,_Media_M + J120*_Sigma)</f>
        <v>71.68139754541599</v>
      </c>
      <c r="N120" s="36">
        <f t="shared" ca="1" si="21"/>
        <v>0.20853234529260672</v>
      </c>
      <c r="O120" s="35">
        <f t="shared" ca="1" si="27"/>
        <v>71.889929890708601</v>
      </c>
      <c r="P120" s="19">
        <f t="shared" ca="1" si="23"/>
        <v>71.889929890708601</v>
      </c>
      <c r="Q120" s="20">
        <f ca="1" xml:space="preserve"> P120*_Precio_cafe</f>
        <v>107.8348948360629</v>
      </c>
      <c r="R120" s="20">
        <f t="shared" ca="1" si="24"/>
        <v>14120.977703907189</v>
      </c>
      <c r="S120" s="20">
        <f ca="1">(1/A120)*((A120-1)*S119 +Q120)</f>
        <v>135.77863176833824</v>
      </c>
      <c r="T120" s="20">
        <f ca="1">IF((T119-P120+F120)&gt;_Max_Stock_Gramos,_Max_Stock_Gramos,T119-P120+F120)</f>
        <v>1668.8413150848162</v>
      </c>
      <c r="U120" s="20">
        <f ca="1">T120/_GramosXFrasco</f>
        <v>9.8167136181459771</v>
      </c>
      <c r="V120" s="58">
        <f ca="1">(T120/_Max_Stock_Gramos)</f>
        <v>0.9816713618145978</v>
      </c>
      <c r="W120" s="58"/>
      <c r="X120" s="10">
        <f ca="1">IF((T119-O120)&lt;0,(T119-O120)*_Costo_Faltante,0)</f>
        <v>0</v>
      </c>
      <c r="Y120">
        <f ca="1">IF(B120=0,E120*_Costo_Frasco,0)</f>
        <v>-500</v>
      </c>
      <c r="Z120" s="11">
        <f t="shared" ca="1" si="25"/>
        <v>-15500</v>
      </c>
    </row>
    <row r="121" spans="1:26" x14ac:dyDescent="0.25">
      <c r="A121" s="30">
        <f t="shared" si="22"/>
        <v>105</v>
      </c>
      <c r="B121" s="10">
        <f>IF(B120=0,_Proxima_Compra,B120-1)</f>
        <v>1</v>
      </c>
      <c r="C121" s="3">
        <f t="shared" ca="1" si="15"/>
        <v>-1</v>
      </c>
      <c r="D121" s="3">
        <f ca="1">IF(D120&gt;0,D120-1,IF(C121&gt;0,LOOKUP(C121,$S$3:$S$5,$P$3:$P$5),-1))</f>
        <v>-1</v>
      </c>
      <c r="E121" s="25">
        <f t="shared" ca="1" si="16"/>
        <v>0</v>
      </c>
      <c r="F121" s="28">
        <f ca="1">E121*_GramosXFrasco</f>
        <v>0</v>
      </c>
      <c r="G121" s="38">
        <f t="shared" ca="1" si="17"/>
        <v>0.76057187577602681</v>
      </c>
      <c r="H121" s="36">
        <f t="shared" ca="1" si="18"/>
        <v>0.43519868034096498</v>
      </c>
      <c r="I121" s="36">
        <f t="shared" ca="1" si="19"/>
        <v>0.36816463137783839</v>
      </c>
      <c r="J121" s="36">
        <f t="shared" ca="1" si="26"/>
        <v>-0.4762555851992028</v>
      </c>
      <c r="K121" s="37">
        <f ca="1">IF(J121&lt;&gt;-1,_Media_M + J121*_Sigma,-1)</f>
        <v>67.856166222011964</v>
      </c>
      <c r="L121" s="3">
        <f t="shared" ca="1" si="20"/>
        <v>-1</v>
      </c>
      <c r="M121" s="18">
        <f ca="1">IF(LOOKUP(G121,$H$3:$H$4,$E$3:$E$4)=1,50,_Media_M + J121*_Sigma)</f>
        <v>67.856166222011964</v>
      </c>
      <c r="N121" s="36">
        <f t="shared" ca="1" si="21"/>
        <v>38.700735967226734</v>
      </c>
      <c r="O121" s="35">
        <f t="shared" ca="1" si="27"/>
        <v>106.5569021892387</v>
      </c>
      <c r="P121" s="19">
        <f t="shared" ca="1" si="23"/>
        <v>106.5569021892387</v>
      </c>
      <c r="Q121" s="20">
        <f ca="1" xml:space="preserve"> P121*_Precio_cafe</f>
        <v>159.83535328385804</v>
      </c>
      <c r="R121" s="20">
        <f t="shared" ca="1" si="24"/>
        <v>14280.813057191046</v>
      </c>
      <c r="S121" s="20">
        <f ca="1">(1/A121)*((A121-1)*S120 +Q121)</f>
        <v>136.0077434018194</v>
      </c>
      <c r="T121" s="20">
        <f ca="1">IF((T120-P121+F121)&gt;_Max_Stock_Gramos,_Max_Stock_Gramos,T120-P121+F121)</f>
        <v>1562.2844128955776</v>
      </c>
      <c r="U121" s="20">
        <f ca="1">T121/_GramosXFrasco</f>
        <v>9.1899083111504556</v>
      </c>
      <c r="V121" s="58">
        <f ca="1">(T121/_Max_Stock_Gramos)</f>
        <v>0.91899083111504565</v>
      </c>
      <c r="W121" s="58"/>
      <c r="X121" s="10">
        <f ca="1">IF((T120-O121)&lt;0,(T120-O121)*_Costo_Faltante,0)</f>
        <v>0</v>
      </c>
      <c r="Y121">
        <f>IF(B121=0,E121*_Costo_Frasco,0)</f>
        <v>0</v>
      </c>
      <c r="Z121" s="11">
        <f t="shared" ca="1" si="25"/>
        <v>-15500</v>
      </c>
    </row>
    <row r="122" spans="1:26" x14ac:dyDescent="0.25">
      <c r="A122" s="30">
        <f t="shared" si="22"/>
        <v>106</v>
      </c>
      <c r="B122" s="10">
        <f>IF(B121=0,_Proxima_Compra,B121-1)</f>
        <v>0</v>
      </c>
      <c r="C122" s="3">
        <f t="shared" ca="1" si="15"/>
        <v>0.82650355390789332</v>
      </c>
      <c r="D122" s="3">
        <f ca="1">IF(D121&gt;0,D121-1,IF(C122&gt;0,LOOKUP(C122,$S$3:$S$5,$P$3:$P$5),-1))</f>
        <v>2</v>
      </c>
      <c r="E122" s="25">
        <f t="shared" ca="1" si="16"/>
        <v>0</v>
      </c>
      <c r="F122" s="28">
        <f ca="1">E122*_GramosXFrasco</f>
        <v>0</v>
      </c>
      <c r="G122" s="38">
        <f t="shared" ca="1" si="17"/>
        <v>0.94027687878127075</v>
      </c>
      <c r="H122" s="36">
        <f t="shared" ca="1" si="18"/>
        <v>0.35226197408252968</v>
      </c>
      <c r="I122" s="36">
        <f t="shared" ca="1" si="19"/>
        <v>0.25681551833887195</v>
      </c>
      <c r="J122" s="36">
        <f t="shared" ca="1" si="26"/>
        <v>-2.6292540700809074E-2</v>
      </c>
      <c r="K122" s="37">
        <f ca="1">IF(J122&lt;&gt;-1,_Media_M + J122*_Sigma,-1)</f>
        <v>74.605611889487861</v>
      </c>
      <c r="L122" s="3">
        <f t="shared" ca="1" si="20"/>
        <v>-1</v>
      </c>
      <c r="M122" s="18">
        <f ca="1">IF(LOOKUP(G122,$H$3:$H$4,$E$3:$E$4)=1,50,_Media_M + J122*_Sigma)</f>
        <v>74.605611889487861</v>
      </c>
      <c r="N122" s="36">
        <f t="shared" ca="1" si="21"/>
        <v>86.809817567275488</v>
      </c>
      <c r="O122" s="35">
        <f t="shared" ca="1" si="27"/>
        <v>161.41542945676335</v>
      </c>
      <c r="P122" s="19">
        <f t="shared" ca="1" si="23"/>
        <v>161.41542945676335</v>
      </c>
      <c r="Q122" s="20">
        <f ca="1" xml:space="preserve"> P122*_Precio_cafe</f>
        <v>242.12314418514501</v>
      </c>
      <c r="R122" s="20">
        <f t="shared" ca="1" si="24"/>
        <v>14522.936201376191</v>
      </c>
      <c r="S122" s="20">
        <f ca="1">(1/A122)*((A122-1)*S121 +Q122)</f>
        <v>137.00883208845454</v>
      </c>
      <c r="T122" s="20">
        <f ca="1">IF((T121-P122+F122)&gt;_Max_Stock_Gramos,_Max_Stock_Gramos,T121-P122+F122)</f>
        <v>1400.8689834388142</v>
      </c>
      <c r="U122" s="20">
        <f ca="1">T122/_GramosXFrasco</f>
        <v>8.2404057849342021</v>
      </c>
      <c r="V122" s="58">
        <f ca="1">(T122/_Max_Stock_Gramos)</f>
        <v>0.82404057849342016</v>
      </c>
      <c r="W122" s="58"/>
      <c r="X122" s="10">
        <f ca="1">IF((T121-O122)&lt;0,(T121-O122)*_Costo_Faltante,0)</f>
        <v>0</v>
      </c>
      <c r="Y122">
        <f ca="1">IF(B122=0,E122*_Costo_Frasco,0)</f>
        <v>0</v>
      </c>
      <c r="Z122" s="11">
        <f t="shared" ca="1" si="25"/>
        <v>-15500</v>
      </c>
    </row>
    <row r="123" spans="1:26" x14ac:dyDescent="0.25">
      <c r="A123" s="30">
        <f t="shared" si="22"/>
        <v>107</v>
      </c>
      <c r="B123" s="10">
        <f>IF(B122=0,_Proxima_Compra,B122-1)</f>
        <v>1</v>
      </c>
      <c r="C123" s="3">
        <f t="shared" ca="1" si="15"/>
        <v>-1</v>
      </c>
      <c r="D123" s="3">
        <f ca="1">IF(D122&gt;0,D122-1,IF(C123&gt;0,LOOKUP(C123,$S$3:$S$5,$P$3:$P$5),-1))</f>
        <v>1</v>
      </c>
      <c r="E123" s="25">
        <f t="shared" ca="1" si="16"/>
        <v>0</v>
      </c>
      <c r="F123" s="28">
        <f ca="1">E123*_GramosXFrasco</f>
        <v>0</v>
      </c>
      <c r="G123" s="38">
        <f t="shared" ca="1" si="17"/>
        <v>0.28782617414823419</v>
      </c>
      <c r="H123" s="36">
        <f t="shared" ca="1" si="18"/>
        <v>-1</v>
      </c>
      <c r="I123" s="36">
        <f t="shared" ca="1" si="19"/>
        <v>-1</v>
      </c>
      <c r="J123" s="36">
        <f t="shared" ca="1" si="26"/>
        <v>-1</v>
      </c>
      <c r="K123" s="37">
        <f ca="1">IF(J123&lt;&gt;-1,_Media_M + J123*_Sigma,-1)</f>
        <v>-1</v>
      </c>
      <c r="L123" s="3">
        <f t="shared" ca="1" si="20"/>
        <v>50</v>
      </c>
      <c r="M123" s="18">
        <f ca="1">IF(LOOKUP(G123,$H$3:$H$4,$E$3:$E$4)=1,50,_Media_M + J123*_Sigma)</f>
        <v>50</v>
      </c>
      <c r="N123" s="36">
        <f t="shared" ca="1" si="21"/>
        <v>66.826573706658621</v>
      </c>
      <c r="O123" s="35">
        <f t="shared" ca="1" si="27"/>
        <v>116.82657370665862</v>
      </c>
      <c r="P123" s="19">
        <f t="shared" ca="1" si="23"/>
        <v>116.82657370665862</v>
      </c>
      <c r="Q123" s="20">
        <f ca="1" xml:space="preserve"> P123*_Precio_cafe</f>
        <v>175.23986055998793</v>
      </c>
      <c r="R123" s="20">
        <f t="shared" ca="1" si="24"/>
        <v>14698.176061936179</v>
      </c>
      <c r="S123" s="20">
        <f ca="1">(1/A123)*((A123-1)*S122 +Q123)</f>
        <v>137.3661314199642</v>
      </c>
      <c r="T123" s="20">
        <f ca="1">IF((T122-P123+F123)&gt;_Max_Stock_Gramos,_Max_Stock_Gramos,T122-P123+F123)</f>
        <v>1284.0424097321556</v>
      </c>
      <c r="U123" s="20">
        <f ca="1">T123/_GramosXFrasco</f>
        <v>7.5531906454832685</v>
      </c>
      <c r="V123" s="58">
        <f ca="1">(T123/_Max_Stock_Gramos)</f>
        <v>0.75531906454832687</v>
      </c>
      <c r="W123" s="58"/>
      <c r="X123" s="10">
        <f ca="1">IF((T122-O123)&lt;0,(T122-O123)*_Costo_Faltante,0)</f>
        <v>0</v>
      </c>
      <c r="Y123">
        <f>IF(B123=0,E123*_Costo_Frasco,0)</f>
        <v>0</v>
      </c>
      <c r="Z123" s="11">
        <f t="shared" ca="1" si="25"/>
        <v>-15500</v>
      </c>
    </row>
    <row r="124" spans="1:26" x14ac:dyDescent="0.25">
      <c r="A124" s="30">
        <f t="shared" si="22"/>
        <v>108</v>
      </c>
      <c r="B124" s="10">
        <f>IF(B123=0,_Proxima_Compra,B123-1)</f>
        <v>0</v>
      </c>
      <c r="C124" s="3">
        <f t="shared" ca="1" si="15"/>
        <v>6.2046217333464826E-2</v>
      </c>
      <c r="D124" s="3">
        <f ca="1">IF(D123&gt;0,D123-1,IF(C124&gt;0,LOOKUP(C124,$S$3:$S$5,$P$3:$P$5),-1))</f>
        <v>0</v>
      </c>
      <c r="E124" s="25">
        <f t="shared" ca="1" si="16"/>
        <v>2</v>
      </c>
      <c r="F124" s="28">
        <f ca="1">E124*_GramosXFrasco</f>
        <v>340</v>
      </c>
      <c r="G124" s="38">
        <f t="shared" ca="1" si="17"/>
        <v>0.97408866642021819</v>
      </c>
      <c r="H124" s="36">
        <f t="shared" ca="1" si="18"/>
        <v>0.42479978120705764</v>
      </c>
      <c r="I124" s="36">
        <f t="shared" ca="1" si="19"/>
        <v>0.88070939112272795</v>
      </c>
      <c r="J124" s="36">
        <f t="shared" ca="1" si="26"/>
        <v>0.50734433909955634</v>
      </c>
      <c r="K124" s="37">
        <f ca="1">IF(J124&lt;&gt;-1,_Media_M + J124*_Sigma,-1)</f>
        <v>82.610165086493339</v>
      </c>
      <c r="L124" s="3">
        <f t="shared" ca="1" si="20"/>
        <v>-1</v>
      </c>
      <c r="M124" s="18">
        <f ca="1">IF(LOOKUP(G124,$H$3:$H$4,$E$3:$E$4)=1,50,_Media_M + J124*_Sigma)</f>
        <v>82.610165086493339</v>
      </c>
      <c r="N124" s="36">
        <f t="shared" ca="1" si="21"/>
        <v>31.293829987665021</v>
      </c>
      <c r="O124" s="35">
        <f t="shared" ca="1" si="27"/>
        <v>113.90399507415836</v>
      </c>
      <c r="P124" s="19">
        <f t="shared" ca="1" si="23"/>
        <v>113.90399507415836</v>
      </c>
      <c r="Q124" s="20">
        <f ca="1" xml:space="preserve"> P124*_Precio_cafe</f>
        <v>170.85599261123753</v>
      </c>
      <c r="R124" s="20">
        <f t="shared" ca="1" si="24"/>
        <v>14869.032054547417</v>
      </c>
      <c r="S124" s="20">
        <f ca="1">(1/A124)*((A124-1)*S123 +Q124)</f>
        <v>137.67622272729079</v>
      </c>
      <c r="T124" s="20">
        <f ca="1">IF((T123-P124+F124)&gt;_Max_Stock_Gramos,_Max_Stock_Gramos,T123-P124+F124)</f>
        <v>1510.1384146579974</v>
      </c>
      <c r="U124" s="20">
        <f ca="1">T124/_GramosXFrasco</f>
        <v>8.8831671450470431</v>
      </c>
      <c r="V124" s="58">
        <f ca="1">(T124/_Max_Stock_Gramos)</f>
        <v>0.88831671450470429</v>
      </c>
      <c r="W124" s="58"/>
      <c r="X124" s="10">
        <f ca="1">IF((T123-O124)&lt;0,(T123-O124)*_Costo_Faltante,0)</f>
        <v>0</v>
      </c>
      <c r="Y124">
        <f ca="1">IF(B124=0,E124*_Costo_Frasco,0)</f>
        <v>-500</v>
      </c>
      <c r="Z124" s="11">
        <f t="shared" ca="1" si="25"/>
        <v>-16000</v>
      </c>
    </row>
    <row r="125" spans="1:26" x14ac:dyDescent="0.25">
      <c r="A125" s="30">
        <f t="shared" si="22"/>
        <v>109</v>
      </c>
      <c r="B125" s="10">
        <f>IF(B124=0,_Proxima_Compra,B124-1)</f>
        <v>1</v>
      </c>
      <c r="C125" s="3">
        <f t="shared" ca="1" si="15"/>
        <v>-1</v>
      </c>
      <c r="D125" s="3">
        <f ca="1">IF(D124&gt;0,D124-1,IF(C125&gt;0,LOOKUP(C125,$S$3:$S$5,$P$3:$P$5),-1))</f>
        <v>-1</v>
      </c>
      <c r="E125" s="25">
        <f t="shared" ca="1" si="16"/>
        <v>0</v>
      </c>
      <c r="F125" s="28">
        <f ca="1">E125*_GramosXFrasco</f>
        <v>0</v>
      </c>
      <c r="G125" s="38">
        <f t="shared" ca="1" si="17"/>
        <v>0.39599047618784089</v>
      </c>
      <c r="H125" s="36">
        <f t="shared" ca="1" si="18"/>
        <v>-1</v>
      </c>
      <c r="I125" s="36">
        <f t="shared" ca="1" si="19"/>
        <v>-1</v>
      </c>
      <c r="J125" s="36">
        <f t="shared" ca="1" si="26"/>
        <v>-1</v>
      </c>
      <c r="K125" s="37">
        <f ca="1">IF(J125&lt;&gt;-1,_Media_M + J125*_Sigma,-1)</f>
        <v>-1</v>
      </c>
      <c r="L125" s="3">
        <f t="shared" ca="1" si="20"/>
        <v>50</v>
      </c>
      <c r="M125" s="18">
        <f ca="1">IF(LOOKUP(G125,$H$3:$H$4,$E$3:$E$4)=1,50,_Media_M + J125*_Sigma)</f>
        <v>50</v>
      </c>
      <c r="N125" s="36">
        <f t="shared" ca="1" si="21"/>
        <v>48.82049831082626</v>
      </c>
      <c r="O125" s="35">
        <f t="shared" ca="1" si="27"/>
        <v>98.820498310826252</v>
      </c>
      <c r="P125" s="19">
        <f t="shared" ca="1" si="23"/>
        <v>98.820498310826252</v>
      </c>
      <c r="Q125" s="20">
        <f ca="1" xml:space="preserve"> P125*_Precio_cafe</f>
        <v>148.23074746623939</v>
      </c>
      <c r="R125" s="20">
        <f t="shared" ca="1" si="24"/>
        <v>15017.262802013656</v>
      </c>
      <c r="S125" s="20">
        <f ca="1">(1/A125)*((A125-1)*S124 +Q125)</f>
        <v>137.773053229483</v>
      </c>
      <c r="T125" s="20">
        <f ca="1">IF((T124-P125+F125)&gt;_Max_Stock_Gramos,_Max_Stock_Gramos,T124-P125+F125)</f>
        <v>1411.3179163471711</v>
      </c>
      <c r="U125" s="20">
        <f ca="1">T125/_GramosXFrasco</f>
        <v>8.3018700961598295</v>
      </c>
      <c r="V125" s="58">
        <f ca="1">(T125/_Max_Stock_Gramos)</f>
        <v>0.83018700961598302</v>
      </c>
      <c r="W125" s="58"/>
      <c r="X125" s="10">
        <f ca="1">IF((T124-O125)&lt;0,(T124-O125)*_Costo_Faltante,0)</f>
        <v>0</v>
      </c>
      <c r="Y125">
        <f>IF(B125=0,E125*_Costo_Frasco,0)</f>
        <v>0</v>
      </c>
      <c r="Z125" s="11">
        <f t="shared" ca="1" si="25"/>
        <v>-16000</v>
      </c>
    </row>
    <row r="126" spans="1:26" x14ac:dyDescent="0.25">
      <c r="A126" s="30">
        <f t="shared" si="22"/>
        <v>110</v>
      </c>
      <c r="B126" s="10">
        <f>IF(B125=0,_Proxima_Compra,B125-1)</f>
        <v>0</v>
      </c>
      <c r="C126" s="3">
        <f t="shared" ca="1" si="15"/>
        <v>4.692922757597906E-2</v>
      </c>
      <c r="D126" s="3">
        <f ca="1">IF(D125&gt;0,D125-1,IF(C126&gt;0,LOOKUP(C126,$S$3:$S$5,$P$3:$P$5),-1))</f>
        <v>0</v>
      </c>
      <c r="E126" s="25">
        <f t="shared" ca="1" si="16"/>
        <v>2</v>
      </c>
      <c r="F126" s="28">
        <f ca="1">E126*_GramosXFrasco</f>
        <v>340</v>
      </c>
      <c r="G126" s="38">
        <f t="shared" ca="1" si="17"/>
        <v>0.3028406271443852</v>
      </c>
      <c r="H126" s="36">
        <f t="shared" ca="1" si="18"/>
        <v>-1</v>
      </c>
      <c r="I126" s="36">
        <f t="shared" ca="1" si="19"/>
        <v>-1</v>
      </c>
      <c r="J126" s="36">
        <f t="shared" ca="1" si="26"/>
        <v>-1</v>
      </c>
      <c r="K126" s="37">
        <f ca="1">IF(J126&lt;&gt;-1,_Media_M + J126*_Sigma,-1)</f>
        <v>-1</v>
      </c>
      <c r="L126" s="3">
        <f t="shared" ca="1" si="20"/>
        <v>50</v>
      </c>
      <c r="M126" s="18">
        <f ca="1">IF(LOOKUP(G126,$H$3:$H$4,$E$3:$E$4)=1,50,_Media_M + J126*_Sigma)</f>
        <v>50</v>
      </c>
      <c r="N126" s="36">
        <f t="shared" ca="1" si="21"/>
        <v>39.68509799921673</v>
      </c>
      <c r="O126" s="35">
        <f t="shared" ca="1" si="27"/>
        <v>89.685097999216737</v>
      </c>
      <c r="P126" s="19">
        <f t="shared" ca="1" si="23"/>
        <v>89.685097999216737</v>
      </c>
      <c r="Q126" s="20">
        <f ca="1" xml:space="preserve"> P126*_Precio_cafe</f>
        <v>134.52764699882511</v>
      </c>
      <c r="R126" s="20">
        <f t="shared" ca="1" si="24"/>
        <v>15151.790449012482</v>
      </c>
      <c r="S126" s="20">
        <f ca="1">(1/A126)*((A126-1)*S125 +Q126)</f>
        <v>137.74354953647702</v>
      </c>
      <c r="T126" s="20">
        <f ca="1">IF((T125-P126+F126)&gt;_Max_Stock_Gramos,_Max_Stock_Gramos,T125-P126+F126)</f>
        <v>1661.6328183479545</v>
      </c>
      <c r="U126" s="20">
        <f ca="1">T126/_GramosXFrasco</f>
        <v>9.7743106961644379</v>
      </c>
      <c r="V126" s="58">
        <f ca="1">(T126/_Max_Stock_Gramos)</f>
        <v>0.97743106961644388</v>
      </c>
      <c r="W126" s="58"/>
      <c r="X126" s="10">
        <f ca="1">IF((T125-O126)&lt;0,(T125-O126)*_Costo_Faltante,0)</f>
        <v>0</v>
      </c>
      <c r="Y126">
        <f ca="1">IF(B126=0,E126*_Costo_Frasco,0)</f>
        <v>-500</v>
      </c>
      <c r="Z126" s="11">
        <f t="shared" ca="1" si="25"/>
        <v>-16500</v>
      </c>
    </row>
    <row r="127" spans="1:26" x14ac:dyDescent="0.25">
      <c r="A127" s="30">
        <f t="shared" si="22"/>
        <v>111</v>
      </c>
      <c r="B127" s="10">
        <f>IF(B126=0,_Proxima_Compra,B126-1)</f>
        <v>1</v>
      </c>
      <c r="C127" s="3">
        <f t="shared" ca="1" si="15"/>
        <v>-1</v>
      </c>
      <c r="D127" s="3">
        <f ca="1">IF(D126&gt;0,D126-1,IF(C127&gt;0,LOOKUP(C127,$S$3:$S$5,$P$3:$P$5),-1))</f>
        <v>-1</v>
      </c>
      <c r="E127" s="25">
        <f t="shared" ca="1" si="16"/>
        <v>0</v>
      </c>
      <c r="F127" s="28">
        <f ca="1">E127*_GramosXFrasco</f>
        <v>0</v>
      </c>
      <c r="G127" s="38">
        <f t="shared" ca="1" si="17"/>
        <v>9.5758308178798712E-2</v>
      </c>
      <c r="H127" s="36">
        <f t="shared" ca="1" si="18"/>
        <v>-1</v>
      </c>
      <c r="I127" s="36">
        <f t="shared" ca="1" si="19"/>
        <v>-1</v>
      </c>
      <c r="J127" s="36">
        <f t="shared" ca="1" si="26"/>
        <v>-1</v>
      </c>
      <c r="K127" s="37">
        <f ca="1">IF(J127&lt;&gt;-1,_Media_M + J127*_Sigma,-1)</f>
        <v>-1</v>
      </c>
      <c r="L127" s="3">
        <f t="shared" ca="1" si="20"/>
        <v>50</v>
      </c>
      <c r="M127" s="18">
        <f ca="1">IF(LOOKUP(G127,$H$3:$H$4,$E$3:$E$4)=1,50,_Media_M + J127*_Sigma)</f>
        <v>50</v>
      </c>
      <c r="N127" s="36">
        <f t="shared" ca="1" si="21"/>
        <v>0.29237816150133711</v>
      </c>
      <c r="O127" s="35">
        <f t="shared" ca="1" si="27"/>
        <v>50.29237816150134</v>
      </c>
      <c r="P127" s="19">
        <f t="shared" ca="1" si="23"/>
        <v>50.29237816150134</v>
      </c>
      <c r="Q127" s="20">
        <f ca="1" xml:space="preserve"> P127*_Precio_cafe</f>
        <v>75.438567242252006</v>
      </c>
      <c r="R127" s="20">
        <f t="shared" ca="1" si="24"/>
        <v>15227.229016254734</v>
      </c>
      <c r="S127" s="20">
        <f ca="1">(1/A127)*((A127-1)*S126 +Q127)</f>
        <v>137.18224338968221</v>
      </c>
      <c r="T127" s="20">
        <f ca="1">IF((T126-P127+F127)&gt;_Max_Stock_Gramos,_Max_Stock_Gramos,T126-P127+F127)</f>
        <v>1611.3404401864532</v>
      </c>
      <c r="U127" s="20">
        <f ca="1">T127/_GramosXFrasco</f>
        <v>9.4784731775673716</v>
      </c>
      <c r="V127" s="58">
        <f ca="1">(T127/_Max_Stock_Gramos)</f>
        <v>0.94784731775673714</v>
      </c>
      <c r="W127" s="58"/>
      <c r="X127" s="10">
        <f ca="1">IF((T126-O127)&lt;0,(T126-O127)*_Costo_Faltante,0)</f>
        <v>0</v>
      </c>
      <c r="Y127">
        <f>IF(B127=0,E127*_Costo_Frasco,0)</f>
        <v>0</v>
      </c>
      <c r="Z127" s="11">
        <f t="shared" ca="1" si="25"/>
        <v>-16500</v>
      </c>
    </row>
    <row r="128" spans="1:26" x14ac:dyDescent="0.25">
      <c r="A128" s="30">
        <f t="shared" si="22"/>
        <v>112</v>
      </c>
      <c r="B128" s="10">
        <f>IF(B127=0,_Proxima_Compra,B127-1)</f>
        <v>0</v>
      </c>
      <c r="C128" s="3">
        <f t="shared" ca="1" si="15"/>
        <v>0.68873766829741034</v>
      </c>
      <c r="D128" s="3">
        <f ca="1">IF(D127&gt;0,D127-1,IF(C128&gt;0,LOOKUP(C128,$S$3:$S$5,$P$3:$P$5),-1))</f>
        <v>1</v>
      </c>
      <c r="E128" s="25">
        <f t="shared" ca="1" si="16"/>
        <v>0</v>
      </c>
      <c r="F128" s="28">
        <f ca="1">E128*_GramosXFrasco</f>
        <v>0</v>
      </c>
      <c r="G128" s="38">
        <f t="shared" ca="1" si="17"/>
        <v>0.41566051128248538</v>
      </c>
      <c r="H128" s="36">
        <f t="shared" ca="1" si="18"/>
        <v>-1</v>
      </c>
      <c r="I128" s="36">
        <f t="shared" ca="1" si="19"/>
        <v>-1</v>
      </c>
      <c r="J128" s="36">
        <f t="shared" ca="1" si="26"/>
        <v>-1</v>
      </c>
      <c r="K128" s="37">
        <f ca="1">IF(J128&lt;&gt;-1,_Media_M + J128*_Sigma,-1)</f>
        <v>-1</v>
      </c>
      <c r="L128" s="3">
        <f t="shared" ca="1" si="20"/>
        <v>50</v>
      </c>
      <c r="M128" s="18">
        <f ca="1">IF(LOOKUP(G128,$H$3:$H$4,$E$3:$E$4)=1,50,_Media_M + J128*_Sigma)</f>
        <v>50</v>
      </c>
      <c r="N128" s="36">
        <f t="shared" ca="1" si="21"/>
        <v>10.989011977914442</v>
      </c>
      <c r="O128" s="35">
        <f t="shared" ca="1" si="27"/>
        <v>60.989011977914444</v>
      </c>
      <c r="P128" s="19">
        <f t="shared" ca="1" si="23"/>
        <v>60.989011977914444</v>
      </c>
      <c r="Q128" s="20">
        <f ca="1" xml:space="preserve"> P128*_Precio_cafe</f>
        <v>91.483517966871659</v>
      </c>
      <c r="R128" s="20">
        <f t="shared" ca="1" si="24"/>
        <v>15318.712534221606</v>
      </c>
      <c r="S128" s="20">
        <f ca="1">(1/A128)*((A128-1)*S127 +Q128)</f>
        <v>136.77421905554996</v>
      </c>
      <c r="T128" s="20">
        <f ca="1">IF((T127-P128+F128)&gt;_Max_Stock_Gramos,_Max_Stock_Gramos,T127-P128+F128)</f>
        <v>1550.3514282085387</v>
      </c>
      <c r="U128" s="20">
        <f ca="1">T128/_GramosXFrasco</f>
        <v>9.1197142835796399</v>
      </c>
      <c r="V128" s="58">
        <f ca="1">(T128/_Max_Stock_Gramos)</f>
        <v>0.91197142835796396</v>
      </c>
      <c r="W128" s="58"/>
      <c r="X128" s="10">
        <f ca="1">IF((T127-O128)&lt;0,(T127-O128)*_Costo_Faltante,0)</f>
        <v>0</v>
      </c>
      <c r="Y128">
        <f ca="1">IF(B128=0,E128*_Costo_Frasco,0)</f>
        <v>0</v>
      </c>
      <c r="Z128" s="11">
        <f t="shared" ca="1" si="25"/>
        <v>-16500</v>
      </c>
    </row>
    <row r="129" spans="1:26" x14ac:dyDescent="0.25">
      <c r="A129" s="30">
        <f t="shared" si="22"/>
        <v>113</v>
      </c>
      <c r="B129" s="10">
        <f>IF(B128=0,_Proxima_Compra,B128-1)</f>
        <v>1</v>
      </c>
      <c r="C129" s="3">
        <f t="shared" ca="1" si="15"/>
        <v>-1</v>
      </c>
      <c r="D129" s="3">
        <f ca="1">IF(D128&gt;0,D128-1,IF(C129&gt;0,LOOKUP(C129,$S$3:$S$5,$P$3:$P$5),-1))</f>
        <v>0</v>
      </c>
      <c r="E129" s="25">
        <f t="shared" ca="1" si="16"/>
        <v>2</v>
      </c>
      <c r="F129" s="28">
        <f ca="1">E129*_GramosXFrasco</f>
        <v>340</v>
      </c>
      <c r="G129" s="38">
        <f t="shared" ca="1" si="17"/>
        <v>0.41913469680249382</v>
      </c>
      <c r="H129" s="36">
        <f t="shared" ca="1" si="18"/>
        <v>-1</v>
      </c>
      <c r="I129" s="36">
        <f t="shared" ca="1" si="19"/>
        <v>-1</v>
      </c>
      <c r="J129" s="36">
        <f t="shared" ca="1" si="26"/>
        <v>-1</v>
      </c>
      <c r="K129" s="37">
        <f ca="1">IF(J129&lt;&gt;-1,_Media_M + J129*_Sigma,-1)</f>
        <v>-1</v>
      </c>
      <c r="L129" s="3">
        <f t="shared" ca="1" si="20"/>
        <v>50</v>
      </c>
      <c r="M129" s="18">
        <f ca="1">IF(LOOKUP(G129,$H$3:$H$4,$E$3:$E$4)=1,50,_Media_M + J129*_Sigma)</f>
        <v>50</v>
      </c>
      <c r="N129" s="36">
        <f t="shared" ca="1" si="21"/>
        <v>85.091798681046228</v>
      </c>
      <c r="O129" s="35">
        <f t="shared" ca="1" si="27"/>
        <v>135.09179868104621</v>
      </c>
      <c r="P129" s="19">
        <f t="shared" ca="1" si="23"/>
        <v>135.09179868104621</v>
      </c>
      <c r="Q129" s="20">
        <f ca="1" xml:space="preserve"> P129*_Precio_cafe</f>
        <v>202.63769802156932</v>
      </c>
      <c r="R129" s="20">
        <f t="shared" ca="1" si="24"/>
        <v>15521.350232243176</v>
      </c>
      <c r="S129" s="20">
        <f ca="1">(1/A129)*((A129-1)*S128 +Q129)</f>
        <v>137.35708170126694</v>
      </c>
      <c r="T129" s="20">
        <f ca="1">IF((T128-P129+F129)&gt;_Max_Stock_Gramos,_Max_Stock_Gramos,T128-P129+F129)</f>
        <v>1700</v>
      </c>
      <c r="U129" s="20">
        <f ca="1">T129/_GramosXFrasco</f>
        <v>10</v>
      </c>
      <c r="V129" s="58">
        <f ca="1">(T129/_Max_Stock_Gramos)</f>
        <v>1</v>
      </c>
      <c r="W129" s="58"/>
      <c r="X129" s="10">
        <f ca="1">IF((T128-O129)&lt;0,(T128-O129)*_Costo_Faltante,0)</f>
        <v>0</v>
      </c>
      <c r="Y129">
        <f>IF(B129=0,E129*_Costo_Frasco,0)</f>
        <v>0</v>
      </c>
      <c r="Z129" s="11">
        <f t="shared" ca="1" si="25"/>
        <v>-16500</v>
      </c>
    </row>
    <row r="130" spans="1:26" x14ac:dyDescent="0.25">
      <c r="A130" s="30">
        <f t="shared" si="22"/>
        <v>114</v>
      </c>
      <c r="B130" s="10">
        <f>IF(B129=0,_Proxima_Compra,B129-1)</f>
        <v>0</v>
      </c>
      <c r="C130" s="3">
        <f t="shared" ca="1" si="15"/>
        <v>0.39580872447659121</v>
      </c>
      <c r="D130" s="3">
        <f ca="1">IF(D129&gt;0,D129-1,IF(C130&gt;0,LOOKUP(C130,$S$3:$S$5,$P$3:$P$5),-1))</f>
        <v>0</v>
      </c>
      <c r="E130" s="25">
        <f t="shared" ca="1" si="16"/>
        <v>2</v>
      </c>
      <c r="F130" s="28">
        <f ca="1">E130*_GramosXFrasco</f>
        <v>340</v>
      </c>
      <c r="G130" s="38">
        <f t="shared" ca="1" si="17"/>
        <v>9.4493919196444343E-2</v>
      </c>
      <c r="H130" s="36">
        <f t="shared" ca="1" si="18"/>
        <v>-1</v>
      </c>
      <c r="I130" s="36">
        <f t="shared" ca="1" si="19"/>
        <v>-1</v>
      </c>
      <c r="J130" s="36">
        <f t="shared" ca="1" si="26"/>
        <v>-1</v>
      </c>
      <c r="K130" s="37">
        <f ca="1">IF(J130&lt;&gt;-1,_Media_M + J130*_Sigma,-1)</f>
        <v>-1</v>
      </c>
      <c r="L130" s="3">
        <f t="shared" ca="1" si="20"/>
        <v>50</v>
      </c>
      <c r="M130" s="18">
        <f ca="1">IF(LOOKUP(G130,$H$3:$H$4,$E$3:$E$4)=1,50,_Media_M + J130*_Sigma)</f>
        <v>50</v>
      </c>
      <c r="N130" s="36">
        <f t="shared" ca="1" si="21"/>
        <v>85.149475397499813</v>
      </c>
      <c r="O130" s="35">
        <f t="shared" ca="1" si="27"/>
        <v>135.14947539749983</v>
      </c>
      <c r="P130" s="19">
        <f t="shared" ca="1" si="23"/>
        <v>135.14947539749983</v>
      </c>
      <c r="Q130" s="20">
        <f ca="1" xml:space="preserve"> P130*_Precio_cafe</f>
        <v>202.72421309624974</v>
      </c>
      <c r="R130" s="20">
        <f t="shared" ca="1" si="24"/>
        <v>15724.074445339425</v>
      </c>
      <c r="S130" s="20">
        <f ca="1">(1/A130)*((A130-1)*S129 +Q130)</f>
        <v>137.9304775906966</v>
      </c>
      <c r="T130" s="20">
        <f ca="1">IF((T129-P130+F130)&gt;_Max_Stock_Gramos,_Max_Stock_Gramos,T129-P130+F130)</f>
        <v>1700</v>
      </c>
      <c r="U130" s="20">
        <f ca="1">T130/_GramosXFrasco</f>
        <v>10</v>
      </c>
      <c r="V130" s="58">
        <f ca="1">(T130/_Max_Stock_Gramos)</f>
        <v>1</v>
      </c>
      <c r="W130" s="58"/>
      <c r="X130" s="10">
        <f ca="1">IF((T129-O130)&lt;0,(T129-O130)*_Costo_Faltante,0)</f>
        <v>0</v>
      </c>
      <c r="Y130">
        <f ca="1">IF(B130=0,E130*_Costo_Frasco,0)</f>
        <v>-500</v>
      </c>
      <c r="Z130" s="11">
        <f t="shared" ca="1" si="25"/>
        <v>-17000</v>
      </c>
    </row>
    <row r="131" spans="1:26" x14ac:dyDescent="0.25">
      <c r="A131" s="30">
        <f t="shared" si="22"/>
        <v>115</v>
      </c>
      <c r="B131" s="10">
        <f>IF(B130=0,_Proxima_Compra,B130-1)</f>
        <v>1</v>
      </c>
      <c r="C131" s="3">
        <f t="shared" ca="1" si="15"/>
        <v>-1</v>
      </c>
      <c r="D131" s="3">
        <f ca="1">IF(D130&gt;0,D130-1,IF(C131&gt;0,LOOKUP(C131,$S$3:$S$5,$P$3:$P$5),-1))</f>
        <v>-1</v>
      </c>
      <c r="E131" s="25">
        <f t="shared" ca="1" si="16"/>
        <v>0</v>
      </c>
      <c r="F131" s="28">
        <f ca="1">E131*_GramosXFrasco</f>
        <v>0</v>
      </c>
      <c r="G131" s="38">
        <f t="shared" ca="1" si="17"/>
        <v>0.10212311577002486</v>
      </c>
      <c r="H131" s="36">
        <f t="shared" ca="1" si="18"/>
        <v>-1</v>
      </c>
      <c r="I131" s="36">
        <f t="shared" ca="1" si="19"/>
        <v>-1</v>
      </c>
      <c r="J131" s="36">
        <f t="shared" ca="1" si="26"/>
        <v>-1</v>
      </c>
      <c r="K131" s="37">
        <f ca="1">IF(J131&lt;&gt;-1,_Media_M + J131*_Sigma,-1)</f>
        <v>-1</v>
      </c>
      <c r="L131" s="3">
        <f t="shared" ca="1" si="20"/>
        <v>50</v>
      </c>
      <c r="M131" s="18">
        <f ca="1">IF(LOOKUP(G131,$H$3:$H$4,$E$3:$E$4)=1,50,_Media_M + J131*_Sigma)</f>
        <v>50</v>
      </c>
      <c r="N131" s="36">
        <f t="shared" ca="1" si="21"/>
        <v>2.1177687546786883</v>
      </c>
      <c r="O131" s="35">
        <f t="shared" ca="1" si="27"/>
        <v>52.117768754678686</v>
      </c>
      <c r="P131" s="19">
        <f t="shared" ca="1" si="23"/>
        <v>52.117768754678686</v>
      </c>
      <c r="Q131" s="20">
        <f ca="1" xml:space="preserve"> P131*_Precio_cafe</f>
        <v>78.176653132018032</v>
      </c>
      <c r="R131" s="20">
        <f t="shared" ca="1" si="24"/>
        <v>15802.251098471443</v>
      </c>
      <c r="S131" s="20">
        <f ca="1">(1/A131)*((A131-1)*S130 +Q131)</f>
        <v>137.41087911714288</v>
      </c>
      <c r="T131" s="20">
        <f ca="1">IF((T130-P131+F131)&gt;_Max_Stock_Gramos,_Max_Stock_Gramos,T130-P131+F131)</f>
        <v>1647.8822312453212</v>
      </c>
      <c r="U131" s="20">
        <f ca="1">T131/_GramosXFrasco</f>
        <v>9.6934248896783597</v>
      </c>
      <c r="V131" s="58">
        <f ca="1">(T131/_Max_Stock_Gramos)</f>
        <v>0.96934248896783604</v>
      </c>
      <c r="W131" s="58"/>
      <c r="X131" s="10">
        <f ca="1">IF((T130-O131)&lt;0,(T130-O131)*_Costo_Faltante,0)</f>
        <v>0</v>
      </c>
      <c r="Y131">
        <f>IF(B131=0,E131*_Costo_Frasco,0)</f>
        <v>0</v>
      </c>
      <c r="Z131" s="11">
        <f t="shared" ca="1" si="25"/>
        <v>-17000</v>
      </c>
    </row>
    <row r="132" spans="1:26" x14ac:dyDescent="0.25">
      <c r="A132" s="30">
        <f t="shared" si="22"/>
        <v>116</v>
      </c>
      <c r="B132" s="10">
        <f>IF(B131=0,_Proxima_Compra,B131-1)</f>
        <v>0</v>
      </c>
      <c r="C132" s="3">
        <f t="shared" ca="1" si="15"/>
        <v>0.88547461062407051</v>
      </c>
      <c r="D132" s="3">
        <f ca="1">IF(D131&gt;0,D131-1,IF(C132&gt;0,LOOKUP(C132,$S$3:$S$5,$P$3:$P$5),-1))</f>
        <v>2</v>
      </c>
      <c r="E132" s="25">
        <f t="shared" ca="1" si="16"/>
        <v>0</v>
      </c>
      <c r="F132" s="28">
        <f ca="1">E132*_GramosXFrasco</f>
        <v>0</v>
      </c>
      <c r="G132" s="38">
        <f t="shared" ca="1" si="17"/>
        <v>0.36214000698947357</v>
      </c>
      <c r="H132" s="36">
        <f t="shared" ca="1" si="18"/>
        <v>-1</v>
      </c>
      <c r="I132" s="36">
        <f t="shared" ca="1" si="19"/>
        <v>-1</v>
      </c>
      <c r="J132" s="36">
        <f t="shared" ca="1" si="26"/>
        <v>-1</v>
      </c>
      <c r="K132" s="37">
        <f ca="1">IF(J132&lt;&gt;-1,_Media_M + J132*_Sigma,-1)</f>
        <v>-1</v>
      </c>
      <c r="L132" s="3">
        <f t="shared" ca="1" si="20"/>
        <v>50</v>
      </c>
      <c r="M132" s="18">
        <f ca="1">IF(LOOKUP(G132,$H$3:$H$4,$E$3:$E$4)=1,50,_Media_M + J132*_Sigma)</f>
        <v>50</v>
      </c>
      <c r="N132" s="36">
        <f t="shared" ca="1" si="21"/>
        <v>16.398623709488149</v>
      </c>
      <c r="O132" s="35">
        <f t="shared" ca="1" si="27"/>
        <v>66.398623709488149</v>
      </c>
      <c r="P132" s="19">
        <f t="shared" ca="1" si="23"/>
        <v>66.398623709488149</v>
      </c>
      <c r="Q132" s="20">
        <f ca="1" xml:space="preserve"> P132*_Precio_cafe</f>
        <v>99.597935564232216</v>
      </c>
      <c r="R132" s="20">
        <f t="shared" ca="1" si="24"/>
        <v>15901.849034035675</v>
      </c>
      <c r="S132" s="20">
        <f ca="1">(1/A132)*((A132-1)*S131 +Q132)</f>
        <v>137.08490546582468</v>
      </c>
      <c r="T132" s="20">
        <f ca="1">IF((T131-P132+F132)&gt;_Max_Stock_Gramos,_Max_Stock_Gramos,T131-P132+F132)</f>
        <v>1581.483607535833</v>
      </c>
      <c r="U132" s="20">
        <f ca="1">T132/_GramosXFrasco</f>
        <v>9.3028447502107827</v>
      </c>
      <c r="V132" s="58">
        <f ca="1">(T132/_Max_Stock_Gramos)</f>
        <v>0.93028447502107825</v>
      </c>
      <c r="W132" s="58"/>
      <c r="X132" s="10">
        <f ca="1">IF((T131-O132)&lt;0,(T131-O132)*_Costo_Faltante,0)</f>
        <v>0</v>
      </c>
      <c r="Y132">
        <f ca="1">IF(B132=0,E132*_Costo_Frasco,0)</f>
        <v>0</v>
      </c>
      <c r="Z132" s="11">
        <f t="shared" ca="1" si="25"/>
        <v>-17000</v>
      </c>
    </row>
    <row r="133" spans="1:26" x14ac:dyDescent="0.25">
      <c r="A133" s="30">
        <f t="shared" si="22"/>
        <v>117</v>
      </c>
      <c r="B133" s="10">
        <f>IF(B132=0,_Proxima_Compra,B132-1)</f>
        <v>1</v>
      </c>
      <c r="C133" s="3">
        <f t="shared" ca="1" si="15"/>
        <v>-1</v>
      </c>
      <c r="D133" s="3">
        <f ca="1">IF(D132&gt;0,D132-1,IF(C133&gt;0,LOOKUP(C133,$S$3:$S$5,$P$3:$P$5),-1))</f>
        <v>1</v>
      </c>
      <c r="E133" s="25">
        <f t="shared" ca="1" si="16"/>
        <v>0</v>
      </c>
      <c r="F133" s="28">
        <f ca="1">E133*_GramosXFrasco</f>
        <v>0</v>
      </c>
      <c r="G133" s="38">
        <f t="shared" ca="1" si="17"/>
        <v>3.815802957666814E-2</v>
      </c>
      <c r="H133" s="36">
        <f t="shared" ca="1" si="18"/>
        <v>-1</v>
      </c>
      <c r="I133" s="36">
        <f t="shared" ca="1" si="19"/>
        <v>-1</v>
      </c>
      <c r="J133" s="36">
        <f t="shared" ca="1" si="26"/>
        <v>-1</v>
      </c>
      <c r="K133" s="37">
        <f ca="1">IF(J133&lt;&gt;-1,_Media_M + J133*_Sigma,-1)</f>
        <v>-1</v>
      </c>
      <c r="L133" s="3">
        <f t="shared" ca="1" si="20"/>
        <v>50</v>
      </c>
      <c r="M133" s="18">
        <f ca="1">IF(LOOKUP(G133,$H$3:$H$4,$E$3:$E$4)=1,50,_Media_M + J133*_Sigma)</f>
        <v>50</v>
      </c>
      <c r="N133" s="36">
        <f t="shared" ca="1" si="21"/>
        <v>64.197115525114455</v>
      </c>
      <c r="O133" s="35">
        <f t="shared" ca="1" si="27"/>
        <v>114.19711552511446</v>
      </c>
      <c r="P133" s="19">
        <f t="shared" ca="1" si="23"/>
        <v>114.19711552511446</v>
      </c>
      <c r="Q133" s="20">
        <f ca="1" xml:space="preserve"> P133*_Precio_cafe</f>
        <v>171.29567328767169</v>
      </c>
      <c r="R133" s="20">
        <f t="shared" ca="1" si="24"/>
        <v>16073.144707323347</v>
      </c>
      <c r="S133" s="20">
        <f ca="1">(1/A133)*((A133-1)*S132 +Q133)</f>
        <v>137.37730519079773</v>
      </c>
      <c r="T133" s="20">
        <f ca="1">IF((T132-P133+F133)&gt;_Max_Stock_Gramos,_Max_Stock_Gramos,T132-P133+F133)</f>
        <v>1467.2864920107186</v>
      </c>
      <c r="U133" s="20">
        <f ca="1">T133/_GramosXFrasco</f>
        <v>8.631097011827757</v>
      </c>
      <c r="V133" s="58">
        <f ca="1">(T133/_Max_Stock_Gramos)</f>
        <v>0.86310970118277563</v>
      </c>
      <c r="W133" s="58"/>
      <c r="X133" s="10">
        <f ca="1">IF((T132-O133)&lt;0,(T132-O133)*_Costo_Faltante,0)</f>
        <v>0</v>
      </c>
      <c r="Y133">
        <f>IF(B133=0,E133*_Costo_Frasco,0)</f>
        <v>0</v>
      </c>
      <c r="Z133" s="11">
        <f t="shared" ca="1" si="25"/>
        <v>-17000</v>
      </c>
    </row>
    <row r="134" spans="1:26" x14ac:dyDescent="0.25">
      <c r="A134" s="30">
        <f t="shared" si="22"/>
        <v>118</v>
      </c>
      <c r="B134" s="10">
        <f>IF(B133=0,_Proxima_Compra,B133-1)</f>
        <v>0</v>
      </c>
      <c r="C134" s="3">
        <f t="shared" ca="1" si="15"/>
        <v>0.81461733347093268</v>
      </c>
      <c r="D134" s="3">
        <f ca="1">IF(D133&gt;0,D133-1,IF(C134&gt;0,LOOKUP(C134,$S$3:$S$5,$P$3:$P$5),-1))</f>
        <v>0</v>
      </c>
      <c r="E134" s="25">
        <f t="shared" ca="1" si="16"/>
        <v>2</v>
      </c>
      <c r="F134" s="28">
        <f ca="1">E134*_GramosXFrasco</f>
        <v>340</v>
      </c>
      <c r="G134" s="38">
        <f t="shared" ca="1" si="17"/>
        <v>0.24839144787892631</v>
      </c>
      <c r="H134" s="36">
        <f t="shared" ca="1" si="18"/>
        <v>-1</v>
      </c>
      <c r="I134" s="36">
        <f t="shared" ca="1" si="19"/>
        <v>-1</v>
      </c>
      <c r="J134" s="36">
        <f t="shared" ca="1" si="26"/>
        <v>-1</v>
      </c>
      <c r="K134" s="37">
        <f ca="1">IF(J134&lt;&gt;-1,_Media_M + J134*_Sigma,-1)</f>
        <v>-1</v>
      </c>
      <c r="L134" s="3">
        <f t="shared" ca="1" si="20"/>
        <v>50</v>
      </c>
      <c r="M134" s="18">
        <f ca="1">IF(LOOKUP(G134,$H$3:$H$4,$E$3:$E$4)=1,50,_Media_M + J134*_Sigma)</f>
        <v>50</v>
      </c>
      <c r="N134" s="36">
        <f t="shared" ca="1" si="21"/>
        <v>26.054732517961632</v>
      </c>
      <c r="O134" s="35">
        <f t="shared" ca="1" si="27"/>
        <v>76.054732517961639</v>
      </c>
      <c r="P134" s="19">
        <f t="shared" ca="1" si="23"/>
        <v>76.054732517961639</v>
      </c>
      <c r="Q134" s="20">
        <f ca="1" xml:space="preserve"> P134*_Precio_cafe</f>
        <v>114.08209877694246</v>
      </c>
      <c r="R134" s="20">
        <f t="shared" ca="1" si="24"/>
        <v>16187.226806100289</v>
      </c>
      <c r="S134" s="20">
        <f ca="1">(1/A134)*((A134-1)*S133 +Q134)</f>
        <v>137.17988818729049</v>
      </c>
      <c r="T134" s="20">
        <f ca="1">IF((T133-P134+F134)&gt;_Max_Stock_Gramos,_Max_Stock_Gramos,T133-P134+F134)</f>
        <v>1700</v>
      </c>
      <c r="U134" s="20">
        <f ca="1">T134/_GramosXFrasco</f>
        <v>10</v>
      </c>
      <c r="V134" s="58">
        <f ca="1">(T134/_Max_Stock_Gramos)</f>
        <v>1</v>
      </c>
      <c r="W134" s="58"/>
      <c r="X134" s="10">
        <f ca="1">IF((T133-O134)&lt;0,(T133-O134)*_Costo_Faltante,0)</f>
        <v>0</v>
      </c>
      <c r="Y134">
        <f ca="1">IF(B134=0,E134*_Costo_Frasco,0)</f>
        <v>-500</v>
      </c>
      <c r="Z134" s="11">
        <f t="shared" ca="1" si="25"/>
        <v>-17500</v>
      </c>
    </row>
    <row r="135" spans="1:26" x14ac:dyDescent="0.25">
      <c r="A135" s="30">
        <f t="shared" si="22"/>
        <v>119</v>
      </c>
      <c r="B135" s="10">
        <f>IF(B134=0,_Proxima_Compra,B134-1)</f>
        <v>1</v>
      </c>
      <c r="C135" s="3">
        <f t="shared" ca="1" si="15"/>
        <v>-1</v>
      </c>
      <c r="D135" s="3">
        <f ca="1">IF(D134&gt;0,D134-1,IF(C135&gt;0,LOOKUP(C135,$S$3:$S$5,$P$3:$P$5),-1))</f>
        <v>-1</v>
      </c>
      <c r="E135" s="25">
        <f t="shared" ca="1" si="16"/>
        <v>0</v>
      </c>
      <c r="F135" s="28">
        <f ca="1">E135*_GramosXFrasco</f>
        <v>0</v>
      </c>
      <c r="G135" s="38">
        <f t="shared" ca="1" si="17"/>
        <v>0.27900076698108645</v>
      </c>
      <c r="H135" s="36">
        <f t="shared" ca="1" si="18"/>
        <v>-1</v>
      </c>
      <c r="I135" s="36">
        <f t="shared" ca="1" si="19"/>
        <v>-1</v>
      </c>
      <c r="J135" s="36">
        <f t="shared" ca="1" si="26"/>
        <v>-1</v>
      </c>
      <c r="K135" s="37">
        <f ca="1">IF(J135&lt;&gt;-1,_Media_M + J135*_Sigma,-1)</f>
        <v>-1</v>
      </c>
      <c r="L135" s="3">
        <f t="shared" ca="1" si="20"/>
        <v>50</v>
      </c>
      <c r="M135" s="18">
        <f ca="1">IF(LOOKUP(G135,$H$3:$H$4,$E$3:$E$4)=1,50,_Media_M + J135*_Sigma)</f>
        <v>50</v>
      </c>
      <c r="N135" s="36">
        <f t="shared" ca="1" si="21"/>
        <v>7.2178966513825378</v>
      </c>
      <c r="O135" s="35">
        <f t="shared" ca="1" si="27"/>
        <v>57.217896651382539</v>
      </c>
      <c r="P135" s="19">
        <f t="shared" ca="1" si="23"/>
        <v>57.217896651382539</v>
      </c>
      <c r="Q135" s="20">
        <f ca="1" xml:space="preserve"> P135*_Precio_cafe</f>
        <v>85.826844977073804</v>
      </c>
      <c r="R135" s="20">
        <f t="shared" ca="1" si="24"/>
        <v>16273.053651077362</v>
      </c>
      <c r="S135" s="20">
        <f ca="1">(1/A135)*((A135-1)*S134 +Q135)</f>
        <v>136.74835000905335</v>
      </c>
      <c r="T135" s="20">
        <f ca="1">IF((T134-P135+F135)&gt;_Max_Stock_Gramos,_Max_Stock_Gramos,T134-P135+F135)</f>
        <v>1642.7821033486175</v>
      </c>
      <c r="U135" s="20">
        <f ca="1">T135/_GramosXFrasco</f>
        <v>9.6634241373448084</v>
      </c>
      <c r="V135" s="58">
        <f ca="1">(T135/_Max_Stock_Gramos)</f>
        <v>0.96634241373448093</v>
      </c>
      <c r="W135" s="58"/>
      <c r="X135" s="10">
        <f ca="1">IF((T134-O135)&lt;0,(T134-O135)*_Costo_Faltante,0)</f>
        <v>0</v>
      </c>
      <c r="Y135">
        <f>IF(B135=0,E135*_Costo_Frasco,0)</f>
        <v>0</v>
      </c>
      <c r="Z135" s="11">
        <f t="shared" ca="1" si="25"/>
        <v>-17500</v>
      </c>
    </row>
    <row r="136" spans="1:26" x14ac:dyDescent="0.25">
      <c r="A136" s="30">
        <f t="shared" si="22"/>
        <v>120</v>
      </c>
      <c r="B136" s="10">
        <f>IF(B135=0,_Proxima_Compra,B135-1)</f>
        <v>0</v>
      </c>
      <c r="C136" s="3">
        <f t="shared" ca="1" si="15"/>
        <v>0.51107262160687617</v>
      </c>
      <c r="D136" s="3">
        <f ca="1">IF(D135&gt;0,D135-1,IF(C136&gt;0,LOOKUP(C136,$S$3:$S$5,$P$3:$P$5),-1))</f>
        <v>1</v>
      </c>
      <c r="E136" s="25">
        <f t="shared" ca="1" si="16"/>
        <v>0</v>
      </c>
      <c r="F136" s="28">
        <f ca="1">E136*_GramosXFrasco</f>
        <v>0</v>
      </c>
      <c r="G136" s="38">
        <f t="shared" ca="1" si="17"/>
        <v>0.76463945670957745</v>
      </c>
      <c r="H136" s="36">
        <f t="shared" ca="1" si="18"/>
        <v>7.2152348810795575E-2</v>
      </c>
      <c r="I136" s="36">
        <f t="shared" ca="1" si="19"/>
        <v>0.34205287966027009</v>
      </c>
      <c r="J136" s="36">
        <f t="shared" ca="1" si="26"/>
        <v>-0.13942471963756595</v>
      </c>
      <c r="K136" s="37">
        <f ca="1">IF(J136&lt;&gt;-1,_Media_M + J136*_Sigma,-1)</f>
        <v>72.908629205436512</v>
      </c>
      <c r="L136" s="3">
        <f t="shared" ca="1" si="20"/>
        <v>-1</v>
      </c>
      <c r="M136" s="18">
        <f ca="1">IF(LOOKUP(G136,$H$3:$H$4,$E$3:$E$4)=1,50,_Media_M + J136*_Sigma)</f>
        <v>72.908629205436512</v>
      </c>
      <c r="N136" s="36">
        <f t="shared" ca="1" si="21"/>
        <v>7.3465262108326073</v>
      </c>
      <c r="O136" s="35">
        <f t="shared" ca="1" si="27"/>
        <v>80.255155416269119</v>
      </c>
      <c r="P136" s="19">
        <f t="shared" ca="1" si="23"/>
        <v>80.255155416269119</v>
      </c>
      <c r="Q136" s="20">
        <f ca="1" xml:space="preserve"> P136*_Precio_cafe</f>
        <v>120.38273312440367</v>
      </c>
      <c r="R136" s="20">
        <f t="shared" ca="1" si="24"/>
        <v>16393.436384201766</v>
      </c>
      <c r="S136" s="20">
        <f ca="1">(1/A136)*((A136-1)*S135 +Q136)</f>
        <v>136.61196986834793</v>
      </c>
      <c r="T136" s="20">
        <f ca="1">IF((T135-P136+F136)&gt;_Max_Stock_Gramos,_Max_Stock_Gramos,T135-P136+F136)</f>
        <v>1562.5269479323483</v>
      </c>
      <c r="U136" s="20">
        <f ca="1">T136/_GramosXFrasco</f>
        <v>9.1913349878373438</v>
      </c>
      <c r="V136" s="58">
        <f ca="1">(T136/_Max_Stock_Gramos)</f>
        <v>0.91913349878373429</v>
      </c>
      <c r="W136" s="58"/>
      <c r="X136" s="10">
        <f ca="1">IF((T135-O136)&lt;0,(T135-O136)*_Costo_Faltante,0)</f>
        <v>0</v>
      </c>
      <c r="Y136">
        <f ca="1">IF(B136=0,E136*_Costo_Frasco,0)</f>
        <v>0</v>
      </c>
      <c r="Z136" s="11">
        <f t="shared" ca="1" si="25"/>
        <v>-17500</v>
      </c>
    </row>
    <row r="137" spans="1:26" x14ac:dyDescent="0.25">
      <c r="A137" s="30">
        <f t="shared" si="22"/>
        <v>121</v>
      </c>
      <c r="B137" s="10">
        <f>IF(B136=0,_Proxima_Compra,B136-1)</f>
        <v>1</v>
      </c>
      <c r="C137" s="3">
        <f t="shared" ca="1" si="15"/>
        <v>-1</v>
      </c>
      <c r="D137" s="3">
        <f ca="1">IF(D136&gt;0,D136-1,IF(C137&gt;0,LOOKUP(C137,$S$3:$S$5,$P$3:$P$5),-1))</f>
        <v>0</v>
      </c>
      <c r="E137" s="25">
        <f t="shared" ca="1" si="16"/>
        <v>2</v>
      </c>
      <c r="F137" s="28">
        <f ca="1">E137*_GramosXFrasco</f>
        <v>340</v>
      </c>
      <c r="G137" s="38">
        <f t="shared" ca="1" si="17"/>
        <v>2.1060760056661465E-3</v>
      </c>
      <c r="H137" s="36">
        <f t="shared" ca="1" si="18"/>
        <v>-1</v>
      </c>
      <c r="I137" s="36">
        <f t="shared" ca="1" si="19"/>
        <v>-1</v>
      </c>
      <c r="J137" s="36">
        <f t="shared" ca="1" si="26"/>
        <v>-1</v>
      </c>
      <c r="K137" s="37">
        <f ca="1">IF(J137&lt;&gt;-1,_Media_M + J137*_Sigma,-1)</f>
        <v>-1</v>
      </c>
      <c r="L137" s="3">
        <f t="shared" ca="1" si="20"/>
        <v>50</v>
      </c>
      <c r="M137" s="18">
        <f ca="1">IF(LOOKUP(G137,$H$3:$H$4,$E$3:$E$4)=1,50,_Media_M + J137*_Sigma)</f>
        <v>50</v>
      </c>
      <c r="N137" s="36">
        <f t="shared" ca="1" si="21"/>
        <v>73.64883717478682</v>
      </c>
      <c r="O137" s="35">
        <f t="shared" ca="1" si="27"/>
        <v>123.64883717478682</v>
      </c>
      <c r="P137" s="19">
        <f t="shared" ca="1" si="23"/>
        <v>123.64883717478682</v>
      </c>
      <c r="Q137" s="20">
        <f ca="1" xml:space="preserve"> P137*_Precio_cafe</f>
        <v>185.47325576218023</v>
      </c>
      <c r="R137" s="20">
        <f t="shared" ca="1" si="24"/>
        <v>16578.909639963946</v>
      </c>
      <c r="S137" s="20">
        <f ca="1">(1/A137)*((A137-1)*S136 +Q137)</f>
        <v>137.01578214846225</v>
      </c>
      <c r="T137" s="20">
        <f ca="1">IF((T136-P137+F137)&gt;_Max_Stock_Gramos,_Max_Stock_Gramos,T136-P137+F137)</f>
        <v>1700</v>
      </c>
      <c r="U137" s="20">
        <f ca="1">T137/_GramosXFrasco</f>
        <v>10</v>
      </c>
      <c r="V137" s="58">
        <f ca="1">(T137/_Max_Stock_Gramos)</f>
        <v>1</v>
      </c>
      <c r="W137" s="58"/>
      <c r="X137" s="10">
        <f ca="1">IF((T136-O137)&lt;0,(T136-O137)*_Costo_Faltante,0)</f>
        <v>0</v>
      </c>
      <c r="Y137">
        <f>IF(B137=0,E137*_Costo_Frasco,0)</f>
        <v>0</v>
      </c>
      <c r="Z137" s="11">
        <f t="shared" ca="1" si="25"/>
        <v>-17500</v>
      </c>
    </row>
    <row r="138" spans="1:26" x14ac:dyDescent="0.25">
      <c r="A138" s="30">
        <f t="shared" si="22"/>
        <v>122</v>
      </c>
      <c r="B138" s="10">
        <f>IF(B137=0,_Proxima_Compra,B137-1)</f>
        <v>0</v>
      </c>
      <c r="C138" s="3">
        <f t="shared" ca="1" si="15"/>
        <v>0.25050414558820644</v>
      </c>
      <c r="D138" s="3">
        <f ca="1">IF(D137&gt;0,D137-1,IF(C138&gt;0,LOOKUP(C138,$S$3:$S$5,$P$3:$P$5),-1))</f>
        <v>0</v>
      </c>
      <c r="E138" s="25">
        <f t="shared" ca="1" si="16"/>
        <v>2</v>
      </c>
      <c r="F138" s="28">
        <f ca="1">E138*_GramosXFrasco</f>
        <v>340</v>
      </c>
      <c r="G138" s="38">
        <f t="shared" ca="1" si="17"/>
        <v>5.3496025549415571E-2</v>
      </c>
      <c r="H138" s="36">
        <f t="shared" ca="1" si="18"/>
        <v>-1</v>
      </c>
      <c r="I138" s="36">
        <f t="shared" ca="1" si="19"/>
        <v>-1</v>
      </c>
      <c r="J138" s="36">
        <f t="shared" ca="1" si="26"/>
        <v>-1</v>
      </c>
      <c r="K138" s="37">
        <f ca="1">IF(J138&lt;&gt;-1,_Media_M + J138*_Sigma,-1)</f>
        <v>-1</v>
      </c>
      <c r="L138" s="3">
        <f t="shared" ca="1" si="20"/>
        <v>50</v>
      </c>
      <c r="M138" s="18">
        <f ca="1">IF(LOOKUP(G138,$H$3:$H$4,$E$3:$E$4)=1,50,_Media_M + J138*_Sigma)</f>
        <v>50</v>
      </c>
      <c r="N138" s="36">
        <f t="shared" ca="1" si="21"/>
        <v>91.196498882951104</v>
      </c>
      <c r="O138" s="35">
        <f t="shared" ca="1" si="27"/>
        <v>141.19649888295112</v>
      </c>
      <c r="P138" s="19">
        <f t="shared" ca="1" si="23"/>
        <v>141.19649888295112</v>
      </c>
      <c r="Q138" s="20">
        <f ca="1" xml:space="preserve"> P138*_Precio_cafe</f>
        <v>211.79474832442668</v>
      </c>
      <c r="R138" s="20">
        <f t="shared" ca="1" si="24"/>
        <v>16790.704388288374</v>
      </c>
      <c r="S138" s="20">
        <f ca="1">(1/A138)*((A138-1)*S137 +Q138)</f>
        <v>137.62872449416687</v>
      </c>
      <c r="T138" s="20">
        <f ca="1">IF((T137-P138+F138)&gt;_Max_Stock_Gramos,_Max_Stock_Gramos,T137-P138+F138)</f>
        <v>1700</v>
      </c>
      <c r="U138" s="20">
        <f ca="1">T138/_GramosXFrasco</f>
        <v>10</v>
      </c>
      <c r="V138" s="58">
        <f ca="1">(T138/_Max_Stock_Gramos)</f>
        <v>1</v>
      </c>
      <c r="W138" s="58"/>
      <c r="X138" s="10">
        <f ca="1">IF((T137-O138)&lt;0,(T137-O138)*_Costo_Faltante,0)</f>
        <v>0</v>
      </c>
      <c r="Y138">
        <f ca="1">IF(B138=0,E138*_Costo_Frasco,0)</f>
        <v>-500</v>
      </c>
      <c r="Z138" s="11">
        <f t="shared" ca="1" si="25"/>
        <v>-18000</v>
      </c>
    </row>
    <row r="139" spans="1:26" x14ac:dyDescent="0.25">
      <c r="A139" s="30">
        <f t="shared" si="22"/>
        <v>123</v>
      </c>
      <c r="B139" s="10">
        <f>IF(B138=0,_Proxima_Compra,B138-1)</f>
        <v>1</v>
      </c>
      <c r="C139" s="3">
        <f t="shared" ca="1" si="15"/>
        <v>-1</v>
      </c>
      <c r="D139" s="3">
        <f ca="1">IF(D138&gt;0,D138-1,IF(C139&gt;0,LOOKUP(C139,$S$3:$S$5,$P$3:$P$5),-1))</f>
        <v>-1</v>
      </c>
      <c r="E139" s="25">
        <f t="shared" ca="1" si="16"/>
        <v>0</v>
      </c>
      <c r="F139" s="28">
        <f ca="1">E139*_GramosXFrasco</f>
        <v>0</v>
      </c>
      <c r="G139" s="38">
        <f t="shared" ca="1" si="17"/>
        <v>0.76644069583268171</v>
      </c>
      <c r="H139" s="36">
        <f t="shared" ca="1" si="18"/>
        <v>0.89633658893742363</v>
      </c>
      <c r="I139" s="36">
        <f t="shared" ca="1" si="19"/>
        <v>0.16338412547242231</v>
      </c>
      <c r="J139" s="36">
        <f t="shared" ca="1" si="26"/>
        <v>0.72647160389741094</v>
      </c>
      <c r="K139" s="37">
        <f ca="1">IF(J139&lt;&gt;-1,_Media_M + J139*_Sigma,-1)</f>
        <v>85.897074058461158</v>
      </c>
      <c r="L139" s="3">
        <f t="shared" ca="1" si="20"/>
        <v>-1</v>
      </c>
      <c r="M139" s="18">
        <f ca="1">IF(LOOKUP(G139,$H$3:$H$4,$E$3:$E$4)=1,50,_Media_M + J139*_Sigma)</f>
        <v>85.897074058461158</v>
      </c>
      <c r="N139" s="36">
        <f t="shared" ca="1" si="21"/>
        <v>23.630034143005567</v>
      </c>
      <c r="O139" s="35">
        <f t="shared" ca="1" si="27"/>
        <v>109.52710820146672</v>
      </c>
      <c r="P139" s="19">
        <f t="shared" ca="1" si="23"/>
        <v>109.52710820146672</v>
      </c>
      <c r="Q139" s="20">
        <f ca="1" xml:space="preserve"> P139*_Precio_cafe</f>
        <v>164.29066230220008</v>
      </c>
      <c r="R139" s="20">
        <f t="shared" ca="1" si="24"/>
        <v>16954.995050590573</v>
      </c>
      <c r="S139" s="20">
        <f ca="1">(1/A139)*((A139-1)*S138 +Q139)</f>
        <v>137.84548821618341</v>
      </c>
      <c r="T139" s="20">
        <f ca="1">IF((T138-P139+F139)&gt;_Max_Stock_Gramos,_Max_Stock_Gramos,T138-P139+F139)</f>
        <v>1590.4728917985333</v>
      </c>
      <c r="U139" s="20">
        <f ca="1">T139/_GramosXFrasco</f>
        <v>9.3557228929325493</v>
      </c>
      <c r="V139" s="58">
        <f ca="1">(T139/_Max_Stock_Gramos)</f>
        <v>0.93557228929325487</v>
      </c>
      <c r="W139" s="58"/>
      <c r="X139" s="10">
        <f ca="1">IF((T138-O139)&lt;0,(T138-O139)*_Costo_Faltante,0)</f>
        <v>0</v>
      </c>
      <c r="Y139">
        <f>IF(B139=0,E139*_Costo_Frasco,0)</f>
        <v>0</v>
      </c>
      <c r="Z139" s="11">
        <f t="shared" ca="1" si="25"/>
        <v>-18000</v>
      </c>
    </row>
    <row r="140" spans="1:26" x14ac:dyDescent="0.25">
      <c r="A140" s="30">
        <f t="shared" si="22"/>
        <v>124</v>
      </c>
      <c r="B140" s="10">
        <f>IF(B139=0,_Proxima_Compra,B139-1)</f>
        <v>0</v>
      </c>
      <c r="C140" s="3">
        <f t="shared" ca="1" si="15"/>
        <v>0.71736658545297971</v>
      </c>
      <c r="D140" s="3">
        <f ca="1">IF(D139&gt;0,D139-1,IF(C140&gt;0,LOOKUP(C140,$S$3:$S$5,$P$3:$P$5),-1))</f>
        <v>1</v>
      </c>
      <c r="E140" s="25">
        <f t="shared" ca="1" si="16"/>
        <v>0</v>
      </c>
      <c r="F140" s="28">
        <f ca="1">E140*_GramosXFrasco</f>
        <v>0</v>
      </c>
      <c r="G140" s="38">
        <f t="shared" ca="1" si="17"/>
        <v>0.13100685956125635</v>
      </c>
      <c r="H140" s="36">
        <f t="shared" ca="1" si="18"/>
        <v>-1</v>
      </c>
      <c r="I140" s="36">
        <f t="shared" ca="1" si="19"/>
        <v>-1</v>
      </c>
      <c r="J140" s="36">
        <f t="shared" ca="1" si="26"/>
        <v>-1</v>
      </c>
      <c r="K140" s="37">
        <f ca="1">IF(J140&lt;&gt;-1,_Media_M + J140*_Sigma,-1)</f>
        <v>-1</v>
      </c>
      <c r="L140" s="3">
        <f t="shared" ca="1" si="20"/>
        <v>50</v>
      </c>
      <c r="M140" s="18">
        <f ca="1">IF(LOOKUP(G140,$H$3:$H$4,$E$3:$E$4)=1,50,_Media_M + J140*_Sigma)</f>
        <v>50</v>
      </c>
      <c r="N140" s="36">
        <f t="shared" ca="1" si="21"/>
        <v>40.328473449648726</v>
      </c>
      <c r="O140" s="35">
        <f t="shared" ca="1" si="27"/>
        <v>90.328473449648726</v>
      </c>
      <c r="P140" s="19">
        <f t="shared" ca="1" si="23"/>
        <v>90.328473449648726</v>
      </c>
      <c r="Q140" s="20">
        <f ca="1" xml:space="preserve"> P140*_Precio_cafe</f>
        <v>135.49271017447307</v>
      </c>
      <c r="R140" s="20">
        <f t="shared" ca="1" si="24"/>
        <v>17090.487760765045</v>
      </c>
      <c r="S140" s="20">
        <f ca="1">(1/A140)*((A140-1)*S139 +Q140)</f>
        <v>137.82651419971799</v>
      </c>
      <c r="T140" s="20">
        <f ca="1">IF((T139-P140+F140)&gt;_Max_Stock_Gramos,_Max_Stock_Gramos,T139-P140+F140)</f>
        <v>1500.1444183488845</v>
      </c>
      <c r="U140" s="20">
        <f ca="1">T140/_GramosXFrasco</f>
        <v>8.8243789314640271</v>
      </c>
      <c r="V140" s="58">
        <f ca="1">(T140/_Max_Stock_Gramos)</f>
        <v>0.88243789314640264</v>
      </c>
      <c r="W140" s="58"/>
      <c r="X140" s="10">
        <f ca="1">IF((T139-O140)&lt;0,(T139-O140)*_Costo_Faltante,0)</f>
        <v>0</v>
      </c>
      <c r="Y140">
        <f ca="1">IF(B140=0,E140*_Costo_Frasco,0)</f>
        <v>0</v>
      </c>
      <c r="Z140" s="11">
        <f t="shared" ca="1" si="25"/>
        <v>-18000</v>
      </c>
    </row>
    <row r="141" spans="1:26" x14ac:dyDescent="0.25">
      <c r="A141" s="30">
        <f t="shared" si="22"/>
        <v>125</v>
      </c>
      <c r="B141" s="10">
        <f>IF(B140=0,_Proxima_Compra,B140-1)</f>
        <v>1</v>
      </c>
      <c r="C141" s="3">
        <f t="shared" ca="1" si="15"/>
        <v>-1</v>
      </c>
      <c r="D141" s="3">
        <f ca="1">IF(D140&gt;0,D140-1,IF(C141&gt;0,LOOKUP(C141,$S$3:$S$5,$P$3:$P$5),-1))</f>
        <v>0</v>
      </c>
      <c r="E141" s="25">
        <f t="shared" ca="1" si="16"/>
        <v>2</v>
      </c>
      <c r="F141" s="28">
        <f ca="1">E141*_GramosXFrasco</f>
        <v>340</v>
      </c>
      <c r="G141" s="38">
        <f t="shared" ca="1" si="17"/>
        <v>0.87313959381826833</v>
      </c>
      <c r="H141" s="36">
        <f t="shared" ca="1" si="18"/>
        <v>4.4333955845534345E-2</v>
      </c>
      <c r="I141" s="36">
        <f t="shared" ca="1" si="19"/>
        <v>0.3840045540312681</v>
      </c>
      <c r="J141" s="36">
        <f t="shared" ca="1" si="26"/>
        <v>-0.14804573823848122</v>
      </c>
      <c r="K141" s="37">
        <f ca="1">IF(J141&lt;&gt;-1,_Media_M + J141*_Sigma,-1)</f>
        <v>72.779313926422788</v>
      </c>
      <c r="L141" s="3">
        <f t="shared" ca="1" si="20"/>
        <v>-1</v>
      </c>
      <c r="M141" s="18">
        <f ca="1">IF(LOOKUP(G141,$H$3:$H$4,$E$3:$E$4)=1,50,_Media_M + J141*_Sigma)</f>
        <v>72.779313926422788</v>
      </c>
      <c r="N141" s="36">
        <f t="shared" ca="1" si="21"/>
        <v>28.44850913923192</v>
      </c>
      <c r="O141" s="35">
        <f t="shared" ca="1" si="27"/>
        <v>101.2278230656547</v>
      </c>
      <c r="P141" s="19">
        <f t="shared" ca="1" si="23"/>
        <v>101.2278230656547</v>
      </c>
      <c r="Q141" s="20">
        <f ca="1" xml:space="preserve"> P141*_Precio_cafe</f>
        <v>151.84173459848205</v>
      </c>
      <c r="R141" s="20">
        <f t="shared" ca="1" si="24"/>
        <v>17242.329495363527</v>
      </c>
      <c r="S141" s="20">
        <f ca="1">(1/A141)*((A141-1)*S140 +Q141)</f>
        <v>137.93863596290811</v>
      </c>
      <c r="T141" s="20">
        <f ca="1">IF((T140-P141+F141)&gt;_Max_Stock_Gramos,_Max_Stock_Gramos,T140-P141+F141)</f>
        <v>1700</v>
      </c>
      <c r="U141" s="20">
        <f ca="1">T141/_GramosXFrasco</f>
        <v>10</v>
      </c>
      <c r="V141" s="58">
        <f ca="1">(T141/_Max_Stock_Gramos)</f>
        <v>1</v>
      </c>
      <c r="W141" s="58"/>
      <c r="X141" s="10">
        <f ca="1">IF((T140-O141)&lt;0,(T140-O141)*_Costo_Faltante,0)</f>
        <v>0</v>
      </c>
      <c r="Y141">
        <f>IF(B141=0,E141*_Costo_Frasco,0)</f>
        <v>0</v>
      </c>
      <c r="Z141" s="11">
        <f t="shared" ca="1" si="25"/>
        <v>-18000</v>
      </c>
    </row>
    <row r="142" spans="1:26" x14ac:dyDescent="0.25">
      <c r="A142" s="30">
        <f t="shared" si="22"/>
        <v>126</v>
      </c>
      <c r="B142" s="10">
        <f>IF(B141=0,_Proxima_Compra,B141-1)</f>
        <v>0</v>
      </c>
      <c r="C142" s="3">
        <f t="shared" ca="1" si="15"/>
        <v>0.26477598683985681</v>
      </c>
      <c r="D142" s="3">
        <f ca="1">IF(D141&gt;0,D141-1,IF(C142&gt;0,LOOKUP(C142,$S$3:$S$5,$P$3:$P$5),-1))</f>
        <v>0</v>
      </c>
      <c r="E142" s="25">
        <f t="shared" ca="1" si="16"/>
        <v>2</v>
      </c>
      <c r="F142" s="28">
        <f ca="1">E142*_GramosXFrasco</f>
        <v>340</v>
      </c>
      <c r="G142" s="38">
        <f t="shared" ca="1" si="17"/>
        <v>6.520667325520535E-2</v>
      </c>
      <c r="H142" s="36">
        <f t="shared" ca="1" si="18"/>
        <v>-1</v>
      </c>
      <c r="I142" s="36">
        <f t="shared" ca="1" si="19"/>
        <v>-1</v>
      </c>
      <c r="J142" s="36">
        <f t="shared" ca="1" si="26"/>
        <v>-1</v>
      </c>
      <c r="K142" s="37">
        <f ca="1">IF(J142&lt;&gt;-1,_Media_M + J142*_Sigma,-1)</f>
        <v>-1</v>
      </c>
      <c r="L142" s="3">
        <f t="shared" ca="1" si="20"/>
        <v>50</v>
      </c>
      <c r="M142" s="18">
        <f ca="1">IF(LOOKUP(G142,$H$3:$H$4,$E$3:$E$4)=1,50,_Media_M + J142*_Sigma)</f>
        <v>50</v>
      </c>
      <c r="N142" s="36">
        <f t="shared" ca="1" si="21"/>
        <v>9.2325994109779721</v>
      </c>
      <c r="O142" s="35">
        <f t="shared" ca="1" si="27"/>
        <v>59.232599410977969</v>
      </c>
      <c r="P142" s="19">
        <f t="shared" ca="1" si="23"/>
        <v>59.232599410977969</v>
      </c>
      <c r="Q142" s="20">
        <f ca="1" xml:space="preserve"> P142*_Precio_cafe</f>
        <v>88.848899116466953</v>
      </c>
      <c r="R142" s="20">
        <f t="shared" ca="1" si="24"/>
        <v>17331.178394479994</v>
      </c>
      <c r="S142" s="20">
        <f ca="1">(1/A142)*((A142-1)*S141 +Q142)</f>
        <v>137.54903487682523</v>
      </c>
      <c r="T142" s="20">
        <f ca="1">IF((T141-P142+F142)&gt;_Max_Stock_Gramos,_Max_Stock_Gramos,T141-P142+F142)</f>
        <v>1700</v>
      </c>
      <c r="U142" s="20">
        <f ca="1">T142/_GramosXFrasco</f>
        <v>10</v>
      </c>
      <c r="V142" s="58">
        <f ca="1">(T142/_Max_Stock_Gramos)</f>
        <v>1</v>
      </c>
      <c r="W142" s="58"/>
      <c r="X142" s="10">
        <f ca="1">IF((T141-O142)&lt;0,(T141-O142)*_Costo_Faltante,0)</f>
        <v>0</v>
      </c>
      <c r="Y142">
        <f ca="1">IF(B142=0,E142*_Costo_Frasco,0)</f>
        <v>-500</v>
      </c>
      <c r="Z142" s="11">
        <f t="shared" ca="1" si="25"/>
        <v>-18500</v>
      </c>
    </row>
    <row r="143" spans="1:26" x14ac:dyDescent="0.25">
      <c r="A143" s="30">
        <f t="shared" si="22"/>
        <v>127</v>
      </c>
      <c r="B143" s="10">
        <f>IF(B142=0,_Proxima_Compra,B142-1)</f>
        <v>1</v>
      </c>
      <c r="C143" s="3">
        <f t="shared" ca="1" si="15"/>
        <v>-1</v>
      </c>
      <c r="D143" s="3">
        <f ca="1">IF(D142&gt;0,D142-1,IF(C143&gt;0,LOOKUP(C143,$S$3:$S$5,$P$3:$P$5),-1))</f>
        <v>-1</v>
      </c>
      <c r="E143" s="25">
        <f t="shared" ca="1" si="16"/>
        <v>0</v>
      </c>
      <c r="F143" s="28">
        <f ca="1">E143*_GramosXFrasco</f>
        <v>0</v>
      </c>
      <c r="G143" s="38">
        <f t="shared" ca="1" si="17"/>
        <v>0.21973976294162911</v>
      </c>
      <c r="H143" s="36">
        <f t="shared" ca="1" si="18"/>
        <v>-1</v>
      </c>
      <c r="I143" s="36">
        <f t="shared" ca="1" si="19"/>
        <v>-1</v>
      </c>
      <c r="J143" s="36">
        <f t="shared" ca="1" si="26"/>
        <v>-1</v>
      </c>
      <c r="K143" s="37">
        <f ca="1">IF(J143&lt;&gt;-1,_Media_M + J143*_Sigma,-1)</f>
        <v>-1</v>
      </c>
      <c r="L143" s="3">
        <f t="shared" ca="1" si="20"/>
        <v>50</v>
      </c>
      <c r="M143" s="18">
        <f ca="1">IF(LOOKUP(G143,$H$3:$H$4,$E$3:$E$4)=1,50,_Media_M + J143*_Sigma)</f>
        <v>50</v>
      </c>
      <c r="N143" s="36">
        <f t="shared" ca="1" si="21"/>
        <v>7.4209412146100178</v>
      </c>
      <c r="O143" s="35">
        <f t="shared" ca="1" si="27"/>
        <v>57.420941214610018</v>
      </c>
      <c r="P143" s="19">
        <f t="shared" ca="1" si="23"/>
        <v>57.420941214610018</v>
      </c>
      <c r="Q143" s="20">
        <f ca="1" xml:space="preserve"> P143*_Precio_cafe</f>
        <v>86.131411821915023</v>
      </c>
      <c r="R143" s="20">
        <f t="shared" ca="1" si="24"/>
        <v>17417.30980630191</v>
      </c>
      <c r="S143" s="20">
        <f ca="1">(1/A143)*((A143-1)*S142 +Q143)</f>
        <v>137.14417170316452</v>
      </c>
      <c r="T143" s="20">
        <f ca="1">IF((T142-P143+F143)&gt;_Max_Stock_Gramos,_Max_Stock_Gramos,T142-P143+F143)</f>
        <v>1642.5790587853901</v>
      </c>
      <c r="U143" s="20">
        <f ca="1">T143/_GramosXFrasco</f>
        <v>9.6622297575611178</v>
      </c>
      <c r="V143" s="58">
        <f ca="1">(T143/_Max_Stock_Gramos)</f>
        <v>0.96622297575611182</v>
      </c>
      <c r="W143" s="58"/>
      <c r="X143" s="10">
        <f ca="1">IF((T142-O143)&lt;0,(T142-O143)*_Costo_Faltante,0)</f>
        <v>0</v>
      </c>
      <c r="Y143">
        <f>IF(B143=0,E143*_Costo_Frasco,0)</f>
        <v>0</v>
      </c>
      <c r="Z143" s="11">
        <f t="shared" ca="1" si="25"/>
        <v>-18500</v>
      </c>
    </row>
    <row r="144" spans="1:26" x14ac:dyDescent="0.25">
      <c r="A144" s="30">
        <f t="shared" si="22"/>
        <v>128</v>
      </c>
      <c r="B144" s="10">
        <f>IF(B143=0,_Proxima_Compra,B143-1)</f>
        <v>0</v>
      </c>
      <c r="C144" s="3">
        <f t="shared" ca="1" si="15"/>
        <v>0.98615825149707692</v>
      </c>
      <c r="D144" s="3">
        <f ca="1">IF(D143&gt;0,D143-1,IF(C144&gt;0,LOOKUP(C144,$S$3:$S$5,$P$3:$P$5),-1))</f>
        <v>2</v>
      </c>
      <c r="E144" s="25">
        <f t="shared" ca="1" si="16"/>
        <v>0</v>
      </c>
      <c r="F144" s="28">
        <f ca="1">E144*_GramosXFrasco</f>
        <v>0</v>
      </c>
      <c r="G144" s="38">
        <f t="shared" ca="1" si="17"/>
        <v>0.66462437869229751</v>
      </c>
      <c r="H144" s="36">
        <f t="shared" ca="1" si="18"/>
        <v>0.38792162111928885</v>
      </c>
      <c r="I144" s="36">
        <f t="shared" ca="1" si="19"/>
        <v>0.83628181282488068</v>
      </c>
      <c r="J144" s="36">
        <f t="shared" ca="1" si="26"/>
        <v>0.33691089107065325</v>
      </c>
      <c r="K144" s="37">
        <f ca="1">IF(J144&lt;&gt;-1,_Media_M + J144*_Sigma,-1)</f>
        <v>80.053663366059794</v>
      </c>
      <c r="L144" s="3">
        <f t="shared" ca="1" si="20"/>
        <v>-1</v>
      </c>
      <c r="M144" s="18">
        <f ca="1">IF(LOOKUP(G144,$H$3:$H$4,$E$3:$E$4)=1,50,_Media_M + J144*_Sigma)</f>
        <v>80.053663366059794</v>
      </c>
      <c r="N144" s="36">
        <f t="shared" ca="1" si="21"/>
        <v>15.641636581407807</v>
      </c>
      <c r="O144" s="35">
        <f t="shared" ca="1" si="27"/>
        <v>95.695299947467603</v>
      </c>
      <c r="P144" s="19">
        <f t="shared" ca="1" si="23"/>
        <v>95.695299947467603</v>
      </c>
      <c r="Q144" s="20">
        <f ca="1" xml:space="preserve"> P144*_Precio_cafe</f>
        <v>143.5429499212014</v>
      </c>
      <c r="R144" s="20">
        <f t="shared" ca="1" si="24"/>
        <v>17560.85275622311</v>
      </c>
      <c r="S144" s="20">
        <f ca="1">(1/A144)*((A144-1)*S143 +Q144)</f>
        <v>137.19416215799293</v>
      </c>
      <c r="T144" s="20">
        <f ca="1">IF((T143-P144+F144)&gt;_Max_Stock_Gramos,_Max_Stock_Gramos,T143-P144+F144)</f>
        <v>1546.8837588379224</v>
      </c>
      <c r="U144" s="20">
        <f ca="1">T144/_GramosXFrasco</f>
        <v>9.0993162284583669</v>
      </c>
      <c r="V144" s="58">
        <f ca="1">(T144/_Max_Stock_Gramos)</f>
        <v>0.90993162284583673</v>
      </c>
      <c r="W144" s="58"/>
      <c r="X144" s="10">
        <f ca="1">IF((T143-O144)&lt;0,(T143-O144)*_Costo_Faltante,0)</f>
        <v>0</v>
      </c>
      <c r="Y144">
        <f ca="1">IF(B144=0,E144*_Costo_Frasco,0)</f>
        <v>0</v>
      </c>
      <c r="Z144" s="11">
        <f t="shared" ca="1" si="25"/>
        <v>-18500</v>
      </c>
    </row>
    <row r="145" spans="1:26" x14ac:dyDescent="0.25">
      <c r="A145" s="30">
        <f t="shared" si="22"/>
        <v>129</v>
      </c>
      <c r="B145" s="10">
        <f>IF(B144=0,_Proxima_Compra,B144-1)</f>
        <v>1</v>
      </c>
      <c r="C145" s="3">
        <f t="shared" ref="C145:C208" ca="1" si="28">IF(B145=0,RAND(),-1)</f>
        <v>-1</v>
      </c>
      <c r="D145" s="3">
        <f ca="1">IF(D144&gt;0,D144-1,IF(C145&gt;0,LOOKUP(C145,$S$3:$S$5,$P$3:$P$5),-1))</f>
        <v>1</v>
      </c>
      <c r="E145" s="25">
        <f t="shared" ref="E145:E208" ca="1" si="29">IF(D145=0,2,)</f>
        <v>0</v>
      </c>
      <c r="F145" s="28">
        <f ca="1">E145*_GramosXFrasco</f>
        <v>0</v>
      </c>
      <c r="G145" s="38">
        <f t="shared" ref="G145:G208" ca="1" si="30">RAND()</f>
        <v>0.10723687926831138</v>
      </c>
      <c r="H145" s="36">
        <f t="shared" ref="H145:H208" ca="1" si="31">IF(G145&gt;0.5,RAND(),-1)</f>
        <v>-1</v>
      </c>
      <c r="I145" s="36">
        <f t="shared" ref="I145:I208" ca="1" si="32">IF(G145&gt;0.5,RAND(),-1)</f>
        <v>-1</v>
      </c>
      <c r="J145" s="36">
        <f t="shared" ca="1" si="26"/>
        <v>-1</v>
      </c>
      <c r="K145" s="37">
        <f ca="1">IF(J145&lt;&gt;-1,_Media_M + J145*_Sigma,-1)</f>
        <v>-1</v>
      </c>
      <c r="L145" s="3">
        <f t="shared" ref="L145:L208" ca="1" si="33">IF(K145=-1,50,-1)</f>
        <v>50</v>
      </c>
      <c r="M145" s="18">
        <f ca="1">IF(LOOKUP(G145,$H$3:$H$4,$E$3:$E$4)=1,50,_Media_M + J145*_Sigma)</f>
        <v>50</v>
      </c>
      <c r="N145" s="36">
        <f t="shared" ref="N145:N208" ca="1" si="34">(-1/(1/70)*(LOG(1-RAND())))</f>
        <v>37.487365039753769</v>
      </c>
      <c r="O145" s="35">
        <f t="shared" ca="1" si="27"/>
        <v>87.487365039753769</v>
      </c>
      <c r="P145" s="19">
        <f t="shared" ca="1" si="23"/>
        <v>87.487365039753769</v>
      </c>
      <c r="Q145" s="20">
        <f ca="1" xml:space="preserve"> P145*_Precio_cafe</f>
        <v>131.23104755963067</v>
      </c>
      <c r="R145" s="20">
        <f t="shared" ca="1" si="24"/>
        <v>17692.083803782742</v>
      </c>
      <c r="S145" s="20">
        <f ca="1">(1/A145)*((A145-1)*S144 +Q145)</f>
        <v>137.14793646343199</v>
      </c>
      <c r="T145" s="20">
        <f ca="1">IF((T144-P145+F145)&gt;_Max_Stock_Gramos,_Max_Stock_Gramos,T144-P145+F145)</f>
        <v>1459.3963937981687</v>
      </c>
      <c r="U145" s="20">
        <f ca="1">T145/_GramosXFrasco</f>
        <v>8.5846846694009926</v>
      </c>
      <c r="V145" s="58">
        <f ca="1">(T145/_Max_Stock_Gramos)</f>
        <v>0.85846846694009926</v>
      </c>
      <c r="W145" s="58"/>
      <c r="X145" s="10">
        <f ca="1">IF((T144-O145)&lt;0,(T144-O145)*_Costo_Faltante,0)</f>
        <v>0</v>
      </c>
      <c r="Y145">
        <f>IF(B145=0,E145*_Costo_Frasco,0)</f>
        <v>0</v>
      </c>
      <c r="Z145" s="11">
        <f t="shared" ca="1" si="25"/>
        <v>-18500</v>
      </c>
    </row>
    <row r="146" spans="1:26" x14ac:dyDescent="0.25">
      <c r="A146" s="30">
        <f t="shared" ref="A146:A209" si="35">A145+1</f>
        <v>130</v>
      </c>
      <c r="B146" s="10">
        <f>IF(B145=0,_Proxima_Compra,B145-1)</f>
        <v>0</v>
      </c>
      <c r="C146" s="3">
        <f t="shared" ca="1" si="28"/>
        <v>0.7915056395602651</v>
      </c>
      <c r="D146" s="3">
        <f ca="1">IF(D145&gt;0,D145-1,IF(C146&gt;0,LOOKUP(C146,$S$3:$S$5,$P$3:$P$5),-1))</f>
        <v>0</v>
      </c>
      <c r="E146" s="25">
        <f t="shared" ca="1" si="29"/>
        <v>2</v>
      </c>
      <c r="F146" s="28">
        <f ca="1">E146*_GramosXFrasco</f>
        <v>340</v>
      </c>
      <c r="G146" s="38">
        <f t="shared" ca="1" si="30"/>
        <v>0.16013244067963106</v>
      </c>
      <c r="H146" s="36">
        <f t="shared" ca="1" si="31"/>
        <v>-1</v>
      </c>
      <c r="I146" s="36">
        <f t="shared" ca="1" si="32"/>
        <v>-1</v>
      </c>
      <c r="J146" s="36">
        <f t="shared" ca="1" si="26"/>
        <v>-1</v>
      </c>
      <c r="K146" s="37">
        <f ca="1">IF(J146&lt;&gt;-1,_Media_M + J146*_Sigma,-1)</f>
        <v>-1</v>
      </c>
      <c r="L146" s="3">
        <f t="shared" ca="1" si="33"/>
        <v>50</v>
      </c>
      <c r="M146" s="18">
        <f ca="1">IF(LOOKUP(G146,$H$3:$H$4,$E$3:$E$4)=1,50,_Media_M + J146*_Sigma)</f>
        <v>50</v>
      </c>
      <c r="N146" s="36">
        <f t="shared" ca="1" si="34"/>
        <v>2.1366580442520986</v>
      </c>
      <c r="O146" s="35">
        <f t="shared" ca="1" si="27"/>
        <v>52.136658044252101</v>
      </c>
      <c r="P146" s="19">
        <f t="shared" ref="P146:P209" ca="1" si="36">IF(O146&lt;T145,O146,T145)</f>
        <v>52.136658044252101</v>
      </c>
      <c r="Q146" s="20">
        <f ca="1" xml:space="preserve"> P146*_Precio_cafe</f>
        <v>78.204987066378152</v>
      </c>
      <c r="R146" s="20">
        <f t="shared" ref="R146:R209" ca="1" si="37">Q146+R145</f>
        <v>17770.288790849121</v>
      </c>
      <c r="S146" s="20">
        <f ca="1">(1/A146)*((A146-1)*S145 +Q146)</f>
        <v>136.69452916037775</v>
      </c>
      <c r="T146" s="20">
        <f ca="1">IF((T145-P146+F146)&gt;_Max_Stock_Gramos,_Max_Stock_Gramos,T145-P146+F146)</f>
        <v>1700</v>
      </c>
      <c r="U146" s="20">
        <f ca="1">T146/_GramosXFrasco</f>
        <v>10</v>
      </c>
      <c r="V146" s="58">
        <f ca="1">(T146/_Max_Stock_Gramos)</f>
        <v>1</v>
      </c>
      <c r="W146" s="58"/>
      <c r="X146" s="10">
        <f ca="1">IF((T145-O146)&lt;0,(T145-O146)*_Costo_Faltante,0)</f>
        <v>0</v>
      </c>
      <c r="Y146">
        <f ca="1">IF(B146=0,E146*_Costo_Frasco,0)</f>
        <v>-500</v>
      </c>
      <c r="Z146" s="11">
        <f t="shared" ref="Z146:Z209" ca="1" si="38">X146+Y146+Z145</f>
        <v>-19000</v>
      </c>
    </row>
    <row r="147" spans="1:26" x14ac:dyDescent="0.25">
      <c r="A147" s="30">
        <f t="shared" si="35"/>
        <v>131</v>
      </c>
      <c r="B147" s="10">
        <f>IF(B146=0,_Proxima_Compra,B146-1)</f>
        <v>1</v>
      </c>
      <c r="C147" s="3">
        <f t="shared" ca="1" si="28"/>
        <v>-1</v>
      </c>
      <c r="D147" s="3">
        <f ca="1">IF(D146&gt;0,D146-1,IF(C147&gt;0,LOOKUP(C147,$S$3:$S$5,$P$3:$P$5),-1))</f>
        <v>-1</v>
      </c>
      <c r="E147" s="25">
        <f t="shared" ca="1" si="29"/>
        <v>0</v>
      </c>
      <c r="F147" s="28">
        <f ca="1">E147*_GramosXFrasco</f>
        <v>0</v>
      </c>
      <c r="G147" s="38">
        <f t="shared" ca="1" si="30"/>
        <v>0.21226611861428613</v>
      </c>
      <c r="H147" s="36">
        <f t="shared" ca="1" si="31"/>
        <v>-1</v>
      </c>
      <c r="I147" s="36">
        <f t="shared" ca="1" si="32"/>
        <v>-1</v>
      </c>
      <c r="J147" s="36">
        <f t="shared" ca="1" si="26"/>
        <v>-1</v>
      </c>
      <c r="K147" s="37">
        <f ca="1">IF(J147&lt;&gt;-1,_Media_M + J147*_Sigma,-1)</f>
        <v>-1</v>
      </c>
      <c r="L147" s="3">
        <f t="shared" ca="1" si="33"/>
        <v>50</v>
      </c>
      <c r="M147" s="18">
        <f ca="1">IF(LOOKUP(G147,$H$3:$H$4,$E$3:$E$4)=1,50,_Media_M + J147*_Sigma)</f>
        <v>50</v>
      </c>
      <c r="N147" s="36">
        <f t="shared" ca="1" si="34"/>
        <v>25.539486146686439</v>
      </c>
      <c r="O147" s="35">
        <f t="shared" ca="1" si="27"/>
        <v>75.539486146686443</v>
      </c>
      <c r="P147" s="19">
        <f t="shared" ca="1" si="36"/>
        <v>75.539486146686443</v>
      </c>
      <c r="Q147" s="20">
        <f ca="1" xml:space="preserve"> P147*_Precio_cafe</f>
        <v>113.30922922002966</v>
      </c>
      <c r="R147" s="20">
        <f t="shared" ca="1" si="37"/>
        <v>17883.598020069152</v>
      </c>
      <c r="S147" s="20">
        <f ca="1">(1/A147)*((A147-1)*S146 +Q147)</f>
        <v>136.51601542037508</v>
      </c>
      <c r="T147" s="20">
        <f ca="1">IF((T146-P147+F147)&gt;_Max_Stock_Gramos,_Max_Stock_Gramos,T146-P147+F147)</f>
        <v>1624.4605138533136</v>
      </c>
      <c r="U147" s="20">
        <f ca="1">T147/_GramosXFrasco</f>
        <v>9.5556500814900804</v>
      </c>
      <c r="V147" s="58">
        <f ca="1">(T147/_Max_Stock_Gramos)</f>
        <v>0.95556500814900802</v>
      </c>
      <c r="W147" s="58"/>
      <c r="X147" s="10">
        <f ca="1">IF((T146-O147)&lt;0,(T146-O147)*_Costo_Faltante,0)</f>
        <v>0</v>
      </c>
      <c r="Y147">
        <f>IF(B147=0,E147*_Costo_Frasco,0)</f>
        <v>0</v>
      </c>
      <c r="Z147" s="11">
        <f t="shared" ca="1" si="38"/>
        <v>-19000</v>
      </c>
    </row>
    <row r="148" spans="1:26" x14ac:dyDescent="0.25">
      <c r="A148" s="30">
        <f t="shared" si="35"/>
        <v>132</v>
      </c>
      <c r="B148" s="10">
        <f>IF(B147=0,_Proxima_Compra,B147-1)</f>
        <v>0</v>
      </c>
      <c r="C148" s="3">
        <f t="shared" ca="1" si="28"/>
        <v>0.30724537881335934</v>
      </c>
      <c r="D148" s="3">
        <f ca="1">IF(D147&gt;0,D147-1,IF(C148&gt;0,LOOKUP(C148,$S$3:$S$5,$P$3:$P$5),-1))</f>
        <v>0</v>
      </c>
      <c r="E148" s="25">
        <f t="shared" ca="1" si="29"/>
        <v>2</v>
      </c>
      <c r="F148" s="28">
        <f ca="1">E148*_GramosXFrasco</f>
        <v>340</v>
      </c>
      <c r="G148" s="38">
        <f t="shared" ca="1" si="30"/>
        <v>0.93333226734533814</v>
      </c>
      <c r="H148" s="36">
        <f t="shared" ca="1" si="31"/>
        <v>0.24976435898806126</v>
      </c>
      <c r="I148" s="36">
        <f t="shared" ca="1" si="32"/>
        <v>0.63957796929348876</v>
      </c>
      <c r="J148" s="36">
        <f t="shared" ca="1" si="26"/>
        <v>-0.31947952269874058</v>
      </c>
      <c r="K148" s="37">
        <f ca="1">IF(J148&lt;&gt;-1,_Media_M + J148*_Sigma,-1)</f>
        <v>70.207807159518893</v>
      </c>
      <c r="L148" s="3">
        <f t="shared" ca="1" si="33"/>
        <v>-1</v>
      </c>
      <c r="M148" s="18">
        <f ca="1">IF(LOOKUP(G148,$H$3:$H$4,$E$3:$E$4)=1,50,_Media_M + J148*_Sigma)</f>
        <v>70.207807159518893</v>
      </c>
      <c r="N148" s="36">
        <f t="shared" ca="1" si="34"/>
        <v>73.682413485572795</v>
      </c>
      <c r="O148" s="35">
        <f t="shared" ca="1" si="27"/>
        <v>143.89022064509169</v>
      </c>
      <c r="P148" s="19">
        <f t="shared" ca="1" si="36"/>
        <v>143.89022064509169</v>
      </c>
      <c r="Q148" s="20">
        <f ca="1" xml:space="preserve"> P148*_Precio_cafe</f>
        <v>215.83533096763753</v>
      </c>
      <c r="R148" s="20">
        <f t="shared" ca="1" si="37"/>
        <v>18099.433351036791</v>
      </c>
      <c r="S148" s="20">
        <f ca="1">(1/A148)*((A148-1)*S147 +Q148)</f>
        <v>137.1169193260362</v>
      </c>
      <c r="T148" s="20">
        <f ca="1">IF((T147-P148+F148)&gt;_Max_Stock_Gramos,_Max_Stock_Gramos,T147-P148+F148)</f>
        <v>1700</v>
      </c>
      <c r="U148" s="20">
        <f ca="1">T148/_GramosXFrasco</f>
        <v>10</v>
      </c>
      <c r="V148" s="58">
        <f ca="1">(T148/_Max_Stock_Gramos)</f>
        <v>1</v>
      </c>
      <c r="W148" s="58"/>
      <c r="X148" s="10">
        <f ca="1">IF((T147-O148)&lt;0,(T147-O148)*_Costo_Faltante,0)</f>
        <v>0</v>
      </c>
      <c r="Y148">
        <f ca="1">IF(B148=0,E148*_Costo_Frasco,0)</f>
        <v>-500</v>
      </c>
      <c r="Z148" s="11">
        <f t="shared" ca="1" si="38"/>
        <v>-19500</v>
      </c>
    </row>
    <row r="149" spans="1:26" x14ac:dyDescent="0.25">
      <c r="A149" s="30">
        <f t="shared" si="35"/>
        <v>133</v>
      </c>
      <c r="B149" s="10">
        <f>IF(B148=0,_Proxima_Compra,B148-1)</f>
        <v>1</v>
      </c>
      <c r="C149" s="3">
        <f t="shared" ca="1" si="28"/>
        <v>-1</v>
      </c>
      <c r="D149" s="3">
        <f ca="1">IF(D148&gt;0,D148-1,IF(C149&gt;0,LOOKUP(C149,$S$3:$S$5,$P$3:$P$5),-1))</f>
        <v>-1</v>
      </c>
      <c r="E149" s="25">
        <f t="shared" ca="1" si="29"/>
        <v>0</v>
      </c>
      <c r="F149" s="28">
        <f ca="1">E149*_GramosXFrasco</f>
        <v>0</v>
      </c>
      <c r="G149" s="38">
        <f t="shared" ca="1" si="30"/>
        <v>6.3492431426610874E-2</v>
      </c>
      <c r="H149" s="36">
        <f t="shared" ca="1" si="31"/>
        <v>-1</v>
      </c>
      <c r="I149" s="36">
        <f t="shared" ca="1" si="32"/>
        <v>-1</v>
      </c>
      <c r="J149" s="36">
        <f t="shared" ca="1" si="26"/>
        <v>-1</v>
      </c>
      <c r="K149" s="37">
        <f ca="1">IF(J149&lt;&gt;-1,_Media_M + J149*_Sigma,-1)</f>
        <v>-1</v>
      </c>
      <c r="L149" s="3">
        <f t="shared" ca="1" si="33"/>
        <v>50</v>
      </c>
      <c r="M149" s="18">
        <f ca="1">IF(LOOKUP(G149,$H$3:$H$4,$E$3:$E$4)=1,50,_Media_M + J149*_Sigma)</f>
        <v>50</v>
      </c>
      <c r="N149" s="36">
        <f t="shared" ca="1" si="34"/>
        <v>90.718906449628818</v>
      </c>
      <c r="O149" s="35">
        <f t="shared" ca="1" si="27"/>
        <v>140.71890644962883</v>
      </c>
      <c r="P149" s="19">
        <f t="shared" ca="1" si="36"/>
        <v>140.71890644962883</v>
      </c>
      <c r="Q149" s="20">
        <f ca="1" xml:space="preserve"> P149*_Precio_cafe</f>
        <v>211.07835967444325</v>
      </c>
      <c r="R149" s="20">
        <f t="shared" ca="1" si="37"/>
        <v>18310.511710711235</v>
      </c>
      <c r="S149" s="20">
        <f ca="1">(1/A149)*((A149-1)*S148 +Q149)</f>
        <v>137.67302038128739</v>
      </c>
      <c r="T149" s="20">
        <f ca="1">IF((T148-P149+F149)&gt;_Max_Stock_Gramos,_Max_Stock_Gramos,T148-P149+F149)</f>
        <v>1559.2810935503712</v>
      </c>
      <c r="U149" s="20">
        <f ca="1">T149/_GramosXFrasco</f>
        <v>9.1722417267668899</v>
      </c>
      <c r="V149" s="58">
        <f ca="1">(T149/_Max_Stock_Gramos)</f>
        <v>0.91722417267668899</v>
      </c>
      <c r="W149" s="58"/>
      <c r="X149" s="10">
        <f ca="1">IF((T148-O149)&lt;0,(T148-O149)*_Costo_Faltante,0)</f>
        <v>0</v>
      </c>
      <c r="Y149">
        <f>IF(B149=0,E149*_Costo_Frasco,0)</f>
        <v>0</v>
      </c>
      <c r="Z149" s="11">
        <f t="shared" ca="1" si="38"/>
        <v>-19500</v>
      </c>
    </row>
    <row r="150" spans="1:26" x14ac:dyDescent="0.25">
      <c r="A150" s="30">
        <f t="shared" si="35"/>
        <v>134</v>
      </c>
      <c r="B150" s="10">
        <f>IF(B149=0,_Proxima_Compra,B149-1)</f>
        <v>0</v>
      </c>
      <c r="C150" s="3">
        <f t="shared" ca="1" si="28"/>
        <v>0.55903467679772201</v>
      </c>
      <c r="D150" s="3">
        <f ca="1">IF(D149&gt;0,D149-1,IF(C150&gt;0,LOOKUP(C150,$S$3:$S$5,$P$3:$P$5),-1))</f>
        <v>1</v>
      </c>
      <c r="E150" s="25">
        <f t="shared" ca="1" si="29"/>
        <v>0</v>
      </c>
      <c r="F150" s="28">
        <f ca="1">E150*_GramosXFrasco</f>
        <v>0</v>
      </c>
      <c r="G150" s="38">
        <f t="shared" ca="1" si="30"/>
        <v>0.84265024925494281</v>
      </c>
      <c r="H150" s="36">
        <f t="shared" ca="1" si="31"/>
        <v>0.68297623836340593</v>
      </c>
      <c r="I150" s="36">
        <f t="shared" ca="1" si="32"/>
        <v>0.7638299535797215</v>
      </c>
      <c r="J150" s="36">
        <f t="shared" ca="1" si="26"/>
        <v>8.6692037477622469E-2</v>
      </c>
      <c r="K150" s="37">
        <f ca="1">IF(J150&lt;&gt;-1,_Media_M + J150*_Sigma,-1)</f>
        <v>76.300380562164335</v>
      </c>
      <c r="L150" s="3">
        <f t="shared" ca="1" si="33"/>
        <v>-1</v>
      </c>
      <c r="M150" s="18">
        <f ca="1">IF(LOOKUP(G150,$H$3:$H$4,$E$3:$E$4)=1,50,_Media_M + J150*_Sigma)</f>
        <v>76.300380562164335</v>
      </c>
      <c r="N150" s="36">
        <f t="shared" ca="1" si="34"/>
        <v>28.483519991066707</v>
      </c>
      <c r="O150" s="35">
        <f t="shared" ca="1" si="27"/>
        <v>104.78390055323104</v>
      </c>
      <c r="P150" s="19">
        <f t="shared" ca="1" si="36"/>
        <v>104.78390055323104</v>
      </c>
      <c r="Q150" s="20">
        <f ca="1" xml:space="preserve"> P150*_Precio_cafe</f>
        <v>157.17585082984655</v>
      </c>
      <c r="R150" s="20">
        <f t="shared" ca="1" si="37"/>
        <v>18467.687561541083</v>
      </c>
      <c r="S150" s="20">
        <f ca="1">(1/A150)*((A150-1)*S149 +Q150)</f>
        <v>137.81856389209756</v>
      </c>
      <c r="T150" s="20">
        <f ca="1">IF((T149-P150+F150)&gt;_Max_Stock_Gramos,_Max_Stock_Gramos,T149-P150+F150)</f>
        <v>1454.4971929971402</v>
      </c>
      <c r="U150" s="20">
        <f ca="1">T150/_GramosXFrasco</f>
        <v>8.5558658411596493</v>
      </c>
      <c r="V150" s="58">
        <f ca="1">(T150/_Max_Stock_Gramos)</f>
        <v>0.85558658411596489</v>
      </c>
      <c r="W150" s="58"/>
      <c r="X150" s="10">
        <f ca="1">IF((T149-O150)&lt;0,(T149-O150)*_Costo_Faltante,0)</f>
        <v>0</v>
      </c>
      <c r="Y150">
        <f ca="1">IF(B150=0,E150*_Costo_Frasco,0)</f>
        <v>0</v>
      </c>
      <c r="Z150" s="11">
        <f t="shared" ca="1" si="38"/>
        <v>-19500</v>
      </c>
    </row>
    <row r="151" spans="1:26" x14ac:dyDescent="0.25">
      <c r="A151" s="30">
        <f t="shared" si="35"/>
        <v>135</v>
      </c>
      <c r="B151" s="10">
        <f>IF(B150=0,_Proxima_Compra,B150-1)</f>
        <v>1</v>
      </c>
      <c r="C151" s="3">
        <f t="shared" ca="1" si="28"/>
        <v>-1</v>
      </c>
      <c r="D151" s="3">
        <f ca="1">IF(D150&gt;0,D150-1,IF(C151&gt;0,LOOKUP(C151,$S$3:$S$5,$P$3:$P$5),-1))</f>
        <v>0</v>
      </c>
      <c r="E151" s="25">
        <f t="shared" ca="1" si="29"/>
        <v>2</v>
      </c>
      <c r="F151" s="28">
        <f ca="1">E151*_GramosXFrasco</f>
        <v>340</v>
      </c>
      <c r="G151" s="38">
        <f t="shared" ca="1" si="30"/>
        <v>0.39299009552985831</v>
      </c>
      <c r="H151" s="36">
        <f t="shared" ca="1" si="31"/>
        <v>-1</v>
      </c>
      <c r="I151" s="36">
        <f t="shared" ca="1" si="32"/>
        <v>-1</v>
      </c>
      <c r="J151" s="36">
        <f t="shared" ca="1" si="26"/>
        <v>-1</v>
      </c>
      <c r="K151" s="37">
        <f ca="1">IF(J151&lt;&gt;-1,_Media_M + J151*_Sigma,-1)</f>
        <v>-1</v>
      </c>
      <c r="L151" s="3">
        <f t="shared" ca="1" si="33"/>
        <v>50</v>
      </c>
      <c r="M151" s="18">
        <f ca="1">IF(LOOKUP(G151,$H$3:$H$4,$E$3:$E$4)=1,50,_Media_M + J151*_Sigma)</f>
        <v>50</v>
      </c>
      <c r="N151" s="36">
        <f t="shared" ca="1" si="34"/>
        <v>54.780504599341448</v>
      </c>
      <c r="O151" s="35">
        <f t="shared" ca="1" si="27"/>
        <v>104.78050459934144</v>
      </c>
      <c r="P151" s="19">
        <f t="shared" ca="1" si="36"/>
        <v>104.78050459934144</v>
      </c>
      <c r="Q151" s="20">
        <f ca="1" xml:space="preserve"> P151*_Precio_cafe</f>
        <v>157.17075689901216</v>
      </c>
      <c r="R151" s="20">
        <f t="shared" ca="1" si="37"/>
        <v>18624.858318440096</v>
      </c>
      <c r="S151" s="20">
        <f ca="1">(1/A151)*((A151-1)*S150 +Q151)</f>
        <v>137.96191346992657</v>
      </c>
      <c r="T151" s="20">
        <f ca="1">IF((T150-P151+F151)&gt;_Max_Stock_Gramos,_Max_Stock_Gramos,T150-P151+F151)</f>
        <v>1689.7166883977989</v>
      </c>
      <c r="U151" s="20">
        <f ca="1">T151/_GramosXFrasco</f>
        <v>9.9395099317517577</v>
      </c>
      <c r="V151" s="58">
        <f ca="1">(T151/_Max_Stock_Gramos)</f>
        <v>0.99395099317517577</v>
      </c>
      <c r="W151" s="58"/>
      <c r="X151" s="10">
        <f ca="1">IF((T150-O151)&lt;0,(T150-O151)*_Costo_Faltante,0)</f>
        <v>0</v>
      </c>
      <c r="Y151">
        <f>IF(B151=0,E151*_Costo_Frasco,0)</f>
        <v>0</v>
      </c>
      <c r="Z151" s="11">
        <f t="shared" ca="1" si="38"/>
        <v>-19500</v>
      </c>
    </row>
    <row r="152" spans="1:26" x14ac:dyDescent="0.25">
      <c r="A152" s="30">
        <f t="shared" si="35"/>
        <v>136</v>
      </c>
      <c r="B152" s="10">
        <f>IF(B151=0,_Proxima_Compra,B151-1)</f>
        <v>0</v>
      </c>
      <c r="C152" s="3">
        <f t="shared" ca="1" si="28"/>
        <v>0.50626814649106144</v>
      </c>
      <c r="D152" s="3">
        <f ca="1">IF(D151&gt;0,D151-1,IF(C152&gt;0,LOOKUP(C152,$S$3:$S$5,$P$3:$P$5),-1))</f>
        <v>1</v>
      </c>
      <c r="E152" s="25">
        <f t="shared" ca="1" si="29"/>
        <v>0</v>
      </c>
      <c r="F152" s="28">
        <f ca="1">E152*_GramosXFrasco</f>
        <v>0</v>
      </c>
      <c r="G152" s="38">
        <f t="shared" ca="1" si="30"/>
        <v>0.59535853530331395</v>
      </c>
      <c r="H152" s="36">
        <f t="shared" ca="1" si="31"/>
        <v>5.6204612840841106E-2</v>
      </c>
      <c r="I152" s="36">
        <f t="shared" ca="1" si="32"/>
        <v>0.64949304884797154</v>
      </c>
      <c r="J152" s="36">
        <f t="shared" ca="1" si="26"/>
        <v>-0.13233043308549533</v>
      </c>
      <c r="K152" s="37">
        <f ca="1">IF(J152&lt;&gt;-1,_Media_M + J152*_Sigma,-1)</f>
        <v>73.015043503717564</v>
      </c>
      <c r="L152" s="3">
        <f t="shared" ca="1" si="33"/>
        <v>-1</v>
      </c>
      <c r="M152" s="18">
        <f ca="1">IF(LOOKUP(G152,$H$3:$H$4,$E$3:$E$4)=1,50,_Media_M + J152*_Sigma)</f>
        <v>73.015043503717564</v>
      </c>
      <c r="N152" s="36">
        <f t="shared" ca="1" si="34"/>
        <v>85.824740200349567</v>
      </c>
      <c r="O152" s="35">
        <f t="shared" ca="1" si="27"/>
        <v>158.83978370406714</v>
      </c>
      <c r="P152" s="19">
        <f t="shared" ca="1" si="36"/>
        <v>158.83978370406714</v>
      </c>
      <c r="Q152" s="20">
        <f ca="1" xml:space="preserve"> P152*_Precio_cafe</f>
        <v>238.25967555610072</v>
      </c>
      <c r="R152" s="20">
        <f t="shared" ca="1" si="37"/>
        <v>18863.117993996195</v>
      </c>
      <c r="S152" s="20">
        <f ca="1">(1/A152)*((A152-1)*S151 +Q152)</f>
        <v>138.69939701467786</v>
      </c>
      <c r="T152" s="20">
        <f ca="1">IF((T151-P152+F152)&gt;_Max_Stock_Gramos,_Max_Stock_Gramos,T151-P152+F152)</f>
        <v>1530.8769046937318</v>
      </c>
      <c r="U152" s="20">
        <f ca="1">T152/_GramosXFrasco</f>
        <v>9.0051582629043043</v>
      </c>
      <c r="V152" s="58">
        <f ca="1">(T152/_Max_Stock_Gramos)</f>
        <v>0.90051582629043048</v>
      </c>
      <c r="W152" s="58"/>
      <c r="X152" s="10">
        <f ca="1">IF((T151-O152)&lt;0,(T151-O152)*_Costo_Faltante,0)</f>
        <v>0</v>
      </c>
      <c r="Y152">
        <f ca="1">IF(B152=0,E152*_Costo_Frasco,0)</f>
        <v>0</v>
      </c>
      <c r="Z152" s="11">
        <f t="shared" ca="1" si="38"/>
        <v>-19500</v>
      </c>
    </row>
    <row r="153" spans="1:26" x14ac:dyDescent="0.25">
      <c r="A153" s="30">
        <f t="shared" si="35"/>
        <v>137</v>
      </c>
      <c r="B153" s="10">
        <f>IF(B152=0,_Proxima_Compra,B152-1)</f>
        <v>1</v>
      </c>
      <c r="C153" s="3">
        <f t="shared" ca="1" si="28"/>
        <v>-1</v>
      </c>
      <c r="D153" s="3">
        <f ca="1">IF(D152&gt;0,D152-1,IF(C153&gt;0,LOOKUP(C153,$S$3:$S$5,$P$3:$P$5),-1))</f>
        <v>0</v>
      </c>
      <c r="E153" s="25">
        <f t="shared" ca="1" si="29"/>
        <v>2</v>
      </c>
      <c r="F153" s="28">
        <f ca="1">E153*_GramosXFrasco</f>
        <v>340</v>
      </c>
      <c r="G153" s="38">
        <f t="shared" ca="1" si="30"/>
        <v>0.99803672741805216</v>
      </c>
      <c r="H153" s="36">
        <f t="shared" ca="1" si="31"/>
        <v>0.38741257998132139</v>
      </c>
      <c r="I153" s="36">
        <f t="shared" ca="1" si="32"/>
        <v>0.77376492947950082</v>
      </c>
      <c r="J153" s="36">
        <f t="shared" ca="1" si="26"/>
        <v>9.7058756421511697E-2</v>
      </c>
      <c r="K153" s="37">
        <f ca="1">IF(J153&lt;&gt;-1,_Media_M + J153*_Sigma,-1)</f>
        <v>76.45588134632267</v>
      </c>
      <c r="L153" s="3">
        <f t="shared" ca="1" si="33"/>
        <v>-1</v>
      </c>
      <c r="M153" s="18">
        <f ca="1">IF(LOOKUP(G153,$H$3:$H$4,$E$3:$E$4)=1,50,_Media_M + J153*_Sigma)</f>
        <v>76.45588134632267</v>
      </c>
      <c r="N153" s="36">
        <f t="shared" ca="1" si="34"/>
        <v>23.285584193720624</v>
      </c>
      <c r="O153" s="35">
        <f t="shared" ca="1" si="27"/>
        <v>99.741465540043293</v>
      </c>
      <c r="P153" s="19">
        <f t="shared" ca="1" si="36"/>
        <v>99.741465540043293</v>
      </c>
      <c r="Q153" s="20">
        <f ca="1" xml:space="preserve"> P153*_Precio_cafe</f>
        <v>149.61219831006494</v>
      </c>
      <c r="R153" s="20">
        <f t="shared" ca="1" si="37"/>
        <v>19012.730192306259</v>
      </c>
      <c r="S153" s="20">
        <f ca="1">(1/A153)*((A153-1)*S152 +Q153)</f>
        <v>138.77905249858577</v>
      </c>
      <c r="T153" s="20">
        <f ca="1">IF((T152-P153+F153)&gt;_Max_Stock_Gramos,_Max_Stock_Gramos,T152-P153+F153)</f>
        <v>1700</v>
      </c>
      <c r="U153" s="20">
        <f ca="1">T153/_GramosXFrasco</f>
        <v>10</v>
      </c>
      <c r="V153" s="58">
        <f ca="1">(T153/_Max_Stock_Gramos)</f>
        <v>1</v>
      </c>
      <c r="W153" s="58"/>
      <c r="X153" s="10">
        <f ca="1">IF((T152-O153)&lt;0,(T152-O153)*_Costo_Faltante,0)</f>
        <v>0</v>
      </c>
      <c r="Y153">
        <f>IF(B153=0,E153*_Costo_Frasco,0)</f>
        <v>0</v>
      </c>
      <c r="Z153" s="11">
        <f t="shared" ca="1" si="38"/>
        <v>-19500</v>
      </c>
    </row>
    <row r="154" spans="1:26" x14ac:dyDescent="0.25">
      <c r="A154" s="30">
        <f t="shared" si="35"/>
        <v>138</v>
      </c>
      <c r="B154" s="10">
        <f>IF(B153=0,_Proxima_Compra,B153-1)</f>
        <v>0</v>
      </c>
      <c r="C154" s="3">
        <f t="shared" ca="1" si="28"/>
        <v>0.4694825863610812</v>
      </c>
      <c r="D154" s="3">
        <f ca="1">IF(D153&gt;0,D153-1,IF(C154&gt;0,LOOKUP(C154,$S$3:$S$5,$P$3:$P$5),-1))</f>
        <v>0</v>
      </c>
      <c r="E154" s="25">
        <f t="shared" ca="1" si="29"/>
        <v>2</v>
      </c>
      <c r="F154" s="28">
        <f ca="1">E154*_GramosXFrasco</f>
        <v>340</v>
      </c>
      <c r="G154" s="38">
        <f t="shared" ca="1" si="30"/>
        <v>0.52020329577437396</v>
      </c>
      <c r="H154" s="36">
        <f t="shared" ca="1" si="31"/>
        <v>0.79227430141092348</v>
      </c>
      <c r="I154" s="36">
        <f t="shared" ca="1" si="32"/>
        <v>0.41620626255381998</v>
      </c>
      <c r="J154" s="36">
        <f t="shared" ca="1" si="26"/>
        <v>-1.0101184390818641</v>
      </c>
      <c r="K154" s="37">
        <f ca="1">IF(J154&lt;&gt;-1,_Media_M + J154*_Sigma,-1)</f>
        <v>59.84822341377204</v>
      </c>
      <c r="L154" s="3">
        <f t="shared" ca="1" si="33"/>
        <v>-1</v>
      </c>
      <c r="M154" s="18">
        <f ca="1">IF(LOOKUP(G154,$H$3:$H$4,$E$3:$E$4)=1,50,_Media_M + J154*_Sigma)</f>
        <v>59.84822341377204</v>
      </c>
      <c r="N154" s="36">
        <f t="shared" ca="1" si="34"/>
        <v>26.536373351342199</v>
      </c>
      <c r="O154" s="35">
        <f t="shared" ca="1" si="27"/>
        <v>86.384596765114239</v>
      </c>
      <c r="P154" s="19">
        <f t="shared" ca="1" si="36"/>
        <v>86.384596765114239</v>
      </c>
      <c r="Q154" s="20">
        <f ca="1" xml:space="preserve"> P154*_Precio_cafe</f>
        <v>129.57689514767137</v>
      </c>
      <c r="R154" s="20">
        <f t="shared" ca="1" si="37"/>
        <v>19142.30708745393</v>
      </c>
      <c r="S154" s="20">
        <f ca="1">(1/A154)*((A154-1)*S153 +Q154)</f>
        <v>138.71237019894147</v>
      </c>
      <c r="T154" s="20">
        <f ca="1">IF((T153-P154+F154)&gt;_Max_Stock_Gramos,_Max_Stock_Gramos,T153-P154+F154)</f>
        <v>1700</v>
      </c>
      <c r="U154" s="20">
        <f ca="1">T154/_GramosXFrasco</f>
        <v>10</v>
      </c>
      <c r="V154" s="58">
        <f ca="1">(T154/_Max_Stock_Gramos)</f>
        <v>1</v>
      </c>
      <c r="W154" s="58"/>
      <c r="X154" s="10">
        <f ca="1">IF((T153-O154)&lt;0,(T153-O154)*_Costo_Faltante,0)</f>
        <v>0</v>
      </c>
      <c r="Y154">
        <f ca="1">IF(B154=0,E154*_Costo_Frasco,0)</f>
        <v>-500</v>
      </c>
      <c r="Z154" s="11">
        <f t="shared" ca="1" si="38"/>
        <v>-20000</v>
      </c>
    </row>
    <row r="155" spans="1:26" x14ac:dyDescent="0.25">
      <c r="A155" s="30">
        <f t="shared" si="35"/>
        <v>139</v>
      </c>
      <c r="B155" s="10">
        <f>IF(B154=0,_Proxima_Compra,B154-1)</f>
        <v>1</v>
      </c>
      <c r="C155" s="3">
        <f t="shared" ca="1" si="28"/>
        <v>-1</v>
      </c>
      <c r="D155" s="3">
        <f ca="1">IF(D154&gt;0,D154-1,IF(C155&gt;0,LOOKUP(C155,$S$3:$S$5,$P$3:$P$5),-1))</f>
        <v>-1</v>
      </c>
      <c r="E155" s="25">
        <f t="shared" ca="1" si="29"/>
        <v>0</v>
      </c>
      <c r="F155" s="28">
        <f ca="1">E155*_GramosXFrasco</f>
        <v>0</v>
      </c>
      <c r="G155" s="38">
        <f t="shared" ca="1" si="30"/>
        <v>0.30745293033968946</v>
      </c>
      <c r="H155" s="36">
        <f t="shared" ca="1" si="31"/>
        <v>-1</v>
      </c>
      <c r="I155" s="36">
        <f t="shared" ca="1" si="32"/>
        <v>-1</v>
      </c>
      <c r="J155" s="36">
        <f t="shared" ca="1" si="26"/>
        <v>-1</v>
      </c>
      <c r="K155" s="37">
        <f ca="1">IF(J155&lt;&gt;-1,_Media_M + J155*_Sigma,-1)</f>
        <v>-1</v>
      </c>
      <c r="L155" s="3">
        <f t="shared" ca="1" si="33"/>
        <v>50</v>
      </c>
      <c r="M155" s="18">
        <f ca="1">IF(LOOKUP(G155,$H$3:$H$4,$E$3:$E$4)=1,50,_Media_M + J155*_Sigma)</f>
        <v>50</v>
      </c>
      <c r="N155" s="36">
        <f t="shared" ca="1" si="34"/>
        <v>3.6973681323216856</v>
      </c>
      <c r="O155" s="35">
        <f t="shared" ca="1" si="27"/>
        <v>53.697368132321685</v>
      </c>
      <c r="P155" s="19">
        <f t="shared" ca="1" si="36"/>
        <v>53.697368132321685</v>
      </c>
      <c r="Q155" s="20">
        <f ca="1" xml:space="preserve"> P155*_Precio_cafe</f>
        <v>80.546052198482528</v>
      </c>
      <c r="R155" s="20">
        <f t="shared" ca="1" si="37"/>
        <v>19222.853139652412</v>
      </c>
      <c r="S155" s="20">
        <f ca="1">(1/A155)*((A155-1)*S154 +Q155)</f>
        <v>138.29390747951371</v>
      </c>
      <c r="T155" s="20">
        <f ca="1">IF((T154-P155+F155)&gt;_Max_Stock_Gramos,_Max_Stock_Gramos,T154-P155+F155)</f>
        <v>1646.3026318676784</v>
      </c>
      <c r="U155" s="20">
        <f ca="1">T155/_GramosXFrasco</f>
        <v>9.6841331286334018</v>
      </c>
      <c r="V155" s="58">
        <f ca="1">(T155/_Max_Stock_Gramos)</f>
        <v>0.9684133128633402</v>
      </c>
      <c r="W155" s="58"/>
      <c r="X155" s="10">
        <f ca="1">IF((T154-O155)&lt;0,(T154-O155)*_Costo_Faltante,0)</f>
        <v>0</v>
      </c>
      <c r="Y155">
        <f>IF(B155=0,E155*_Costo_Frasco,0)</f>
        <v>0</v>
      </c>
      <c r="Z155" s="11">
        <f t="shared" ca="1" si="38"/>
        <v>-20000</v>
      </c>
    </row>
    <row r="156" spans="1:26" x14ac:dyDescent="0.25">
      <c r="A156" s="30">
        <f t="shared" si="35"/>
        <v>140</v>
      </c>
      <c r="B156" s="10">
        <f>IF(B155=0,_Proxima_Compra,B155-1)</f>
        <v>0</v>
      </c>
      <c r="C156" s="3">
        <f t="shared" ca="1" si="28"/>
        <v>0.69770333703507026</v>
      </c>
      <c r="D156" s="3">
        <f ca="1">IF(D155&gt;0,D155-1,IF(C156&gt;0,LOOKUP(C156,$S$3:$S$5,$P$3:$P$5),-1))</f>
        <v>1</v>
      </c>
      <c r="E156" s="25">
        <f t="shared" ca="1" si="29"/>
        <v>0</v>
      </c>
      <c r="F156" s="28">
        <f ca="1">E156*_GramosXFrasco</f>
        <v>0</v>
      </c>
      <c r="G156" s="38">
        <f t="shared" ca="1" si="30"/>
        <v>0.529792608537346</v>
      </c>
      <c r="H156" s="36">
        <f t="shared" ca="1" si="31"/>
        <v>0.42013378184677774</v>
      </c>
      <c r="I156" s="36">
        <f t="shared" ca="1" si="32"/>
        <v>8.4133641821724003E-2</v>
      </c>
      <c r="J156" s="36">
        <f t="shared" ca="1" si="26"/>
        <v>0.59408839334494423</v>
      </c>
      <c r="K156" s="37">
        <f ca="1">IF(J156&lt;&gt;-1,_Media_M + J156*_Sigma,-1)</f>
        <v>83.911325900174162</v>
      </c>
      <c r="L156" s="3">
        <f t="shared" ca="1" si="33"/>
        <v>-1</v>
      </c>
      <c r="M156" s="18">
        <f ca="1">IF(LOOKUP(G156,$H$3:$H$4,$E$3:$E$4)=1,50,_Media_M + J156*_Sigma)</f>
        <v>83.911325900174162</v>
      </c>
      <c r="N156" s="36">
        <f t="shared" ca="1" si="34"/>
        <v>6.1555354125044843</v>
      </c>
      <c r="O156" s="35">
        <f t="shared" ca="1" si="27"/>
        <v>90.06686131267864</v>
      </c>
      <c r="P156" s="19">
        <f t="shared" ca="1" si="36"/>
        <v>90.06686131267864</v>
      </c>
      <c r="Q156" s="20">
        <f ca="1" xml:space="preserve"> P156*_Precio_cafe</f>
        <v>135.10029196901797</v>
      </c>
      <c r="R156" s="20">
        <f t="shared" ca="1" si="37"/>
        <v>19357.95343162143</v>
      </c>
      <c r="S156" s="20">
        <f ca="1">(1/A156)*((A156-1)*S155 +Q156)</f>
        <v>138.27109594015303</v>
      </c>
      <c r="T156" s="20">
        <f ca="1">IF((T155-P156+F156)&gt;_Max_Stock_Gramos,_Max_Stock_Gramos,T155-P156+F156)</f>
        <v>1556.2357705549998</v>
      </c>
      <c r="U156" s="20">
        <f ca="1">T156/_GramosXFrasco</f>
        <v>9.1543280620882346</v>
      </c>
      <c r="V156" s="58">
        <f ca="1">(T156/_Max_Stock_Gramos)</f>
        <v>0.91543280620882339</v>
      </c>
      <c r="W156" s="58"/>
      <c r="X156" s="10">
        <f ca="1">IF((T155-O156)&lt;0,(T155-O156)*_Costo_Faltante,0)</f>
        <v>0</v>
      </c>
      <c r="Y156">
        <f ca="1">IF(B156=0,E156*_Costo_Frasco,0)</f>
        <v>0</v>
      </c>
      <c r="Z156" s="11">
        <f t="shared" ca="1" si="38"/>
        <v>-20000</v>
      </c>
    </row>
    <row r="157" spans="1:26" x14ac:dyDescent="0.25">
      <c r="A157" s="30">
        <f t="shared" si="35"/>
        <v>141</v>
      </c>
      <c r="B157" s="10">
        <f>IF(B156=0,_Proxima_Compra,B156-1)</f>
        <v>1</v>
      </c>
      <c r="C157" s="3">
        <f t="shared" ca="1" si="28"/>
        <v>-1</v>
      </c>
      <c r="D157" s="3">
        <f ca="1">IF(D156&gt;0,D156-1,IF(C157&gt;0,LOOKUP(C157,$S$3:$S$5,$P$3:$P$5),-1))</f>
        <v>0</v>
      </c>
      <c r="E157" s="25">
        <f t="shared" ca="1" si="29"/>
        <v>2</v>
      </c>
      <c r="F157" s="28">
        <f ca="1">E157*_GramosXFrasco</f>
        <v>340</v>
      </c>
      <c r="G157" s="38">
        <f t="shared" ca="1" si="30"/>
        <v>0.70909483659479122</v>
      </c>
      <c r="H157" s="36">
        <f t="shared" ca="1" si="31"/>
        <v>0.42818156511449335</v>
      </c>
      <c r="I157" s="36">
        <f t="shared" ca="1" si="32"/>
        <v>0.18954362593809693</v>
      </c>
      <c r="J157" s="36">
        <f t="shared" ca="1" si="26"/>
        <v>0.25835349795687246</v>
      </c>
      <c r="K157" s="37">
        <f ca="1">IF(J157&lt;&gt;-1,_Media_M + J157*_Sigma,-1)</f>
        <v>78.875302469353088</v>
      </c>
      <c r="L157" s="3">
        <f t="shared" ca="1" si="33"/>
        <v>-1</v>
      </c>
      <c r="M157" s="18">
        <f ca="1">IF(LOOKUP(G157,$H$3:$H$4,$E$3:$E$4)=1,50,_Media_M + J157*_Sigma)</f>
        <v>78.875302469353088</v>
      </c>
      <c r="N157" s="36">
        <f t="shared" ca="1" si="34"/>
        <v>3.5444202682688801</v>
      </c>
      <c r="O157" s="35">
        <f t="shared" ca="1" si="27"/>
        <v>82.419722737621967</v>
      </c>
      <c r="P157" s="19">
        <f t="shared" ca="1" si="36"/>
        <v>82.419722737621967</v>
      </c>
      <c r="Q157" s="20">
        <f ca="1" xml:space="preserve"> P157*_Precio_cafe</f>
        <v>123.62958410643296</v>
      </c>
      <c r="R157" s="20">
        <f t="shared" ca="1" si="37"/>
        <v>19481.583015727861</v>
      </c>
      <c r="S157" s="20">
        <f ca="1">(1/A157)*((A157-1)*S156 +Q157)</f>
        <v>138.16725543069398</v>
      </c>
      <c r="T157" s="20">
        <f ca="1">IF((T156-P157+F157)&gt;_Max_Stock_Gramos,_Max_Stock_Gramos,T156-P157+F157)</f>
        <v>1700</v>
      </c>
      <c r="U157" s="20">
        <f ca="1">T157/_GramosXFrasco</f>
        <v>10</v>
      </c>
      <c r="V157" s="58">
        <f ca="1">(T157/_Max_Stock_Gramos)</f>
        <v>1</v>
      </c>
      <c r="W157" s="58"/>
      <c r="X157" s="10">
        <f ca="1">IF((T156-O157)&lt;0,(T156-O157)*_Costo_Faltante,0)</f>
        <v>0</v>
      </c>
      <c r="Y157">
        <f>IF(B157=0,E157*_Costo_Frasco,0)</f>
        <v>0</v>
      </c>
      <c r="Z157" s="11">
        <f t="shared" ca="1" si="38"/>
        <v>-20000</v>
      </c>
    </row>
    <row r="158" spans="1:26" x14ac:dyDescent="0.25">
      <c r="A158" s="30">
        <f t="shared" si="35"/>
        <v>142</v>
      </c>
      <c r="B158" s="10">
        <f>IF(B157=0,_Proxima_Compra,B157-1)</f>
        <v>0</v>
      </c>
      <c r="C158" s="3">
        <f t="shared" ca="1" si="28"/>
        <v>0.61237659770379527</v>
      </c>
      <c r="D158" s="3">
        <f ca="1">IF(D157&gt;0,D157-1,IF(C158&gt;0,LOOKUP(C158,$S$3:$S$5,$P$3:$P$5),-1))</f>
        <v>1</v>
      </c>
      <c r="E158" s="25">
        <f t="shared" ca="1" si="29"/>
        <v>0</v>
      </c>
      <c r="F158" s="28">
        <f ca="1">E158*_GramosXFrasco</f>
        <v>0</v>
      </c>
      <c r="G158" s="38">
        <f t="shared" ca="1" si="30"/>
        <v>0.93363951272192447</v>
      </c>
      <c r="H158" s="36">
        <f t="shared" ca="1" si="31"/>
        <v>0.11916470582655014</v>
      </c>
      <c r="I158" s="36">
        <f t="shared" ca="1" si="32"/>
        <v>0.46829350829670602</v>
      </c>
      <c r="J158" s="36">
        <f t="shared" ca="1" si="26"/>
        <v>-0.32541379330649073</v>
      </c>
      <c r="K158" s="37">
        <f ca="1">IF(J158&lt;&gt;-1,_Media_M + J158*_Sigma,-1)</f>
        <v>70.118793100402641</v>
      </c>
      <c r="L158" s="3">
        <f t="shared" ca="1" si="33"/>
        <v>-1</v>
      </c>
      <c r="M158" s="18">
        <f ca="1">IF(LOOKUP(G158,$H$3:$H$4,$E$3:$E$4)=1,50,_Media_M + J158*_Sigma)</f>
        <v>70.118793100402641</v>
      </c>
      <c r="N158" s="36">
        <f t="shared" ca="1" si="34"/>
        <v>24.342835146941809</v>
      </c>
      <c r="O158" s="35">
        <f t="shared" ca="1" si="27"/>
        <v>94.46162824734445</v>
      </c>
      <c r="P158" s="19">
        <f t="shared" ca="1" si="36"/>
        <v>94.46162824734445</v>
      </c>
      <c r="Q158" s="20">
        <f ca="1" xml:space="preserve"> P158*_Precio_cafe</f>
        <v>141.69244237101668</v>
      </c>
      <c r="R158" s="20">
        <f t="shared" ca="1" si="37"/>
        <v>19623.275458098877</v>
      </c>
      <c r="S158" s="20">
        <f ca="1">(1/A158)*((A158-1)*S157 +Q158)</f>
        <v>138.19208069083709</v>
      </c>
      <c r="T158" s="20">
        <f ca="1">IF((T157-P158+F158)&gt;_Max_Stock_Gramos,_Max_Stock_Gramos,T157-P158+F158)</f>
        <v>1605.5383717526556</v>
      </c>
      <c r="U158" s="20">
        <f ca="1">T158/_GramosXFrasco</f>
        <v>9.4443433632509155</v>
      </c>
      <c r="V158" s="58">
        <f ca="1">(T158/_Max_Stock_Gramos)</f>
        <v>0.94443433632509155</v>
      </c>
      <c r="W158" s="58"/>
      <c r="X158" s="10">
        <f ca="1">IF((T157-O158)&lt;0,(T157-O158)*_Costo_Faltante,0)</f>
        <v>0</v>
      </c>
      <c r="Y158">
        <f ca="1">IF(B158=0,E158*_Costo_Frasco,0)</f>
        <v>0</v>
      </c>
      <c r="Z158" s="11">
        <f t="shared" ca="1" si="38"/>
        <v>-20000</v>
      </c>
    </row>
    <row r="159" spans="1:26" x14ac:dyDescent="0.25">
      <c r="A159" s="30">
        <f t="shared" si="35"/>
        <v>143</v>
      </c>
      <c r="B159" s="10">
        <f>IF(B158=0,_Proxima_Compra,B158-1)</f>
        <v>1</v>
      </c>
      <c r="C159" s="3">
        <f t="shared" ca="1" si="28"/>
        <v>-1</v>
      </c>
      <c r="D159" s="3">
        <f ca="1">IF(D158&gt;0,D158-1,IF(C159&gt;0,LOOKUP(C159,$S$3:$S$5,$P$3:$P$5),-1))</f>
        <v>0</v>
      </c>
      <c r="E159" s="25">
        <f t="shared" ca="1" si="29"/>
        <v>2</v>
      </c>
      <c r="F159" s="28">
        <f ca="1">E159*_GramosXFrasco</f>
        <v>340</v>
      </c>
      <c r="G159" s="38">
        <f t="shared" ca="1" si="30"/>
        <v>0.13407693478120764</v>
      </c>
      <c r="H159" s="36">
        <f t="shared" ca="1" si="31"/>
        <v>-1</v>
      </c>
      <c r="I159" s="36">
        <f t="shared" ca="1" si="32"/>
        <v>-1</v>
      </c>
      <c r="J159" s="36">
        <f t="shared" ca="1" si="26"/>
        <v>-1</v>
      </c>
      <c r="K159" s="37">
        <f ca="1">IF(J159&lt;&gt;-1,_Media_M + J159*_Sigma,-1)</f>
        <v>-1</v>
      </c>
      <c r="L159" s="3">
        <f t="shared" ca="1" si="33"/>
        <v>50</v>
      </c>
      <c r="M159" s="18">
        <f ca="1">IF(LOOKUP(G159,$H$3:$H$4,$E$3:$E$4)=1,50,_Media_M + J159*_Sigma)</f>
        <v>50</v>
      </c>
      <c r="N159" s="36">
        <f t="shared" ca="1" si="34"/>
        <v>20.005955472700954</v>
      </c>
      <c r="O159" s="35">
        <f t="shared" ca="1" si="27"/>
        <v>70.005955472700947</v>
      </c>
      <c r="P159" s="19">
        <f t="shared" ca="1" si="36"/>
        <v>70.005955472700947</v>
      </c>
      <c r="Q159" s="20">
        <f ca="1" xml:space="preserve"> P159*_Precio_cafe</f>
        <v>105.00893320905142</v>
      </c>
      <c r="R159" s="20">
        <f t="shared" ca="1" si="37"/>
        <v>19728.284391307927</v>
      </c>
      <c r="S159" s="20">
        <f ca="1">(1/A159)*((A159-1)*S158 +Q159)</f>
        <v>137.96003070844696</v>
      </c>
      <c r="T159" s="20">
        <f ca="1">IF((T158-P159+F159)&gt;_Max_Stock_Gramos,_Max_Stock_Gramos,T158-P159+F159)</f>
        <v>1700</v>
      </c>
      <c r="U159" s="20">
        <f ca="1">T159/_GramosXFrasco</f>
        <v>10</v>
      </c>
      <c r="V159" s="58">
        <f ca="1">(T159/_Max_Stock_Gramos)</f>
        <v>1</v>
      </c>
      <c r="W159" s="58"/>
      <c r="X159" s="10">
        <f ca="1">IF((T158-O159)&lt;0,(T158-O159)*_Costo_Faltante,0)</f>
        <v>0</v>
      </c>
      <c r="Y159">
        <f>IF(B159=0,E159*_Costo_Frasco,0)</f>
        <v>0</v>
      </c>
      <c r="Z159" s="11">
        <f t="shared" ca="1" si="38"/>
        <v>-20000</v>
      </c>
    </row>
    <row r="160" spans="1:26" x14ac:dyDescent="0.25">
      <c r="A160" s="30">
        <f t="shared" si="35"/>
        <v>144</v>
      </c>
      <c r="B160" s="10">
        <f>IF(B159=0,_Proxima_Compra,B159-1)</f>
        <v>0</v>
      </c>
      <c r="C160" s="3">
        <f t="shared" ca="1" si="28"/>
        <v>0.32991384168917248</v>
      </c>
      <c r="D160" s="3">
        <f ca="1">IF(D159&gt;0,D159-1,IF(C160&gt;0,LOOKUP(C160,$S$3:$S$5,$P$3:$P$5),-1))</f>
        <v>0</v>
      </c>
      <c r="E160" s="25">
        <f t="shared" ca="1" si="29"/>
        <v>2</v>
      </c>
      <c r="F160" s="28">
        <f ca="1">E160*_GramosXFrasco</f>
        <v>340</v>
      </c>
      <c r="G160" s="38">
        <f t="shared" ca="1" si="30"/>
        <v>0.29470168394215057</v>
      </c>
      <c r="H160" s="36">
        <f t="shared" ca="1" si="31"/>
        <v>-1</v>
      </c>
      <c r="I160" s="36">
        <f t="shared" ca="1" si="32"/>
        <v>-1</v>
      </c>
      <c r="J160" s="36">
        <f t="shared" ca="1" si="26"/>
        <v>-1</v>
      </c>
      <c r="K160" s="37">
        <f ca="1">IF(J160&lt;&gt;-1,_Media_M + J160*_Sigma,-1)</f>
        <v>-1</v>
      </c>
      <c r="L160" s="3">
        <f t="shared" ca="1" si="33"/>
        <v>50</v>
      </c>
      <c r="M160" s="18">
        <f ca="1">IF(LOOKUP(G160,$H$3:$H$4,$E$3:$E$4)=1,50,_Media_M + J160*_Sigma)</f>
        <v>50</v>
      </c>
      <c r="N160" s="36">
        <f t="shared" ca="1" si="34"/>
        <v>16.460797789017917</v>
      </c>
      <c r="O160" s="35">
        <f t="shared" ca="1" si="27"/>
        <v>66.460797789017917</v>
      </c>
      <c r="P160" s="19">
        <f t="shared" ca="1" si="36"/>
        <v>66.460797789017917</v>
      </c>
      <c r="Q160" s="20">
        <f ca="1" xml:space="preserve"> P160*_Precio_cafe</f>
        <v>99.691196683526869</v>
      </c>
      <c r="R160" s="20">
        <f t="shared" ca="1" si="37"/>
        <v>19827.975587991452</v>
      </c>
      <c r="S160" s="20">
        <f ca="1">(1/A160)*((A160-1)*S159 +Q160)</f>
        <v>137.69427491660724</v>
      </c>
      <c r="T160" s="20">
        <f ca="1">IF((T159-P160+F160)&gt;_Max_Stock_Gramos,_Max_Stock_Gramos,T159-P160+F160)</f>
        <v>1700</v>
      </c>
      <c r="U160" s="20">
        <f ca="1">T160/_GramosXFrasco</f>
        <v>10</v>
      </c>
      <c r="V160" s="58">
        <f ca="1">(T160/_Max_Stock_Gramos)</f>
        <v>1</v>
      </c>
      <c r="W160" s="58"/>
      <c r="X160" s="10">
        <f ca="1">IF((T159-O160)&lt;0,(T159-O160)*_Costo_Faltante,0)</f>
        <v>0</v>
      </c>
      <c r="Y160">
        <f ca="1">IF(B160=0,E160*_Costo_Frasco,0)</f>
        <v>-500</v>
      </c>
      <c r="Z160" s="11">
        <f t="shared" ca="1" si="38"/>
        <v>-20500</v>
      </c>
    </row>
    <row r="161" spans="1:26" x14ac:dyDescent="0.25">
      <c r="A161" s="30">
        <f t="shared" si="35"/>
        <v>145</v>
      </c>
      <c r="B161" s="10">
        <f>IF(B160=0,_Proxima_Compra,B160-1)</f>
        <v>1</v>
      </c>
      <c r="C161" s="3">
        <f t="shared" ca="1" si="28"/>
        <v>-1</v>
      </c>
      <c r="D161" s="3">
        <f ca="1">IF(D160&gt;0,D160-1,IF(C161&gt;0,LOOKUP(C161,$S$3:$S$5,$P$3:$P$5),-1))</f>
        <v>-1</v>
      </c>
      <c r="E161" s="25">
        <f t="shared" ca="1" si="29"/>
        <v>0</v>
      </c>
      <c r="F161" s="28">
        <f ca="1">E161*_GramosXFrasco</f>
        <v>0</v>
      </c>
      <c r="G161" s="38">
        <f t="shared" ca="1" si="30"/>
        <v>0.58651326731033149</v>
      </c>
      <c r="H161" s="36">
        <f t="shared" ca="1" si="31"/>
        <v>0.69460857793656117</v>
      </c>
      <c r="I161" s="36">
        <f t="shared" ca="1" si="32"/>
        <v>0.89602670893284986</v>
      </c>
      <c r="J161" s="36">
        <f t="shared" ca="1" si="26"/>
        <v>0.80602778592398661</v>
      </c>
      <c r="K161" s="37">
        <f ca="1">IF(J161&lt;&gt;-1,_Media_M + J161*_Sigma,-1)</f>
        <v>87.090416788859798</v>
      </c>
      <c r="L161" s="3">
        <f t="shared" ca="1" si="33"/>
        <v>-1</v>
      </c>
      <c r="M161" s="18">
        <f ca="1">IF(LOOKUP(G161,$H$3:$H$4,$E$3:$E$4)=1,50,_Media_M + J161*_Sigma)</f>
        <v>87.090416788859798</v>
      </c>
      <c r="N161" s="36">
        <f t="shared" ca="1" si="34"/>
        <v>29.049223550503086</v>
      </c>
      <c r="O161" s="35">
        <f t="shared" ca="1" si="27"/>
        <v>116.13964033936288</v>
      </c>
      <c r="P161" s="19">
        <f t="shared" ca="1" si="36"/>
        <v>116.13964033936288</v>
      </c>
      <c r="Q161" s="20">
        <f ca="1" xml:space="preserve"> P161*_Precio_cafe</f>
        <v>174.20946050904433</v>
      </c>
      <c r="R161" s="20">
        <f t="shared" ca="1" si="37"/>
        <v>20002.185048500498</v>
      </c>
      <c r="S161" s="20">
        <f ca="1">(1/A161)*((A161-1)*S160 +Q161)</f>
        <v>137.94610378276201</v>
      </c>
      <c r="T161" s="20">
        <f ca="1">IF((T160-P161+F161)&gt;_Max_Stock_Gramos,_Max_Stock_Gramos,T160-P161+F161)</f>
        <v>1583.8603596606372</v>
      </c>
      <c r="U161" s="20">
        <f ca="1">T161/_GramosXFrasco</f>
        <v>9.3168256450625719</v>
      </c>
      <c r="V161" s="58">
        <f ca="1">(T161/_Max_Stock_Gramos)</f>
        <v>0.93168256450625719</v>
      </c>
      <c r="W161" s="58"/>
      <c r="X161" s="10">
        <f ca="1">IF((T160-O161)&lt;0,(T160-O161)*_Costo_Faltante,0)</f>
        <v>0</v>
      </c>
      <c r="Y161">
        <f>IF(B161=0,E161*_Costo_Frasco,0)</f>
        <v>0</v>
      </c>
      <c r="Z161" s="11">
        <f t="shared" ca="1" si="38"/>
        <v>-20500</v>
      </c>
    </row>
    <row r="162" spans="1:26" x14ac:dyDescent="0.25">
      <c r="A162" s="30">
        <f t="shared" si="35"/>
        <v>146</v>
      </c>
      <c r="B162" s="10">
        <f>IF(B161=0,_Proxima_Compra,B161-1)</f>
        <v>0</v>
      </c>
      <c r="C162" s="3">
        <f t="shared" ca="1" si="28"/>
        <v>0.55043739620517196</v>
      </c>
      <c r="D162" s="3">
        <f ca="1">IF(D161&gt;0,D161-1,IF(C162&gt;0,LOOKUP(C162,$S$3:$S$5,$P$3:$P$5),-1))</f>
        <v>1</v>
      </c>
      <c r="E162" s="25">
        <f t="shared" ca="1" si="29"/>
        <v>0</v>
      </c>
      <c r="F162" s="28">
        <f ca="1">E162*_GramosXFrasco</f>
        <v>0</v>
      </c>
      <c r="G162" s="38">
        <f t="shared" ca="1" si="30"/>
        <v>0.37469241587790092</v>
      </c>
      <c r="H162" s="36">
        <f t="shared" ca="1" si="31"/>
        <v>-1</v>
      </c>
      <c r="I162" s="36">
        <f t="shared" ca="1" si="32"/>
        <v>-1</v>
      </c>
      <c r="J162" s="36">
        <f t="shared" ca="1" si="26"/>
        <v>-1</v>
      </c>
      <c r="K162" s="37">
        <f ca="1">IF(J162&lt;&gt;-1,_Media_M + J162*_Sigma,-1)</f>
        <v>-1</v>
      </c>
      <c r="L162" s="3">
        <f t="shared" ca="1" si="33"/>
        <v>50</v>
      </c>
      <c r="M162" s="18">
        <f ca="1">IF(LOOKUP(G162,$H$3:$H$4,$E$3:$E$4)=1,50,_Media_M + J162*_Sigma)</f>
        <v>50</v>
      </c>
      <c r="N162" s="36">
        <f t="shared" ca="1" si="34"/>
        <v>2.3346107141131469</v>
      </c>
      <c r="O162" s="35">
        <f t="shared" ca="1" si="27"/>
        <v>52.334610714113147</v>
      </c>
      <c r="P162" s="19">
        <f t="shared" ca="1" si="36"/>
        <v>52.334610714113147</v>
      </c>
      <c r="Q162" s="20">
        <f ca="1" xml:space="preserve"> P162*_Precio_cafe</f>
        <v>78.501916071169717</v>
      </c>
      <c r="R162" s="20">
        <f t="shared" ca="1" si="37"/>
        <v>20080.686964571669</v>
      </c>
      <c r="S162" s="20">
        <f ca="1">(1/A162)*((A162-1)*S161 +Q162)</f>
        <v>137.53895181213466</v>
      </c>
      <c r="T162" s="20">
        <f ca="1">IF((T161-P162+F162)&gt;_Max_Stock_Gramos,_Max_Stock_Gramos,T161-P162+F162)</f>
        <v>1531.5257489465241</v>
      </c>
      <c r="U162" s="20">
        <f ca="1">T162/_GramosXFrasco</f>
        <v>9.0089749938030828</v>
      </c>
      <c r="V162" s="58">
        <f ca="1">(T162/_Max_Stock_Gramos)</f>
        <v>0.90089749938030828</v>
      </c>
      <c r="W162" s="58"/>
      <c r="X162" s="10">
        <f ca="1">IF((T161-O162)&lt;0,(T161-O162)*_Costo_Faltante,0)</f>
        <v>0</v>
      </c>
      <c r="Y162">
        <f ca="1">IF(B162=0,E162*_Costo_Frasco,0)</f>
        <v>0</v>
      </c>
      <c r="Z162" s="11">
        <f t="shared" ca="1" si="38"/>
        <v>-20500</v>
      </c>
    </row>
    <row r="163" spans="1:26" x14ac:dyDescent="0.25">
      <c r="A163" s="30">
        <f t="shared" si="35"/>
        <v>147</v>
      </c>
      <c r="B163" s="10">
        <f>IF(B162=0,_Proxima_Compra,B162-1)</f>
        <v>1</v>
      </c>
      <c r="C163" s="3">
        <f t="shared" ca="1" si="28"/>
        <v>-1</v>
      </c>
      <c r="D163" s="3">
        <f ca="1">IF(D162&gt;0,D162-1,IF(C163&gt;0,LOOKUP(C163,$S$3:$S$5,$P$3:$P$5),-1))</f>
        <v>0</v>
      </c>
      <c r="E163" s="25">
        <f t="shared" ca="1" si="29"/>
        <v>2</v>
      </c>
      <c r="F163" s="28">
        <f ca="1">E163*_GramosXFrasco</f>
        <v>340</v>
      </c>
      <c r="G163" s="38">
        <f t="shared" ca="1" si="30"/>
        <v>0.29340337055248877</v>
      </c>
      <c r="H163" s="36">
        <f t="shared" ca="1" si="31"/>
        <v>-1</v>
      </c>
      <c r="I163" s="36">
        <f t="shared" ca="1" si="32"/>
        <v>-1</v>
      </c>
      <c r="J163" s="36">
        <f t="shared" ca="1" si="26"/>
        <v>-1</v>
      </c>
      <c r="K163" s="37">
        <f ca="1">IF(J163&lt;&gt;-1,_Media_M + J163*_Sigma,-1)</f>
        <v>-1</v>
      </c>
      <c r="L163" s="3">
        <f t="shared" ca="1" si="33"/>
        <v>50</v>
      </c>
      <c r="M163" s="18">
        <f ca="1">IF(LOOKUP(G163,$H$3:$H$4,$E$3:$E$4)=1,50,_Media_M + J163*_Sigma)</f>
        <v>50</v>
      </c>
      <c r="N163" s="36">
        <f t="shared" ca="1" si="34"/>
        <v>67.840160672024524</v>
      </c>
      <c r="O163" s="35">
        <f t="shared" ca="1" si="27"/>
        <v>117.84016067202452</v>
      </c>
      <c r="P163" s="19">
        <f t="shared" ca="1" si="36"/>
        <v>117.84016067202452</v>
      </c>
      <c r="Q163" s="20">
        <f ca="1" xml:space="preserve"> P163*_Precio_cafe</f>
        <v>176.76024100803679</v>
      </c>
      <c r="R163" s="20">
        <f t="shared" ca="1" si="37"/>
        <v>20257.447205579705</v>
      </c>
      <c r="S163" s="20">
        <f ca="1">(1/A163)*((A163-1)*S162 +Q163)</f>
        <v>137.80576330326323</v>
      </c>
      <c r="T163" s="20">
        <f ca="1">IF((T162-P163+F163)&gt;_Max_Stock_Gramos,_Max_Stock_Gramos,T162-P163+F163)</f>
        <v>1700</v>
      </c>
      <c r="U163" s="20">
        <f ca="1">T163/_GramosXFrasco</f>
        <v>10</v>
      </c>
      <c r="V163" s="58">
        <f ca="1">(T163/_Max_Stock_Gramos)</f>
        <v>1</v>
      </c>
      <c r="W163" s="58"/>
      <c r="X163" s="10">
        <f ca="1">IF((T162-O163)&lt;0,(T162-O163)*_Costo_Faltante,0)</f>
        <v>0</v>
      </c>
      <c r="Y163">
        <f>IF(B163=0,E163*_Costo_Frasco,0)</f>
        <v>0</v>
      </c>
      <c r="Z163" s="11">
        <f t="shared" ca="1" si="38"/>
        <v>-20500</v>
      </c>
    </row>
    <row r="164" spans="1:26" x14ac:dyDescent="0.25">
      <c r="A164" s="30">
        <f t="shared" si="35"/>
        <v>148</v>
      </c>
      <c r="B164" s="10">
        <f>IF(B163=0,_Proxima_Compra,B163-1)</f>
        <v>0</v>
      </c>
      <c r="C164" s="3">
        <f t="shared" ca="1" si="28"/>
        <v>0.96894446049194549</v>
      </c>
      <c r="D164" s="3">
        <f ca="1">IF(D163&gt;0,D163-1,IF(C164&gt;0,LOOKUP(C164,$S$3:$S$5,$P$3:$P$5),-1))</f>
        <v>2</v>
      </c>
      <c r="E164" s="25">
        <f t="shared" ca="1" si="29"/>
        <v>0</v>
      </c>
      <c r="F164" s="28">
        <f ca="1">E164*_GramosXFrasco</f>
        <v>0</v>
      </c>
      <c r="G164" s="38">
        <f t="shared" ca="1" si="30"/>
        <v>0.72842450710432305</v>
      </c>
      <c r="H164" s="36">
        <f t="shared" ca="1" si="31"/>
        <v>0.4514297847013542</v>
      </c>
      <c r="I164" s="36">
        <f t="shared" ca="1" si="32"/>
        <v>0.16979231916490967</v>
      </c>
      <c r="J164" s="36">
        <f t="shared" ref="J164:J227" ca="1" si="39">IF(I164&gt;0,SQRT(-2*LOG(1-H164)) * COS(2*PI()*I164),-1)</f>
        <v>0.34873556918668047</v>
      </c>
      <c r="K164" s="37">
        <f ca="1">IF(J164&lt;&gt;-1,_Media_M + J164*_Sigma,-1)</f>
        <v>80.231033537800201</v>
      </c>
      <c r="L164" s="3">
        <f t="shared" ca="1" si="33"/>
        <v>-1</v>
      </c>
      <c r="M164" s="18">
        <f ca="1">IF(LOOKUP(G164,$H$3:$H$4,$E$3:$E$4)=1,50,_Media_M + J164*_Sigma)</f>
        <v>80.231033537800201</v>
      </c>
      <c r="N164" s="36">
        <f t="shared" ca="1" si="34"/>
        <v>3.5423990273915495</v>
      </c>
      <c r="O164" s="35">
        <f t="shared" ref="O164:O227" ca="1" si="40">M164+N164</f>
        <v>83.773432565191754</v>
      </c>
      <c r="P164" s="19">
        <f t="shared" ca="1" si="36"/>
        <v>83.773432565191754</v>
      </c>
      <c r="Q164" s="20">
        <f ca="1" xml:space="preserve"> P164*_Precio_cafe</f>
        <v>125.66014884778764</v>
      </c>
      <c r="R164" s="20">
        <f t="shared" ca="1" si="37"/>
        <v>20383.107354427491</v>
      </c>
      <c r="S164" s="20">
        <f ca="1">(1/A164)*((A164-1)*S163 +Q164)</f>
        <v>137.72369834072623</v>
      </c>
      <c r="T164" s="20">
        <f ca="1">IF((T163-P164+F164)&gt;_Max_Stock_Gramos,_Max_Stock_Gramos,T163-P164+F164)</f>
        <v>1616.2265674348082</v>
      </c>
      <c r="U164" s="20">
        <f ca="1">T164/_GramosXFrasco</f>
        <v>9.5072151025576961</v>
      </c>
      <c r="V164" s="58">
        <f ca="1">(T164/_Max_Stock_Gramos)</f>
        <v>0.95072151025576956</v>
      </c>
      <c r="W164" s="58"/>
      <c r="X164" s="10">
        <f ca="1">IF((T163-O164)&lt;0,(T163-O164)*_Costo_Faltante,0)</f>
        <v>0</v>
      </c>
      <c r="Y164">
        <f ca="1">IF(B164=0,E164*_Costo_Frasco,0)</f>
        <v>0</v>
      </c>
      <c r="Z164" s="11">
        <f t="shared" ca="1" si="38"/>
        <v>-20500</v>
      </c>
    </row>
    <row r="165" spans="1:26" x14ac:dyDescent="0.25">
      <c r="A165" s="30">
        <f t="shared" si="35"/>
        <v>149</v>
      </c>
      <c r="B165" s="10">
        <f>IF(B164=0,_Proxima_Compra,B164-1)</f>
        <v>1</v>
      </c>
      <c r="C165" s="3">
        <f t="shared" ca="1" si="28"/>
        <v>-1</v>
      </c>
      <c r="D165" s="3">
        <f ca="1">IF(D164&gt;0,D164-1,IF(C165&gt;0,LOOKUP(C165,$S$3:$S$5,$P$3:$P$5),-1))</f>
        <v>1</v>
      </c>
      <c r="E165" s="25">
        <f t="shared" ca="1" si="29"/>
        <v>0</v>
      </c>
      <c r="F165" s="28">
        <f ca="1">E165*_GramosXFrasco</f>
        <v>0</v>
      </c>
      <c r="G165" s="38">
        <f t="shared" ca="1" si="30"/>
        <v>0.45156556970143247</v>
      </c>
      <c r="H165" s="36">
        <f t="shared" ca="1" si="31"/>
        <v>-1</v>
      </c>
      <c r="I165" s="36">
        <f t="shared" ca="1" si="32"/>
        <v>-1</v>
      </c>
      <c r="J165" s="36">
        <f t="shared" ca="1" si="39"/>
        <v>-1</v>
      </c>
      <c r="K165" s="37">
        <f ca="1">IF(J165&lt;&gt;-1,_Media_M + J165*_Sigma,-1)</f>
        <v>-1</v>
      </c>
      <c r="L165" s="3">
        <f t="shared" ca="1" si="33"/>
        <v>50</v>
      </c>
      <c r="M165" s="18">
        <f ca="1">IF(LOOKUP(G165,$H$3:$H$4,$E$3:$E$4)=1,50,_Media_M + J165*_Sigma)</f>
        <v>50</v>
      </c>
      <c r="N165" s="36">
        <f t="shared" ca="1" si="34"/>
        <v>47.210682266598667</v>
      </c>
      <c r="O165" s="35">
        <f t="shared" ca="1" si="40"/>
        <v>97.210682266598667</v>
      </c>
      <c r="P165" s="19">
        <f t="shared" ca="1" si="36"/>
        <v>97.210682266598667</v>
      </c>
      <c r="Q165" s="20">
        <f ca="1" xml:space="preserve"> P165*_Precio_cafe</f>
        <v>145.816023399898</v>
      </c>
      <c r="R165" s="20">
        <f t="shared" ca="1" si="37"/>
        <v>20528.923377827388</v>
      </c>
      <c r="S165" s="20">
        <f ca="1">(1/A165)*((A165-1)*S164 +Q165)</f>
        <v>137.7780092471636</v>
      </c>
      <c r="T165" s="20">
        <f ca="1">IF((T164-P165+F165)&gt;_Max_Stock_Gramos,_Max_Stock_Gramos,T164-P165+F165)</f>
        <v>1519.0158851682095</v>
      </c>
      <c r="U165" s="20">
        <f ca="1">T165/_GramosXFrasco</f>
        <v>8.9353875598129964</v>
      </c>
      <c r="V165" s="58">
        <f ca="1">(T165/_Max_Stock_Gramos)</f>
        <v>0.89353875598129973</v>
      </c>
      <c r="W165" s="58"/>
      <c r="X165" s="10">
        <f ca="1">IF((T164-O165)&lt;0,(T164-O165)*_Costo_Faltante,0)</f>
        <v>0</v>
      </c>
      <c r="Y165">
        <f>IF(B165=0,E165*_Costo_Frasco,0)</f>
        <v>0</v>
      </c>
      <c r="Z165" s="11">
        <f t="shared" ca="1" si="38"/>
        <v>-20500</v>
      </c>
    </row>
    <row r="166" spans="1:26" x14ac:dyDescent="0.25">
      <c r="A166" s="30">
        <f t="shared" si="35"/>
        <v>150</v>
      </c>
      <c r="B166" s="10">
        <f>IF(B165=0,_Proxima_Compra,B165-1)</f>
        <v>0</v>
      </c>
      <c r="C166" s="3">
        <f t="shared" ca="1" si="28"/>
        <v>2.2865344760861772E-3</v>
      </c>
      <c r="D166" s="3">
        <f ca="1">IF(D165&gt;0,D165-1,IF(C166&gt;0,LOOKUP(C166,$S$3:$S$5,$P$3:$P$5),-1))</f>
        <v>0</v>
      </c>
      <c r="E166" s="25">
        <f t="shared" ca="1" si="29"/>
        <v>2</v>
      </c>
      <c r="F166" s="28">
        <f ca="1">E166*_GramosXFrasco</f>
        <v>340</v>
      </c>
      <c r="G166" s="38">
        <f t="shared" ca="1" si="30"/>
        <v>0.4968304930812798</v>
      </c>
      <c r="H166" s="36">
        <f t="shared" ca="1" si="31"/>
        <v>-1</v>
      </c>
      <c r="I166" s="36">
        <f t="shared" ca="1" si="32"/>
        <v>-1</v>
      </c>
      <c r="J166" s="36">
        <f t="shared" ca="1" si="39"/>
        <v>-1</v>
      </c>
      <c r="K166" s="37">
        <f ca="1">IF(J166&lt;&gt;-1,_Media_M + J166*_Sigma,-1)</f>
        <v>-1</v>
      </c>
      <c r="L166" s="3">
        <f t="shared" ca="1" si="33"/>
        <v>50</v>
      </c>
      <c r="M166" s="18">
        <f ca="1">IF(LOOKUP(G166,$H$3:$H$4,$E$3:$E$4)=1,50,_Media_M + J166*_Sigma)</f>
        <v>50</v>
      </c>
      <c r="N166" s="36">
        <f t="shared" ca="1" si="34"/>
        <v>49.024347051308581</v>
      </c>
      <c r="O166" s="35">
        <f t="shared" ca="1" si="40"/>
        <v>99.024347051308581</v>
      </c>
      <c r="P166" s="19">
        <f t="shared" ca="1" si="36"/>
        <v>99.024347051308581</v>
      </c>
      <c r="Q166" s="20">
        <f ca="1" xml:space="preserve"> P166*_Precio_cafe</f>
        <v>148.53652057696286</v>
      </c>
      <c r="R166" s="20">
        <f t="shared" ca="1" si="37"/>
        <v>20677.459898404351</v>
      </c>
      <c r="S166" s="20">
        <f ca="1">(1/A166)*((A166-1)*S165 +Q166)</f>
        <v>137.84973265602895</v>
      </c>
      <c r="T166" s="20">
        <f ca="1">IF((T165-P166+F166)&gt;_Max_Stock_Gramos,_Max_Stock_Gramos,T165-P166+F166)</f>
        <v>1700</v>
      </c>
      <c r="U166" s="20">
        <f ca="1">T166/_GramosXFrasco</f>
        <v>10</v>
      </c>
      <c r="V166" s="58">
        <f ca="1">(T166/_Max_Stock_Gramos)</f>
        <v>1</v>
      </c>
      <c r="W166" s="58"/>
      <c r="X166" s="10">
        <f ca="1">IF((T165-O166)&lt;0,(T165-O166)*_Costo_Faltante,0)</f>
        <v>0</v>
      </c>
      <c r="Y166">
        <f ca="1">IF(B166=0,E166*_Costo_Frasco,0)</f>
        <v>-500</v>
      </c>
      <c r="Z166" s="11">
        <f t="shared" ca="1" si="38"/>
        <v>-21000</v>
      </c>
    </row>
    <row r="167" spans="1:26" x14ac:dyDescent="0.25">
      <c r="A167" s="30">
        <f t="shared" si="35"/>
        <v>151</v>
      </c>
      <c r="B167" s="10">
        <f>IF(B166=0,_Proxima_Compra,B166-1)</f>
        <v>1</v>
      </c>
      <c r="C167" s="3">
        <f t="shared" ca="1" si="28"/>
        <v>-1</v>
      </c>
      <c r="D167" s="3">
        <f ca="1">IF(D166&gt;0,D166-1,IF(C167&gt;0,LOOKUP(C167,$S$3:$S$5,$P$3:$P$5),-1))</f>
        <v>-1</v>
      </c>
      <c r="E167" s="25">
        <f t="shared" ca="1" si="29"/>
        <v>0</v>
      </c>
      <c r="F167" s="28">
        <f ca="1">E167*_GramosXFrasco</f>
        <v>0</v>
      </c>
      <c r="G167" s="38">
        <f t="shared" ca="1" si="30"/>
        <v>0.58763092185188115</v>
      </c>
      <c r="H167" s="36">
        <f t="shared" ca="1" si="31"/>
        <v>0.21919358993924221</v>
      </c>
      <c r="I167" s="36">
        <f t="shared" ca="1" si="32"/>
        <v>0.84891604499342166</v>
      </c>
      <c r="J167" s="36">
        <f t="shared" ca="1" si="39"/>
        <v>0.26992917593417692</v>
      </c>
      <c r="K167" s="37">
        <f ca="1">IF(J167&lt;&gt;-1,_Media_M + J167*_Sigma,-1)</f>
        <v>79.048937639012649</v>
      </c>
      <c r="L167" s="3">
        <f t="shared" ca="1" si="33"/>
        <v>-1</v>
      </c>
      <c r="M167" s="18">
        <f ca="1">IF(LOOKUP(G167,$H$3:$H$4,$E$3:$E$4)=1,50,_Media_M + J167*_Sigma)</f>
        <v>79.048937639012649</v>
      </c>
      <c r="N167" s="36">
        <f t="shared" ca="1" si="34"/>
        <v>12.00177267216695</v>
      </c>
      <c r="O167" s="35">
        <f t="shared" ca="1" si="40"/>
        <v>91.0507103111796</v>
      </c>
      <c r="P167" s="19">
        <f t="shared" ca="1" si="36"/>
        <v>91.0507103111796</v>
      </c>
      <c r="Q167" s="20">
        <f ca="1" xml:space="preserve"> P167*_Precio_cafe</f>
        <v>136.57606546676939</v>
      </c>
      <c r="R167" s="20">
        <f t="shared" ca="1" si="37"/>
        <v>20814.03596387112</v>
      </c>
      <c r="S167" s="20">
        <f ca="1">(1/A167)*((A167-1)*S166 +Q167)</f>
        <v>137.84129777398084</v>
      </c>
      <c r="T167" s="20">
        <f ca="1">IF((T166-P167+F167)&gt;_Max_Stock_Gramos,_Max_Stock_Gramos,T166-P167+F167)</f>
        <v>1608.9492896888205</v>
      </c>
      <c r="U167" s="20">
        <f ca="1">T167/_GramosXFrasco</f>
        <v>9.4644075864048265</v>
      </c>
      <c r="V167" s="58">
        <f ca="1">(T167/_Max_Stock_Gramos)</f>
        <v>0.9464407586404826</v>
      </c>
      <c r="W167" s="58"/>
      <c r="X167" s="10">
        <f ca="1">IF((T166-O167)&lt;0,(T166-O167)*_Costo_Faltante,0)</f>
        <v>0</v>
      </c>
      <c r="Y167">
        <f>IF(B167=0,E167*_Costo_Frasco,0)</f>
        <v>0</v>
      </c>
      <c r="Z167" s="11">
        <f t="shared" ca="1" si="38"/>
        <v>-21000</v>
      </c>
    </row>
    <row r="168" spans="1:26" x14ac:dyDescent="0.25">
      <c r="A168" s="30">
        <f t="shared" si="35"/>
        <v>152</v>
      </c>
      <c r="B168" s="10">
        <f>IF(B167=0,_Proxima_Compra,B167-1)</f>
        <v>0</v>
      </c>
      <c r="C168" s="3">
        <f t="shared" ca="1" si="28"/>
        <v>0.95068833060936198</v>
      </c>
      <c r="D168" s="3">
        <f ca="1">IF(D167&gt;0,D167-1,IF(C168&gt;0,LOOKUP(C168,$S$3:$S$5,$P$3:$P$5),-1))</f>
        <v>2</v>
      </c>
      <c r="E168" s="25">
        <f t="shared" ca="1" si="29"/>
        <v>0</v>
      </c>
      <c r="F168" s="28">
        <f ca="1">E168*_GramosXFrasco</f>
        <v>0</v>
      </c>
      <c r="G168" s="38">
        <f t="shared" ca="1" si="30"/>
        <v>0.12972056130768206</v>
      </c>
      <c r="H168" s="36">
        <f t="shared" ca="1" si="31"/>
        <v>-1</v>
      </c>
      <c r="I168" s="36">
        <f t="shared" ca="1" si="32"/>
        <v>-1</v>
      </c>
      <c r="J168" s="36">
        <f t="shared" ca="1" si="39"/>
        <v>-1</v>
      </c>
      <c r="K168" s="37">
        <f ca="1">IF(J168&lt;&gt;-1,_Media_M + J168*_Sigma,-1)</f>
        <v>-1</v>
      </c>
      <c r="L168" s="3">
        <f t="shared" ca="1" si="33"/>
        <v>50</v>
      </c>
      <c r="M168" s="18">
        <f ca="1">IF(LOOKUP(G168,$H$3:$H$4,$E$3:$E$4)=1,50,_Media_M + J168*_Sigma)</f>
        <v>50</v>
      </c>
      <c r="N168" s="36">
        <f t="shared" ca="1" si="34"/>
        <v>22.937828244217691</v>
      </c>
      <c r="O168" s="35">
        <f t="shared" ca="1" si="40"/>
        <v>72.937828244217684</v>
      </c>
      <c r="P168" s="19">
        <f t="shared" ca="1" si="36"/>
        <v>72.937828244217684</v>
      </c>
      <c r="Q168" s="20">
        <f ca="1" xml:space="preserve"> P168*_Precio_cafe</f>
        <v>109.40674236632653</v>
      </c>
      <c r="R168" s="20">
        <f t="shared" ca="1" si="37"/>
        <v>20923.442706237445</v>
      </c>
      <c r="S168" s="20">
        <f ca="1">(1/A168)*((A168-1)*S167 +Q168)</f>
        <v>137.65422833050943</v>
      </c>
      <c r="T168" s="20">
        <f ca="1">IF((T167-P168+F168)&gt;_Max_Stock_Gramos,_Max_Stock_Gramos,T167-P168+F168)</f>
        <v>1536.0114614446029</v>
      </c>
      <c r="U168" s="20">
        <f ca="1">T168/_GramosXFrasco</f>
        <v>9.035361537909429</v>
      </c>
      <c r="V168" s="58">
        <f ca="1">(T168/_Max_Stock_Gramos)</f>
        <v>0.90353615379094288</v>
      </c>
      <c r="W168" s="58"/>
      <c r="X168" s="10">
        <f ca="1">IF((T167-O168)&lt;0,(T167-O168)*_Costo_Faltante,0)</f>
        <v>0</v>
      </c>
      <c r="Y168">
        <f ca="1">IF(B168=0,E168*_Costo_Frasco,0)</f>
        <v>0</v>
      </c>
      <c r="Z168" s="11">
        <f t="shared" ca="1" si="38"/>
        <v>-21000</v>
      </c>
    </row>
    <row r="169" spans="1:26" x14ac:dyDescent="0.25">
      <c r="A169" s="30">
        <f t="shared" si="35"/>
        <v>153</v>
      </c>
      <c r="B169" s="10">
        <f>IF(B168=0,_Proxima_Compra,B168-1)</f>
        <v>1</v>
      </c>
      <c r="C169" s="3">
        <f t="shared" ca="1" si="28"/>
        <v>-1</v>
      </c>
      <c r="D169" s="3">
        <f ca="1">IF(D168&gt;0,D168-1,IF(C169&gt;0,LOOKUP(C169,$S$3:$S$5,$P$3:$P$5),-1))</f>
        <v>1</v>
      </c>
      <c r="E169" s="25">
        <f t="shared" ca="1" si="29"/>
        <v>0</v>
      </c>
      <c r="F169" s="28">
        <f ca="1">E169*_GramosXFrasco</f>
        <v>0</v>
      </c>
      <c r="G169" s="38">
        <f t="shared" ca="1" si="30"/>
        <v>9.1964870806749976E-3</v>
      </c>
      <c r="H169" s="36">
        <f t="shared" ca="1" si="31"/>
        <v>-1</v>
      </c>
      <c r="I169" s="36">
        <f t="shared" ca="1" si="32"/>
        <v>-1</v>
      </c>
      <c r="J169" s="36">
        <f t="shared" ca="1" si="39"/>
        <v>-1</v>
      </c>
      <c r="K169" s="37">
        <f ca="1">IF(J169&lt;&gt;-1,_Media_M + J169*_Sigma,-1)</f>
        <v>-1</v>
      </c>
      <c r="L169" s="3">
        <f t="shared" ca="1" si="33"/>
        <v>50</v>
      </c>
      <c r="M169" s="18">
        <f ca="1">IF(LOOKUP(G169,$H$3:$H$4,$E$3:$E$4)=1,50,_Media_M + J169*_Sigma)</f>
        <v>50</v>
      </c>
      <c r="N169" s="36">
        <f t="shared" ca="1" si="34"/>
        <v>0.18733504441957885</v>
      </c>
      <c r="O169" s="35">
        <f t="shared" ca="1" si="40"/>
        <v>50.187335044419576</v>
      </c>
      <c r="P169" s="19">
        <f t="shared" ca="1" si="36"/>
        <v>50.187335044419576</v>
      </c>
      <c r="Q169" s="20">
        <f ca="1" xml:space="preserve"> P169*_Precio_cafe</f>
        <v>75.281002566629368</v>
      </c>
      <c r="R169" s="20">
        <f t="shared" ca="1" si="37"/>
        <v>20998.723708804075</v>
      </c>
      <c r="S169" s="20">
        <f ca="1">(1/A169)*((A169-1)*S168 +Q169)</f>
        <v>137.24656018826187</v>
      </c>
      <c r="T169" s="20">
        <f ca="1">IF((T168-P169+F169)&gt;_Max_Stock_Gramos,_Max_Stock_Gramos,T168-P169+F169)</f>
        <v>1485.8241264001833</v>
      </c>
      <c r="U169" s="20">
        <f ca="1">T169/_GramosXFrasco</f>
        <v>8.7401419200010793</v>
      </c>
      <c r="V169" s="58">
        <f ca="1">(T169/_Max_Stock_Gramos)</f>
        <v>0.87401419200010788</v>
      </c>
      <c r="W169" s="58"/>
      <c r="X169" s="10">
        <f ca="1">IF((T168-O169)&lt;0,(T168-O169)*_Costo_Faltante,0)</f>
        <v>0</v>
      </c>
      <c r="Y169">
        <f>IF(B169=0,E169*_Costo_Frasco,0)</f>
        <v>0</v>
      </c>
      <c r="Z169" s="11">
        <f t="shared" ca="1" si="38"/>
        <v>-21000</v>
      </c>
    </row>
    <row r="170" spans="1:26" x14ac:dyDescent="0.25">
      <c r="A170" s="30">
        <f t="shared" si="35"/>
        <v>154</v>
      </c>
      <c r="B170" s="10">
        <f>IF(B169=0,_Proxima_Compra,B169-1)</f>
        <v>0</v>
      </c>
      <c r="C170" s="3">
        <f t="shared" ca="1" si="28"/>
        <v>0.56630486688913495</v>
      </c>
      <c r="D170" s="3">
        <f ca="1">IF(D169&gt;0,D169-1,IF(C170&gt;0,LOOKUP(C170,$S$3:$S$5,$P$3:$P$5),-1))</f>
        <v>0</v>
      </c>
      <c r="E170" s="25">
        <f t="shared" ca="1" si="29"/>
        <v>2</v>
      </c>
      <c r="F170" s="28">
        <f ca="1">E170*_GramosXFrasco</f>
        <v>340</v>
      </c>
      <c r="G170" s="38">
        <f t="shared" ca="1" si="30"/>
        <v>0.40126386351747989</v>
      </c>
      <c r="H170" s="36">
        <f t="shared" ca="1" si="31"/>
        <v>-1</v>
      </c>
      <c r="I170" s="36">
        <f t="shared" ca="1" si="32"/>
        <v>-1</v>
      </c>
      <c r="J170" s="36">
        <f t="shared" ca="1" si="39"/>
        <v>-1</v>
      </c>
      <c r="K170" s="37">
        <f ca="1">IF(J170&lt;&gt;-1,_Media_M + J170*_Sigma,-1)</f>
        <v>-1</v>
      </c>
      <c r="L170" s="3">
        <f t="shared" ca="1" si="33"/>
        <v>50</v>
      </c>
      <c r="M170" s="18">
        <f ca="1">IF(LOOKUP(G170,$H$3:$H$4,$E$3:$E$4)=1,50,_Media_M + J170*_Sigma)</f>
        <v>50</v>
      </c>
      <c r="N170" s="36">
        <f t="shared" ca="1" si="34"/>
        <v>7.8765588643800797</v>
      </c>
      <c r="O170" s="35">
        <f t="shared" ca="1" si="40"/>
        <v>57.87655886438008</v>
      </c>
      <c r="P170" s="19">
        <f t="shared" ca="1" si="36"/>
        <v>57.87655886438008</v>
      </c>
      <c r="Q170" s="20">
        <f ca="1" xml:space="preserve"> P170*_Precio_cafe</f>
        <v>86.814838296570116</v>
      </c>
      <c r="R170" s="20">
        <f t="shared" ca="1" si="37"/>
        <v>21085.538547100645</v>
      </c>
      <c r="S170" s="20">
        <f ca="1">(1/A170)*((A170-1)*S169 +Q170)</f>
        <v>136.91908147467947</v>
      </c>
      <c r="T170" s="20">
        <f ca="1">IF((T169-P170+F170)&gt;_Max_Stock_Gramos,_Max_Stock_Gramos,T169-P170+F170)</f>
        <v>1700</v>
      </c>
      <c r="U170" s="20">
        <f ca="1">T170/_GramosXFrasco</f>
        <v>10</v>
      </c>
      <c r="V170" s="58">
        <f ca="1">(T170/_Max_Stock_Gramos)</f>
        <v>1</v>
      </c>
      <c r="W170" s="58"/>
      <c r="X170" s="10">
        <f ca="1">IF((T169-O170)&lt;0,(T169-O170)*_Costo_Faltante,0)</f>
        <v>0</v>
      </c>
      <c r="Y170">
        <f ca="1">IF(B170=0,E170*_Costo_Frasco,0)</f>
        <v>-500</v>
      </c>
      <c r="Z170" s="11">
        <f t="shared" ca="1" si="38"/>
        <v>-21500</v>
      </c>
    </row>
    <row r="171" spans="1:26" x14ac:dyDescent="0.25">
      <c r="A171" s="30">
        <f t="shared" si="35"/>
        <v>155</v>
      </c>
      <c r="B171" s="10">
        <f>IF(B170=0,_Proxima_Compra,B170-1)</f>
        <v>1</v>
      </c>
      <c r="C171" s="3">
        <f t="shared" ca="1" si="28"/>
        <v>-1</v>
      </c>
      <c r="D171" s="3">
        <f ca="1">IF(D170&gt;0,D170-1,IF(C171&gt;0,LOOKUP(C171,$S$3:$S$5,$P$3:$P$5),-1))</f>
        <v>-1</v>
      </c>
      <c r="E171" s="25">
        <f t="shared" ca="1" si="29"/>
        <v>0</v>
      </c>
      <c r="F171" s="28">
        <f ca="1">E171*_GramosXFrasco</f>
        <v>0</v>
      </c>
      <c r="G171" s="38">
        <f t="shared" ca="1" si="30"/>
        <v>0.74197694863042718</v>
      </c>
      <c r="H171" s="36">
        <f t="shared" ca="1" si="31"/>
        <v>0.94703122877636747</v>
      </c>
      <c r="I171" s="36">
        <f t="shared" ca="1" si="32"/>
        <v>0.86666874968683671</v>
      </c>
      <c r="J171" s="36">
        <f t="shared" ca="1" si="39"/>
        <v>1.0689420375797873</v>
      </c>
      <c r="K171" s="37">
        <f ca="1">IF(J171&lt;&gt;-1,_Media_M + J171*_Sigma,-1)</f>
        <v>91.034130563696806</v>
      </c>
      <c r="L171" s="3">
        <f t="shared" ca="1" si="33"/>
        <v>-1</v>
      </c>
      <c r="M171" s="18">
        <f ca="1">IF(LOOKUP(G171,$H$3:$H$4,$E$3:$E$4)=1,50,_Media_M + J171*_Sigma)</f>
        <v>91.034130563696806</v>
      </c>
      <c r="N171" s="36">
        <f t="shared" ca="1" si="34"/>
        <v>11.550841592168126</v>
      </c>
      <c r="O171" s="35">
        <f t="shared" ca="1" si="40"/>
        <v>102.58497215586493</v>
      </c>
      <c r="P171" s="19">
        <f t="shared" ca="1" si="36"/>
        <v>102.58497215586493</v>
      </c>
      <c r="Q171" s="20">
        <f ca="1" xml:space="preserve"> P171*_Precio_cafe</f>
        <v>153.8774582337974</v>
      </c>
      <c r="R171" s="20">
        <f t="shared" ca="1" si="37"/>
        <v>21239.416005334442</v>
      </c>
      <c r="S171" s="20">
        <f ca="1">(1/A171)*((A171-1)*S170 +Q171)</f>
        <v>137.02849035699634</v>
      </c>
      <c r="T171" s="20">
        <f ca="1">IF((T170-P171+F171)&gt;_Max_Stock_Gramos,_Max_Stock_Gramos,T170-P171+F171)</f>
        <v>1597.415027844135</v>
      </c>
      <c r="U171" s="20">
        <f ca="1">T171/_GramosXFrasco</f>
        <v>9.396558987318441</v>
      </c>
      <c r="V171" s="58">
        <f ca="1">(T171/_Max_Stock_Gramos)</f>
        <v>0.93965589873184407</v>
      </c>
      <c r="W171" s="58"/>
      <c r="X171" s="10">
        <f ca="1">IF((T170-O171)&lt;0,(T170-O171)*_Costo_Faltante,0)</f>
        <v>0</v>
      </c>
      <c r="Y171">
        <f>IF(B171=0,E171*_Costo_Frasco,0)</f>
        <v>0</v>
      </c>
      <c r="Z171" s="11">
        <f t="shared" ca="1" si="38"/>
        <v>-21500</v>
      </c>
    </row>
    <row r="172" spans="1:26" x14ac:dyDescent="0.25">
      <c r="A172" s="30">
        <f t="shared" si="35"/>
        <v>156</v>
      </c>
      <c r="B172" s="10">
        <f>IF(B171=0,_Proxima_Compra,B171-1)</f>
        <v>0</v>
      </c>
      <c r="C172" s="3">
        <f t="shared" ca="1" si="28"/>
        <v>0.26119756066073274</v>
      </c>
      <c r="D172" s="3">
        <f ca="1">IF(D171&gt;0,D171-1,IF(C172&gt;0,LOOKUP(C172,$S$3:$S$5,$P$3:$P$5),-1))</f>
        <v>0</v>
      </c>
      <c r="E172" s="25">
        <f t="shared" ca="1" si="29"/>
        <v>2</v>
      </c>
      <c r="F172" s="28">
        <f ca="1">E172*_GramosXFrasco</f>
        <v>340</v>
      </c>
      <c r="G172" s="38">
        <f t="shared" ca="1" si="30"/>
        <v>0.95267936640824546</v>
      </c>
      <c r="H172" s="36">
        <f t="shared" ca="1" si="31"/>
        <v>0.92078223579987772</v>
      </c>
      <c r="I172" s="36">
        <f t="shared" ca="1" si="32"/>
        <v>0.69518365021095996</v>
      </c>
      <c r="J172" s="36">
        <f t="shared" ca="1" si="39"/>
        <v>-0.50108681928323162</v>
      </c>
      <c r="K172" s="37">
        <f ca="1">IF(J172&lt;&gt;-1,_Media_M + J172*_Sigma,-1)</f>
        <v>67.483697710751528</v>
      </c>
      <c r="L172" s="3">
        <f t="shared" ca="1" si="33"/>
        <v>-1</v>
      </c>
      <c r="M172" s="18">
        <f ca="1">IF(LOOKUP(G172,$H$3:$H$4,$E$3:$E$4)=1,50,_Media_M + J172*_Sigma)</f>
        <v>67.483697710751528</v>
      </c>
      <c r="N172" s="36">
        <f t="shared" ca="1" si="34"/>
        <v>71.851512741584301</v>
      </c>
      <c r="O172" s="35">
        <f t="shared" ca="1" si="40"/>
        <v>139.33521045233584</v>
      </c>
      <c r="P172" s="19">
        <f t="shared" ca="1" si="36"/>
        <v>139.33521045233584</v>
      </c>
      <c r="Q172" s="20">
        <f ca="1" xml:space="preserve"> P172*_Precio_cafe</f>
        <v>209.00281567850377</v>
      </c>
      <c r="R172" s="20">
        <f t="shared" ca="1" si="37"/>
        <v>21448.418821012947</v>
      </c>
      <c r="S172" s="20">
        <f ca="1">(1/A172)*((A172-1)*S171 +Q172)</f>
        <v>137.48986423726242</v>
      </c>
      <c r="T172" s="20">
        <f ca="1">IF((T171-P172+F172)&gt;_Max_Stock_Gramos,_Max_Stock_Gramos,T171-P172+F172)</f>
        <v>1700</v>
      </c>
      <c r="U172" s="20">
        <f ca="1">T172/_GramosXFrasco</f>
        <v>10</v>
      </c>
      <c r="V172" s="58">
        <f ca="1">(T172/_Max_Stock_Gramos)</f>
        <v>1</v>
      </c>
      <c r="W172" s="58"/>
      <c r="X172" s="10">
        <f ca="1">IF((T171-O172)&lt;0,(T171-O172)*_Costo_Faltante,0)</f>
        <v>0</v>
      </c>
      <c r="Y172">
        <f ca="1">IF(B172=0,E172*_Costo_Frasco,0)</f>
        <v>-500</v>
      </c>
      <c r="Z172" s="11">
        <f t="shared" ca="1" si="38"/>
        <v>-22000</v>
      </c>
    </row>
    <row r="173" spans="1:26" x14ac:dyDescent="0.25">
      <c r="A173" s="30">
        <f t="shared" si="35"/>
        <v>157</v>
      </c>
      <c r="B173" s="10">
        <f>IF(B172=0,_Proxima_Compra,B172-1)</f>
        <v>1</v>
      </c>
      <c r="C173" s="3">
        <f t="shared" ca="1" si="28"/>
        <v>-1</v>
      </c>
      <c r="D173" s="3">
        <f ca="1">IF(D172&gt;0,D172-1,IF(C173&gt;0,LOOKUP(C173,$S$3:$S$5,$P$3:$P$5),-1))</f>
        <v>-1</v>
      </c>
      <c r="E173" s="25">
        <f t="shared" ca="1" si="29"/>
        <v>0</v>
      </c>
      <c r="F173" s="28">
        <f ca="1">E173*_GramosXFrasco</f>
        <v>0</v>
      </c>
      <c r="G173" s="38">
        <f t="shared" ca="1" si="30"/>
        <v>0.43676044820784432</v>
      </c>
      <c r="H173" s="36">
        <f t="shared" ca="1" si="31"/>
        <v>-1</v>
      </c>
      <c r="I173" s="36">
        <f t="shared" ca="1" si="32"/>
        <v>-1</v>
      </c>
      <c r="J173" s="36">
        <f t="shared" ca="1" si="39"/>
        <v>-1</v>
      </c>
      <c r="K173" s="37">
        <f ca="1">IF(J173&lt;&gt;-1,_Media_M + J173*_Sigma,-1)</f>
        <v>-1</v>
      </c>
      <c r="L173" s="3">
        <f t="shared" ca="1" si="33"/>
        <v>50</v>
      </c>
      <c r="M173" s="18">
        <f ca="1">IF(LOOKUP(G173,$H$3:$H$4,$E$3:$E$4)=1,50,_Media_M + J173*_Sigma)</f>
        <v>50</v>
      </c>
      <c r="N173" s="36">
        <f t="shared" ca="1" si="34"/>
        <v>4.1619019678517102</v>
      </c>
      <c r="O173" s="35">
        <f t="shared" ca="1" si="40"/>
        <v>54.161901967851712</v>
      </c>
      <c r="P173" s="19">
        <f t="shared" ca="1" si="36"/>
        <v>54.161901967851712</v>
      </c>
      <c r="Q173" s="20">
        <f ca="1" xml:space="preserve"> P173*_Precio_cafe</f>
        <v>81.242852951777564</v>
      </c>
      <c r="R173" s="20">
        <f t="shared" ca="1" si="37"/>
        <v>21529.661673964725</v>
      </c>
      <c r="S173" s="20">
        <f ca="1">(1/A173)*((A173-1)*S172 +Q173)</f>
        <v>137.13160301888357</v>
      </c>
      <c r="T173" s="20">
        <f ca="1">IF((T172-P173+F173)&gt;_Max_Stock_Gramos,_Max_Stock_Gramos,T172-P173+F173)</f>
        <v>1645.8380980321483</v>
      </c>
      <c r="U173" s="20">
        <f ca="1">T173/_GramosXFrasco</f>
        <v>9.681400576659696</v>
      </c>
      <c r="V173" s="58">
        <f ca="1">(T173/_Max_Stock_Gramos)</f>
        <v>0.96814005766596956</v>
      </c>
      <c r="W173" s="58"/>
      <c r="X173" s="10">
        <f ca="1">IF((T172-O173)&lt;0,(T172-O173)*_Costo_Faltante,0)</f>
        <v>0</v>
      </c>
      <c r="Y173">
        <f>IF(B173=0,E173*_Costo_Frasco,0)</f>
        <v>0</v>
      </c>
      <c r="Z173" s="11">
        <f t="shared" ca="1" si="38"/>
        <v>-22000</v>
      </c>
    </row>
    <row r="174" spans="1:26" x14ac:dyDescent="0.25">
      <c r="A174" s="30">
        <f t="shared" si="35"/>
        <v>158</v>
      </c>
      <c r="B174" s="10">
        <f>IF(B173=0,_Proxima_Compra,B173-1)</f>
        <v>0</v>
      </c>
      <c r="C174" s="3">
        <f t="shared" ca="1" si="28"/>
        <v>0.77159884336474249</v>
      </c>
      <c r="D174" s="3">
        <f ca="1">IF(D173&gt;0,D173-1,IF(C174&gt;0,LOOKUP(C174,$S$3:$S$5,$P$3:$P$5),-1))</f>
        <v>2</v>
      </c>
      <c r="E174" s="25">
        <f t="shared" ca="1" si="29"/>
        <v>0</v>
      </c>
      <c r="F174" s="28">
        <f ca="1">E174*_GramosXFrasco</f>
        <v>0</v>
      </c>
      <c r="G174" s="38">
        <f t="shared" ca="1" si="30"/>
        <v>0.88805517800712641</v>
      </c>
      <c r="H174" s="36">
        <f t="shared" ca="1" si="31"/>
        <v>0.30328896855144283</v>
      </c>
      <c r="I174" s="36">
        <f t="shared" ca="1" si="32"/>
        <v>0.99342361288449077</v>
      </c>
      <c r="J174" s="36">
        <f t="shared" ca="1" si="39"/>
        <v>0.55978476951643941</v>
      </c>
      <c r="K174" s="37">
        <f ca="1">IF(J174&lt;&gt;-1,_Media_M + J174*_Sigma,-1)</f>
        <v>83.396771542746592</v>
      </c>
      <c r="L174" s="3">
        <f t="shared" ca="1" si="33"/>
        <v>-1</v>
      </c>
      <c r="M174" s="18">
        <f ca="1">IF(LOOKUP(G174,$H$3:$H$4,$E$3:$E$4)=1,50,_Media_M + J174*_Sigma)</f>
        <v>83.396771542746592</v>
      </c>
      <c r="N174" s="36">
        <f t="shared" ca="1" si="34"/>
        <v>30.541395427939406</v>
      </c>
      <c r="O174" s="35">
        <f t="shared" ca="1" si="40"/>
        <v>113.938166970686</v>
      </c>
      <c r="P174" s="19">
        <f t="shared" ca="1" si="36"/>
        <v>113.938166970686</v>
      </c>
      <c r="Q174" s="20">
        <f ca="1" xml:space="preserve"> P174*_Precio_cafe</f>
        <v>170.907250456029</v>
      </c>
      <c r="R174" s="20">
        <f t="shared" ca="1" si="37"/>
        <v>21700.568924420753</v>
      </c>
      <c r="S174" s="20">
        <f ca="1">(1/A174)*((A174-1)*S173 +Q174)</f>
        <v>137.34537293937183</v>
      </c>
      <c r="T174" s="20">
        <f ca="1">IF((T173-P174+F174)&gt;_Max_Stock_Gramos,_Max_Stock_Gramos,T173-P174+F174)</f>
        <v>1531.8999310614622</v>
      </c>
      <c r="U174" s="20">
        <f ca="1">T174/_GramosXFrasco</f>
        <v>9.0111760650674242</v>
      </c>
      <c r="V174" s="58">
        <f ca="1">(T174/_Max_Stock_Gramos)</f>
        <v>0.90111760650674244</v>
      </c>
      <c r="W174" s="58"/>
      <c r="X174" s="10">
        <f ca="1">IF((T173-O174)&lt;0,(T173-O174)*_Costo_Faltante,0)</f>
        <v>0</v>
      </c>
      <c r="Y174">
        <f ca="1">IF(B174=0,E174*_Costo_Frasco,0)</f>
        <v>0</v>
      </c>
      <c r="Z174" s="11">
        <f t="shared" ca="1" si="38"/>
        <v>-22000</v>
      </c>
    </row>
    <row r="175" spans="1:26" x14ac:dyDescent="0.25">
      <c r="A175" s="30">
        <f t="shared" si="35"/>
        <v>159</v>
      </c>
      <c r="B175" s="10">
        <f>IF(B174=0,_Proxima_Compra,B174-1)</f>
        <v>1</v>
      </c>
      <c r="C175" s="3">
        <f t="shared" ca="1" si="28"/>
        <v>-1</v>
      </c>
      <c r="D175" s="3">
        <f ca="1">IF(D174&gt;0,D174-1,IF(C175&gt;0,LOOKUP(C175,$S$3:$S$5,$P$3:$P$5),-1))</f>
        <v>1</v>
      </c>
      <c r="E175" s="25">
        <f t="shared" ca="1" si="29"/>
        <v>0</v>
      </c>
      <c r="F175" s="28">
        <f ca="1">E175*_GramosXFrasco</f>
        <v>0</v>
      </c>
      <c r="G175" s="38">
        <f t="shared" ca="1" si="30"/>
        <v>0.2990238149770591</v>
      </c>
      <c r="H175" s="36">
        <f t="shared" ca="1" si="31"/>
        <v>-1</v>
      </c>
      <c r="I175" s="36">
        <f t="shared" ca="1" si="32"/>
        <v>-1</v>
      </c>
      <c r="J175" s="36">
        <f t="shared" ca="1" si="39"/>
        <v>-1</v>
      </c>
      <c r="K175" s="37">
        <f ca="1">IF(J175&lt;&gt;-1,_Media_M + J175*_Sigma,-1)</f>
        <v>-1</v>
      </c>
      <c r="L175" s="3">
        <f t="shared" ca="1" si="33"/>
        <v>50</v>
      </c>
      <c r="M175" s="18">
        <f ca="1">IF(LOOKUP(G175,$H$3:$H$4,$E$3:$E$4)=1,50,_Media_M + J175*_Sigma)</f>
        <v>50</v>
      </c>
      <c r="N175" s="36">
        <f t="shared" ca="1" si="34"/>
        <v>5.9565429893464632</v>
      </c>
      <c r="O175" s="35">
        <f t="shared" ca="1" si="40"/>
        <v>55.95654298934646</v>
      </c>
      <c r="P175" s="19">
        <f t="shared" ca="1" si="36"/>
        <v>55.95654298934646</v>
      </c>
      <c r="Q175" s="20">
        <f ca="1" xml:space="preserve"> P175*_Precio_cafe</f>
        <v>83.934814484019682</v>
      </c>
      <c r="R175" s="20">
        <f t="shared" ca="1" si="37"/>
        <v>21784.503738904772</v>
      </c>
      <c r="S175" s="20">
        <f ca="1">(1/A175)*((A175-1)*S174 +Q175)</f>
        <v>137.00945747738848</v>
      </c>
      <c r="T175" s="20">
        <f ca="1">IF((T174-P175+F175)&gt;_Max_Stock_Gramos,_Max_Stock_Gramos,T174-P175+F175)</f>
        <v>1475.9433880721158</v>
      </c>
      <c r="U175" s="20">
        <f ca="1">T175/_GramosXFrasco</f>
        <v>8.6820199298359757</v>
      </c>
      <c r="V175" s="58">
        <f ca="1">(T175/_Max_Stock_Gramos)</f>
        <v>0.86820199298359757</v>
      </c>
      <c r="W175" s="58"/>
      <c r="X175" s="10">
        <f ca="1">IF((T174-O175)&lt;0,(T174-O175)*_Costo_Faltante,0)</f>
        <v>0</v>
      </c>
      <c r="Y175">
        <f>IF(B175=0,E175*_Costo_Frasco,0)</f>
        <v>0</v>
      </c>
      <c r="Z175" s="11">
        <f t="shared" ca="1" si="38"/>
        <v>-22000</v>
      </c>
    </row>
    <row r="176" spans="1:26" x14ac:dyDescent="0.25">
      <c r="A176" s="30">
        <f t="shared" si="35"/>
        <v>160</v>
      </c>
      <c r="B176" s="10">
        <f>IF(B175=0,_Proxima_Compra,B175-1)</f>
        <v>0</v>
      </c>
      <c r="C176" s="3">
        <f t="shared" ca="1" si="28"/>
        <v>0.83480410015017403</v>
      </c>
      <c r="D176" s="3">
        <f ca="1">IF(D175&gt;0,D175-1,IF(C176&gt;0,LOOKUP(C176,$S$3:$S$5,$P$3:$P$5),-1))</f>
        <v>0</v>
      </c>
      <c r="E176" s="25">
        <f t="shared" ca="1" si="29"/>
        <v>2</v>
      </c>
      <c r="F176" s="28">
        <f ca="1">E176*_GramosXFrasco</f>
        <v>340</v>
      </c>
      <c r="G176" s="38">
        <f t="shared" ca="1" si="30"/>
        <v>8.8059407315969507E-2</v>
      </c>
      <c r="H176" s="36">
        <f t="shared" ca="1" si="31"/>
        <v>-1</v>
      </c>
      <c r="I176" s="36">
        <f t="shared" ca="1" si="32"/>
        <v>-1</v>
      </c>
      <c r="J176" s="36">
        <f t="shared" ca="1" si="39"/>
        <v>-1</v>
      </c>
      <c r="K176" s="37">
        <f ca="1">IF(J176&lt;&gt;-1,_Media_M + J176*_Sigma,-1)</f>
        <v>-1</v>
      </c>
      <c r="L176" s="3">
        <f t="shared" ca="1" si="33"/>
        <v>50</v>
      </c>
      <c r="M176" s="18">
        <f ca="1">IF(LOOKUP(G176,$H$3:$H$4,$E$3:$E$4)=1,50,_Media_M + J176*_Sigma)</f>
        <v>50</v>
      </c>
      <c r="N176" s="36">
        <f t="shared" ca="1" si="34"/>
        <v>90.411996345885541</v>
      </c>
      <c r="O176" s="35">
        <f t="shared" ca="1" si="40"/>
        <v>140.41199634588554</v>
      </c>
      <c r="P176" s="19">
        <f t="shared" ca="1" si="36"/>
        <v>140.41199634588554</v>
      </c>
      <c r="Q176" s="20">
        <f ca="1" xml:space="preserve"> P176*_Precio_cafe</f>
        <v>210.61799451882831</v>
      </c>
      <c r="R176" s="20">
        <f t="shared" ca="1" si="37"/>
        <v>21995.121733423599</v>
      </c>
      <c r="S176" s="20">
        <f ca="1">(1/A176)*((A176-1)*S175 +Q176)</f>
        <v>137.46951083389749</v>
      </c>
      <c r="T176" s="20">
        <f ca="1">IF((T175-P176+F176)&gt;_Max_Stock_Gramos,_Max_Stock_Gramos,T175-P176+F176)</f>
        <v>1675.5313917262301</v>
      </c>
      <c r="U176" s="20">
        <f ca="1">T176/_GramosXFrasco</f>
        <v>9.8560670101542946</v>
      </c>
      <c r="V176" s="58">
        <f ca="1">(T176/_Max_Stock_Gramos)</f>
        <v>0.98560670101542946</v>
      </c>
      <c r="W176" s="58"/>
      <c r="X176" s="10">
        <f ca="1">IF((T175-O176)&lt;0,(T175-O176)*_Costo_Faltante,0)</f>
        <v>0</v>
      </c>
      <c r="Y176">
        <f ca="1">IF(B176=0,E176*_Costo_Frasco,0)</f>
        <v>-500</v>
      </c>
      <c r="Z176" s="11">
        <f t="shared" ca="1" si="38"/>
        <v>-22500</v>
      </c>
    </row>
    <row r="177" spans="1:26" x14ac:dyDescent="0.25">
      <c r="A177" s="30">
        <f t="shared" si="35"/>
        <v>161</v>
      </c>
      <c r="B177" s="10">
        <f>IF(B176=0,_Proxima_Compra,B176-1)</f>
        <v>1</v>
      </c>
      <c r="C177" s="3">
        <f t="shared" ca="1" si="28"/>
        <v>-1</v>
      </c>
      <c r="D177" s="3">
        <f ca="1">IF(D176&gt;0,D176-1,IF(C177&gt;0,LOOKUP(C177,$S$3:$S$5,$P$3:$P$5),-1))</f>
        <v>-1</v>
      </c>
      <c r="E177" s="25">
        <f t="shared" ca="1" si="29"/>
        <v>0</v>
      </c>
      <c r="F177" s="28">
        <f ca="1">E177*_GramosXFrasco</f>
        <v>0</v>
      </c>
      <c r="G177" s="38">
        <f t="shared" ca="1" si="30"/>
        <v>0.22607417472133295</v>
      </c>
      <c r="H177" s="36">
        <f t="shared" ca="1" si="31"/>
        <v>-1</v>
      </c>
      <c r="I177" s="36">
        <f t="shared" ca="1" si="32"/>
        <v>-1</v>
      </c>
      <c r="J177" s="36">
        <f t="shared" ca="1" si="39"/>
        <v>-1</v>
      </c>
      <c r="K177" s="37">
        <f ca="1">IF(J177&lt;&gt;-1,_Media_M + J177*_Sigma,-1)</f>
        <v>-1</v>
      </c>
      <c r="L177" s="3">
        <f t="shared" ca="1" si="33"/>
        <v>50</v>
      </c>
      <c r="M177" s="18">
        <f ca="1">IF(LOOKUP(G177,$H$3:$H$4,$E$3:$E$4)=1,50,_Media_M + J177*_Sigma)</f>
        <v>50</v>
      </c>
      <c r="N177" s="36">
        <f t="shared" ca="1" si="34"/>
        <v>139.14802100457339</v>
      </c>
      <c r="O177" s="35">
        <f t="shared" ca="1" si="40"/>
        <v>189.14802100457339</v>
      </c>
      <c r="P177" s="19">
        <f t="shared" ca="1" si="36"/>
        <v>189.14802100457339</v>
      </c>
      <c r="Q177" s="20">
        <f ca="1" xml:space="preserve"> P177*_Precio_cafe</f>
        <v>283.72203150686011</v>
      </c>
      <c r="R177" s="20">
        <f t="shared" ca="1" si="37"/>
        <v>22278.843764930458</v>
      </c>
      <c r="S177" s="20">
        <f ca="1">(1/A177)*((A177-1)*S176 +Q177)</f>
        <v>138.37791158341898</v>
      </c>
      <c r="T177" s="20">
        <f ca="1">IF((T176-P177+F177)&gt;_Max_Stock_Gramos,_Max_Stock_Gramos,T176-P177+F177)</f>
        <v>1486.3833707216568</v>
      </c>
      <c r="U177" s="20">
        <f ca="1">T177/_GramosXFrasco</f>
        <v>8.7434315924803343</v>
      </c>
      <c r="V177" s="58">
        <f ca="1">(T177/_Max_Stock_Gramos)</f>
        <v>0.87434315924803341</v>
      </c>
      <c r="W177" s="58"/>
      <c r="X177" s="10">
        <f ca="1">IF((T176-O177)&lt;0,(T176-O177)*_Costo_Faltante,0)</f>
        <v>0</v>
      </c>
      <c r="Y177">
        <f>IF(B177=0,E177*_Costo_Frasco,0)</f>
        <v>0</v>
      </c>
      <c r="Z177" s="11">
        <f t="shared" ca="1" si="38"/>
        <v>-22500</v>
      </c>
    </row>
    <row r="178" spans="1:26" x14ac:dyDescent="0.25">
      <c r="A178" s="30">
        <f t="shared" si="35"/>
        <v>162</v>
      </c>
      <c r="B178" s="10">
        <f>IF(B177=0,_Proxima_Compra,B177-1)</f>
        <v>0</v>
      </c>
      <c r="C178" s="3">
        <f t="shared" ca="1" si="28"/>
        <v>0.70272509448860054</v>
      </c>
      <c r="D178" s="3">
        <f ca="1">IF(D177&gt;0,D177-1,IF(C178&gt;0,LOOKUP(C178,$S$3:$S$5,$P$3:$P$5),-1))</f>
        <v>1</v>
      </c>
      <c r="E178" s="25">
        <f t="shared" ca="1" si="29"/>
        <v>0</v>
      </c>
      <c r="F178" s="28">
        <f ca="1">E178*_GramosXFrasco</f>
        <v>0</v>
      </c>
      <c r="G178" s="38">
        <f t="shared" ca="1" si="30"/>
        <v>0.46870607061624014</v>
      </c>
      <c r="H178" s="36">
        <f t="shared" ca="1" si="31"/>
        <v>-1</v>
      </c>
      <c r="I178" s="36">
        <f t="shared" ca="1" si="32"/>
        <v>-1</v>
      </c>
      <c r="J178" s="36">
        <f t="shared" ca="1" si="39"/>
        <v>-1</v>
      </c>
      <c r="K178" s="37">
        <f ca="1">IF(J178&lt;&gt;-1,_Media_M + J178*_Sigma,-1)</f>
        <v>-1</v>
      </c>
      <c r="L178" s="3">
        <f t="shared" ca="1" si="33"/>
        <v>50</v>
      </c>
      <c r="M178" s="18">
        <f ca="1">IF(LOOKUP(G178,$H$3:$H$4,$E$3:$E$4)=1,50,_Media_M + J178*_Sigma)</f>
        <v>50</v>
      </c>
      <c r="N178" s="36">
        <f t="shared" ca="1" si="34"/>
        <v>18.199816417981012</v>
      </c>
      <c r="O178" s="35">
        <f t="shared" ca="1" si="40"/>
        <v>68.199816417981012</v>
      </c>
      <c r="P178" s="19">
        <f t="shared" ca="1" si="36"/>
        <v>68.199816417981012</v>
      </c>
      <c r="Q178" s="20">
        <f ca="1" xml:space="preserve"> P178*_Precio_cafe</f>
        <v>102.29972462697151</v>
      </c>
      <c r="R178" s="20">
        <f t="shared" ca="1" si="37"/>
        <v>22381.143489557428</v>
      </c>
      <c r="S178" s="20">
        <f ca="1">(1/A178)*((A178-1)*S177 +Q178)</f>
        <v>138.15520672566313</v>
      </c>
      <c r="T178" s="20">
        <f ca="1">IF((T177-P178+F178)&gt;_Max_Stock_Gramos,_Max_Stock_Gramos,T177-P178+F178)</f>
        <v>1418.1835543036757</v>
      </c>
      <c r="U178" s="20">
        <f ca="1">T178/_GramosXFrasco</f>
        <v>8.3422562017863271</v>
      </c>
      <c r="V178" s="58">
        <f ca="1">(T178/_Max_Stock_Gramos)</f>
        <v>0.83422562017863278</v>
      </c>
      <c r="W178" s="58"/>
      <c r="X178" s="10">
        <f ca="1">IF((T177-O178)&lt;0,(T177-O178)*_Costo_Faltante,0)</f>
        <v>0</v>
      </c>
      <c r="Y178">
        <f ca="1">IF(B178=0,E178*_Costo_Frasco,0)</f>
        <v>0</v>
      </c>
      <c r="Z178" s="11">
        <f t="shared" ca="1" si="38"/>
        <v>-22500</v>
      </c>
    </row>
    <row r="179" spans="1:26" x14ac:dyDescent="0.25">
      <c r="A179" s="30">
        <f t="shared" si="35"/>
        <v>163</v>
      </c>
      <c r="B179" s="10">
        <f>IF(B178=0,_Proxima_Compra,B178-1)</f>
        <v>1</v>
      </c>
      <c r="C179" s="3">
        <f t="shared" ca="1" si="28"/>
        <v>-1</v>
      </c>
      <c r="D179" s="3">
        <f ca="1">IF(D178&gt;0,D178-1,IF(C179&gt;0,LOOKUP(C179,$S$3:$S$5,$P$3:$P$5),-1))</f>
        <v>0</v>
      </c>
      <c r="E179" s="25">
        <f t="shared" ca="1" si="29"/>
        <v>2</v>
      </c>
      <c r="F179" s="28">
        <f ca="1">E179*_GramosXFrasco</f>
        <v>340</v>
      </c>
      <c r="G179" s="38">
        <f t="shared" ca="1" si="30"/>
        <v>0.78226345592779323</v>
      </c>
      <c r="H179" s="36">
        <f t="shared" ca="1" si="31"/>
        <v>0.59815430291917215</v>
      </c>
      <c r="I179" s="36">
        <f t="shared" ca="1" si="32"/>
        <v>0.49549900777226275</v>
      </c>
      <c r="J179" s="36">
        <f t="shared" ca="1" si="39"/>
        <v>-0.88952132351533841</v>
      </c>
      <c r="K179" s="37">
        <f ca="1">IF(J179&lt;&gt;-1,_Media_M + J179*_Sigma,-1)</f>
        <v>61.657180147269926</v>
      </c>
      <c r="L179" s="3">
        <f t="shared" ca="1" si="33"/>
        <v>-1</v>
      </c>
      <c r="M179" s="18">
        <f ca="1">IF(LOOKUP(G179,$H$3:$H$4,$E$3:$E$4)=1,50,_Media_M + J179*_Sigma)</f>
        <v>61.657180147269926</v>
      </c>
      <c r="N179" s="36">
        <f t="shared" ca="1" si="34"/>
        <v>32.221234614913612</v>
      </c>
      <c r="O179" s="35">
        <f t="shared" ca="1" si="40"/>
        <v>93.878414762183539</v>
      </c>
      <c r="P179" s="19">
        <f t="shared" ca="1" si="36"/>
        <v>93.878414762183539</v>
      </c>
      <c r="Q179" s="20">
        <f ca="1" xml:space="preserve"> P179*_Precio_cafe</f>
        <v>140.81762214327532</v>
      </c>
      <c r="R179" s="20">
        <f t="shared" ca="1" si="37"/>
        <v>22521.961111700704</v>
      </c>
      <c r="S179" s="20">
        <f ca="1">(1/A179)*((A179-1)*S178 +Q179)</f>
        <v>138.17154056258101</v>
      </c>
      <c r="T179" s="20">
        <f ca="1">IF((T178-P179+F179)&gt;_Max_Stock_Gramos,_Max_Stock_Gramos,T178-P179+F179)</f>
        <v>1664.3051395414921</v>
      </c>
      <c r="U179" s="20">
        <f ca="1">T179/_GramosXFrasco</f>
        <v>9.7900302325970117</v>
      </c>
      <c r="V179" s="58">
        <f ca="1">(T179/_Max_Stock_Gramos)</f>
        <v>0.97900302325970123</v>
      </c>
      <c r="W179" s="58"/>
      <c r="X179" s="10">
        <f ca="1">IF((T178-O179)&lt;0,(T178-O179)*_Costo_Faltante,0)</f>
        <v>0</v>
      </c>
      <c r="Y179">
        <f>IF(B179=0,E179*_Costo_Frasco,0)</f>
        <v>0</v>
      </c>
      <c r="Z179" s="11">
        <f t="shared" ca="1" si="38"/>
        <v>-22500</v>
      </c>
    </row>
    <row r="180" spans="1:26" x14ac:dyDescent="0.25">
      <c r="A180" s="30">
        <f t="shared" si="35"/>
        <v>164</v>
      </c>
      <c r="B180" s="10">
        <f>IF(B179=0,_Proxima_Compra,B179-1)</f>
        <v>0</v>
      </c>
      <c r="C180" s="3">
        <f t="shared" ca="1" si="28"/>
        <v>0.52789440564146206</v>
      </c>
      <c r="D180" s="3">
        <f ca="1">IF(D179&gt;0,D179-1,IF(C180&gt;0,LOOKUP(C180,$S$3:$S$5,$P$3:$P$5),-1))</f>
        <v>1</v>
      </c>
      <c r="E180" s="25">
        <f t="shared" ca="1" si="29"/>
        <v>0</v>
      </c>
      <c r="F180" s="28">
        <f ca="1">E180*_GramosXFrasco</f>
        <v>0</v>
      </c>
      <c r="G180" s="38">
        <f t="shared" ca="1" si="30"/>
        <v>0.75377745622185133</v>
      </c>
      <c r="H180" s="36">
        <f t="shared" ca="1" si="31"/>
        <v>8.6511396399287843E-2</v>
      </c>
      <c r="I180" s="36">
        <f t="shared" ca="1" si="32"/>
        <v>0.80149776445603882</v>
      </c>
      <c r="J180" s="36">
        <f t="shared" ca="1" si="39"/>
        <v>8.9136857139543696E-2</v>
      </c>
      <c r="K180" s="37">
        <f ca="1">IF(J180&lt;&gt;-1,_Media_M + J180*_Sigma,-1)</f>
        <v>76.337052857093155</v>
      </c>
      <c r="L180" s="3">
        <f t="shared" ca="1" si="33"/>
        <v>-1</v>
      </c>
      <c r="M180" s="18">
        <f ca="1">IF(LOOKUP(G180,$H$3:$H$4,$E$3:$E$4)=1,50,_Media_M + J180*_Sigma)</f>
        <v>76.337052857093155</v>
      </c>
      <c r="N180" s="36">
        <f t="shared" ca="1" si="34"/>
        <v>0.31719975768092457</v>
      </c>
      <c r="O180" s="35">
        <f t="shared" ca="1" si="40"/>
        <v>76.65425261477408</v>
      </c>
      <c r="P180" s="19">
        <f t="shared" ca="1" si="36"/>
        <v>76.65425261477408</v>
      </c>
      <c r="Q180" s="20">
        <f ca="1" xml:space="preserve"> P180*_Precio_cafe</f>
        <v>114.98137892216113</v>
      </c>
      <c r="R180" s="20">
        <f t="shared" ca="1" si="37"/>
        <v>22636.942490622867</v>
      </c>
      <c r="S180" s="20">
        <f ca="1">(1/A180)*((A180-1)*S179 +Q180)</f>
        <v>138.03013713794431</v>
      </c>
      <c r="T180" s="20">
        <f ca="1">IF((T179-P180+F180)&gt;_Max_Stock_Gramos,_Max_Stock_Gramos,T179-P180+F180)</f>
        <v>1587.6508869267179</v>
      </c>
      <c r="U180" s="20">
        <f ca="1">T180/_GramosXFrasco</f>
        <v>9.3391228642748114</v>
      </c>
      <c r="V180" s="58">
        <f ca="1">(T180/_Max_Stock_Gramos)</f>
        <v>0.93391228642748114</v>
      </c>
      <c r="W180" s="58"/>
      <c r="X180" s="10">
        <f ca="1">IF((T179-O180)&lt;0,(T179-O180)*_Costo_Faltante,0)</f>
        <v>0</v>
      </c>
      <c r="Y180">
        <f ca="1">IF(B180=0,E180*_Costo_Frasco,0)</f>
        <v>0</v>
      </c>
      <c r="Z180" s="11">
        <f t="shared" ca="1" si="38"/>
        <v>-22500</v>
      </c>
    </row>
    <row r="181" spans="1:26" x14ac:dyDescent="0.25">
      <c r="A181" s="30">
        <f t="shared" si="35"/>
        <v>165</v>
      </c>
      <c r="B181" s="10">
        <f>IF(B180=0,_Proxima_Compra,B180-1)</f>
        <v>1</v>
      </c>
      <c r="C181" s="3">
        <f t="shared" ca="1" si="28"/>
        <v>-1</v>
      </c>
      <c r="D181" s="3">
        <f ca="1">IF(D180&gt;0,D180-1,IF(C181&gt;0,LOOKUP(C181,$S$3:$S$5,$P$3:$P$5),-1))</f>
        <v>0</v>
      </c>
      <c r="E181" s="25">
        <f t="shared" ca="1" si="29"/>
        <v>2</v>
      </c>
      <c r="F181" s="28">
        <f ca="1">E181*_GramosXFrasco</f>
        <v>340</v>
      </c>
      <c r="G181" s="38">
        <f t="shared" ca="1" si="30"/>
        <v>0.78730127647761317</v>
      </c>
      <c r="H181" s="36">
        <f t="shared" ca="1" si="31"/>
        <v>0.98597464454075756</v>
      </c>
      <c r="I181" s="36">
        <f t="shared" ca="1" si="32"/>
        <v>0.10141743930297198</v>
      </c>
      <c r="J181" s="36">
        <f t="shared" ca="1" si="39"/>
        <v>1.5473332693336657</v>
      </c>
      <c r="K181" s="37">
        <f ca="1">IF(J181&lt;&gt;-1,_Media_M + J181*_Sigma,-1)</f>
        <v>98.209999040004988</v>
      </c>
      <c r="L181" s="3">
        <f t="shared" ca="1" si="33"/>
        <v>-1</v>
      </c>
      <c r="M181" s="18">
        <f ca="1">IF(LOOKUP(G181,$H$3:$H$4,$E$3:$E$4)=1,50,_Media_M + J181*_Sigma)</f>
        <v>98.209999040004988</v>
      </c>
      <c r="N181" s="36">
        <f t="shared" ca="1" si="34"/>
        <v>3.062289238775878</v>
      </c>
      <c r="O181" s="35">
        <f t="shared" ca="1" si="40"/>
        <v>101.27228827878086</v>
      </c>
      <c r="P181" s="19">
        <f t="shared" ca="1" si="36"/>
        <v>101.27228827878086</v>
      </c>
      <c r="Q181" s="20">
        <f ca="1" xml:space="preserve"> P181*_Precio_cafe</f>
        <v>151.90843241817129</v>
      </c>
      <c r="R181" s="20">
        <f t="shared" ca="1" si="37"/>
        <v>22788.850923041038</v>
      </c>
      <c r="S181" s="20">
        <f ca="1">(1/A181)*((A181-1)*S180 +Q181)</f>
        <v>138.11424801843054</v>
      </c>
      <c r="T181" s="20">
        <f ca="1">IF((T180-P181+F181)&gt;_Max_Stock_Gramos,_Max_Stock_Gramos,T180-P181+F181)</f>
        <v>1700</v>
      </c>
      <c r="U181" s="20">
        <f ca="1">T181/_GramosXFrasco</f>
        <v>10</v>
      </c>
      <c r="V181" s="58">
        <f ca="1">(T181/_Max_Stock_Gramos)</f>
        <v>1</v>
      </c>
      <c r="W181" s="58"/>
      <c r="X181" s="10">
        <f ca="1">IF((T180-O181)&lt;0,(T180-O181)*_Costo_Faltante,0)</f>
        <v>0</v>
      </c>
      <c r="Y181">
        <f>IF(B181=0,E181*_Costo_Frasco,0)</f>
        <v>0</v>
      </c>
      <c r="Z181" s="11">
        <f t="shared" ca="1" si="38"/>
        <v>-22500</v>
      </c>
    </row>
    <row r="182" spans="1:26" x14ac:dyDescent="0.25">
      <c r="A182" s="30">
        <f t="shared" si="35"/>
        <v>166</v>
      </c>
      <c r="B182" s="10">
        <f>IF(B181=0,_Proxima_Compra,B181-1)</f>
        <v>0</v>
      </c>
      <c r="C182" s="3">
        <f t="shared" ca="1" si="28"/>
        <v>7.2751913430068704E-2</v>
      </c>
      <c r="D182" s="3">
        <f ca="1">IF(D181&gt;0,D181-1,IF(C182&gt;0,LOOKUP(C182,$S$3:$S$5,$P$3:$P$5),-1))</f>
        <v>0</v>
      </c>
      <c r="E182" s="25">
        <f t="shared" ca="1" si="29"/>
        <v>2</v>
      </c>
      <c r="F182" s="28">
        <f ca="1">E182*_GramosXFrasco</f>
        <v>340</v>
      </c>
      <c r="G182" s="38">
        <f t="shared" ca="1" si="30"/>
        <v>0.88017596386337382</v>
      </c>
      <c r="H182" s="36">
        <f t="shared" ca="1" si="31"/>
        <v>0.80397601937282459</v>
      </c>
      <c r="I182" s="36">
        <f t="shared" ca="1" si="32"/>
        <v>0.67485235679244071</v>
      </c>
      <c r="J182" s="36">
        <f t="shared" ca="1" si="39"/>
        <v>-0.54109476324557948</v>
      </c>
      <c r="K182" s="37">
        <f ca="1">IF(J182&lt;&gt;-1,_Media_M + J182*_Sigma,-1)</f>
        <v>66.883578551316305</v>
      </c>
      <c r="L182" s="3">
        <f t="shared" ca="1" si="33"/>
        <v>-1</v>
      </c>
      <c r="M182" s="18">
        <f ca="1">IF(LOOKUP(G182,$H$3:$H$4,$E$3:$E$4)=1,50,_Media_M + J182*_Sigma)</f>
        <v>66.883578551316305</v>
      </c>
      <c r="N182" s="36">
        <f t="shared" ca="1" si="34"/>
        <v>3.7557316897816877</v>
      </c>
      <c r="O182" s="35">
        <f t="shared" ca="1" si="40"/>
        <v>70.639310241097988</v>
      </c>
      <c r="P182" s="19">
        <f t="shared" ca="1" si="36"/>
        <v>70.639310241097988</v>
      </c>
      <c r="Q182" s="20">
        <f ca="1" xml:space="preserve"> P182*_Precio_cafe</f>
        <v>105.95896536164699</v>
      </c>
      <c r="R182" s="20">
        <f t="shared" ca="1" si="37"/>
        <v>22894.809888402684</v>
      </c>
      <c r="S182" s="20">
        <f ca="1">(1/A182)*((A182-1)*S181 +Q182)</f>
        <v>137.92054149640171</v>
      </c>
      <c r="T182" s="20">
        <f ca="1">IF((T181-P182+F182)&gt;_Max_Stock_Gramos,_Max_Stock_Gramos,T181-P182+F182)</f>
        <v>1700</v>
      </c>
      <c r="U182" s="20">
        <f ca="1">T182/_GramosXFrasco</f>
        <v>10</v>
      </c>
      <c r="V182" s="58">
        <f ca="1">(T182/_Max_Stock_Gramos)</f>
        <v>1</v>
      </c>
      <c r="W182" s="58"/>
      <c r="X182" s="10">
        <f ca="1">IF((T181-O182)&lt;0,(T181-O182)*_Costo_Faltante,0)</f>
        <v>0</v>
      </c>
      <c r="Y182">
        <f ca="1">IF(B182=0,E182*_Costo_Frasco,0)</f>
        <v>-500</v>
      </c>
      <c r="Z182" s="11">
        <f t="shared" ca="1" si="38"/>
        <v>-23000</v>
      </c>
    </row>
    <row r="183" spans="1:26" x14ac:dyDescent="0.25">
      <c r="A183" s="30">
        <f t="shared" si="35"/>
        <v>167</v>
      </c>
      <c r="B183" s="10">
        <f>IF(B182=0,_Proxima_Compra,B182-1)</f>
        <v>1</v>
      </c>
      <c r="C183" s="3">
        <f t="shared" ca="1" si="28"/>
        <v>-1</v>
      </c>
      <c r="D183" s="3">
        <f ca="1">IF(D182&gt;0,D182-1,IF(C183&gt;0,LOOKUP(C183,$S$3:$S$5,$P$3:$P$5),-1))</f>
        <v>-1</v>
      </c>
      <c r="E183" s="25">
        <f t="shared" ca="1" si="29"/>
        <v>0</v>
      </c>
      <c r="F183" s="28">
        <f ca="1">E183*_GramosXFrasco</f>
        <v>0</v>
      </c>
      <c r="G183" s="38">
        <f t="shared" ca="1" si="30"/>
        <v>0.90842201871119621</v>
      </c>
      <c r="H183" s="36">
        <f t="shared" ca="1" si="31"/>
        <v>0.26769418303100956</v>
      </c>
      <c r="I183" s="36">
        <f t="shared" ca="1" si="32"/>
        <v>0.7400346641048704</v>
      </c>
      <c r="J183" s="36">
        <f t="shared" ca="1" si="39"/>
        <v>-3.2550971510512172E-2</v>
      </c>
      <c r="K183" s="37">
        <f ca="1">IF(J183&lt;&gt;-1,_Media_M + J183*_Sigma,-1)</f>
        <v>74.511735427342316</v>
      </c>
      <c r="L183" s="3">
        <f t="shared" ca="1" si="33"/>
        <v>-1</v>
      </c>
      <c r="M183" s="18">
        <f ca="1">IF(LOOKUP(G183,$H$3:$H$4,$E$3:$E$4)=1,50,_Media_M + J183*_Sigma)</f>
        <v>74.511735427342316</v>
      </c>
      <c r="N183" s="36">
        <f t="shared" ca="1" si="34"/>
        <v>149.90988229745469</v>
      </c>
      <c r="O183" s="35">
        <f t="shared" ca="1" si="40"/>
        <v>224.42161772479699</v>
      </c>
      <c r="P183" s="19">
        <f t="shared" ca="1" si="36"/>
        <v>224.42161772479699</v>
      </c>
      <c r="Q183" s="20">
        <f ca="1" xml:space="preserve"> P183*_Precio_cafe</f>
        <v>336.63242658719548</v>
      </c>
      <c r="R183" s="20">
        <f t="shared" ca="1" si="37"/>
        <v>23231.442314989879</v>
      </c>
      <c r="S183" s="20">
        <f ca="1">(1/A183)*((A183-1)*S182 +Q183)</f>
        <v>139.11043302389149</v>
      </c>
      <c r="T183" s="20">
        <f ca="1">IF((T182-P183+F183)&gt;_Max_Stock_Gramos,_Max_Stock_Gramos,T182-P183+F183)</f>
        <v>1475.578382275203</v>
      </c>
      <c r="U183" s="20">
        <f ca="1">T183/_GramosXFrasco</f>
        <v>8.6798728369129581</v>
      </c>
      <c r="V183" s="58">
        <f ca="1">(T183/_Max_Stock_Gramos)</f>
        <v>0.86798728369129585</v>
      </c>
      <c r="W183" s="58"/>
      <c r="X183" s="10">
        <f ca="1">IF((T182-O183)&lt;0,(T182-O183)*_Costo_Faltante,0)</f>
        <v>0</v>
      </c>
      <c r="Y183">
        <f>IF(B183=0,E183*_Costo_Frasco,0)</f>
        <v>0</v>
      </c>
      <c r="Z183" s="11">
        <f t="shared" ca="1" si="38"/>
        <v>-23000</v>
      </c>
    </row>
    <row r="184" spans="1:26" x14ac:dyDescent="0.25">
      <c r="A184" s="30">
        <f t="shared" si="35"/>
        <v>168</v>
      </c>
      <c r="B184" s="10">
        <f>IF(B183=0,_Proxima_Compra,B183-1)</f>
        <v>0</v>
      </c>
      <c r="C184" s="3">
        <f t="shared" ca="1" si="28"/>
        <v>0.58666419609689813</v>
      </c>
      <c r="D184" s="3">
        <f ca="1">IF(D183&gt;0,D183-1,IF(C184&gt;0,LOOKUP(C184,$S$3:$S$5,$P$3:$P$5),-1))</f>
        <v>1</v>
      </c>
      <c r="E184" s="25">
        <f t="shared" ca="1" si="29"/>
        <v>0</v>
      </c>
      <c r="F184" s="28">
        <f ca="1">E184*_GramosXFrasco</f>
        <v>0</v>
      </c>
      <c r="G184" s="38">
        <f t="shared" ca="1" si="30"/>
        <v>0.63601596664354942</v>
      </c>
      <c r="H184" s="36">
        <f t="shared" ca="1" si="31"/>
        <v>9.6861840230543339E-2</v>
      </c>
      <c r="I184" s="36">
        <f t="shared" ca="1" si="32"/>
        <v>0.66640306231525381</v>
      </c>
      <c r="J184" s="36">
        <f t="shared" ca="1" si="39"/>
        <v>-0.14916418834283646</v>
      </c>
      <c r="K184" s="37">
        <f ca="1">IF(J184&lt;&gt;-1,_Media_M + J184*_Sigma,-1)</f>
        <v>72.762537174857457</v>
      </c>
      <c r="L184" s="3">
        <f t="shared" ca="1" si="33"/>
        <v>-1</v>
      </c>
      <c r="M184" s="18">
        <f ca="1">IF(LOOKUP(G184,$H$3:$H$4,$E$3:$E$4)=1,50,_Media_M + J184*_Sigma)</f>
        <v>72.762537174857457</v>
      </c>
      <c r="N184" s="36">
        <f t="shared" ca="1" si="34"/>
        <v>6.7237641201694771</v>
      </c>
      <c r="O184" s="35">
        <f t="shared" ca="1" si="40"/>
        <v>79.486301295026934</v>
      </c>
      <c r="P184" s="19">
        <f t="shared" ca="1" si="36"/>
        <v>79.486301295026934</v>
      </c>
      <c r="Q184" s="20">
        <f ca="1" xml:space="preserve"> P184*_Precio_cafe</f>
        <v>119.22945194254041</v>
      </c>
      <c r="R184" s="20">
        <f t="shared" ca="1" si="37"/>
        <v>23350.671766932421</v>
      </c>
      <c r="S184" s="20">
        <f ca="1">(1/A184)*((A184-1)*S183 +Q184)</f>
        <v>138.99209385078822</v>
      </c>
      <c r="T184" s="20">
        <f ca="1">IF((T183-P184+F184)&gt;_Max_Stock_Gramos,_Max_Stock_Gramos,T183-P184+F184)</f>
        <v>1396.092080980176</v>
      </c>
      <c r="U184" s="20">
        <f ca="1">T184/_GramosXFrasco</f>
        <v>8.2123063587069183</v>
      </c>
      <c r="V184" s="58">
        <f ca="1">(T184/_Max_Stock_Gramos)</f>
        <v>0.82123063587069178</v>
      </c>
      <c r="W184" s="58"/>
      <c r="X184" s="10">
        <f ca="1">IF((T183-O184)&lt;0,(T183-O184)*_Costo_Faltante,0)</f>
        <v>0</v>
      </c>
      <c r="Y184">
        <f ca="1">IF(B184=0,E184*_Costo_Frasco,0)</f>
        <v>0</v>
      </c>
      <c r="Z184" s="11">
        <f t="shared" ca="1" si="38"/>
        <v>-23000</v>
      </c>
    </row>
    <row r="185" spans="1:26" x14ac:dyDescent="0.25">
      <c r="A185" s="30">
        <f t="shared" si="35"/>
        <v>169</v>
      </c>
      <c r="B185" s="10">
        <f>IF(B184=0,_Proxima_Compra,B184-1)</f>
        <v>1</v>
      </c>
      <c r="C185" s="3">
        <f t="shared" ca="1" si="28"/>
        <v>-1</v>
      </c>
      <c r="D185" s="3">
        <f ca="1">IF(D184&gt;0,D184-1,IF(C185&gt;0,LOOKUP(C185,$S$3:$S$5,$P$3:$P$5),-1))</f>
        <v>0</v>
      </c>
      <c r="E185" s="25">
        <f t="shared" ca="1" si="29"/>
        <v>2</v>
      </c>
      <c r="F185" s="28">
        <f ca="1">E185*_GramosXFrasco</f>
        <v>340</v>
      </c>
      <c r="G185" s="38">
        <f t="shared" ca="1" si="30"/>
        <v>0.41280841653939204</v>
      </c>
      <c r="H185" s="36">
        <f t="shared" ca="1" si="31"/>
        <v>-1</v>
      </c>
      <c r="I185" s="36">
        <f t="shared" ca="1" si="32"/>
        <v>-1</v>
      </c>
      <c r="J185" s="36">
        <f t="shared" ca="1" si="39"/>
        <v>-1</v>
      </c>
      <c r="K185" s="37">
        <f ca="1">IF(J185&lt;&gt;-1,_Media_M + J185*_Sigma,-1)</f>
        <v>-1</v>
      </c>
      <c r="L185" s="3">
        <f t="shared" ca="1" si="33"/>
        <v>50</v>
      </c>
      <c r="M185" s="18">
        <f ca="1">IF(LOOKUP(G185,$H$3:$H$4,$E$3:$E$4)=1,50,_Media_M + J185*_Sigma)</f>
        <v>50</v>
      </c>
      <c r="N185" s="36">
        <f t="shared" ca="1" si="34"/>
        <v>1.4855240970256824</v>
      </c>
      <c r="O185" s="35">
        <f t="shared" ca="1" si="40"/>
        <v>51.485524097025682</v>
      </c>
      <c r="P185" s="19">
        <f t="shared" ca="1" si="36"/>
        <v>51.485524097025682</v>
      </c>
      <c r="Q185" s="20">
        <f ca="1" xml:space="preserve"> P185*_Precio_cafe</f>
        <v>77.228286145538519</v>
      </c>
      <c r="R185" s="20">
        <f t="shared" ca="1" si="37"/>
        <v>23427.900053077959</v>
      </c>
      <c r="S185" s="20">
        <f ca="1">(1/A185)*((A185-1)*S184 +Q185)</f>
        <v>138.62662753300566</v>
      </c>
      <c r="T185" s="20">
        <f ca="1">IF((T184-P185+F185)&gt;_Max_Stock_Gramos,_Max_Stock_Gramos,T184-P185+F185)</f>
        <v>1684.6065568831502</v>
      </c>
      <c r="U185" s="20">
        <f ca="1">T185/_GramosXFrasco</f>
        <v>9.9094503346067668</v>
      </c>
      <c r="V185" s="58">
        <f ca="1">(T185/_Max_Stock_Gramos)</f>
        <v>0.99094503346067664</v>
      </c>
      <c r="W185" s="58"/>
      <c r="X185" s="10">
        <f ca="1">IF((T184-O185)&lt;0,(T184-O185)*_Costo_Faltante,0)</f>
        <v>0</v>
      </c>
      <c r="Y185">
        <f>IF(B185=0,E185*_Costo_Frasco,0)</f>
        <v>0</v>
      </c>
      <c r="Z185" s="11">
        <f t="shared" ca="1" si="38"/>
        <v>-23000</v>
      </c>
    </row>
    <row r="186" spans="1:26" x14ac:dyDescent="0.25">
      <c r="A186" s="30">
        <f t="shared" si="35"/>
        <v>170</v>
      </c>
      <c r="B186" s="10">
        <f>IF(B185=0,_Proxima_Compra,B185-1)</f>
        <v>0</v>
      </c>
      <c r="C186" s="3">
        <f t="shared" ca="1" si="28"/>
        <v>0.2476195762216864</v>
      </c>
      <c r="D186" s="3">
        <f ca="1">IF(D185&gt;0,D185-1,IF(C186&gt;0,LOOKUP(C186,$S$3:$S$5,$P$3:$P$5),-1))</f>
        <v>0</v>
      </c>
      <c r="E186" s="25">
        <f t="shared" ca="1" si="29"/>
        <v>2</v>
      </c>
      <c r="F186" s="28">
        <f ca="1">E186*_GramosXFrasco</f>
        <v>340</v>
      </c>
      <c r="G186" s="38">
        <f t="shared" ca="1" si="30"/>
        <v>0.60864286033006587</v>
      </c>
      <c r="H186" s="36">
        <f t="shared" ca="1" si="31"/>
        <v>0.27852353198668345</v>
      </c>
      <c r="I186" s="36">
        <f t="shared" ca="1" si="32"/>
        <v>0.10563884338070639</v>
      </c>
      <c r="J186" s="36">
        <f t="shared" ca="1" si="39"/>
        <v>0.41944366895455215</v>
      </c>
      <c r="K186" s="37">
        <f ca="1">IF(J186&lt;&gt;-1,_Media_M + J186*_Sigma,-1)</f>
        <v>81.291655034318282</v>
      </c>
      <c r="L186" s="3">
        <f t="shared" ca="1" si="33"/>
        <v>-1</v>
      </c>
      <c r="M186" s="18">
        <f ca="1">IF(LOOKUP(G186,$H$3:$H$4,$E$3:$E$4)=1,50,_Media_M + J186*_Sigma)</f>
        <v>81.291655034318282</v>
      </c>
      <c r="N186" s="36">
        <f t="shared" ca="1" si="34"/>
        <v>29.040687170800833</v>
      </c>
      <c r="O186" s="35">
        <f t="shared" ca="1" si="40"/>
        <v>110.33234220511912</v>
      </c>
      <c r="P186" s="19">
        <f t="shared" ca="1" si="36"/>
        <v>110.33234220511912</v>
      </c>
      <c r="Q186" s="20">
        <f ca="1" xml:space="preserve"> P186*_Precio_cafe</f>
        <v>165.49851330767868</v>
      </c>
      <c r="R186" s="20">
        <f t="shared" ca="1" si="37"/>
        <v>23593.398566385637</v>
      </c>
      <c r="S186" s="20">
        <f ca="1">(1/A186)*((A186-1)*S185 +Q186)</f>
        <v>138.78469744932724</v>
      </c>
      <c r="T186" s="20">
        <f ca="1">IF((T185-P186+F186)&gt;_Max_Stock_Gramos,_Max_Stock_Gramos,T185-P186+F186)</f>
        <v>1700</v>
      </c>
      <c r="U186" s="20">
        <f ca="1">T186/_GramosXFrasco</f>
        <v>10</v>
      </c>
      <c r="V186" s="58">
        <f ca="1">(T186/_Max_Stock_Gramos)</f>
        <v>1</v>
      </c>
      <c r="W186" s="58"/>
      <c r="X186" s="10">
        <f ca="1">IF((T185-O186)&lt;0,(T185-O186)*_Costo_Faltante,0)</f>
        <v>0</v>
      </c>
      <c r="Y186">
        <f ca="1">IF(B186=0,E186*_Costo_Frasco,0)</f>
        <v>-500</v>
      </c>
      <c r="Z186" s="11">
        <f t="shared" ca="1" si="38"/>
        <v>-23500</v>
      </c>
    </row>
    <row r="187" spans="1:26" x14ac:dyDescent="0.25">
      <c r="A187" s="30">
        <f t="shared" si="35"/>
        <v>171</v>
      </c>
      <c r="B187" s="10">
        <f>IF(B186=0,_Proxima_Compra,B186-1)</f>
        <v>1</v>
      </c>
      <c r="C187" s="3">
        <f t="shared" ca="1" si="28"/>
        <v>-1</v>
      </c>
      <c r="D187" s="3">
        <f ca="1">IF(D186&gt;0,D186-1,IF(C187&gt;0,LOOKUP(C187,$S$3:$S$5,$P$3:$P$5),-1))</f>
        <v>-1</v>
      </c>
      <c r="E187" s="25">
        <f t="shared" ca="1" si="29"/>
        <v>0</v>
      </c>
      <c r="F187" s="28">
        <f ca="1">E187*_GramosXFrasco</f>
        <v>0</v>
      </c>
      <c r="G187" s="38">
        <f t="shared" ca="1" si="30"/>
        <v>3.0277962631087507E-2</v>
      </c>
      <c r="H187" s="36">
        <f t="shared" ca="1" si="31"/>
        <v>-1</v>
      </c>
      <c r="I187" s="36">
        <f t="shared" ca="1" si="32"/>
        <v>-1</v>
      </c>
      <c r="J187" s="36">
        <f t="shared" ca="1" si="39"/>
        <v>-1</v>
      </c>
      <c r="K187" s="37">
        <f ca="1">IF(J187&lt;&gt;-1,_Media_M + J187*_Sigma,-1)</f>
        <v>-1</v>
      </c>
      <c r="L187" s="3">
        <f t="shared" ca="1" si="33"/>
        <v>50</v>
      </c>
      <c r="M187" s="18">
        <f ca="1">IF(LOOKUP(G187,$H$3:$H$4,$E$3:$E$4)=1,50,_Media_M + J187*_Sigma)</f>
        <v>50</v>
      </c>
      <c r="N187" s="36">
        <f t="shared" ca="1" si="34"/>
        <v>24.253880578887316</v>
      </c>
      <c r="O187" s="35">
        <f t="shared" ca="1" si="40"/>
        <v>74.253880578887319</v>
      </c>
      <c r="P187" s="19">
        <f t="shared" ca="1" si="36"/>
        <v>74.253880578887319</v>
      </c>
      <c r="Q187" s="20">
        <f ca="1" xml:space="preserve"> P187*_Precio_cafe</f>
        <v>111.38082086833097</v>
      </c>
      <c r="R187" s="20">
        <f t="shared" ca="1" si="37"/>
        <v>23704.779387253966</v>
      </c>
      <c r="S187" s="20">
        <f ca="1">(1/A187)*((A187-1)*S186 +Q187)</f>
        <v>138.62444086113425</v>
      </c>
      <c r="T187" s="20">
        <f ca="1">IF((T186-P187+F187)&gt;_Max_Stock_Gramos,_Max_Stock_Gramos,T186-P187+F187)</f>
        <v>1625.7461194211128</v>
      </c>
      <c r="U187" s="20">
        <f ca="1">T187/_GramosXFrasco</f>
        <v>9.5632124671830159</v>
      </c>
      <c r="V187" s="58">
        <f ca="1">(T187/_Max_Stock_Gramos)</f>
        <v>0.95632124671830165</v>
      </c>
      <c r="W187" s="58"/>
      <c r="X187" s="10">
        <f ca="1">IF((T186-O187)&lt;0,(T186-O187)*_Costo_Faltante,0)</f>
        <v>0</v>
      </c>
      <c r="Y187">
        <f>IF(B187=0,E187*_Costo_Frasco,0)</f>
        <v>0</v>
      </c>
      <c r="Z187" s="11">
        <f t="shared" ca="1" si="38"/>
        <v>-23500</v>
      </c>
    </row>
    <row r="188" spans="1:26" x14ac:dyDescent="0.25">
      <c r="A188" s="30">
        <f t="shared" si="35"/>
        <v>172</v>
      </c>
      <c r="B188" s="10">
        <f>IF(B187=0,_Proxima_Compra,B187-1)</f>
        <v>0</v>
      </c>
      <c r="C188" s="3">
        <f t="shared" ca="1" si="28"/>
        <v>0.5065729050861385</v>
      </c>
      <c r="D188" s="3">
        <f ca="1">IF(D187&gt;0,D187-1,IF(C188&gt;0,LOOKUP(C188,$S$3:$S$5,$P$3:$P$5),-1))</f>
        <v>1</v>
      </c>
      <c r="E188" s="25">
        <f t="shared" ca="1" si="29"/>
        <v>0</v>
      </c>
      <c r="F188" s="28">
        <f ca="1">E188*_GramosXFrasco</f>
        <v>0</v>
      </c>
      <c r="G188" s="38">
        <f t="shared" ca="1" si="30"/>
        <v>0.2018634453138779</v>
      </c>
      <c r="H188" s="36">
        <f t="shared" ca="1" si="31"/>
        <v>-1</v>
      </c>
      <c r="I188" s="36">
        <f t="shared" ca="1" si="32"/>
        <v>-1</v>
      </c>
      <c r="J188" s="36">
        <f t="shared" ca="1" si="39"/>
        <v>-1</v>
      </c>
      <c r="K188" s="37">
        <f ca="1">IF(J188&lt;&gt;-1,_Media_M + J188*_Sigma,-1)</f>
        <v>-1</v>
      </c>
      <c r="L188" s="3">
        <f t="shared" ca="1" si="33"/>
        <v>50</v>
      </c>
      <c r="M188" s="18">
        <f ca="1">IF(LOOKUP(G188,$H$3:$H$4,$E$3:$E$4)=1,50,_Media_M + J188*_Sigma)</f>
        <v>50</v>
      </c>
      <c r="N188" s="36">
        <f t="shared" ca="1" si="34"/>
        <v>15.017189187892921</v>
      </c>
      <c r="O188" s="35">
        <f t="shared" ca="1" si="40"/>
        <v>65.017189187892924</v>
      </c>
      <c r="P188" s="19">
        <f t="shared" ca="1" si="36"/>
        <v>65.017189187892924</v>
      </c>
      <c r="Q188" s="20">
        <f ca="1" xml:space="preserve"> P188*_Precio_cafe</f>
        <v>97.52578378183938</v>
      </c>
      <c r="R188" s="20">
        <f t="shared" ca="1" si="37"/>
        <v>23802.305171035805</v>
      </c>
      <c r="S188" s="20">
        <f ca="1">(1/A188)*((A188-1)*S187 +Q188)</f>
        <v>138.38549518044067</v>
      </c>
      <c r="T188" s="20">
        <f ca="1">IF((T187-P188+F188)&gt;_Max_Stock_Gramos,_Max_Stock_Gramos,T187-P188+F188)</f>
        <v>1560.7289302332199</v>
      </c>
      <c r="U188" s="20">
        <f ca="1">T188/_GramosXFrasco</f>
        <v>9.1807584131365871</v>
      </c>
      <c r="V188" s="58">
        <f ca="1">(T188/_Max_Stock_Gramos)</f>
        <v>0.91807584131365871</v>
      </c>
      <c r="W188" s="58"/>
      <c r="X188" s="10">
        <f ca="1">IF((T187-O188)&lt;0,(T187-O188)*_Costo_Faltante,0)</f>
        <v>0</v>
      </c>
      <c r="Y188">
        <f ca="1">IF(B188=0,E188*_Costo_Frasco,0)</f>
        <v>0</v>
      </c>
      <c r="Z188" s="11">
        <f t="shared" ca="1" si="38"/>
        <v>-23500</v>
      </c>
    </row>
    <row r="189" spans="1:26" x14ac:dyDescent="0.25">
      <c r="A189" s="30">
        <f t="shared" si="35"/>
        <v>173</v>
      </c>
      <c r="B189" s="10">
        <f>IF(B188=0,_Proxima_Compra,B188-1)</f>
        <v>1</v>
      </c>
      <c r="C189" s="3">
        <f t="shared" ca="1" si="28"/>
        <v>-1</v>
      </c>
      <c r="D189" s="3">
        <f ca="1">IF(D188&gt;0,D188-1,IF(C189&gt;0,LOOKUP(C189,$S$3:$S$5,$P$3:$P$5),-1))</f>
        <v>0</v>
      </c>
      <c r="E189" s="25">
        <f t="shared" ca="1" si="29"/>
        <v>2</v>
      </c>
      <c r="F189" s="28">
        <f ca="1">E189*_GramosXFrasco</f>
        <v>340</v>
      </c>
      <c r="G189" s="38">
        <f t="shared" ca="1" si="30"/>
        <v>0.65125752990300856</v>
      </c>
      <c r="H189" s="36">
        <f t="shared" ca="1" si="31"/>
        <v>0.12230809163378753</v>
      </c>
      <c r="I189" s="36">
        <f t="shared" ca="1" si="32"/>
        <v>0.76131947975443437</v>
      </c>
      <c r="J189" s="36">
        <f t="shared" ca="1" si="39"/>
        <v>2.3921333756149216E-2</v>
      </c>
      <c r="K189" s="37">
        <f ca="1">IF(J189&lt;&gt;-1,_Media_M + J189*_Sigma,-1)</f>
        <v>75.358820006342242</v>
      </c>
      <c r="L189" s="3">
        <f t="shared" ca="1" si="33"/>
        <v>-1</v>
      </c>
      <c r="M189" s="18">
        <f ca="1">IF(LOOKUP(G189,$H$3:$H$4,$E$3:$E$4)=1,50,_Media_M + J189*_Sigma)</f>
        <v>75.358820006342242</v>
      </c>
      <c r="N189" s="36">
        <f t="shared" ca="1" si="34"/>
        <v>10.603699413883508</v>
      </c>
      <c r="O189" s="35">
        <f t="shared" ca="1" si="40"/>
        <v>85.962519420225746</v>
      </c>
      <c r="P189" s="19">
        <f t="shared" ca="1" si="36"/>
        <v>85.962519420225746</v>
      </c>
      <c r="Q189" s="20">
        <f ca="1" xml:space="preserve"> P189*_Precio_cafe</f>
        <v>128.94377913033861</v>
      </c>
      <c r="R189" s="20">
        <f t="shared" ca="1" si="37"/>
        <v>23931.248950166144</v>
      </c>
      <c r="S189" s="20">
        <f ca="1">(1/A189)*((A189-1)*S188 +Q189)</f>
        <v>138.33091878708746</v>
      </c>
      <c r="T189" s="20">
        <f ca="1">IF((T188-P189+F189)&gt;_Max_Stock_Gramos,_Max_Stock_Gramos,T188-P189+F189)</f>
        <v>1700</v>
      </c>
      <c r="U189" s="20">
        <f ca="1">T189/_GramosXFrasco</f>
        <v>10</v>
      </c>
      <c r="V189" s="58">
        <f ca="1">(T189/_Max_Stock_Gramos)</f>
        <v>1</v>
      </c>
      <c r="W189" s="58"/>
      <c r="X189" s="10">
        <f ca="1">IF((T188-O189)&lt;0,(T188-O189)*_Costo_Faltante,0)</f>
        <v>0</v>
      </c>
      <c r="Y189">
        <f>IF(B189=0,E189*_Costo_Frasco,0)</f>
        <v>0</v>
      </c>
      <c r="Z189" s="11">
        <f t="shared" ca="1" si="38"/>
        <v>-23500</v>
      </c>
    </row>
    <row r="190" spans="1:26" x14ac:dyDescent="0.25">
      <c r="A190" s="30">
        <f t="shared" si="35"/>
        <v>174</v>
      </c>
      <c r="B190" s="10">
        <f>IF(B189=0,_Proxima_Compra,B189-1)</f>
        <v>0</v>
      </c>
      <c r="C190" s="3">
        <f t="shared" ca="1" si="28"/>
        <v>0.61547902511044195</v>
      </c>
      <c r="D190" s="3">
        <f ca="1">IF(D189&gt;0,D189-1,IF(C190&gt;0,LOOKUP(C190,$S$3:$S$5,$P$3:$P$5),-1))</f>
        <v>1</v>
      </c>
      <c r="E190" s="25">
        <f t="shared" ca="1" si="29"/>
        <v>0</v>
      </c>
      <c r="F190" s="28">
        <f ca="1">E190*_GramosXFrasco</f>
        <v>0</v>
      </c>
      <c r="G190" s="38">
        <f t="shared" ca="1" si="30"/>
        <v>0.13933684752683007</v>
      </c>
      <c r="H190" s="36">
        <f t="shared" ca="1" si="31"/>
        <v>-1</v>
      </c>
      <c r="I190" s="36">
        <f t="shared" ca="1" si="32"/>
        <v>-1</v>
      </c>
      <c r="J190" s="36">
        <f t="shared" ca="1" si="39"/>
        <v>-1</v>
      </c>
      <c r="K190" s="37">
        <f ca="1">IF(J190&lt;&gt;-1,_Media_M + J190*_Sigma,-1)</f>
        <v>-1</v>
      </c>
      <c r="L190" s="3">
        <f t="shared" ca="1" si="33"/>
        <v>50</v>
      </c>
      <c r="M190" s="18">
        <f ca="1">IF(LOOKUP(G190,$H$3:$H$4,$E$3:$E$4)=1,50,_Media_M + J190*_Sigma)</f>
        <v>50</v>
      </c>
      <c r="N190" s="36">
        <f t="shared" ca="1" si="34"/>
        <v>22.439844723646516</v>
      </c>
      <c r="O190" s="35">
        <f t="shared" ca="1" si="40"/>
        <v>72.439844723646516</v>
      </c>
      <c r="P190" s="19">
        <f t="shared" ca="1" si="36"/>
        <v>72.439844723646516</v>
      </c>
      <c r="Q190" s="20">
        <f ca="1" xml:space="preserve"> P190*_Precio_cafe</f>
        <v>108.65976708546978</v>
      </c>
      <c r="R190" s="20">
        <f t="shared" ca="1" si="37"/>
        <v>24039.908717251612</v>
      </c>
      <c r="S190" s="20">
        <f ca="1">(1/A190)*((A190-1)*S189 +Q190)</f>
        <v>138.16039492673332</v>
      </c>
      <c r="T190" s="20">
        <f ca="1">IF((T189-P190+F190)&gt;_Max_Stock_Gramos,_Max_Stock_Gramos,T189-P190+F190)</f>
        <v>1627.5601552763535</v>
      </c>
      <c r="U190" s="20">
        <f ca="1">T190/_GramosXFrasco</f>
        <v>9.5738832663314906</v>
      </c>
      <c r="V190" s="58">
        <f ca="1">(T190/_Max_Stock_Gramos)</f>
        <v>0.9573883266331491</v>
      </c>
      <c r="W190" s="58"/>
      <c r="X190" s="10">
        <f ca="1">IF((T189-O190)&lt;0,(T189-O190)*_Costo_Faltante,0)</f>
        <v>0</v>
      </c>
      <c r="Y190">
        <f ca="1">IF(B190=0,E190*_Costo_Frasco,0)</f>
        <v>0</v>
      </c>
      <c r="Z190" s="11">
        <f t="shared" ca="1" si="38"/>
        <v>-23500</v>
      </c>
    </row>
    <row r="191" spans="1:26" x14ac:dyDescent="0.25">
      <c r="A191" s="30">
        <f t="shared" si="35"/>
        <v>175</v>
      </c>
      <c r="B191" s="10">
        <f>IF(B190=0,_Proxima_Compra,B190-1)</f>
        <v>1</v>
      </c>
      <c r="C191" s="3">
        <f t="shared" ca="1" si="28"/>
        <v>-1</v>
      </c>
      <c r="D191" s="3">
        <f ca="1">IF(D190&gt;0,D190-1,IF(C191&gt;0,LOOKUP(C191,$S$3:$S$5,$P$3:$P$5),-1))</f>
        <v>0</v>
      </c>
      <c r="E191" s="25">
        <f t="shared" ca="1" si="29"/>
        <v>2</v>
      </c>
      <c r="F191" s="28">
        <f ca="1">E191*_GramosXFrasco</f>
        <v>340</v>
      </c>
      <c r="G191" s="38">
        <f t="shared" ca="1" si="30"/>
        <v>0.22105528797016594</v>
      </c>
      <c r="H191" s="36">
        <f t="shared" ca="1" si="31"/>
        <v>-1</v>
      </c>
      <c r="I191" s="36">
        <f t="shared" ca="1" si="32"/>
        <v>-1</v>
      </c>
      <c r="J191" s="36">
        <f t="shared" ca="1" si="39"/>
        <v>-1</v>
      </c>
      <c r="K191" s="37">
        <f ca="1">IF(J191&lt;&gt;-1,_Media_M + J191*_Sigma,-1)</f>
        <v>-1</v>
      </c>
      <c r="L191" s="3">
        <f t="shared" ca="1" si="33"/>
        <v>50</v>
      </c>
      <c r="M191" s="18">
        <f ca="1">IF(LOOKUP(G191,$H$3:$H$4,$E$3:$E$4)=1,50,_Media_M + J191*_Sigma)</f>
        <v>50</v>
      </c>
      <c r="N191" s="36">
        <f t="shared" ca="1" si="34"/>
        <v>10.734678817395839</v>
      </c>
      <c r="O191" s="35">
        <f t="shared" ca="1" si="40"/>
        <v>60.734678817395839</v>
      </c>
      <c r="P191" s="19">
        <f t="shared" ca="1" si="36"/>
        <v>60.734678817395839</v>
      </c>
      <c r="Q191" s="20">
        <f ca="1" xml:space="preserve"> P191*_Precio_cafe</f>
        <v>91.102018226093762</v>
      </c>
      <c r="R191" s="20">
        <f t="shared" ca="1" si="37"/>
        <v>24131.010735477706</v>
      </c>
      <c r="S191" s="20">
        <f ca="1">(1/A191)*((A191-1)*S190 +Q191)</f>
        <v>137.89148991701538</v>
      </c>
      <c r="T191" s="20">
        <f ca="1">IF((T190-P191+F191)&gt;_Max_Stock_Gramos,_Max_Stock_Gramos,T190-P191+F191)</f>
        <v>1700</v>
      </c>
      <c r="U191" s="20">
        <f ca="1">T191/_GramosXFrasco</f>
        <v>10</v>
      </c>
      <c r="V191" s="58">
        <f ca="1">(T191/_Max_Stock_Gramos)</f>
        <v>1</v>
      </c>
      <c r="W191" s="58"/>
      <c r="X191" s="10">
        <f ca="1">IF((T190-O191)&lt;0,(T190-O191)*_Costo_Faltante,0)</f>
        <v>0</v>
      </c>
      <c r="Y191">
        <f>IF(B191=0,E191*_Costo_Frasco,0)</f>
        <v>0</v>
      </c>
      <c r="Z191" s="11">
        <f t="shared" ca="1" si="38"/>
        <v>-23500</v>
      </c>
    </row>
    <row r="192" spans="1:26" x14ac:dyDescent="0.25">
      <c r="A192" s="30">
        <f t="shared" si="35"/>
        <v>176</v>
      </c>
      <c r="B192" s="10">
        <f>IF(B191=0,_Proxima_Compra,B191-1)</f>
        <v>0</v>
      </c>
      <c r="C192" s="3">
        <f t="shared" ca="1" si="28"/>
        <v>0.68604516063474064</v>
      </c>
      <c r="D192" s="3">
        <f ca="1">IF(D191&gt;0,D191-1,IF(C192&gt;0,LOOKUP(C192,$S$3:$S$5,$P$3:$P$5),-1))</f>
        <v>1</v>
      </c>
      <c r="E192" s="25">
        <f t="shared" ca="1" si="29"/>
        <v>0</v>
      </c>
      <c r="F192" s="28">
        <f ca="1">E192*_GramosXFrasco</f>
        <v>0</v>
      </c>
      <c r="G192" s="38">
        <f t="shared" ca="1" si="30"/>
        <v>7.9526748010759984E-2</v>
      </c>
      <c r="H192" s="36">
        <f t="shared" ca="1" si="31"/>
        <v>-1</v>
      </c>
      <c r="I192" s="36">
        <f t="shared" ca="1" si="32"/>
        <v>-1</v>
      </c>
      <c r="J192" s="36">
        <f t="shared" ca="1" si="39"/>
        <v>-1</v>
      </c>
      <c r="K192" s="37">
        <f ca="1">IF(J192&lt;&gt;-1,_Media_M + J192*_Sigma,-1)</f>
        <v>-1</v>
      </c>
      <c r="L192" s="3">
        <f t="shared" ca="1" si="33"/>
        <v>50</v>
      </c>
      <c r="M192" s="18">
        <f ca="1">IF(LOOKUP(G192,$H$3:$H$4,$E$3:$E$4)=1,50,_Media_M + J192*_Sigma)</f>
        <v>50</v>
      </c>
      <c r="N192" s="36">
        <f t="shared" ca="1" si="34"/>
        <v>5.5175186997660441</v>
      </c>
      <c r="O192" s="35">
        <f t="shared" ca="1" si="40"/>
        <v>55.517518699766043</v>
      </c>
      <c r="P192" s="19">
        <f t="shared" ca="1" si="36"/>
        <v>55.517518699766043</v>
      </c>
      <c r="Q192" s="20">
        <f ca="1" xml:space="preserve"> P192*_Precio_cafe</f>
        <v>83.276278049649065</v>
      </c>
      <c r="R192" s="20">
        <f t="shared" ca="1" si="37"/>
        <v>24214.287013527355</v>
      </c>
      <c r="S192" s="20">
        <f ca="1">(1/A192)*((A192-1)*S191 +Q192)</f>
        <v>137.58117621322353</v>
      </c>
      <c r="T192" s="20">
        <f ca="1">IF((T191-P192+F192)&gt;_Max_Stock_Gramos,_Max_Stock_Gramos,T191-P192+F192)</f>
        <v>1644.482481300234</v>
      </c>
      <c r="U192" s="20">
        <f ca="1">T192/_GramosXFrasco</f>
        <v>9.6734263605896125</v>
      </c>
      <c r="V192" s="58">
        <f ca="1">(T192/_Max_Stock_Gramos)</f>
        <v>0.9673426360589612</v>
      </c>
      <c r="W192" s="58"/>
      <c r="X192" s="10">
        <f ca="1">IF((T191-O192)&lt;0,(T191-O192)*_Costo_Faltante,0)</f>
        <v>0</v>
      </c>
      <c r="Y192">
        <f ca="1">IF(B192=0,E192*_Costo_Frasco,0)</f>
        <v>0</v>
      </c>
      <c r="Z192" s="11">
        <f t="shared" ca="1" si="38"/>
        <v>-23500</v>
      </c>
    </row>
    <row r="193" spans="1:26" x14ac:dyDescent="0.25">
      <c r="A193" s="30">
        <f t="shared" si="35"/>
        <v>177</v>
      </c>
      <c r="B193" s="10">
        <f>IF(B192=0,_Proxima_Compra,B192-1)</f>
        <v>1</v>
      </c>
      <c r="C193" s="3">
        <f t="shared" ca="1" si="28"/>
        <v>-1</v>
      </c>
      <c r="D193" s="3">
        <f ca="1">IF(D192&gt;0,D192-1,IF(C193&gt;0,LOOKUP(C193,$S$3:$S$5,$P$3:$P$5),-1))</f>
        <v>0</v>
      </c>
      <c r="E193" s="25">
        <f t="shared" ca="1" si="29"/>
        <v>2</v>
      </c>
      <c r="F193" s="28">
        <f ca="1">E193*_GramosXFrasco</f>
        <v>340</v>
      </c>
      <c r="G193" s="38">
        <f t="shared" ca="1" si="30"/>
        <v>0.70921547173952448</v>
      </c>
      <c r="H193" s="36">
        <f t="shared" ca="1" si="31"/>
        <v>0.49870464399136005</v>
      </c>
      <c r="I193" s="36">
        <f t="shared" ca="1" si="32"/>
        <v>0.4383368690103161</v>
      </c>
      <c r="J193" s="36">
        <f t="shared" ca="1" si="39"/>
        <v>-0.71707078633882793</v>
      </c>
      <c r="K193" s="37">
        <f ca="1">IF(J193&lt;&gt;-1,_Media_M + J193*_Sigma,-1)</f>
        <v>64.243938204917583</v>
      </c>
      <c r="L193" s="3">
        <f t="shared" ca="1" si="33"/>
        <v>-1</v>
      </c>
      <c r="M193" s="18">
        <f ca="1">IF(LOOKUP(G193,$H$3:$H$4,$E$3:$E$4)=1,50,_Media_M + J193*_Sigma)</f>
        <v>64.243938204917583</v>
      </c>
      <c r="N193" s="36">
        <f t="shared" ca="1" si="34"/>
        <v>37.881757853859845</v>
      </c>
      <c r="O193" s="35">
        <f t="shared" ca="1" si="40"/>
        <v>102.12569605877744</v>
      </c>
      <c r="P193" s="19">
        <f t="shared" ca="1" si="36"/>
        <v>102.12569605877744</v>
      </c>
      <c r="Q193" s="20">
        <f ca="1" xml:space="preserve"> P193*_Precio_cafe</f>
        <v>153.18854408816617</v>
      </c>
      <c r="R193" s="20">
        <f t="shared" ca="1" si="37"/>
        <v>24367.475557615522</v>
      </c>
      <c r="S193" s="20">
        <f ca="1">(1/A193)*((A193-1)*S192 +Q193)</f>
        <v>137.66935343285598</v>
      </c>
      <c r="T193" s="20">
        <f ca="1">IF((T192-P193+F193)&gt;_Max_Stock_Gramos,_Max_Stock_Gramos,T192-P193+F193)</f>
        <v>1700</v>
      </c>
      <c r="U193" s="20">
        <f ca="1">T193/_GramosXFrasco</f>
        <v>10</v>
      </c>
      <c r="V193" s="58">
        <f ca="1">(T193/_Max_Stock_Gramos)</f>
        <v>1</v>
      </c>
      <c r="W193" s="58"/>
      <c r="X193" s="10">
        <f ca="1">IF((T192-O193)&lt;0,(T192-O193)*_Costo_Faltante,0)</f>
        <v>0</v>
      </c>
      <c r="Y193">
        <f>IF(B193=0,E193*_Costo_Frasco,0)</f>
        <v>0</v>
      </c>
      <c r="Z193" s="11">
        <f t="shared" ca="1" si="38"/>
        <v>-23500</v>
      </c>
    </row>
    <row r="194" spans="1:26" x14ac:dyDescent="0.25">
      <c r="A194" s="30">
        <f t="shared" si="35"/>
        <v>178</v>
      </c>
      <c r="B194" s="10">
        <f>IF(B193=0,_Proxima_Compra,B193-1)</f>
        <v>0</v>
      </c>
      <c r="C194" s="3">
        <f t="shared" ca="1" si="28"/>
        <v>0.13067921697851892</v>
      </c>
      <c r="D194" s="3">
        <f ca="1">IF(D193&gt;0,D193-1,IF(C194&gt;0,LOOKUP(C194,$S$3:$S$5,$P$3:$P$5),-1))</f>
        <v>0</v>
      </c>
      <c r="E194" s="25">
        <f t="shared" ca="1" si="29"/>
        <v>2</v>
      </c>
      <c r="F194" s="28">
        <f ca="1">E194*_GramosXFrasco</f>
        <v>340</v>
      </c>
      <c r="G194" s="38">
        <f t="shared" ca="1" si="30"/>
        <v>0.94364418832310604</v>
      </c>
      <c r="H194" s="36">
        <f t="shared" ca="1" si="31"/>
        <v>0.29952261541971181</v>
      </c>
      <c r="I194" s="36">
        <f t="shared" ca="1" si="32"/>
        <v>0.5087364957474324</v>
      </c>
      <c r="J194" s="36">
        <f t="shared" ca="1" si="39"/>
        <v>-0.55523055423517975</v>
      </c>
      <c r="K194" s="37">
        <f ca="1">IF(J194&lt;&gt;-1,_Media_M + J194*_Sigma,-1)</f>
        <v>66.67154168647231</v>
      </c>
      <c r="L194" s="3">
        <f t="shared" ca="1" si="33"/>
        <v>-1</v>
      </c>
      <c r="M194" s="18">
        <f ca="1">IF(LOOKUP(G194,$H$3:$H$4,$E$3:$E$4)=1,50,_Media_M + J194*_Sigma)</f>
        <v>66.67154168647231</v>
      </c>
      <c r="N194" s="36">
        <f t="shared" ca="1" si="34"/>
        <v>4.8829833456281264</v>
      </c>
      <c r="O194" s="35">
        <f t="shared" ca="1" si="40"/>
        <v>71.554525032100429</v>
      </c>
      <c r="P194" s="19">
        <f t="shared" ca="1" si="36"/>
        <v>71.554525032100429</v>
      </c>
      <c r="Q194" s="20">
        <f ca="1" xml:space="preserve"> P194*_Precio_cafe</f>
        <v>107.33178754815064</v>
      </c>
      <c r="R194" s="20">
        <f t="shared" ca="1" si="37"/>
        <v>24474.807345163674</v>
      </c>
      <c r="S194" s="20">
        <f ca="1">(1/A194)*((A194-1)*S193 +Q194)</f>
        <v>137.49891766945876</v>
      </c>
      <c r="T194" s="20">
        <f ca="1">IF((T193-P194+F194)&gt;_Max_Stock_Gramos,_Max_Stock_Gramos,T193-P194+F194)</f>
        <v>1700</v>
      </c>
      <c r="U194" s="20">
        <f ca="1">T194/_GramosXFrasco</f>
        <v>10</v>
      </c>
      <c r="V194" s="58">
        <f ca="1">(T194/_Max_Stock_Gramos)</f>
        <v>1</v>
      </c>
      <c r="W194" s="58"/>
      <c r="X194" s="10">
        <f ca="1">IF((T193-O194)&lt;0,(T193-O194)*_Costo_Faltante,0)</f>
        <v>0</v>
      </c>
      <c r="Y194">
        <f ca="1">IF(B194=0,E194*_Costo_Frasco,0)</f>
        <v>-500</v>
      </c>
      <c r="Z194" s="11">
        <f t="shared" ca="1" si="38"/>
        <v>-24000</v>
      </c>
    </row>
    <row r="195" spans="1:26" x14ac:dyDescent="0.25">
      <c r="A195" s="30">
        <f t="shared" si="35"/>
        <v>179</v>
      </c>
      <c r="B195" s="10">
        <f>IF(B194=0,_Proxima_Compra,B194-1)</f>
        <v>1</v>
      </c>
      <c r="C195" s="3">
        <f t="shared" ca="1" si="28"/>
        <v>-1</v>
      </c>
      <c r="D195" s="3">
        <f ca="1">IF(D194&gt;0,D194-1,IF(C195&gt;0,LOOKUP(C195,$S$3:$S$5,$P$3:$P$5),-1))</f>
        <v>-1</v>
      </c>
      <c r="E195" s="25">
        <f t="shared" ca="1" si="29"/>
        <v>0</v>
      </c>
      <c r="F195" s="28">
        <f ca="1">E195*_GramosXFrasco</f>
        <v>0</v>
      </c>
      <c r="G195" s="38">
        <f t="shared" ca="1" si="30"/>
        <v>0.88895563528446586</v>
      </c>
      <c r="H195" s="36">
        <f t="shared" ca="1" si="31"/>
        <v>0.82670968442774462</v>
      </c>
      <c r="I195" s="36">
        <f t="shared" ca="1" si="32"/>
        <v>0.60566903751666812</v>
      </c>
      <c r="J195" s="36">
        <f t="shared" ca="1" si="39"/>
        <v>-0.97176611452447814</v>
      </c>
      <c r="K195" s="37">
        <f ca="1">IF(J195&lt;&gt;-1,_Media_M + J195*_Sigma,-1)</f>
        <v>60.423508282132829</v>
      </c>
      <c r="L195" s="3">
        <f t="shared" ca="1" si="33"/>
        <v>-1</v>
      </c>
      <c r="M195" s="18">
        <f ca="1">IF(LOOKUP(G195,$H$3:$H$4,$E$3:$E$4)=1,50,_Media_M + J195*_Sigma)</f>
        <v>60.423508282132829</v>
      </c>
      <c r="N195" s="36">
        <f t="shared" ca="1" si="34"/>
        <v>7.117343578649888</v>
      </c>
      <c r="O195" s="35">
        <f t="shared" ca="1" si="40"/>
        <v>67.540851860782723</v>
      </c>
      <c r="P195" s="19">
        <f t="shared" ca="1" si="36"/>
        <v>67.540851860782723</v>
      </c>
      <c r="Q195" s="20">
        <f ca="1" xml:space="preserve"> P195*_Precio_cafe</f>
        <v>101.31127779117409</v>
      </c>
      <c r="R195" s="20">
        <f t="shared" ca="1" si="37"/>
        <v>24576.118622954848</v>
      </c>
      <c r="S195" s="20">
        <f ca="1">(1/A195)*((A195-1)*S194 +Q195)</f>
        <v>137.29675208354655</v>
      </c>
      <c r="T195" s="20">
        <f ca="1">IF((T194-P195+F195)&gt;_Max_Stock_Gramos,_Max_Stock_Gramos,T194-P195+F195)</f>
        <v>1632.4591481392172</v>
      </c>
      <c r="U195" s="20">
        <f ca="1">T195/_GramosXFrasco</f>
        <v>9.6027008714071602</v>
      </c>
      <c r="V195" s="58">
        <f ca="1">(T195/_Max_Stock_Gramos)</f>
        <v>0.96027008714071593</v>
      </c>
      <c r="W195" s="58"/>
      <c r="X195" s="10">
        <f ca="1">IF((T194-O195)&lt;0,(T194-O195)*_Costo_Faltante,0)</f>
        <v>0</v>
      </c>
      <c r="Y195">
        <f>IF(B195=0,E195*_Costo_Frasco,0)</f>
        <v>0</v>
      </c>
      <c r="Z195" s="11">
        <f t="shared" ca="1" si="38"/>
        <v>-24000</v>
      </c>
    </row>
    <row r="196" spans="1:26" x14ac:dyDescent="0.25">
      <c r="A196" s="30">
        <f t="shared" si="35"/>
        <v>180</v>
      </c>
      <c r="B196" s="10">
        <f>IF(B195=0,_Proxima_Compra,B195-1)</f>
        <v>0</v>
      </c>
      <c r="C196" s="3">
        <f t="shared" ca="1" si="28"/>
        <v>0.60084548118607028</v>
      </c>
      <c r="D196" s="3">
        <f ca="1">IF(D195&gt;0,D195-1,IF(C196&gt;0,LOOKUP(C196,$S$3:$S$5,$P$3:$P$5),-1))</f>
        <v>1</v>
      </c>
      <c r="E196" s="25">
        <f t="shared" ca="1" si="29"/>
        <v>0</v>
      </c>
      <c r="F196" s="28">
        <f ca="1">E196*_GramosXFrasco</f>
        <v>0</v>
      </c>
      <c r="G196" s="38">
        <f t="shared" ca="1" si="30"/>
        <v>0.53365165052465457</v>
      </c>
      <c r="H196" s="36">
        <f t="shared" ca="1" si="31"/>
        <v>0.29090924122975648</v>
      </c>
      <c r="I196" s="36">
        <f t="shared" ca="1" si="32"/>
        <v>0.43568340776159187</v>
      </c>
      <c r="J196" s="36">
        <f t="shared" ca="1" si="39"/>
        <v>-0.50242480665716516</v>
      </c>
      <c r="K196" s="37">
        <f ca="1">IF(J196&lt;&gt;-1,_Media_M + J196*_Sigma,-1)</f>
        <v>67.463627900142527</v>
      </c>
      <c r="L196" s="3">
        <f t="shared" ca="1" si="33"/>
        <v>-1</v>
      </c>
      <c r="M196" s="18">
        <f ca="1">IF(LOOKUP(G196,$H$3:$H$4,$E$3:$E$4)=1,50,_Media_M + J196*_Sigma)</f>
        <v>67.463627900142527</v>
      </c>
      <c r="N196" s="36">
        <f t="shared" ca="1" si="34"/>
        <v>141.29379942979841</v>
      </c>
      <c r="O196" s="35">
        <f t="shared" ca="1" si="40"/>
        <v>208.75742732994092</v>
      </c>
      <c r="P196" s="19">
        <f t="shared" ca="1" si="36"/>
        <v>208.75742732994092</v>
      </c>
      <c r="Q196" s="20">
        <f ca="1" xml:space="preserve"> P196*_Precio_cafe</f>
        <v>313.13614099491139</v>
      </c>
      <c r="R196" s="20">
        <f t="shared" ca="1" si="37"/>
        <v>24889.254763949761</v>
      </c>
      <c r="S196" s="20">
        <f ca="1">(1/A196)*((A196-1)*S195 +Q196)</f>
        <v>138.27363757749859</v>
      </c>
      <c r="T196" s="20">
        <f ca="1">IF((T195-P196+F196)&gt;_Max_Stock_Gramos,_Max_Stock_Gramos,T195-P196+F196)</f>
        <v>1423.7017208092761</v>
      </c>
      <c r="U196" s="20">
        <f ca="1">T196/_GramosXFrasco</f>
        <v>8.3747160047604474</v>
      </c>
      <c r="V196" s="58">
        <f ca="1">(T196/_Max_Stock_Gramos)</f>
        <v>0.83747160047604474</v>
      </c>
      <c r="W196" s="58"/>
      <c r="X196" s="10">
        <f ca="1">IF((T195-O196)&lt;0,(T195-O196)*_Costo_Faltante,0)</f>
        <v>0</v>
      </c>
      <c r="Y196">
        <f ca="1">IF(B196=0,E196*_Costo_Frasco,0)</f>
        <v>0</v>
      </c>
      <c r="Z196" s="11">
        <f t="shared" ca="1" si="38"/>
        <v>-24000</v>
      </c>
    </row>
    <row r="197" spans="1:26" x14ac:dyDescent="0.25">
      <c r="A197" s="30">
        <f t="shared" si="35"/>
        <v>181</v>
      </c>
      <c r="B197" s="10">
        <f>IF(B196=0,_Proxima_Compra,B196-1)</f>
        <v>1</v>
      </c>
      <c r="C197" s="3">
        <f t="shared" ca="1" si="28"/>
        <v>-1</v>
      </c>
      <c r="D197" s="3">
        <f ca="1">IF(D196&gt;0,D196-1,IF(C197&gt;0,LOOKUP(C197,$S$3:$S$5,$P$3:$P$5),-1))</f>
        <v>0</v>
      </c>
      <c r="E197" s="25">
        <f t="shared" ca="1" si="29"/>
        <v>2</v>
      </c>
      <c r="F197" s="28">
        <f ca="1">E197*_GramosXFrasco</f>
        <v>340</v>
      </c>
      <c r="G197" s="38">
        <f t="shared" ca="1" si="30"/>
        <v>0.88642052848873609</v>
      </c>
      <c r="H197" s="36">
        <f t="shared" ca="1" si="31"/>
        <v>0.53871694924279379</v>
      </c>
      <c r="I197" s="36">
        <f t="shared" ca="1" si="32"/>
        <v>0.2213046773806685</v>
      </c>
      <c r="J197" s="36">
        <f t="shared" ca="1" si="39"/>
        <v>0.14700804556786509</v>
      </c>
      <c r="K197" s="37">
        <f ca="1">IF(J197&lt;&gt;-1,_Media_M + J197*_Sigma,-1)</f>
        <v>77.205120683517976</v>
      </c>
      <c r="L197" s="3">
        <f t="shared" ca="1" si="33"/>
        <v>-1</v>
      </c>
      <c r="M197" s="18">
        <f ca="1">IF(LOOKUP(G197,$H$3:$H$4,$E$3:$E$4)=1,50,_Media_M + J197*_Sigma)</f>
        <v>77.205120683517976</v>
      </c>
      <c r="N197" s="36">
        <f t="shared" ca="1" si="34"/>
        <v>43.082418357725302</v>
      </c>
      <c r="O197" s="35">
        <f t="shared" ca="1" si="40"/>
        <v>120.28753904124328</v>
      </c>
      <c r="P197" s="19">
        <f t="shared" ca="1" si="36"/>
        <v>120.28753904124328</v>
      </c>
      <c r="Q197" s="20">
        <f ca="1" xml:space="preserve"> P197*_Precio_cafe</f>
        <v>180.43130856186491</v>
      </c>
      <c r="R197" s="20">
        <f t="shared" ca="1" si="37"/>
        <v>25069.686072511624</v>
      </c>
      <c r="S197" s="20">
        <f ca="1">(1/A197)*((A197-1)*S196 +Q197)</f>
        <v>138.50655288680446</v>
      </c>
      <c r="T197" s="20">
        <f ca="1">IF((T196-P197+F197)&gt;_Max_Stock_Gramos,_Max_Stock_Gramos,T196-P197+F197)</f>
        <v>1643.4141817680329</v>
      </c>
      <c r="U197" s="20">
        <f ca="1">T197/_GramosXFrasco</f>
        <v>9.6671422456943112</v>
      </c>
      <c r="V197" s="58">
        <f ca="1">(T197/_Max_Stock_Gramos)</f>
        <v>0.96671422456943112</v>
      </c>
      <c r="W197" s="58"/>
      <c r="X197" s="10">
        <f ca="1">IF((T196-O197)&lt;0,(T196-O197)*_Costo_Faltante,0)</f>
        <v>0</v>
      </c>
      <c r="Y197">
        <f>IF(B197=0,E197*_Costo_Frasco,0)</f>
        <v>0</v>
      </c>
      <c r="Z197" s="11">
        <f t="shared" ca="1" si="38"/>
        <v>-24000</v>
      </c>
    </row>
    <row r="198" spans="1:26" x14ac:dyDescent="0.25">
      <c r="A198" s="30">
        <f t="shared" si="35"/>
        <v>182</v>
      </c>
      <c r="B198" s="10">
        <f>IF(B197=0,_Proxima_Compra,B197-1)</f>
        <v>0</v>
      </c>
      <c r="C198" s="3">
        <f t="shared" ca="1" si="28"/>
        <v>0.5386353605211418</v>
      </c>
      <c r="D198" s="3">
        <f ca="1">IF(D197&gt;0,D197-1,IF(C198&gt;0,LOOKUP(C198,$S$3:$S$5,$P$3:$P$5),-1))</f>
        <v>1</v>
      </c>
      <c r="E198" s="25">
        <f t="shared" ca="1" si="29"/>
        <v>0</v>
      </c>
      <c r="F198" s="28">
        <f ca="1">E198*_GramosXFrasco</f>
        <v>0</v>
      </c>
      <c r="G198" s="38">
        <f t="shared" ca="1" si="30"/>
        <v>0.46275341398277969</v>
      </c>
      <c r="H198" s="36">
        <f t="shared" ca="1" si="31"/>
        <v>-1</v>
      </c>
      <c r="I198" s="36">
        <f t="shared" ca="1" si="32"/>
        <v>-1</v>
      </c>
      <c r="J198" s="36">
        <f t="shared" ca="1" si="39"/>
        <v>-1</v>
      </c>
      <c r="K198" s="37">
        <f ca="1">IF(J198&lt;&gt;-1,_Media_M + J198*_Sigma,-1)</f>
        <v>-1</v>
      </c>
      <c r="L198" s="3">
        <f t="shared" ca="1" si="33"/>
        <v>50</v>
      </c>
      <c r="M198" s="18">
        <f ca="1">IF(LOOKUP(G198,$H$3:$H$4,$E$3:$E$4)=1,50,_Media_M + J198*_Sigma)</f>
        <v>50</v>
      </c>
      <c r="N198" s="36">
        <f t="shared" ca="1" si="34"/>
        <v>45.069711799929841</v>
      </c>
      <c r="O198" s="35">
        <f t="shared" ca="1" si="40"/>
        <v>95.069711799929848</v>
      </c>
      <c r="P198" s="19">
        <f t="shared" ca="1" si="36"/>
        <v>95.069711799929848</v>
      </c>
      <c r="Q198" s="20">
        <f ca="1" xml:space="preserve"> P198*_Precio_cafe</f>
        <v>142.60456769989477</v>
      </c>
      <c r="R198" s="20">
        <f t="shared" ca="1" si="37"/>
        <v>25212.290640211519</v>
      </c>
      <c r="S198" s="20">
        <f ca="1">(1/A198)*((A198-1)*S197 +Q198)</f>
        <v>138.52906945171156</v>
      </c>
      <c r="T198" s="20">
        <f ca="1">IF((T197-P198+F198)&gt;_Max_Stock_Gramos,_Max_Stock_Gramos,T197-P198+F198)</f>
        <v>1548.3444699681031</v>
      </c>
      <c r="U198" s="20">
        <f ca="1">T198/_GramosXFrasco</f>
        <v>9.1079086468711949</v>
      </c>
      <c r="V198" s="58">
        <f ca="1">(T198/_Max_Stock_Gramos)</f>
        <v>0.91079086468711945</v>
      </c>
      <c r="W198" s="58"/>
      <c r="X198" s="10">
        <f ca="1">IF((T197-O198)&lt;0,(T197-O198)*_Costo_Faltante,0)</f>
        <v>0</v>
      </c>
      <c r="Y198">
        <f ca="1">IF(B198=0,E198*_Costo_Frasco,0)</f>
        <v>0</v>
      </c>
      <c r="Z198" s="11">
        <f t="shared" ca="1" si="38"/>
        <v>-24000</v>
      </c>
    </row>
    <row r="199" spans="1:26" x14ac:dyDescent="0.25">
      <c r="A199" s="30">
        <f t="shared" si="35"/>
        <v>183</v>
      </c>
      <c r="B199" s="10">
        <f>IF(B198=0,_Proxima_Compra,B198-1)</f>
        <v>1</v>
      </c>
      <c r="C199" s="3">
        <f t="shared" ca="1" si="28"/>
        <v>-1</v>
      </c>
      <c r="D199" s="3">
        <f ca="1">IF(D198&gt;0,D198-1,IF(C199&gt;0,LOOKUP(C199,$S$3:$S$5,$P$3:$P$5),-1))</f>
        <v>0</v>
      </c>
      <c r="E199" s="25">
        <f t="shared" ca="1" si="29"/>
        <v>2</v>
      </c>
      <c r="F199" s="28">
        <f ca="1">E199*_GramosXFrasco</f>
        <v>340</v>
      </c>
      <c r="G199" s="38">
        <f t="shared" ca="1" si="30"/>
        <v>2.1779412057458369E-2</v>
      </c>
      <c r="H199" s="36">
        <f t="shared" ca="1" si="31"/>
        <v>-1</v>
      </c>
      <c r="I199" s="36">
        <f t="shared" ca="1" si="32"/>
        <v>-1</v>
      </c>
      <c r="J199" s="36">
        <f t="shared" ca="1" si="39"/>
        <v>-1</v>
      </c>
      <c r="K199" s="37">
        <f ca="1">IF(J199&lt;&gt;-1,_Media_M + J199*_Sigma,-1)</f>
        <v>-1</v>
      </c>
      <c r="L199" s="3">
        <f t="shared" ca="1" si="33"/>
        <v>50</v>
      </c>
      <c r="M199" s="18">
        <f ca="1">IF(LOOKUP(G199,$H$3:$H$4,$E$3:$E$4)=1,50,_Media_M + J199*_Sigma)</f>
        <v>50</v>
      </c>
      <c r="N199" s="36">
        <f t="shared" ca="1" si="34"/>
        <v>34.71472092313563</v>
      </c>
      <c r="O199" s="35">
        <f t="shared" ca="1" si="40"/>
        <v>84.71472092313563</v>
      </c>
      <c r="P199" s="19">
        <f t="shared" ca="1" si="36"/>
        <v>84.71472092313563</v>
      </c>
      <c r="Q199" s="20">
        <f ca="1" xml:space="preserve"> P199*_Precio_cafe</f>
        <v>127.07208138470344</v>
      </c>
      <c r="R199" s="20">
        <f t="shared" ca="1" si="37"/>
        <v>25339.362721596222</v>
      </c>
      <c r="S199" s="20">
        <f ca="1">(1/A199)*((A199-1)*S198 +Q199)</f>
        <v>138.46646295954213</v>
      </c>
      <c r="T199" s="20">
        <f ca="1">IF((T198-P199+F199)&gt;_Max_Stock_Gramos,_Max_Stock_Gramos,T198-P199+F199)</f>
        <v>1700</v>
      </c>
      <c r="U199" s="20">
        <f ca="1">T199/_GramosXFrasco</f>
        <v>10</v>
      </c>
      <c r="V199" s="58">
        <f ca="1">(T199/_Max_Stock_Gramos)</f>
        <v>1</v>
      </c>
      <c r="W199" s="58"/>
      <c r="X199" s="10">
        <f ca="1">IF((T198-O199)&lt;0,(T198-O199)*_Costo_Faltante,0)</f>
        <v>0</v>
      </c>
      <c r="Y199">
        <f>IF(B199=0,E199*_Costo_Frasco,0)</f>
        <v>0</v>
      </c>
      <c r="Z199" s="11">
        <f t="shared" ca="1" si="38"/>
        <v>-24000</v>
      </c>
    </row>
    <row r="200" spans="1:26" x14ac:dyDescent="0.25">
      <c r="A200" s="30">
        <f t="shared" si="35"/>
        <v>184</v>
      </c>
      <c r="B200" s="10">
        <f>IF(B199=0,_Proxima_Compra,B199-1)</f>
        <v>0</v>
      </c>
      <c r="C200" s="3">
        <f t="shared" ca="1" si="28"/>
        <v>0.51064347438853486</v>
      </c>
      <c r="D200" s="3">
        <f ca="1">IF(D199&gt;0,D199-1,IF(C200&gt;0,LOOKUP(C200,$S$3:$S$5,$P$3:$P$5),-1))</f>
        <v>1</v>
      </c>
      <c r="E200" s="25">
        <f t="shared" ca="1" si="29"/>
        <v>0</v>
      </c>
      <c r="F200" s="28">
        <f ca="1">E200*_GramosXFrasco</f>
        <v>0</v>
      </c>
      <c r="G200" s="38">
        <f t="shared" ca="1" si="30"/>
        <v>0.67489585875799429</v>
      </c>
      <c r="H200" s="36">
        <f t="shared" ca="1" si="31"/>
        <v>0.81658950447220469</v>
      </c>
      <c r="I200" s="36">
        <f t="shared" ca="1" si="32"/>
        <v>0.4560518571684975</v>
      </c>
      <c r="J200" s="36">
        <f t="shared" ca="1" si="39"/>
        <v>-1.1677541342993136</v>
      </c>
      <c r="K200" s="37">
        <f ca="1">IF(J200&lt;&gt;-1,_Media_M + J200*_Sigma,-1)</f>
        <v>57.483687985510301</v>
      </c>
      <c r="L200" s="3">
        <f t="shared" ca="1" si="33"/>
        <v>-1</v>
      </c>
      <c r="M200" s="18">
        <f ca="1">IF(LOOKUP(G200,$H$3:$H$4,$E$3:$E$4)=1,50,_Media_M + J200*_Sigma)</f>
        <v>57.483687985510301</v>
      </c>
      <c r="N200" s="36">
        <f t="shared" ca="1" si="34"/>
        <v>1.4139433052527521</v>
      </c>
      <c r="O200" s="35">
        <f t="shared" ca="1" si="40"/>
        <v>58.897631290763051</v>
      </c>
      <c r="P200" s="19">
        <f t="shared" ca="1" si="36"/>
        <v>58.897631290763051</v>
      </c>
      <c r="Q200" s="20">
        <f ca="1" xml:space="preserve"> P200*_Precio_cafe</f>
        <v>88.346446936144574</v>
      </c>
      <c r="R200" s="20">
        <f t="shared" ca="1" si="37"/>
        <v>25427.709168532368</v>
      </c>
      <c r="S200" s="20">
        <f ca="1">(1/A200)*((A200-1)*S199 +Q200)</f>
        <v>138.19407156811062</v>
      </c>
      <c r="T200" s="20">
        <f ca="1">IF((T199-P200+F200)&gt;_Max_Stock_Gramos,_Max_Stock_Gramos,T199-P200+F200)</f>
        <v>1641.102368709237</v>
      </c>
      <c r="U200" s="20">
        <f ca="1">T200/_GramosXFrasco</f>
        <v>9.6535433453484529</v>
      </c>
      <c r="V200" s="58">
        <f ca="1">(T200/_Max_Stock_Gramos)</f>
        <v>0.96535433453484532</v>
      </c>
      <c r="W200" s="58"/>
      <c r="X200" s="10">
        <f ca="1">IF((T199-O200)&lt;0,(T199-O200)*_Costo_Faltante,0)</f>
        <v>0</v>
      </c>
      <c r="Y200">
        <f ca="1">IF(B200=0,E200*_Costo_Frasco,0)</f>
        <v>0</v>
      </c>
      <c r="Z200" s="11">
        <f t="shared" ca="1" si="38"/>
        <v>-24000</v>
      </c>
    </row>
    <row r="201" spans="1:26" x14ac:dyDescent="0.25">
      <c r="A201" s="30">
        <f t="shared" si="35"/>
        <v>185</v>
      </c>
      <c r="B201" s="10">
        <f>IF(B200=0,_Proxima_Compra,B200-1)</f>
        <v>1</v>
      </c>
      <c r="C201" s="3">
        <f t="shared" ca="1" si="28"/>
        <v>-1</v>
      </c>
      <c r="D201" s="3">
        <f ca="1">IF(D200&gt;0,D200-1,IF(C201&gt;0,LOOKUP(C201,$S$3:$S$5,$P$3:$P$5),-1))</f>
        <v>0</v>
      </c>
      <c r="E201" s="25">
        <f t="shared" ca="1" si="29"/>
        <v>2</v>
      </c>
      <c r="F201" s="28">
        <f ca="1">E201*_GramosXFrasco</f>
        <v>340</v>
      </c>
      <c r="G201" s="38">
        <f t="shared" ca="1" si="30"/>
        <v>0.86797416545087247</v>
      </c>
      <c r="H201" s="36">
        <f t="shared" ca="1" si="31"/>
        <v>0.30703382437400772</v>
      </c>
      <c r="I201" s="36">
        <f t="shared" ca="1" si="32"/>
        <v>0.80038733708724097</v>
      </c>
      <c r="J201" s="36">
        <f t="shared" ca="1" si="39"/>
        <v>0.17572291068539417</v>
      </c>
      <c r="K201" s="37">
        <f ca="1">IF(J201&lt;&gt;-1,_Media_M + J201*_Sigma,-1)</f>
        <v>77.635843660280912</v>
      </c>
      <c r="L201" s="3">
        <f t="shared" ca="1" si="33"/>
        <v>-1</v>
      </c>
      <c r="M201" s="18">
        <f ca="1">IF(LOOKUP(G201,$H$3:$H$4,$E$3:$E$4)=1,50,_Media_M + J201*_Sigma)</f>
        <v>77.635843660280912</v>
      </c>
      <c r="N201" s="36">
        <f t="shared" ca="1" si="34"/>
        <v>90.956582237984335</v>
      </c>
      <c r="O201" s="35">
        <f t="shared" ca="1" si="40"/>
        <v>168.59242589826525</v>
      </c>
      <c r="P201" s="19">
        <f t="shared" ca="1" si="36"/>
        <v>168.59242589826525</v>
      </c>
      <c r="Q201" s="20">
        <f ca="1" xml:space="preserve"> P201*_Precio_cafe</f>
        <v>252.88863884739789</v>
      </c>
      <c r="R201" s="20">
        <f t="shared" ca="1" si="37"/>
        <v>25680.597807379767</v>
      </c>
      <c r="S201" s="20">
        <f ca="1">(1/A201)*((A201-1)*S200 +Q201)</f>
        <v>138.81404220205272</v>
      </c>
      <c r="T201" s="20">
        <f ca="1">IF((T200-P201+F201)&gt;_Max_Stock_Gramos,_Max_Stock_Gramos,T200-P201+F201)</f>
        <v>1700</v>
      </c>
      <c r="U201" s="20">
        <f ca="1">T201/_GramosXFrasco</f>
        <v>10</v>
      </c>
      <c r="V201" s="58">
        <f ca="1">(T201/_Max_Stock_Gramos)</f>
        <v>1</v>
      </c>
      <c r="W201" s="58"/>
      <c r="X201" s="10">
        <f ca="1">IF((T200-O201)&lt;0,(T200-O201)*_Costo_Faltante,0)</f>
        <v>0</v>
      </c>
      <c r="Y201">
        <f>IF(B201=0,E201*_Costo_Frasco,0)</f>
        <v>0</v>
      </c>
      <c r="Z201" s="11">
        <f t="shared" ca="1" si="38"/>
        <v>-24000</v>
      </c>
    </row>
    <row r="202" spans="1:26" x14ac:dyDescent="0.25">
      <c r="A202" s="30">
        <f t="shared" si="35"/>
        <v>186</v>
      </c>
      <c r="B202" s="10">
        <f>IF(B201=0,_Proxima_Compra,B201-1)</f>
        <v>0</v>
      </c>
      <c r="C202" s="3">
        <f t="shared" ca="1" si="28"/>
        <v>0.92043719922750489</v>
      </c>
      <c r="D202" s="3">
        <f ca="1">IF(D201&gt;0,D201-1,IF(C202&gt;0,LOOKUP(C202,$S$3:$S$5,$P$3:$P$5),-1))</f>
        <v>2</v>
      </c>
      <c r="E202" s="25">
        <f t="shared" ca="1" si="29"/>
        <v>0</v>
      </c>
      <c r="F202" s="28">
        <f ca="1">E202*_GramosXFrasco</f>
        <v>0</v>
      </c>
      <c r="G202" s="38">
        <f t="shared" ca="1" si="30"/>
        <v>0.3887380567299451</v>
      </c>
      <c r="H202" s="36">
        <f t="shared" ca="1" si="31"/>
        <v>-1</v>
      </c>
      <c r="I202" s="36">
        <f t="shared" ca="1" si="32"/>
        <v>-1</v>
      </c>
      <c r="J202" s="36">
        <f t="shared" ca="1" si="39"/>
        <v>-1</v>
      </c>
      <c r="K202" s="37">
        <f ca="1">IF(J202&lt;&gt;-1,_Media_M + J202*_Sigma,-1)</f>
        <v>-1</v>
      </c>
      <c r="L202" s="3">
        <f t="shared" ca="1" si="33"/>
        <v>50</v>
      </c>
      <c r="M202" s="18">
        <f ca="1">IF(LOOKUP(G202,$H$3:$H$4,$E$3:$E$4)=1,50,_Media_M + J202*_Sigma)</f>
        <v>50</v>
      </c>
      <c r="N202" s="36">
        <f t="shared" ca="1" si="34"/>
        <v>2.5335390354665241</v>
      </c>
      <c r="O202" s="35">
        <f t="shared" ca="1" si="40"/>
        <v>52.533539035466525</v>
      </c>
      <c r="P202" s="19">
        <f t="shared" ca="1" si="36"/>
        <v>52.533539035466525</v>
      </c>
      <c r="Q202" s="20">
        <f ca="1" xml:space="preserve"> P202*_Precio_cafe</f>
        <v>78.800308553199784</v>
      </c>
      <c r="R202" s="20">
        <f t="shared" ca="1" si="37"/>
        <v>25759.398115932967</v>
      </c>
      <c r="S202" s="20">
        <f ca="1">(1/A202)*((A202-1)*S201 +Q202)</f>
        <v>138.49138772006964</v>
      </c>
      <c r="T202" s="20">
        <f ca="1">IF((T201-P202+F202)&gt;_Max_Stock_Gramos,_Max_Stock_Gramos,T201-P202+F202)</f>
        <v>1647.4664609645336</v>
      </c>
      <c r="U202" s="20">
        <f ca="1">T202/_GramosXFrasco</f>
        <v>9.6909791821443143</v>
      </c>
      <c r="V202" s="58">
        <f ca="1">(T202/_Max_Stock_Gramos)</f>
        <v>0.96909791821443148</v>
      </c>
      <c r="W202" s="58"/>
      <c r="X202" s="10">
        <f ca="1">IF((T201-O202)&lt;0,(T201-O202)*_Costo_Faltante,0)</f>
        <v>0</v>
      </c>
      <c r="Y202">
        <f ca="1">IF(B202=0,E202*_Costo_Frasco,0)</f>
        <v>0</v>
      </c>
      <c r="Z202" s="11">
        <f t="shared" ca="1" si="38"/>
        <v>-24000</v>
      </c>
    </row>
    <row r="203" spans="1:26" x14ac:dyDescent="0.25">
      <c r="A203" s="30">
        <f t="shared" si="35"/>
        <v>187</v>
      </c>
      <c r="B203" s="10">
        <f>IF(B202=0,_Proxima_Compra,B202-1)</f>
        <v>1</v>
      </c>
      <c r="C203" s="3">
        <f t="shared" ca="1" si="28"/>
        <v>-1</v>
      </c>
      <c r="D203" s="3">
        <f ca="1">IF(D202&gt;0,D202-1,IF(C203&gt;0,LOOKUP(C203,$S$3:$S$5,$P$3:$P$5),-1))</f>
        <v>1</v>
      </c>
      <c r="E203" s="25">
        <f t="shared" ca="1" si="29"/>
        <v>0</v>
      </c>
      <c r="F203" s="28">
        <f ca="1">E203*_GramosXFrasco</f>
        <v>0</v>
      </c>
      <c r="G203" s="38">
        <f t="shared" ca="1" si="30"/>
        <v>0.79321866252223761</v>
      </c>
      <c r="H203" s="36">
        <f t="shared" ca="1" si="31"/>
        <v>0.50320979939203425</v>
      </c>
      <c r="I203" s="36">
        <f t="shared" ca="1" si="32"/>
        <v>0.78991267388048547</v>
      </c>
      <c r="J203" s="36">
        <f t="shared" ca="1" si="39"/>
        <v>0.19344483962724951</v>
      </c>
      <c r="K203" s="37">
        <f ca="1">IF(J203&lt;&gt;-1,_Media_M + J203*_Sigma,-1)</f>
        <v>77.901672594408737</v>
      </c>
      <c r="L203" s="3">
        <f t="shared" ca="1" si="33"/>
        <v>-1</v>
      </c>
      <c r="M203" s="18">
        <f ca="1">IF(LOOKUP(G203,$H$3:$H$4,$E$3:$E$4)=1,50,_Media_M + J203*_Sigma)</f>
        <v>77.901672594408737</v>
      </c>
      <c r="N203" s="36">
        <f t="shared" ca="1" si="34"/>
        <v>74.984858617106099</v>
      </c>
      <c r="O203" s="35">
        <f t="shared" ca="1" si="40"/>
        <v>152.88653121151484</v>
      </c>
      <c r="P203" s="19">
        <f t="shared" ca="1" si="36"/>
        <v>152.88653121151484</v>
      </c>
      <c r="Q203" s="20">
        <f ca="1" xml:space="preserve"> P203*_Precio_cafe</f>
        <v>229.32979681727227</v>
      </c>
      <c r="R203" s="20">
        <f t="shared" ca="1" si="37"/>
        <v>25988.727912750241</v>
      </c>
      <c r="S203" s="20">
        <f ca="1">(1/A203)*((A203-1)*S202 +Q203)</f>
        <v>138.97715461363757</v>
      </c>
      <c r="T203" s="20">
        <f ca="1">IF((T202-P203+F203)&gt;_Max_Stock_Gramos,_Max_Stock_Gramos,T202-P203+F203)</f>
        <v>1494.5799297530186</v>
      </c>
      <c r="U203" s="20">
        <f ca="1">T203/_GramosXFrasco</f>
        <v>8.7916466456059918</v>
      </c>
      <c r="V203" s="58">
        <f ca="1">(T203/_Max_Stock_Gramos)</f>
        <v>0.87916466456059916</v>
      </c>
      <c r="W203" s="58"/>
      <c r="X203" s="10">
        <f ca="1">IF((T202-O203)&lt;0,(T202-O203)*_Costo_Faltante,0)</f>
        <v>0</v>
      </c>
      <c r="Y203">
        <f>IF(B203=0,E203*_Costo_Frasco,0)</f>
        <v>0</v>
      </c>
      <c r="Z203" s="11">
        <f t="shared" ca="1" si="38"/>
        <v>-24000</v>
      </c>
    </row>
    <row r="204" spans="1:26" x14ac:dyDescent="0.25">
      <c r="A204" s="30">
        <f t="shared" si="35"/>
        <v>188</v>
      </c>
      <c r="B204" s="10">
        <f>IF(B203=0,_Proxima_Compra,B203-1)</f>
        <v>0</v>
      </c>
      <c r="C204" s="3">
        <f t="shared" ca="1" si="28"/>
        <v>0.87884622022164349</v>
      </c>
      <c r="D204" s="3">
        <f ca="1">IF(D203&gt;0,D203-1,IF(C204&gt;0,LOOKUP(C204,$S$3:$S$5,$P$3:$P$5),-1))</f>
        <v>0</v>
      </c>
      <c r="E204" s="25">
        <f t="shared" ca="1" si="29"/>
        <v>2</v>
      </c>
      <c r="F204" s="28">
        <f ca="1">E204*_GramosXFrasco</f>
        <v>340</v>
      </c>
      <c r="G204" s="38">
        <f t="shared" ca="1" si="30"/>
        <v>0.67474740386732912</v>
      </c>
      <c r="H204" s="36">
        <f t="shared" ca="1" si="31"/>
        <v>0.8606914820564836</v>
      </c>
      <c r="I204" s="36">
        <f t="shared" ca="1" si="32"/>
        <v>0.97864943131767235</v>
      </c>
      <c r="J204" s="36">
        <f t="shared" ca="1" si="39"/>
        <v>1.2966953731494146</v>
      </c>
      <c r="K204" s="37">
        <f ca="1">IF(J204&lt;&gt;-1,_Media_M + J204*_Sigma,-1)</f>
        <v>94.450430597241223</v>
      </c>
      <c r="L204" s="3">
        <f t="shared" ca="1" si="33"/>
        <v>-1</v>
      </c>
      <c r="M204" s="18">
        <f ca="1">IF(LOOKUP(G204,$H$3:$H$4,$E$3:$E$4)=1,50,_Media_M + J204*_Sigma)</f>
        <v>94.450430597241223</v>
      </c>
      <c r="N204" s="36">
        <f t="shared" ca="1" si="34"/>
        <v>28.844644786371457</v>
      </c>
      <c r="O204" s="35">
        <f t="shared" ca="1" si="40"/>
        <v>123.29507538361268</v>
      </c>
      <c r="P204" s="19">
        <f t="shared" ca="1" si="36"/>
        <v>123.29507538361268</v>
      </c>
      <c r="Q204" s="20">
        <f ca="1" xml:space="preserve"> P204*_Precio_cafe</f>
        <v>184.94261307541902</v>
      </c>
      <c r="R204" s="20">
        <f t="shared" ca="1" si="37"/>
        <v>26173.670525825659</v>
      </c>
      <c r="S204" s="20">
        <f ca="1">(1/A204)*((A204-1)*S203 +Q204)</f>
        <v>139.22165173311512</v>
      </c>
      <c r="T204" s="20">
        <f ca="1">IF((T203-P204+F204)&gt;_Max_Stock_Gramos,_Max_Stock_Gramos,T203-P204+F204)</f>
        <v>1700</v>
      </c>
      <c r="U204" s="20">
        <f ca="1">T204/_GramosXFrasco</f>
        <v>10</v>
      </c>
      <c r="V204" s="58">
        <f ca="1">(T204/_Max_Stock_Gramos)</f>
        <v>1</v>
      </c>
      <c r="W204" s="58"/>
      <c r="X204" s="10">
        <f ca="1">IF((T203-O204)&lt;0,(T203-O204)*_Costo_Faltante,0)</f>
        <v>0</v>
      </c>
      <c r="Y204">
        <f ca="1">IF(B204=0,E204*_Costo_Frasco,0)</f>
        <v>-500</v>
      </c>
      <c r="Z204" s="11">
        <f t="shared" ca="1" si="38"/>
        <v>-24500</v>
      </c>
    </row>
    <row r="205" spans="1:26" x14ac:dyDescent="0.25">
      <c r="A205" s="30">
        <f t="shared" si="35"/>
        <v>189</v>
      </c>
      <c r="B205" s="10">
        <f>IF(B204=0,_Proxima_Compra,B204-1)</f>
        <v>1</v>
      </c>
      <c r="C205" s="3">
        <f t="shared" ca="1" si="28"/>
        <v>-1</v>
      </c>
      <c r="D205" s="3">
        <f ca="1">IF(D204&gt;0,D204-1,IF(C205&gt;0,LOOKUP(C205,$S$3:$S$5,$P$3:$P$5),-1))</f>
        <v>-1</v>
      </c>
      <c r="E205" s="25">
        <f t="shared" ca="1" si="29"/>
        <v>0</v>
      </c>
      <c r="F205" s="28">
        <f ca="1">E205*_GramosXFrasco</f>
        <v>0</v>
      </c>
      <c r="G205" s="38">
        <f t="shared" ca="1" si="30"/>
        <v>0.64531941939734438</v>
      </c>
      <c r="H205" s="36">
        <f t="shared" ca="1" si="31"/>
        <v>7.062025646069281E-2</v>
      </c>
      <c r="I205" s="36">
        <f t="shared" ca="1" si="32"/>
        <v>0.57408812492676964</v>
      </c>
      <c r="J205" s="36">
        <f t="shared" ca="1" si="39"/>
        <v>-0.22537966815989979</v>
      </c>
      <c r="K205" s="37">
        <f ca="1">IF(J205&lt;&gt;-1,_Media_M + J205*_Sigma,-1)</f>
        <v>71.619304977601502</v>
      </c>
      <c r="L205" s="3">
        <f t="shared" ca="1" si="33"/>
        <v>-1</v>
      </c>
      <c r="M205" s="18">
        <f ca="1">IF(LOOKUP(G205,$H$3:$H$4,$E$3:$E$4)=1,50,_Media_M + J205*_Sigma)</f>
        <v>71.619304977601502</v>
      </c>
      <c r="N205" s="36">
        <f t="shared" ca="1" si="34"/>
        <v>14.465102543169557</v>
      </c>
      <c r="O205" s="35">
        <f t="shared" ca="1" si="40"/>
        <v>86.084407520771066</v>
      </c>
      <c r="P205" s="19">
        <f t="shared" ca="1" si="36"/>
        <v>86.084407520771066</v>
      </c>
      <c r="Q205" s="20">
        <f ca="1" xml:space="preserve"> P205*_Precio_cafe</f>
        <v>129.12661128115661</v>
      </c>
      <c r="R205" s="20">
        <f t="shared" ca="1" si="37"/>
        <v>26302.797137106816</v>
      </c>
      <c r="S205" s="20">
        <f ca="1">(1/A205)*((A205-1)*S204 +Q205)</f>
        <v>139.16823882067089</v>
      </c>
      <c r="T205" s="20">
        <f ca="1">IF((T204-P205+F205)&gt;_Max_Stock_Gramos,_Max_Stock_Gramos,T204-P205+F205)</f>
        <v>1613.915592479229</v>
      </c>
      <c r="U205" s="20">
        <f ca="1">T205/_GramosXFrasco</f>
        <v>9.4936211322307589</v>
      </c>
      <c r="V205" s="58">
        <f ca="1">(T205/_Max_Stock_Gramos)</f>
        <v>0.94936211322307584</v>
      </c>
      <c r="W205" s="58"/>
      <c r="X205" s="10">
        <f ca="1">IF((T204-O205)&lt;0,(T204-O205)*_Costo_Faltante,0)</f>
        <v>0</v>
      </c>
      <c r="Y205">
        <f>IF(B205=0,E205*_Costo_Frasco,0)</f>
        <v>0</v>
      </c>
      <c r="Z205" s="11">
        <f t="shared" ca="1" si="38"/>
        <v>-24500</v>
      </c>
    </row>
    <row r="206" spans="1:26" x14ac:dyDescent="0.25">
      <c r="A206" s="30">
        <f t="shared" si="35"/>
        <v>190</v>
      </c>
      <c r="B206" s="10">
        <f>IF(B205=0,_Proxima_Compra,B205-1)</f>
        <v>0</v>
      </c>
      <c r="C206" s="3">
        <f t="shared" ca="1" si="28"/>
        <v>0.34721058714325781</v>
      </c>
      <c r="D206" s="3">
        <f ca="1">IF(D205&gt;0,D205-1,IF(C206&gt;0,LOOKUP(C206,$S$3:$S$5,$P$3:$P$5),-1))</f>
        <v>0</v>
      </c>
      <c r="E206" s="25">
        <f t="shared" ca="1" si="29"/>
        <v>2</v>
      </c>
      <c r="F206" s="28">
        <f ca="1">E206*_GramosXFrasco</f>
        <v>340</v>
      </c>
      <c r="G206" s="38">
        <f t="shared" ca="1" si="30"/>
        <v>0.65471970148296488</v>
      </c>
      <c r="H206" s="36">
        <f t="shared" ca="1" si="31"/>
        <v>0.51148842135497052</v>
      </c>
      <c r="I206" s="36">
        <f t="shared" ca="1" si="32"/>
        <v>0.21836016125274793</v>
      </c>
      <c r="J206" s="36">
        <f t="shared" ca="1" si="39"/>
        <v>0.15578737994957256</v>
      </c>
      <c r="K206" s="37">
        <f ca="1">IF(J206&lt;&gt;-1,_Media_M + J206*_Sigma,-1)</f>
        <v>77.336810699243586</v>
      </c>
      <c r="L206" s="3">
        <f t="shared" ca="1" si="33"/>
        <v>-1</v>
      </c>
      <c r="M206" s="18">
        <f ca="1">IF(LOOKUP(G206,$H$3:$H$4,$E$3:$E$4)=1,50,_Media_M + J206*_Sigma)</f>
        <v>77.336810699243586</v>
      </c>
      <c r="N206" s="36">
        <f t="shared" ca="1" si="34"/>
        <v>25.064882249949441</v>
      </c>
      <c r="O206" s="35">
        <f t="shared" ca="1" si="40"/>
        <v>102.40169294919303</v>
      </c>
      <c r="P206" s="19">
        <f t="shared" ca="1" si="36"/>
        <v>102.40169294919303</v>
      </c>
      <c r="Q206" s="20">
        <f ca="1" xml:space="preserve"> P206*_Precio_cafe</f>
        <v>153.60253942378955</v>
      </c>
      <c r="R206" s="20">
        <f t="shared" ca="1" si="37"/>
        <v>26456.399676530607</v>
      </c>
      <c r="S206" s="20">
        <f ca="1">(1/A206)*((A206-1)*S205 +Q206)</f>
        <v>139.24420882384521</v>
      </c>
      <c r="T206" s="20">
        <f ca="1">IF((T205-P206+F206)&gt;_Max_Stock_Gramos,_Max_Stock_Gramos,T205-P206+F206)</f>
        <v>1700</v>
      </c>
      <c r="U206" s="20">
        <f ca="1">T206/_GramosXFrasco</f>
        <v>10</v>
      </c>
      <c r="V206" s="58">
        <f ca="1">(T206/_Max_Stock_Gramos)</f>
        <v>1</v>
      </c>
      <c r="W206" s="58"/>
      <c r="X206" s="10">
        <f ca="1">IF((T205-O206)&lt;0,(T205-O206)*_Costo_Faltante,0)</f>
        <v>0</v>
      </c>
      <c r="Y206">
        <f ca="1">IF(B206=0,E206*_Costo_Frasco,0)</f>
        <v>-500</v>
      </c>
      <c r="Z206" s="11">
        <f t="shared" ca="1" si="38"/>
        <v>-25000</v>
      </c>
    </row>
    <row r="207" spans="1:26" x14ac:dyDescent="0.25">
      <c r="A207" s="30">
        <f t="shared" si="35"/>
        <v>191</v>
      </c>
      <c r="B207" s="10">
        <f>IF(B206=0,_Proxima_Compra,B206-1)</f>
        <v>1</v>
      </c>
      <c r="C207" s="3">
        <f t="shared" ca="1" si="28"/>
        <v>-1</v>
      </c>
      <c r="D207" s="3">
        <f ca="1">IF(D206&gt;0,D206-1,IF(C207&gt;0,LOOKUP(C207,$S$3:$S$5,$P$3:$P$5),-1))</f>
        <v>-1</v>
      </c>
      <c r="E207" s="25">
        <f t="shared" ca="1" si="29"/>
        <v>0</v>
      </c>
      <c r="F207" s="28">
        <f ca="1">E207*_GramosXFrasco</f>
        <v>0</v>
      </c>
      <c r="G207" s="38">
        <f t="shared" ca="1" si="30"/>
        <v>0.35351026532194485</v>
      </c>
      <c r="H207" s="36">
        <f t="shared" ca="1" si="31"/>
        <v>-1</v>
      </c>
      <c r="I207" s="36">
        <f t="shared" ca="1" si="32"/>
        <v>-1</v>
      </c>
      <c r="J207" s="36">
        <f t="shared" ca="1" si="39"/>
        <v>-1</v>
      </c>
      <c r="K207" s="37">
        <f ca="1">IF(J207&lt;&gt;-1,_Media_M + J207*_Sigma,-1)</f>
        <v>-1</v>
      </c>
      <c r="L207" s="3">
        <f t="shared" ca="1" si="33"/>
        <v>50</v>
      </c>
      <c r="M207" s="18">
        <f ca="1">IF(LOOKUP(G207,$H$3:$H$4,$E$3:$E$4)=1,50,_Media_M + J207*_Sigma)</f>
        <v>50</v>
      </c>
      <c r="N207" s="36">
        <f t="shared" ca="1" si="34"/>
        <v>2.8804745695256813</v>
      </c>
      <c r="O207" s="35">
        <f t="shared" ca="1" si="40"/>
        <v>52.880474569525681</v>
      </c>
      <c r="P207" s="19">
        <f t="shared" ca="1" si="36"/>
        <v>52.880474569525681</v>
      </c>
      <c r="Q207" s="20">
        <f ca="1" xml:space="preserve"> P207*_Precio_cafe</f>
        <v>79.320711854288518</v>
      </c>
      <c r="R207" s="20">
        <f t="shared" ca="1" si="37"/>
        <v>26535.720388384896</v>
      </c>
      <c r="S207" s="20">
        <f ca="1">(1/A207)*((A207-1)*S206 +Q207)</f>
        <v>138.93047323761718</v>
      </c>
      <c r="T207" s="20">
        <f ca="1">IF((T206-P207+F207)&gt;_Max_Stock_Gramos,_Max_Stock_Gramos,T206-P207+F207)</f>
        <v>1647.1195254304744</v>
      </c>
      <c r="U207" s="20">
        <f ca="1">T207/_GramosXFrasco</f>
        <v>9.6889383848851427</v>
      </c>
      <c r="V207" s="58">
        <f ca="1">(T207/_Max_Stock_Gramos)</f>
        <v>0.96889383848851429</v>
      </c>
      <c r="W207" s="58"/>
      <c r="X207" s="10">
        <f ca="1">IF((T206-O207)&lt;0,(T206-O207)*_Costo_Faltante,0)</f>
        <v>0</v>
      </c>
      <c r="Y207">
        <f>IF(B207=0,E207*_Costo_Frasco,0)</f>
        <v>0</v>
      </c>
      <c r="Z207" s="11">
        <f t="shared" ca="1" si="38"/>
        <v>-25000</v>
      </c>
    </row>
    <row r="208" spans="1:26" x14ac:dyDescent="0.25">
      <c r="A208" s="30">
        <f t="shared" si="35"/>
        <v>192</v>
      </c>
      <c r="B208" s="10">
        <f>IF(B207=0,_Proxima_Compra,B207-1)</f>
        <v>0</v>
      </c>
      <c r="C208" s="3">
        <f t="shared" ca="1" si="28"/>
        <v>0.82322854432586223</v>
      </c>
      <c r="D208" s="3">
        <f ca="1">IF(D207&gt;0,D207-1,IF(C208&gt;0,LOOKUP(C208,$S$3:$S$5,$P$3:$P$5),-1))</f>
        <v>2</v>
      </c>
      <c r="E208" s="25">
        <f t="shared" ca="1" si="29"/>
        <v>0</v>
      </c>
      <c r="F208" s="28">
        <f ca="1">E208*_GramosXFrasco</f>
        <v>0</v>
      </c>
      <c r="G208" s="38">
        <f t="shared" ca="1" si="30"/>
        <v>0.79067025219522324</v>
      </c>
      <c r="H208" s="36">
        <f t="shared" ca="1" si="31"/>
        <v>0.44955845731848931</v>
      </c>
      <c r="I208" s="36">
        <f t="shared" ca="1" si="32"/>
        <v>0.67680933825566114</v>
      </c>
      <c r="J208" s="36">
        <f t="shared" ca="1" si="39"/>
        <v>-0.31961381280461826</v>
      </c>
      <c r="K208" s="37">
        <f ca="1">IF(J208&lt;&gt;-1,_Media_M + J208*_Sigma,-1)</f>
        <v>70.20579280793072</v>
      </c>
      <c r="L208" s="3">
        <f t="shared" ca="1" si="33"/>
        <v>-1</v>
      </c>
      <c r="M208" s="18">
        <f ca="1">IF(LOOKUP(G208,$H$3:$H$4,$E$3:$E$4)=1,50,_Media_M + J208*_Sigma)</f>
        <v>70.20579280793072</v>
      </c>
      <c r="N208" s="36">
        <f t="shared" ca="1" si="34"/>
        <v>12.538252058886085</v>
      </c>
      <c r="O208" s="35">
        <f t="shared" ca="1" si="40"/>
        <v>82.744044866816807</v>
      </c>
      <c r="P208" s="19">
        <f t="shared" ca="1" si="36"/>
        <v>82.744044866816807</v>
      </c>
      <c r="Q208" s="20">
        <f ca="1" xml:space="preserve"> P208*_Precio_cafe</f>
        <v>124.11606730022521</v>
      </c>
      <c r="R208" s="20">
        <f t="shared" ca="1" si="37"/>
        <v>26659.836455685123</v>
      </c>
      <c r="S208" s="20">
        <f ca="1">(1/A208)*((A208-1)*S207 +Q208)</f>
        <v>138.85331487335992</v>
      </c>
      <c r="T208" s="20">
        <f ca="1">IF((T207-P208+F208)&gt;_Max_Stock_Gramos,_Max_Stock_Gramos,T207-P208+F208)</f>
        <v>1564.3754805636577</v>
      </c>
      <c r="U208" s="20">
        <f ca="1">T208/_GramosXFrasco</f>
        <v>9.2022087091979863</v>
      </c>
      <c r="V208" s="58">
        <f ca="1">(T208/_Max_Stock_Gramos)</f>
        <v>0.92022087091979865</v>
      </c>
      <c r="W208" s="58"/>
      <c r="X208" s="10">
        <f ca="1">IF((T207-O208)&lt;0,(T207-O208)*_Costo_Faltante,0)</f>
        <v>0</v>
      </c>
      <c r="Y208">
        <f ca="1">IF(B208=0,E208*_Costo_Frasco,0)</f>
        <v>0</v>
      </c>
      <c r="Z208" s="11">
        <f t="shared" ca="1" si="38"/>
        <v>-25000</v>
      </c>
    </row>
    <row r="209" spans="1:26" x14ac:dyDescent="0.25">
      <c r="A209" s="30">
        <f t="shared" si="35"/>
        <v>193</v>
      </c>
      <c r="B209" s="10">
        <f>IF(B208=0,_Proxima_Compra,B208-1)</f>
        <v>1</v>
      </c>
      <c r="C209" s="3">
        <f t="shared" ref="C209:C272" ca="1" si="41">IF(B209=0,RAND(),-1)</f>
        <v>-1</v>
      </c>
      <c r="D209" s="3">
        <f ca="1">IF(D208&gt;0,D208-1,IF(C209&gt;0,LOOKUP(C209,$S$3:$S$5,$P$3:$P$5),-1))</f>
        <v>1</v>
      </c>
      <c r="E209" s="25">
        <f t="shared" ref="E209:E272" ca="1" si="42">IF(D209=0,2,)</f>
        <v>0</v>
      </c>
      <c r="F209" s="28">
        <f ca="1">E209*_GramosXFrasco</f>
        <v>0</v>
      </c>
      <c r="G209" s="38">
        <f t="shared" ref="G209:G272" ca="1" si="43">RAND()</f>
        <v>0.23050930388990631</v>
      </c>
      <c r="H209" s="36">
        <f t="shared" ref="H209:H272" ca="1" si="44">IF(G209&gt;0.5,RAND(),-1)</f>
        <v>-1</v>
      </c>
      <c r="I209" s="36">
        <f t="shared" ref="I209:I272" ca="1" si="45">IF(G209&gt;0.5,RAND(),-1)</f>
        <v>-1</v>
      </c>
      <c r="J209" s="36">
        <f t="shared" ca="1" si="39"/>
        <v>-1</v>
      </c>
      <c r="K209" s="37">
        <f ca="1">IF(J209&lt;&gt;-1,_Media_M + J209*_Sigma,-1)</f>
        <v>-1</v>
      </c>
      <c r="L209" s="3">
        <f t="shared" ref="L209:L272" ca="1" si="46">IF(K209=-1,50,-1)</f>
        <v>50</v>
      </c>
      <c r="M209" s="18">
        <f ca="1">IF(LOOKUP(G209,$H$3:$H$4,$E$3:$E$4)=1,50,_Media_M + J209*_Sigma)</f>
        <v>50</v>
      </c>
      <c r="N209" s="36">
        <f t="shared" ref="N209:N272" ca="1" si="47">(-1/(1/70)*(LOG(1-RAND())))</f>
        <v>19.168697999532117</v>
      </c>
      <c r="O209" s="35">
        <f t="shared" ca="1" si="40"/>
        <v>69.168697999532114</v>
      </c>
      <c r="P209" s="19">
        <f t="shared" ca="1" si="36"/>
        <v>69.168697999532114</v>
      </c>
      <c r="Q209" s="20">
        <f ca="1" xml:space="preserve"> P209*_Precio_cafe</f>
        <v>103.75304699929816</v>
      </c>
      <c r="R209" s="20">
        <f t="shared" ca="1" si="37"/>
        <v>26763.589502684423</v>
      </c>
      <c r="S209" s="20">
        <f ca="1">(1/A209)*((A209-1)*S208 +Q209)</f>
        <v>138.67144820043734</v>
      </c>
      <c r="T209" s="20">
        <f ca="1">IF((T208-P209+F209)&gt;_Max_Stock_Gramos,_Max_Stock_Gramos,T208-P209+F209)</f>
        <v>1495.2067825641257</v>
      </c>
      <c r="U209" s="20">
        <f ca="1">T209/_GramosXFrasco</f>
        <v>8.7953340150830925</v>
      </c>
      <c r="V209" s="58">
        <f ca="1">(T209/_Max_Stock_Gramos)</f>
        <v>0.87953340150830916</v>
      </c>
      <c r="W209" s="58"/>
      <c r="X209" s="10">
        <f ca="1">IF((T208-O209)&lt;0,(T208-O209)*_Costo_Faltante,0)</f>
        <v>0</v>
      </c>
      <c r="Y209">
        <f>IF(B209=0,E209*_Costo_Frasco,0)</f>
        <v>0</v>
      </c>
      <c r="Z209" s="11">
        <f t="shared" ca="1" si="38"/>
        <v>-25000</v>
      </c>
    </row>
    <row r="210" spans="1:26" x14ac:dyDescent="0.25">
      <c r="A210" s="30">
        <f t="shared" ref="A210:A273" si="48">A209+1</f>
        <v>194</v>
      </c>
      <c r="B210" s="10">
        <f>IF(B209=0,_Proxima_Compra,B209-1)</f>
        <v>0</v>
      </c>
      <c r="C210" s="3">
        <f t="shared" ca="1" si="41"/>
        <v>0.15924844843757358</v>
      </c>
      <c r="D210" s="3">
        <f ca="1">IF(D209&gt;0,D209-1,IF(C210&gt;0,LOOKUP(C210,$S$3:$S$5,$P$3:$P$5),-1))</f>
        <v>0</v>
      </c>
      <c r="E210" s="25">
        <f t="shared" ca="1" si="42"/>
        <v>2</v>
      </c>
      <c r="F210" s="28">
        <f ca="1">E210*_GramosXFrasco</f>
        <v>340</v>
      </c>
      <c r="G210" s="38">
        <f t="shared" ca="1" si="43"/>
        <v>0.61619205402313759</v>
      </c>
      <c r="H210" s="36">
        <f t="shared" ca="1" si="44"/>
        <v>0.99959558354883304</v>
      </c>
      <c r="I210" s="36">
        <f t="shared" ca="1" si="45"/>
        <v>0.62770715196304205</v>
      </c>
      <c r="J210" s="36">
        <f t="shared" ca="1" si="39"/>
        <v>-1.810458755447786</v>
      </c>
      <c r="K210" s="37">
        <f ca="1">IF(J210&lt;&gt;-1,_Media_M + J210*_Sigma,-1)</f>
        <v>47.843118668283211</v>
      </c>
      <c r="L210" s="3">
        <f t="shared" ca="1" si="46"/>
        <v>-1</v>
      </c>
      <c r="M210" s="18">
        <f ca="1">IF(LOOKUP(G210,$H$3:$H$4,$E$3:$E$4)=1,50,_Media_M + J210*_Sigma)</f>
        <v>47.843118668283211</v>
      </c>
      <c r="N210" s="36">
        <f t="shared" ca="1" si="47"/>
        <v>6.7185745419586809</v>
      </c>
      <c r="O210" s="35">
        <f t="shared" ca="1" si="40"/>
        <v>54.561693210241891</v>
      </c>
      <c r="P210" s="19">
        <f t="shared" ref="P210:P273" ca="1" si="49">IF(O210&lt;T209,O210,T209)</f>
        <v>54.561693210241891</v>
      </c>
      <c r="Q210" s="20">
        <f ca="1" xml:space="preserve"> P210*_Precio_cafe</f>
        <v>81.842539815362841</v>
      </c>
      <c r="R210" s="20">
        <f t="shared" ref="R210:R273" ca="1" si="50">Q210+R209</f>
        <v>26845.432042499786</v>
      </c>
      <c r="S210" s="20">
        <f ca="1">(1/A210)*((A210-1)*S209 +Q210)</f>
        <v>138.37851568298851</v>
      </c>
      <c r="T210" s="20">
        <f ca="1">IF((T209-P210+F210)&gt;_Max_Stock_Gramos,_Max_Stock_Gramos,T209-P210+F210)</f>
        <v>1700</v>
      </c>
      <c r="U210" s="20">
        <f ca="1">T210/_GramosXFrasco</f>
        <v>10</v>
      </c>
      <c r="V210" s="58">
        <f ca="1">(T210/_Max_Stock_Gramos)</f>
        <v>1</v>
      </c>
      <c r="W210" s="58"/>
      <c r="X210" s="10">
        <f ca="1">IF((T209-O210)&lt;0,(T209-O210)*_Costo_Faltante,0)</f>
        <v>0</v>
      </c>
      <c r="Y210">
        <f ca="1">IF(B210=0,E210*_Costo_Frasco,0)</f>
        <v>-500</v>
      </c>
      <c r="Z210" s="11">
        <f t="shared" ref="Z210:Z273" ca="1" si="51">X210+Y210+Z209</f>
        <v>-25500</v>
      </c>
    </row>
    <row r="211" spans="1:26" x14ac:dyDescent="0.25">
      <c r="A211" s="30">
        <f t="shared" si="48"/>
        <v>195</v>
      </c>
      <c r="B211" s="10">
        <f>IF(B210=0,_Proxima_Compra,B210-1)</f>
        <v>1</v>
      </c>
      <c r="C211" s="3">
        <f t="shared" ca="1" si="41"/>
        <v>-1</v>
      </c>
      <c r="D211" s="3">
        <f ca="1">IF(D210&gt;0,D210-1,IF(C211&gt;0,LOOKUP(C211,$S$3:$S$5,$P$3:$P$5),-1))</f>
        <v>-1</v>
      </c>
      <c r="E211" s="25">
        <f t="shared" ca="1" si="42"/>
        <v>0</v>
      </c>
      <c r="F211" s="28">
        <f ca="1">E211*_GramosXFrasco</f>
        <v>0</v>
      </c>
      <c r="G211" s="38">
        <f t="shared" ca="1" si="43"/>
        <v>0.61064315148904447</v>
      </c>
      <c r="H211" s="36">
        <f t="shared" ca="1" si="44"/>
        <v>0.62714096400440844</v>
      </c>
      <c r="I211" s="36">
        <f t="shared" ca="1" si="45"/>
        <v>0.65483429759824907</v>
      </c>
      <c r="J211" s="36">
        <f t="shared" ca="1" si="39"/>
        <v>-0.52111443590977513</v>
      </c>
      <c r="K211" s="37">
        <f ca="1">IF(J211&lt;&gt;-1,_Media_M + J211*_Sigma,-1)</f>
        <v>67.183283461353369</v>
      </c>
      <c r="L211" s="3">
        <f t="shared" ca="1" si="46"/>
        <v>-1</v>
      </c>
      <c r="M211" s="18">
        <f ca="1">IF(LOOKUP(G211,$H$3:$H$4,$E$3:$E$4)=1,50,_Media_M + J211*_Sigma)</f>
        <v>67.183283461353369</v>
      </c>
      <c r="N211" s="36">
        <f t="shared" ca="1" si="47"/>
        <v>23.905842429162711</v>
      </c>
      <c r="O211" s="35">
        <f t="shared" ca="1" si="40"/>
        <v>91.089125890516073</v>
      </c>
      <c r="P211" s="19">
        <f t="shared" ca="1" si="49"/>
        <v>91.089125890516073</v>
      </c>
      <c r="Q211" s="20">
        <f ca="1" xml:space="preserve"> P211*_Precio_cafe</f>
        <v>136.63368883577411</v>
      </c>
      <c r="R211" s="20">
        <f t="shared" ca="1" si="50"/>
        <v>26982.065731335559</v>
      </c>
      <c r="S211" s="20">
        <f ca="1">(1/A211)*((A211-1)*S210 +Q211)</f>
        <v>138.36956785300279</v>
      </c>
      <c r="T211" s="20">
        <f ca="1">IF((T210-P211+F211)&gt;_Max_Stock_Gramos,_Max_Stock_Gramos,T210-P211+F211)</f>
        <v>1608.910874109484</v>
      </c>
      <c r="U211" s="20">
        <f ca="1">T211/_GramosXFrasco</f>
        <v>9.4641816124087299</v>
      </c>
      <c r="V211" s="58">
        <f ca="1">(T211/_Max_Stock_Gramos)</f>
        <v>0.94641816124087297</v>
      </c>
      <c r="W211" s="58"/>
      <c r="X211" s="10">
        <f ca="1">IF((T210-O211)&lt;0,(T210-O211)*_Costo_Faltante,0)</f>
        <v>0</v>
      </c>
      <c r="Y211">
        <f>IF(B211=0,E211*_Costo_Frasco,0)</f>
        <v>0</v>
      </c>
      <c r="Z211" s="11">
        <f t="shared" ca="1" si="51"/>
        <v>-25500</v>
      </c>
    </row>
    <row r="212" spans="1:26" x14ac:dyDescent="0.25">
      <c r="A212" s="30">
        <f t="shared" si="48"/>
        <v>196</v>
      </c>
      <c r="B212" s="10">
        <f>IF(B211=0,_Proxima_Compra,B211-1)</f>
        <v>0</v>
      </c>
      <c r="C212" s="3">
        <f t="shared" ca="1" si="41"/>
        <v>0.36729105523927341</v>
      </c>
      <c r="D212" s="3">
        <f ca="1">IF(D211&gt;0,D211-1,IF(C212&gt;0,LOOKUP(C212,$S$3:$S$5,$P$3:$P$5),-1))</f>
        <v>0</v>
      </c>
      <c r="E212" s="25">
        <f t="shared" ca="1" si="42"/>
        <v>2</v>
      </c>
      <c r="F212" s="28">
        <f ca="1">E212*_GramosXFrasco</f>
        <v>340</v>
      </c>
      <c r="G212" s="38">
        <f t="shared" ca="1" si="43"/>
        <v>0.26388138854223109</v>
      </c>
      <c r="H212" s="36">
        <f t="shared" ca="1" si="44"/>
        <v>-1</v>
      </c>
      <c r="I212" s="36">
        <f t="shared" ca="1" si="45"/>
        <v>-1</v>
      </c>
      <c r="J212" s="36">
        <f t="shared" ca="1" si="39"/>
        <v>-1</v>
      </c>
      <c r="K212" s="37">
        <f ca="1">IF(J212&lt;&gt;-1,_Media_M + J212*_Sigma,-1)</f>
        <v>-1</v>
      </c>
      <c r="L212" s="3">
        <f t="shared" ca="1" si="46"/>
        <v>50</v>
      </c>
      <c r="M212" s="18">
        <f ca="1">IF(LOOKUP(G212,$H$3:$H$4,$E$3:$E$4)=1,50,_Media_M + J212*_Sigma)</f>
        <v>50</v>
      </c>
      <c r="N212" s="36">
        <f t="shared" ca="1" si="47"/>
        <v>90.229116038897715</v>
      </c>
      <c r="O212" s="35">
        <f t="shared" ca="1" si="40"/>
        <v>140.2291160388977</v>
      </c>
      <c r="P212" s="19">
        <f t="shared" ca="1" si="49"/>
        <v>140.2291160388977</v>
      </c>
      <c r="Q212" s="20">
        <f ca="1" xml:space="preserve"> P212*_Precio_cafe</f>
        <v>210.34367405834655</v>
      </c>
      <c r="R212" s="20">
        <f t="shared" ca="1" si="50"/>
        <v>27192.409405393904</v>
      </c>
      <c r="S212" s="20">
        <f ca="1">(1/A212)*((A212-1)*S211 +Q212)</f>
        <v>138.73678268058106</v>
      </c>
      <c r="T212" s="20">
        <f ca="1">IF((T211-P212+F212)&gt;_Max_Stock_Gramos,_Max_Stock_Gramos,T211-P212+F212)</f>
        <v>1700</v>
      </c>
      <c r="U212" s="20">
        <f ca="1">T212/_GramosXFrasco</f>
        <v>10</v>
      </c>
      <c r="V212" s="58">
        <f ca="1">(T212/_Max_Stock_Gramos)</f>
        <v>1</v>
      </c>
      <c r="W212" s="58"/>
      <c r="X212" s="10">
        <f ca="1">IF((T211-O212)&lt;0,(T211-O212)*_Costo_Faltante,0)</f>
        <v>0</v>
      </c>
      <c r="Y212">
        <f ca="1">IF(B212=0,E212*_Costo_Frasco,0)</f>
        <v>-500</v>
      </c>
      <c r="Z212" s="11">
        <f t="shared" ca="1" si="51"/>
        <v>-26000</v>
      </c>
    </row>
    <row r="213" spans="1:26" x14ac:dyDescent="0.25">
      <c r="A213" s="30">
        <f t="shared" si="48"/>
        <v>197</v>
      </c>
      <c r="B213" s="10">
        <f>IF(B212=0,_Proxima_Compra,B212-1)</f>
        <v>1</v>
      </c>
      <c r="C213" s="3">
        <f t="shared" ca="1" si="41"/>
        <v>-1</v>
      </c>
      <c r="D213" s="3">
        <f ca="1">IF(D212&gt;0,D212-1,IF(C213&gt;0,LOOKUP(C213,$S$3:$S$5,$P$3:$P$5),-1))</f>
        <v>-1</v>
      </c>
      <c r="E213" s="25">
        <f t="shared" ca="1" si="42"/>
        <v>0</v>
      </c>
      <c r="F213" s="28">
        <f ca="1">E213*_GramosXFrasco</f>
        <v>0</v>
      </c>
      <c r="G213" s="38">
        <f t="shared" ca="1" si="43"/>
        <v>0.46281912234942224</v>
      </c>
      <c r="H213" s="36">
        <f t="shared" ca="1" si="44"/>
        <v>-1</v>
      </c>
      <c r="I213" s="36">
        <f t="shared" ca="1" si="45"/>
        <v>-1</v>
      </c>
      <c r="J213" s="36">
        <f t="shared" ca="1" si="39"/>
        <v>-1</v>
      </c>
      <c r="K213" s="37">
        <f ca="1">IF(J213&lt;&gt;-1,_Media_M + J213*_Sigma,-1)</f>
        <v>-1</v>
      </c>
      <c r="L213" s="3">
        <f t="shared" ca="1" si="46"/>
        <v>50</v>
      </c>
      <c r="M213" s="18">
        <f ca="1">IF(LOOKUP(G213,$H$3:$H$4,$E$3:$E$4)=1,50,_Media_M + J213*_Sigma)</f>
        <v>50</v>
      </c>
      <c r="N213" s="36">
        <f t="shared" ca="1" si="47"/>
        <v>35.295130026498612</v>
      </c>
      <c r="O213" s="35">
        <f t="shared" ca="1" si="40"/>
        <v>85.295130026498612</v>
      </c>
      <c r="P213" s="19">
        <f t="shared" ca="1" si="49"/>
        <v>85.295130026498612</v>
      </c>
      <c r="Q213" s="20">
        <f ca="1" xml:space="preserve"> P213*_Precio_cafe</f>
        <v>127.94269503974792</v>
      </c>
      <c r="R213" s="20">
        <f t="shared" ca="1" si="50"/>
        <v>27320.352100433651</v>
      </c>
      <c r="S213" s="20">
        <f ca="1">(1/A213)*((A213-1)*S212 +Q213)</f>
        <v>138.68199035753111</v>
      </c>
      <c r="T213" s="20">
        <f ca="1">IF((T212-P213+F213)&gt;_Max_Stock_Gramos,_Max_Stock_Gramos,T212-P213+F213)</f>
        <v>1614.7048699735014</v>
      </c>
      <c r="U213" s="20">
        <f ca="1">T213/_GramosXFrasco</f>
        <v>9.4982639410205962</v>
      </c>
      <c r="V213" s="58">
        <f ca="1">(T213/_Max_Stock_Gramos)</f>
        <v>0.94982639410205971</v>
      </c>
      <c r="W213" s="58"/>
      <c r="X213" s="10">
        <f ca="1">IF((T212-O213)&lt;0,(T212-O213)*_Costo_Faltante,0)</f>
        <v>0</v>
      </c>
      <c r="Y213">
        <f>IF(B213=0,E213*_Costo_Frasco,0)</f>
        <v>0</v>
      </c>
      <c r="Z213" s="11">
        <f t="shared" ca="1" si="51"/>
        <v>-26000</v>
      </c>
    </row>
    <row r="214" spans="1:26" x14ac:dyDescent="0.25">
      <c r="A214" s="30">
        <f t="shared" si="48"/>
        <v>198</v>
      </c>
      <c r="B214" s="10">
        <f>IF(B213=0,_Proxima_Compra,B213-1)</f>
        <v>0</v>
      </c>
      <c r="C214" s="3">
        <f t="shared" ca="1" si="41"/>
        <v>0.13860061985985106</v>
      </c>
      <c r="D214" s="3">
        <f ca="1">IF(D213&gt;0,D213-1,IF(C214&gt;0,LOOKUP(C214,$S$3:$S$5,$P$3:$P$5),-1))</f>
        <v>0</v>
      </c>
      <c r="E214" s="25">
        <f t="shared" ca="1" si="42"/>
        <v>2</v>
      </c>
      <c r="F214" s="28">
        <f ca="1">E214*_GramosXFrasco</f>
        <v>340</v>
      </c>
      <c r="G214" s="38">
        <f t="shared" ca="1" si="43"/>
        <v>0.57246514524303782</v>
      </c>
      <c r="H214" s="36">
        <f t="shared" ca="1" si="44"/>
        <v>0.51676705836760439</v>
      </c>
      <c r="I214" s="36">
        <f t="shared" ca="1" si="45"/>
        <v>0.49989713662891766</v>
      </c>
      <c r="J214" s="36">
        <f t="shared" ca="1" si="39"/>
        <v>-0.79478718649852298</v>
      </c>
      <c r="K214" s="37">
        <f ca="1">IF(J214&lt;&gt;-1,_Media_M + J214*_Sigma,-1)</f>
        <v>63.078192202522153</v>
      </c>
      <c r="L214" s="3">
        <f t="shared" ca="1" si="46"/>
        <v>-1</v>
      </c>
      <c r="M214" s="18">
        <f ca="1">IF(LOOKUP(G214,$H$3:$H$4,$E$3:$E$4)=1,50,_Media_M + J214*_Sigma)</f>
        <v>63.078192202522153</v>
      </c>
      <c r="N214" s="36">
        <f t="shared" ca="1" si="47"/>
        <v>73.818140795853864</v>
      </c>
      <c r="O214" s="35">
        <f t="shared" ca="1" si="40"/>
        <v>136.89633299837601</v>
      </c>
      <c r="P214" s="19">
        <f t="shared" ca="1" si="49"/>
        <v>136.89633299837601</v>
      </c>
      <c r="Q214" s="20">
        <f ca="1" xml:space="preserve"> P214*_Precio_cafe</f>
        <v>205.34449949756402</v>
      </c>
      <c r="R214" s="20">
        <f t="shared" ca="1" si="50"/>
        <v>27525.696599931216</v>
      </c>
      <c r="S214" s="20">
        <f ca="1">(1/A214)*((A214-1)*S213 +Q214)</f>
        <v>139.0186696966222</v>
      </c>
      <c r="T214" s="20">
        <f ca="1">IF((T213-P214+F214)&gt;_Max_Stock_Gramos,_Max_Stock_Gramos,T213-P214+F214)</f>
        <v>1700</v>
      </c>
      <c r="U214" s="20">
        <f ca="1">T214/_GramosXFrasco</f>
        <v>10</v>
      </c>
      <c r="V214" s="58">
        <f ca="1">(T214/_Max_Stock_Gramos)</f>
        <v>1</v>
      </c>
      <c r="W214" s="58"/>
      <c r="X214" s="10">
        <f ca="1">IF((T213-O214)&lt;0,(T213-O214)*_Costo_Faltante,0)</f>
        <v>0</v>
      </c>
      <c r="Y214">
        <f ca="1">IF(B214=0,E214*_Costo_Frasco,0)</f>
        <v>-500</v>
      </c>
      <c r="Z214" s="11">
        <f t="shared" ca="1" si="51"/>
        <v>-26500</v>
      </c>
    </row>
    <row r="215" spans="1:26" x14ac:dyDescent="0.25">
      <c r="A215" s="30">
        <f t="shared" si="48"/>
        <v>199</v>
      </c>
      <c r="B215" s="10">
        <f>IF(B214=0,_Proxima_Compra,B214-1)</f>
        <v>1</v>
      </c>
      <c r="C215" s="3">
        <f t="shared" ca="1" si="41"/>
        <v>-1</v>
      </c>
      <c r="D215" s="3">
        <f ca="1">IF(D214&gt;0,D214-1,IF(C215&gt;0,LOOKUP(C215,$S$3:$S$5,$P$3:$P$5),-1))</f>
        <v>-1</v>
      </c>
      <c r="E215" s="25">
        <f t="shared" ca="1" si="42"/>
        <v>0</v>
      </c>
      <c r="F215" s="28">
        <f ca="1">E215*_GramosXFrasco</f>
        <v>0</v>
      </c>
      <c r="G215" s="38">
        <f t="shared" ca="1" si="43"/>
        <v>0.79823032714720299</v>
      </c>
      <c r="H215" s="36">
        <f t="shared" ca="1" si="44"/>
        <v>0.72783347578156488</v>
      </c>
      <c r="I215" s="36">
        <f t="shared" ca="1" si="45"/>
        <v>0.57125234038971273</v>
      </c>
      <c r="J215" s="36">
        <f t="shared" ca="1" si="39"/>
        <v>-0.95839332729736249</v>
      </c>
      <c r="K215" s="37">
        <f ca="1">IF(J215&lt;&gt;-1,_Media_M + J215*_Sigma,-1)</f>
        <v>60.624100090539564</v>
      </c>
      <c r="L215" s="3">
        <f t="shared" ca="1" si="46"/>
        <v>-1</v>
      </c>
      <c r="M215" s="18">
        <f ca="1">IF(LOOKUP(G215,$H$3:$H$4,$E$3:$E$4)=1,50,_Media_M + J215*_Sigma)</f>
        <v>60.624100090539564</v>
      </c>
      <c r="N215" s="36">
        <f t="shared" ca="1" si="47"/>
        <v>131.07199000656365</v>
      </c>
      <c r="O215" s="35">
        <f t="shared" ca="1" si="40"/>
        <v>191.69609009710322</v>
      </c>
      <c r="P215" s="19">
        <f t="shared" ca="1" si="49"/>
        <v>191.69609009710322</v>
      </c>
      <c r="Q215" s="20">
        <f ca="1" xml:space="preserve"> P215*_Precio_cafe</f>
        <v>287.54413514565482</v>
      </c>
      <c r="R215" s="20">
        <f t="shared" ca="1" si="50"/>
        <v>27813.24073507687</v>
      </c>
      <c r="S215" s="20">
        <f ca="1">(1/A215)*((A215-1)*S214 +Q215)</f>
        <v>139.76502881948164</v>
      </c>
      <c r="T215" s="20">
        <f ca="1">IF((T214-P215+F215)&gt;_Max_Stock_Gramos,_Max_Stock_Gramos,T214-P215+F215)</f>
        <v>1508.3039099028967</v>
      </c>
      <c r="U215" s="20">
        <f ca="1">T215/_GramosXFrasco</f>
        <v>8.8723759406052753</v>
      </c>
      <c r="V215" s="58">
        <f ca="1">(T215/_Max_Stock_Gramos)</f>
        <v>0.88723759406052749</v>
      </c>
      <c r="W215" s="58"/>
      <c r="X215" s="10">
        <f ca="1">IF((T214-O215)&lt;0,(T214-O215)*_Costo_Faltante,0)</f>
        <v>0</v>
      </c>
      <c r="Y215">
        <f>IF(B215=0,E215*_Costo_Frasco,0)</f>
        <v>0</v>
      </c>
      <c r="Z215" s="11">
        <f t="shared" ca="1" si="51"/>
        <v>-26500</v>
      </c>
    </row>
    <row r="216" spans="1:26" x14ac:dyDescent="0.25">
      <c r="A216" s="30">
        <f t="shared" si="48"/>
        <v>200</v>
      </c>
      <c r="B216" s="10">
        <f>IF(B215=0,_Proxima_Compra,B215-1)</f>
        <v>0</v>
      </c>
      <c r="C216" s="3">
        <f t="shared" ca="1" si="41"/>
        <v>0.51594196326823205</v>
      </c>
      <c r="D216" s="3">
        <f ca="1">IF(D215&gt;0,D215-1,IF(C216&gt;0,LOOKUP(C216,$S$3:$S$5,$P$3:$P$5),-1))</f>
        <v>1</v>
      </c>
      <c r="E216" s="25">
        <f t="shared" ca="1" si="42"/>
        <v>0</v>
      </c>
      <c r="F216" s="28">
        <f ca="1">E216*_GramosXFrasco</f>
        <v>0</v>
      </c>
      <c r="G216" s="38">
        <f t="shared" ca="1" si="43"/>
        <v>0.71179319438111233</v>
      </c>
      <c r="H216" s="36">
        <f t="shared" ca="1" si="44"/>
        <v>0.35565290388979964</v>
      </c>
      <c r="I216" s="36">
        <f t="shared" ca="1" si="45"/>
        <v>0.50433677981298064</v>
      </c>
      <c r="J216" s="36">
        <f t="shared" ca="1" si="39"/>
        <v>-0.61763813290622094</v>
      </c>
      <c r="K216" s="37">
        <f ca="1">IF(J216&lt;&gt;-1,_Media_M + J216*_Sigma,-1)</f>
        <v>65.735428006406693</v>
      </c>
      <c r="L216" s="3">
        <f t="shared" ca="1" si="46"/>
        <v>-1</v>
      </c>
      <c r="M216" s="18">
        <f ca="1">IF(LOOKUP(G216,$H$3:$H$4,$E$3:$E$4)=1,50,_Media_M + J216*_Sigma)</f>
        <v>65.735428006406693</v>
      </c>
      <c r="N216" s="36">
        <f t="shared" ca="1" si="47"/>
        <v>15.670945864545486</v>
      </c>
      <c r="O216" s="35">
        <f t="shared" ca="1" si="40"/>
        <v>81.40637387095218</v>
      </c>
      <c r="P216" s="19">
        <f t="shared" ca="1" si="49"/>
        <v>81.40637387095218</v>
      </c>
      <c r="Q216" s="20">
        <f ca="1" xml:space="preserve"> P216*_Precio_cafe</f>
        <v>122.10956080642828</v>
      </c>
      <c r="R216" s="20">
        <f t="shared" ca="1" si="50"/>
        <v>27935.350295883298</v>
      </c>
      <c r="S216" s="20">
        <f ca="1">(1/A216)*((A216-1)*S215 +Q216)</f>
        <v>139.6767514794164</v>
      </c>
      <c r="T216" s="20">
        <f ca="1">IF((T215-P216+F216)&gt;_Max_Stock_Gramos,_Max_Stock_Gramos,T215-P216+F216)</f>
        <v>1426.8975360319446</v>
      </c>
      <c r="U216" s="20">
        <f ca="1">T216/_GramosXFrasco</f>
        <v>8.3935149178349686</v>
      </c>
      <c r="V216" s="58">
        <f ca="1">(T216/_Max_Stock_Gramos)</f>
        <v>0.83935149178349677</v>
      </c>
      <c r="W216" s="58"/>
      <c r="X216" s="10">
        <f ca="1">IF((T215-O216)&lt;0,(T215-O216)*_Costo_Faltante,0)</f>
        <v>0</v>
      </c>
      <c r="Y216">
        <f ca="1">IF(B216=0,E216*_Costo_Frasco,0)</f>
        <v>0</v>
      </c>
      <c r="Z216" s="11">
        <f t="shared" ca="1" si="51"/>
        <v>-26500</v>
      </c>
    </row>
    <row r="217" spans="1:26" x14ac:dyDescent="0.25">
      <c r="A217" s="30">
        <f t="shared" si="48"/>
        <v>201</v>
      </c>
      <c r="B217" s="10">
        <f>IF(B216=0,_Proxima_Compra,B216-1)</f>
        <v>1</v>
      </c>
      <c r="C217" s="3">
        <f t="shared" ca="1" si="41"/>
        <v>-1</v>
      </c>
      <c r="D217" s="3">
        <f ca="1">IF(D216&gt;0,D216-1,IF(C217&gt;0,LOOKUP(C217,$S$3:$S$5,$P$3:$P$5),-1))</f>
        <v>0</v>
      </c>
      <c r="E217" s="25">
        <f t="shared" ca="1" si="42"/>
        <v>2</v>
      </c>
      <c r="F217" s="28">
        <f ca="1">E217*_GramosXFrasco</f>
        <v>340</v>
      </c>
      <c r="G217" s="38">
        <f t="shared" ca="1" si="43"/>
        <v>0.20776980078887053</v>
      </c>
      <c r="H217" s="36">
        <f t="shared" ca="1" si="44"/>
        <v>-1</v>
      </c>
      <c r="I217" s="36">
        <f t="shared" ca="1" si="45"/>
        <v>-1</v>
      </c>
      <c r="J217" s="36">
        <f t="shared" ca="1" si="39"/>
        <v>-1</v>
      </c>
      <c r="K217" s="37">
        <f ca="1">IF(J217&lt;&gt;-1,_Media_M + J217*_Sigma,-1)</f>
        <v>-1</v>
      </c>
      <c r="L217" s="3">
        <f t="shared" ca="1" si="46"/>
        <v>50</v>
      </c>
      <c r="M217" s="18">
        <f ca="1">IF(LOOKUP(G217,$H$3:$H$4,$E$3:$E$4)=1,50,_Media_M + J217*_Sigma)</f>
        <v>50</v>
      </c>
      <c r="N217" s="36">
        <f t="shared" ca="1" si="47"/>
        <v>18.193195065964535</v>
      </c>
      <c r="O217" s="35">
        <f t="shared" ca="1" si="40"/>
        <v>68.193195065964531</v>
      </c>
      <c r="P217" s="19">
        <f t="shared" ca="1" si="49"/>
        <v>68.193195065964531</v>
      </c>
      <c r="Q217" s="20">
        <f ca="1" xml:space="preserve"> P217*_Precio_cafe</f>
        <v>102.2897925989468</v>
      </c>
      <c r="R217" s="20">
        <f t="shared" ca="1" si="50"/>
        <v>28037.640088482243</v>
      </c>
      <c r="S217" s="20">
        <f ca="1">(1/A217)*((A217-1)*S216 +Q217)</f>
        <v>139.49074670886679</v>
      </c>
      <c r="T217" s="20">
        <f ca="1">IF((T216-P217+F217)&gt;_Max_Stock_Gramos,_Max_Stock_Gramos,T216-P217+F217)</f>
        <v>1698.70434096598</v>
      </c>
      <c r="U217" s="20">
        <f ca="1">T217/_GramosXFrasco</f>
        <v>9.9923784762704706</v>
      </c>
      <c r="V217" s="58">
        <f ca="1">(T217/_Max_Stock_Gramos)</f>
        <v>0.99923784762704704</v>
      </c>
      <c r="W217" s="58"/>
      <c r="X217" s="10">
        <f ca="1">IF((T216-O217)&lt;0,(T216-O217)*_Costo_Faltante,0)</f>
        <v>0</v>
      </c>
      <c r="Y217">
        <f>IF(B217=0,E217*_Costo_Frasco,0)</f>
        <v>0</v>
      </c>
      <c r="Z217" s="11">
        <f t="shared" ca="1" si="51"/>
        <v>-26500</v>
      </c>
    </row>
    <row r="218" spans="1:26" x14ac:dyDescent="0.25">
      <c r="A218" s="30">
        <f t="shared" si="48"/>
        <v>202</v>
      </c>
      <c r="B218" s="10">
        <f>IF(B217=0,_Proxima_Compra,B217-1)</f>
        <v>0</v>
      </c>
      <c r="C218" s="3">
        <f t="shared" ca="1" si="41"/>
        <v>0.80956713370958933</v>
      </c>
      <c r="D218" s="3">
        <f ca="1">IF(D217&gt;0,D217-1,IF(C218&gt;0,LOOKUP(C218,$S$3:$S$5,$P$3:$P$5),-1))</f>
        <v>2</v>
      </c>
      <c r="E218" s="25">
        <f t="shared" ca="1" si="42"/>
        <v>0</v>
      </c>
      <c r="F218" s="28">
        <f ca="1">E218*_GramosXFrasco</f>
        <v>0</v>
      </c>
      <c r="G218" s="38">
        <f t="shared" ca="1" si="43"/>
        <v>3.7979375735442078E-2</v>
      </c>
      <c r="H218" s="36">
        <f t="shared" ca="1" si="44"/>
        <v>-1</v>
      </c>
      <c r="I218" s="36">
        <f t="shared" ca="1" si="45"/>
        <v>-1</v>
      </c>
      <c r="J218" s="36">
        <f t="shared" ca="1" si="39"/>
        <v>-1</v>
      </c>
      <c r="K218" s="37">
        <f ca="1">IF(J218&lt;&gt;-1,_Media_M + J218*_Sigma,-1)</f>
        <v>-1</v>
      </c>
      <c r="L218" s="3">
        <f t="shared" ca="1" si="46"/>
        <v>50</v>
      </c>
      <c r="M218" s="18">
        <f ca="1">IF(LOOKUP(G218,$H$3:$H$4,$E$3:$E$4)=1,50,_Media_M + J218*_Sigma)</f>
        <v>50</v>
      </c>
      <c r="N218" s="36">
        <f t="shared" ca="1" si="47"/>
        <v>2.6029490166571634</v>
      </c>
      <c r="O218" s="35">
        <f t="shared" ca="1" si="40"/>
        <v>52.602949016657163</v>
      </c>
      <c r="P218" s="19">
        <f t="shared" ca="1" si="49"/>
        <v>52.602949016657163</v>
      </c>
      <c r="Q218" s="20">
        <f ca="1" xml:space="preserve"> P218*_Precio_cafe</f>
        <v>78.904423524985745</v>
      </c>
      <c r="R218" s="20">
        <f t="shared" ca="1" si="50"/>
        <v>28116.544512007229</v>
      </c>
      <c r="S218" s="20">
        <f ca="1">(1/A218)*((A218-1)*S217 +Q218)</f>
        <v>139.19081441587727</v>
      </c>
      <c r="T218" s="20">
        <f ca="1">IF((T217-P218+F218)&gt;_Max_Stock_Gramos,_Max_Stock_Gramos,T217-P218+F218)</f>
        <v>1646.1013919493228</v>
      </c>
      <c r="U218" s="20">
        <f ca="1">T218/_GramosXFrasco</f>
        <v>9.6829493644077811</v>
      </c>
      <c r="V218" s="58">
        <f ca="1">(T218/_Max_Stock_Gramos)</f>
        <v>0.96829493644077813</v>
      </c>
      <c r="W218" s="58"/>
      <c r="X218" s="10">
        <f ca="1">IF((T217-O218)&lt;0,(T217-O218)*_Costo_Faltante,0)</f>
        <v>0</v>
      </c>
      <c r="Y218">
        <f ca="1">IF(B218=0,E218*_Costo_Frasco,0)</f>
        <v>0</v>
      </c>
      <c r="Z218" s="11">
        <f t="shared" ca="1" si="51"/>
        <v>-26500</v>
      </c>
    </row>
    <row r="219" spans="1:26" x14ac:dyDescent="0.25">
      <c r="A219" s="30">
        <f t="shared" si="48"/>
        <v>203</v>
      </c>
      <c r="B219" s="10">
        <f>IF(B218=0,_Proxima_Compra,B218-1)</f>
        <v>1</v>
      </c>
      <c r="C219" s="3">
        <f t="shared" ca="1" si="41"/>
        <v>-1</v>
      </c>
      <c r="D219" s="3">
        <f ca="1">IF(D218&gt;0,D218-1,IF(C219&gt;0,LOOKUP(C219,$S$3:$S$5,$P$3:$P$5),-1))</f>
        <v>1</v>
      </c>
      <c r="E219" s="25">
        <f t="shared" ca="1" si="42"/>
        <v>0</v>
      </c>
      <c r="F219" s="28">
        <f ca="1">E219*_GramosXFrasco</f>
        <v>0</v>
      </c>
      <c r="G219" s="38">
        <f t="shared" ca="1" si="43"/>
        <v>0.78147268109458712</v>
      </c>
      <c r="H219" s="36">
        <f t="shared" ca="1" si="44"/>
        <v>0.14220256318378754</v>
      </c>
      <c r="I219" s="36">
        <f t="shared" ca="1" si="45"/>
        <v>0.20586496331073112</v>
      </c>
      <c r="J219" s="36">
        <f t="shared" ca="1" si="39"/>
        <v>9.9927416060173135E-2</v>
      </c>
      <c r="K219" s="37">
        <f ca="1">IF(J219&lt;&gt;-1,_Media_M + J219*_Sigma,-1)</f>
        <v>76.498911240902601</v>
      </c>
      <c r="L219" s="3">
        <f t="shared" ca="1" si="46"/>
        <v>-1</v>
      </c>
      <c r="M219" s="18">
        <f ca="1">IF(LOOKUP(G219,$H$3:$H$4,$E$3:$E$4)=1,50,_Media_M + J219*_Sigma)</f>
        <v>76.498911240902601</v>
      </c>
      <c r="N219" s="36">
        <f t="shared" ca="1" si="47"/>
        <v>9.5890150178907021</v>
      </c>
      <c r="O219" s="35">
        <f t="shared" ca="1" si="40"/>
        <v>86.087926258793303</v>
      </c>
      <c r="P219" s="19">
        <f t="shared" ca="1" si="49"/>
        <v>86.087926258793303</v>
      </c>
      <c r="Q219" s="20">
        <f ca="1" xml:space="preserve"> P219*_Precio_cafe</f>
        <v>129.13188938818996</v>
      </c>
      <c r="R219" s="20">
        <f t="shared" ca="1" si="50"/>
        <v>28245.67640139542</v>
      </c>
      <c r="S219" s="20">
        <f ca="1">(1/A219)*((A219-1)*S218 +Q219)</f>
        <v>139.14126306106107</v>
      </c>
      <c r="T219" s="20">
        <f ca="1">IF((T218-P219+F219)&gt;_Max_Stock_Gramos,_Max_Stock_Gramos,T218-P219+F219)</f>
        <v>1560.0134656905295</v>
      </c>
      <c r="U219" s="20">
        <f ca="1">T219/_GramosXFrasco</f>
        <v>9.176549798179586</v>
      </c>
      <c r="V219" s="58">
        <f ca="1">(T219/_Max_Stock_Gramos)</f>
        <v>0.91765497981795852</v>
      </c>
      <c r="W219" s="58"/>
      <c r="X219" s="10">
        <f ca="1">IF((T218-O219)&lt;0,(T218-O219)*_Costo_Faltante,0)</f>
        <v>0</v>
      </c>
      <c r="Y219">
        <f>IF(B219=0,E219*_Costo_Frasco,0)</f>
        <v>0</v>
      </c>
      <c r="Z219" s="11">
        <f t="shared" ca="1" si="51"/>
        <v>-26500</v>
      </c>
    </row>
    <row r="220" spans="1:26" x14ac:dyDescent="0.25">
      <c r="A220" s="30">
        <f t="shared" si="48"/>
        <v>204</v>
      </c>
      <c r="B220" s="10">
        <f>IF(B219=0,_Proxima_Compra,B219-1)</f>
        <v>0</v>
      </c>
      <c r="C220" s="3">
        <f t="shared" ca="1" si="41"/>
        <v>0.18093976744249418</v>
      </c>
      <c r="D220" s="3">
        <f ca="1">IF(D219&gt;0,D219-1,IF(C220&gt;0,LOOKUP(C220,$S$3:$S$5,$P$3:$P$5),-1))</f>
        <v>0</v>
      </c>
      <c r="E220" s="25">
        <f t="shared" ca="1" si="42"/>
        <v>2</v>
      </c>
      <c r="F220" s="28">
        <f ca="1">E220*_GramosXFrasco</f>
        <v>340</v>
      </c>
      <c r="G220" s="38">
        <f t="shared" ca="1" si="43"/>
        <v>0.8633734634786322</v>
      </c>
      <c r="H220" s="36">
        <f t="shared" ca="1" si="44"/>
        <v>0.99540060911579076</v>
      </c>
      <c r="I220" s="36">
        <f t="shared" ca="1" si="45"/>
        <v>7.7304993981697545E-2</v>
      </c>
      <c r="J220" s="36">
        <f t="shared" ca="1" si="39"/>
        <v>1.9120120846840858</v>
      </c>
      <c r="K220" s="37">
        <f ca="1">IF(J220&lt;&gt;-1,_Media_M + J220*_Sigma,-1)</f>
        <v>103.68018127026129</v>
      </c>
      <c r="L220" s="3">
        <f t="shared" ca="1" si="46"/>
        <v>-1</v>
      </c>
      <c r="M220" s="18">
        <f ca="1">IF(LOOKUP(G220,$H$3:$H$4,$E$3:$E$4)=1,50,_Media_M + J220*_Sigma)</f>
        <v>103.68018127026129</v>
      </c>
      <c r="N220" s="36">
        <f t="shared" ca="1" si="47"/>
        <v>16.808556422925857</v>
      </c>
      <c r="O220" s="35">
        <f t="shared" ca="1" si="40"/>
        <v>120.48873769318715</v>
      </c>
      <c r="P220" s="19">
        <f t="shared" ca="1" si="49"/>
        <v>120.48873769318715</v>
      </c>
      <c r="Q220" s="20">
        <f ca="1" xml:space="preserve"> P220*_Precio_cafe</f>
        <v>180.73310653978072</v>
      </c>
      <c r="R220" s="20">
        <f t="shared" ca="1" si="50"/>
        <v>28426.409507935201</v>
      </c>
      <c r="S220" s="20">
        <f ca="1">(1/A220)*((A220-1)*S219 +Q220)</f>
        <v>139.34514464674106</v>
      </c>
      <c r="T220" s="20">
        <f ca="1">IF((T219-P220+F220)&gt;_Max_Stock_Gramos,_Max_Stock_Gramos,T219-P220+F220)</f>
        <v>1700</v>
      </c>
      <c r="U220" s="20">
        <f ca="1">T220/_GramosXFrasco</f>
        <v>10</v>
      </c>
      <c r="V220" s="58">
        <f ca="1">(T220/_Max_Stock_Gramos)</f>
        <v>1</v>
      </c>
      <c r="W220" s="58"/>
      <c r="X220" s="10">
        <f ca="1">IF((T219-O220)&lt;0,(T219-O220)*_Costo_Faltante,0)</f>
        <v>0</v>
      </c>
      <c r="Y220">
        <f ca="1">IF(B220=0,E220*_Costo_Frasco,0)</f>
        <v>-500</v>
      </c>
      <c r="Z220" s="11">
        <f t="shared" ca="1" si="51"/>
        <v>-27000</v>
      </c>
    </row>
    <row r="221" spans="1:26" x14ac:dyDescent="0.25">
      <c r="A221" s="30">
        <f t="shared" si="48"/>
        <v>205</v>
      </c>
      <c r="B221" s="10">
        <f>IF(B220=0,_Proxima_Compra,B220-1)</f>
        <v>1</v>
      </c>
      <c r="C221" s="3">
        <f t="shared" ca="1" si="41"/>
        <v>-1</v>
      </c>
      <c r="D221" s="3">
        <f ca="1">IF(D220&gt;0,D220-1,IF(C221&gt;0,LOOKUP(C221,$S$3:$S$5,$P$3:$P$5),-1))</f>
        <v>-1</v>
      </c>
      <c r="E221" s="25">
        <f t="shared" ca="1" si="42"/>
        <v>0</v>
      </c>
      <c r="F221" s="28">
        <f ca="1">E221*_GramosXFrasco</f>
        <v>0</v>
      </c>
      <c r="G221" s="38">
        <f t="shared" ca="1" si="43"/>
        <v>0.41263380653944703</v>
      </c>
      <c r="H221" s="36">
        <f t="shared" ca="1" si="44"/>
        <v>-1</v>
      </c>
      <c r="I221" s="36">
        <f t="shared" ca="1" si="45"/>
        <v>-1</v>
      </c>
      <c r="J221" s="36">
        <f t="shared" ca="1" si="39"/>
        <v>-1</v>
      </c>
      <c r="K221" s="37">
        <f ca="1">IF(J221&lt;&gt;-1,_Media_M + J221*_Sigma,-1)</f>
        <v>-1</v>
      </c>
      <c r="L221" s="3">
        <f t="shared" ca="1" si="46"/>
        <v>50</v>
      </c>
      <c r="M221" s="18">
        <f ca="1">IF(LOOKUP(G221,$H$3:$H$4,$E$3:$E$4)=1,50,_Media_M + J221*_Sigma)</f>
        <v>50</v>
      </c>
      <c r="N221" s="36">
        <f t="shared" ca="1" si="47"/>
        <v>24.624653932654876</v>
      </c>
      <c r="O221" s="35">
        <f t="shared" ca="1" si="40"/>
        <v>74.62465393265488</v>
      </c>
      <c r="P221" s="19">
        <f t="shared" ca="1" si="49"/>
        <v>74.62465393265488</v>
      </c>
      <c r="Q221" s="20">
        <f ca="1" xml:space="preserve"> P221*_Precio_cafe</f>
        <v>111.93698089898231</v>
      </c>
      <c r="R221" s="20">
        <f t="shared" ca="1" si="50"/>
        <v>28538.346488834184</v>
      </c>
      <c r="S221" s="20">
        <f ca="1">(1/A221)*((A221-1)*S220 +Q221)</f>
        <v>139.21144628699591</v>
      </c>
      <c r="T221" s="20">
        <f ca="1">IF((T220-P221+F221)&gt;_Max_Stock_Gramos,_Max_Stock_Gramos,T220-P221+F221)</f>
        <v>1625.3753460673452</v>
      </c>
      <c r="U221" s="20">
        <f ca="1">T221/_GramosXFrasco</f>
        <v>9.5610314474549707</v>
      </c>
      <c r="V221" s="58">
        <f ca="1">(T221/_Max_Stock_Gramos)</f>
        <v>0.95610314474549718</v>
      </c>
      <c r="W221" s="58"/>
      <c r="X221" s="10">
        <f ca="1">IF((T220-O221)&lt;0,(T220-O221)*_Costo_Faltante,0)</f>
        <v>0</v>
      </c>
      <c r="Y221">
        <f>IF(B221=0,E221*_Costo_Frasco,0)</f>
        <v>0</v>
      </c>
      <c r="Z221" s="11">
        <f t="shared" ca="1" si="51"/>
        <v>-27000</v>
      </c>
    </row>
    <row r="222" spans="1:26" x14ac:dyDescent="0.25">
      <c r="A222" s="30">
        <f t="shared" si="48"/>
        <v>206</v>
      </c>
      <c r="B222" s="10">
        <f>IF(B221=0,_Proxima_Compra,B221-1)</f>
        <v>0</v>
      </c>
      <c r="C222" s="3">
        <f t="shared" ca="1" si="41"/>
        <v>0.83333285152846748</v>
      </c>
      <c r="D222" s="3">
        <f ca="1">IF(D221&gt;0,D221-1,IF(C222&gt;0,LOOKUP(C222,$S$3:$S$5,$P$3:$P$5),-1))</f>
        <v>2</v>
      </c>
      <c r="E222" s="25">
        <f t="shared" ca="1" si="42"/>
        <v>0</v>
      </c>
      <c r="F222" s="28">
        <f ca="1">E222*_GramosXFrasco</f>
        <v>0</v>
      </c>
      <c r="G222" s="38">
        <f t="shared" ca="1" si="43"/>
        <v>0.12395831298213211</v>
      </c>
      <c r="H222" s="36">
        <f t="shared" ca="1" si="44"/>
        <v>-1</v>
      </c>
      <c r="I222" s="36">
        <f t="shared" ca="1" si="45"/>
        <v>-1</v>
      </c>
      <c r="J222" s="36">
        <f t="shared" ca="1" si="39"/>
        <v>-1</v>
      </c>
      <c r="K222" s="37">
        <f ca="1">IF(J222&lt;&gt;-1,_Media_M + J222*_Sigma,-1)</f>
        <v>-1</v>
      </c>
      <c r="L222" s="3">
        <f t="shared" ca="1" si="46"/>
        <v>50</v>
      </c>
      <c r="M222" s="18">
        <f ca="1">IF(LOOKUP(G222,$H$3:$H$4,$E$3:$E$4)=1,50,_Media_M + J222*_Sigma)</f>
        <v>50</v>
      </c>
      <c r="N222" s="36">
        <f t="shared" ca="1" si="47"/>
        <v>61.386292468616638</v>
      </c>
      <c r="O222" s="35">
        <f t="shared" ca="1" si="40"/>
        <v>111.38629246861663</v>
      </c>
      <c r="P222" s="19">
        <f t="shared" ca="1" si="49"/>
        <v>111.38629246861663</v>
      </c>
      <c r="Q222" s="20">
        <f ca="1" xml:space="preserve"> P222*_Precio_cafe</f>
        <v>167.07943870292496</v>
      </c>
      <c r="R222" s="20">
        <f t="shared" ca="1" si="50"/>
        <v>28705.425927537108</v>
      </c>
      <c r="S222" s="20">
        <f ca="1">(1/A222)*((A222-1)*S221 +Q222)</f>
        <v>139.34672780357806</v>
      </c>
      <c r="T222" s="20">
        <f ca="1">IF((T221-P222+F222)&gt;_Max_Stock_Gramos,_Max_Stock_Gramos,T221-P222+F222)</f>
        <v>1513.9890535987286</v>
      </c>
      <c r="U222" s="20">
        <f ca="1">T222/_GramosXFrasco</f>
        <v>8.9058179623454627</v>
      </c>
      <c r="V222" s="58">
        <f ca="1">(T222/_Max_Stock_Gramos)</f>
        <v>0.89058179623454625</v>
      </c>
      <c r="W222" s="58"/>
      <c r="X222" s="10">
        <f ca="1">IF((T221-O222)&lt;0,(T221-O222)*_Costo_Faltante,0)</f>
        <v>0</v>
      </c>
      <c r="Y222">
        <f ca="1">IF(B222=0,E222*_Costo_Frasco,0)</f>
        <v>0</v>
      </c>
      <c r="Z222" s="11">
        <f t="shared" ca="1" si="51"/>
        <v>-27000</v>
      </c>
    </row>
    <row r="223" spans="1:26" x14ac:dyDescent="0.25">
      <c r="A223" s="30">
        <f t="shared" si="48"/>
        <v>207</v>
      </c>
      <c r="B223" s="10">
        <f>IF(B222=0,_Proxima_Compra,B222-1)</f>
        <v>1</v>
      </c>
      <c r="C223" s="3">
        <f t="shared" ca="1" si="41"/>
        <v>-1</v>
      </c>
      <c r="D223" s="3">
        <f ca="1">IF(D222&gt;0,D222-1,IF(C223&gt;0,LOOKUP(C223,$S$3:$S$5,$P$3:$P$5),-1))</f>
        <v>1</v>
      </c>
      <c r="E223" s="25">
        <f t="shared" ca="1" si="42"/>
        <v>0</v>
      </c>
      <c r="F223" s="28">
        <f ca="1">E223*_GramosXFrasco</f>
        <v>0</v>
      </c>
      <c r="G223" s="38">
        <f t="shared" ca="1" si="43"/>
        <v>0.23125619386091356</v>
      </c>
      <c r="H223" s="36">
        <f t="shared" ca="1" si="44"/>
        <v>-1</v>
      </c>
      <c r="I223" s="36">
        <f t="shared" ca="1" si="45"/>
        <v>-1</v>
      </c>
      <c r="J223" s="36">
        <f t="shared" ca="1" si="39"/>
        <v>-1</v>
      </c>
      <c r="K223" s="37">
        <f ca="1">IF(J223&lt;&gt;-1,_Media_M + J223*_Sigma,-1)</f>
        <v>-1</v>
      </c>
      <c r="L223" s="3">
        <f t="shared" ca="1" si="46"/>
        <v>50</v>
      </c>
      <c r="M223" s="18">
        <f ca="1">IF(LOOKUP(G223,$H$3:$H$4,$E$3:$E$4)=1,50,_Media_M + J223*_Sigma)</f>
        <v>50</v>
      </c>
      <c r="N223" s="36">
        <f t="shared" ca="1" si="47"/>
        <v>35.113322407139371</v>
      </c>
      <c r="O223" s="35">
        <f t="shared" ca="1" si="40"/>
        <v>85.113322407139378</v>
      </c>
      <c r="P223" s="19">
        <f t="shared" ca="1" si="49"/>
        <v>85.113322407139378</v>
      </c>
      <c r="Q223" s="20">
        <f ca="1" xml:space="preserve"> P223*_Precio_cafe</f>
        <v>127.66998361070907</v>
      </c>
      <c r="R223" s="20">
        <f t="shared" ca="1" si="50"/>
        <v>28833.095911147815</v>
      </c>
      <c r="S223" s="20">
        <f ca="1">(1/A223)*((A223-1)*S222 +Q223)</f>
        <v>139.29031841134199</v>
      </c>
      <c r="T223" s="20">
        <f ca="1">IF((T222-P223+F223)&gt;_Max_Stock_Gramos,_Max_Stock_Gramos,T222-P223+F223)</f>
        <v>1428.8757311915892</v>
      </c>
      <c r="U223" s="20">
        <f ca="1">T223/_GramosXFrasco</f>
        <v>8.4051513599505245</v>
      </c>
      <c r="V223" s="58">
        <f ca="1">(T223/_Max_Stock_Gramos)</f>
        <v>0.84051513599505245</v>
      </c>
      <c r="W223" s="58"/>
      <c r="X223" s="10">
        <f ca="1">IF((T222-O223)&lt;0,(T222-O223)*_Costo_Faltante,0)</f>
        <v>0</v>
      </c>
      <c r="Y223">
        <f>IF(B223=0,E223*_Costo_Frasco,0)</f>
        <v>0</v>
      </c>
      <c r="Z223" s="11">
        <f t="shared" ca="1" si="51"/>
        <v>-27000</v>
      </c>
    </row>
    <row r="224" spans="1:26" x14ac:dyDescent="0.25">
      <c r="A224" s="30">
        <f t="shared" si="48"/>
        <v>208</v>
      </c>
      <c r="B224" s="10">
        <f>IF(B223=0,_Proxima_Compra,B223-1)</f>
        <v>0</v>
      </c>
      <c r="C224" s="3">
        <f t="shared" ca="1" si="41"/>
        <v>0.81137650587730259</v>
      </c>
      <c r="D224" s="3">
        <f ca="1">IF(D223&gt;0,D223-1,IF(C224&gt;0,LOOKUP(C224,$S$3:$S$5,$P$3:$P$5),-1))</f>
        <v>0</v>
      </c>
      <c r="E224" s="25">
        <f t="shared" ca="1" si="42"/>
        <v>2</v>
      </c>
      <c r="F224" s="28">
        <f ca="1">E224*_GramosXFrasco</f>
        <v>340</v>
      </c>
      <c r="G224" s="38">
        <f t="shared" ca="1" si="43"/>
        <v>0.76068980806815045</v>
      </c>
      <c r="H224" s="36">
        <f t="shared" ca="1" si="44"/>
        <v>0.24145897492126089</v>
      </c>
      <c r="I224" s="36">
        <f t="shared" ca="1" si="45"/>
        <v>0.41582500030389136</v>
      </c>
      <c r="J224" s="36">
        <f t="shared" ca="1" si="39"/>
        <v>-0.42299964411680208</v>
      </c>
      <c r="K224" s="37">
        <f ca="1">IF(J224&lt;&gt;-1,_Media_M + J224*_Sigma,-1)</f>
        <v>68.655005338247975</v>
      </c>
      <c r="L224" s="3">
        <f t="shared" ca="1" si="46"/>
        <v>-1</v>
      </c>
      <c r="M224" s="18">
        <f ca="1">IF(LOOKUP(G224,$H$3:$H$4,$E$3:$E$4)=1,50,_Media_M + J224*_Sigma)</f>
        <v>68.655005338247975</v>
      </c>
      <c r="N224" s="36">
        <f t="shared" ca="1" si="47"/>
        <v>0.6396429589396222</v>
      </c>
      <c r="O224" s="35">
        <f t="shared" ca="1" si="40"/>
        <v>69.294648297187592</v>
      </c>
      <c r="P224" s="19">
        <f t="shared" ca="1" si="49"/>
        <v>69.294648297187592</v>
      </c>
      <c r="Q224" s="20">
        <f ca="1" xml:space="preserve"> P224*_Precio_cafe</f>
        <v>103.94197244578139</v>
      </c>
      <c r="R224" s="20">
        <f t="shared" ca="1" si="50"/>
        <v>28937.037883593595</v>
      </c>
      <c r="S224" s="20">
        <f ca="1">(1/A224)*((A224-1)*S223 +Q224)</f>
        <v>139.12037444035371</v>
      </c>
      <c r="T224" s="20">
        <f ca="1">IF((T223-P224+F224)&gt;_Max_Stock_Gramos,_Max_Stock_Gramos,T223-P224+F224)</f>
        <v>1699.5810828944016</v>
      </c>
      <c r="U224" s="20">
        <f ca="1">T224/_GramosXFrasco</f>
        <v>9.9975357817317736</v>
      </c>
      <c r="V224" s="58">
        <f ca="1">(T224/_Max_Stock_Gramos)</f>
        <v>0.99975357817317734</v>
      </c>
      <c r="W224" s="58"/>
      <c r="X224" s="10">
        <f ca="1">IF((T223-O224)&lt;0,(T223-O224)*_Costo_Faltante,0)</f>
        <v>0</v>
      </c>
      <c r="Y224">
        <f ca="1">IF(B224=0,E224*_Costo_Frasco,0)</f>
        <v>-500</v>
      </c>
      <c r="Z224" s="11">
        <f t="shared" ca="1" si="51"/>
        <v>-27500</v>
      </c>
    </row>
    <row r="225" spans="1:26" x14ac:dyDescent="0.25">
      <c r="A225" s="30">
        <f t="shared" si="48"/>
        <v>209</v>
      </c>
      <c r="B225" s="10">
        <f>IF(B224=0,_Proxima_Compra,B224-1)</f>
        <v>1</v>
      </c>
      <c r="C225" s="3">
        <f t="shared" ca="1" si="41"/>
        <v>-1</v>
      </c>
      <c r="D225" s="3">
        <f ca="1">IF(D224&gt;0,D224-1,IF(C225&gt;0,LOOKUP(C225,$S$3:$S$5,$P$3:$P$5),-1))</f>
        <v>-1</v>
      </c>
      <c r="E225" s="25">
        <f t="shared" ca="1" si="42"/>
        <v>0</v>
      </c>
      <c r="F225" s="28">
        <f ca="1">E225*_GramosXFrasco</f>
        <v>0</v>
      </c>
      <c r="G225" s="38">
        <f t="shared" ca="1" si="43"/>
        <v>0.60872610855143994</v>
      </c>
      <c r="H225" s="36">
        <f t="shared" ca="1" si="44"/>
        <v>8.9272855903450798E-2</v>
      </c>
      <c r="I225" s="36">
        <f t="shared" ca="1" si="45"/>
        <v>0.64142088305928735</v>
      </c>
      <c r="J225" s="36">
        <f t="shared" ca="1" si="39"/>
        <v>-0.17969641253747221</v>
      </c>
      <c r="K225" s="37">
        <f ca="1">IF(J225&lt;&gt;-1,_Media_M + J225*_Sigma,-1)</f>
        <v>72.304553811937922</v>
      </c>
      <c r="L225" s="3">
        <f t="shared" ca="1" si="46"/>
        <v>-1</v>
      </c>
      <c r="M225" s="18">
        <f ca="1">IF(LOOKUP(G225,$H$3:$H$4,$E$3:$E$4)=1,50,_Media_M + J225*_Sigma)</f>
        <v>72.304553811937922</v>
      </c>
      <c r="N225" s="36">
        <f t="shared" ca="1" si="47"/>
        <v>62.620326451329532</v>
      </c>
      <c r="O225" s="35">
        <f t="shared" ca="1" si="40"/>
        <v>134.92488026326745</v>
      </c>
      <c r="P225" s="19">
        <f t="shared" ca="1" si="49"/>
        <v>134.92488026326745</v>
      </c>
      <c r="Q225" s="20">
        <f ca="1" xml:space="preserve"> P225*_Precio_cafe</f>
        <v>202.38732039490117</v>
      </c>
      <c r="R225" s="20">
        <f t="shared" ca="1" si="50"/>
        <v>29139.425203988496</v>
      </c>
      <c r="S225" s="20">
        <f ca="1">(1/A225)*((A225-1)*S224 +Q225)</f>
        <v>139.42308710042332</v>
      </c>
      <c r="T225" s="20">
        <f ca="1">IF((T224-P225+F225)&gt;_Max_Stock_Gramos,_Max_Stock_Gramos,T224-P225+F225)</f>
        <v>1564.6562026311342</v>
      </c>
      <c r="U225" s="20">
        <f ca="1">T225/_GramosXFrasco</f>
        <v>9.2038600154772592</v>
      </c>
      <c r="V225" s="58">
        <f ca="1">(T225/_Max_Stock_Gramos)</f>
        <v>0.92038600154772598</v>
      </c>
      <c r="W225" s="58"/>
      <c r="X225" s="10">
        <f ca="1">IF((T224-O225)&lt;0,(T224-O225)*_Costo_Faltante,0)</f>
        <v>0</v>
      </c>
      <c r="Y225">
        <f>IF(B225=0,E225*_Costo_Frasco,0)</f>
        <v>0</v>
      </c>
      <c r="Z225" s="11">
        <f t="shared" ca="1" si="51"/>
        <v>-27500</v>
      </c>
    </row>
    <row r="226" spans="1:26" x14ac:dyDescent="0.25">
      <c r="A226" s="30">
        <f t="shared" si="48"/>
        <v>210</v>
      </c>
      <c r="B226" s="10">
        <f>IF(B225=0,_Proxima_Compra,B225-1)</f>
        <v>0</v>
      </c>
      <c r="C226" s="3">
        <f t="shared" ca="1" si="41"/>
        <v>0.76989617421576484</v>
      </c>
      <c r="D226" s="3">
        <f ca="1">IF(D225&gt;0,D225-1,IF(C226&gt;0,LOOKUP(C226,$S$3:$S$5,$P$3:$P$5),-1))</f>
        <v>2</v>
      </c>
      <c r="E226" s="25">
        <f t="shared" ca="1" si="42"/>
        <v>0</v>
      </c>
      <c r="F226" s="28">
        <f ca="1">E226*_GramosXFrasco</f>
        <v>0</v>
      </c>
      <c r="G226" s="38">
        <f t="shared" ca="1" si="43"/>
        <v>0.16437948661523261</v>
      </c>
      <c r="H226" s="36">
        <f t="shared" ca="1" si="44"/>
        <v>-1</v>
      </c>
      <c r="I226" s="36">
        <f t="shared" ca="1" si="45"/>
        <v>-1</v>
      </c>
      <c r="J226" s="36">
        <f t="shared" ca="1" si="39"/>
        <v>-1</v>
      </c>
      <c r="K226" s="37">
        <f ca="1">IF(J226&lt;&gt;-1,_Media_M + J226*_Sigma,-1)</f>
        <v>-1</v>
      </c>
      <c r="L226" s="3">
        <f t="shared" ca="1" si="46"/>
        <v>50</v>
      </c>
      <c r="M226" s="18">
        <f ca="1">IF(LOOKUP(G226,$H$3:$H$4,$E$3:$E$4)=1,50,_Media_M + J226*_Sigma)</f>
        <v>50</v>
      </c>
      <c r="N226" s="36">
        <f t="shared" ca="1" si="47"/>
        <v>46.248546569261514</v>
      </c>
      <c r="O226" s="35">
        <f t="shared" ca="1" si="40"/>
        <v>96.248546569261521</v>
      </c>
      <c r="P226" s="19">
        <f t="shared" ca="1" si="49"/>
        <v>96.248546569261521</v>
      </c>
      <c r="Q226" s="20">
        <f ca="1" xml:space="preserve"> P226*_Precio_cafe</f>
        <v>144.37281985389228</v>
      </c>
      <c r="R226" s="20">
        <f t="shared" ca="1" si="50"/>
        <v>29283.798023842388</v>
      </c>
      <c r="S226" s="20">
        <f ca="1">(1/A226)*((A226-1)*S225 +Q226)</f>
        <v>139.44665725639223</v>
      </c>
      <c r="T226" s="20">
        <f ca="1">IF((T225-P226+F226)&gt;_Max_Stock_Gramos,_Max_Stock_Gramos,T225-P226+F226)</f>
        <v>1468.4076560618728</v>
      </c>
      <c r="U226" s="20">
        <f ca="1">T226/_GramosXFrasco</f>
        <v>8.6376920944816042</v>
      </c>
      <c r="V226" s="58">
        <f ca="1">(T226/_Max_Stock_Gramos)</f>
        <v>0.86376920944816049</v>
      </c>
      <c r="W226" s="58"/>
      <c r="X226" s="10">
        <f ca="1">IF((T225-O226)&lt;0,(T225-O226)*_Costo_Faltante,0)</f>
        <v>0</v>
      </c>
      <c r="Y226">
        <f ca="1">IF(B226=0,E226*_Costo_Frasco,0)</f>
        <v>0</v>
      </c>
      <c r="Z226" s="11">
        <f t="shared" ca="1" si="51"/>
        <v>-27500</v>
      </c>
    </row>
    <row r="227" spans="1:26" x14ac:dyDescent="0.25">
      <c r="A227" s="30">
        <f t="shared" si="48"/>
        <v>211</v>
      </c>
      <c r="B227" s="10">
        <f>IF(B226=0,_Proxima_Compra,B226-1)</f>
        <v>1</v>
      </c>
      <c r="C227" s="3">
        <f t="shared" ca="1" si="41"/>
        <v>-1</v>
      </c>
      <c r="D227" s="3">
        <f ca="1">IF(D226&gt;0,D226-1,IF(C227&gt;0,LOOKUP(C227,$S$3:$S$5,$P$3:$P$5),-1))</f>
        <v>1</v>
      </c>
      <c r="E227" s="25">
        <f t="shared" ca="1" si="42"/>
        <v>0</v>
      </c>
      <c r="F227" s="28">
        <f ca="1">E227*_GramosXFrasco</f>
        <v>0</v>
      </c>
      <c r="G227" s="38">
        <f t="shared" ca="1" si="43"/>
        <v>0.69532320892536204</v>
      </c>
      <c r="H227" s="36">
        <f t="shared" ca="1" si="44"/>
        <v>0.62890905046475043</v>
      </c>
      <c r="I227" s="36">
        <f t="shared" ca="1" si="45"/>
        <v>0.26656474623085269</v>
      </c>
      <c r="J227" s="36">
        <f t="shared" ca="1" si="39"/>
        <v>-9.6403270828324367E-2</v>
      </c>
      <c r="K227" s="37">
        <f ca="1">IF(J227&lt;&gt;-1,_Media_M + J227*_Sigma,-1)</f>
        <v>73.553950937575138</v>
      </c>
      <c r="L227" s="3">
        <f t="shared" ca="1" si="46"/>
        <v>-1</v>
      </c>
      <c r="M227" s="18">
        <f ca="1">IF(LOOKUP(G227,$H$3:$H$4,$E$3:$E$4)=1,50,_Media_M + J227*_Sigma)</f>
        <v>73.553950937575138</v>
      </c>
      <c r="N227" s="36">
        <f t="shared" ca="1" si="47"/>
        <v>4.0179186775963585</v>
      </c>
      <c r="O227" s="35">
        <f t="shared" ca="1" si="40"/>
        <v>77.571869615171494</v>
      </c>
      <c r="P227" s="19">
        <f t="shared" ca="1" si="49"/>
        <v>77.571869615171494</v>
      </c>
      <c r="Q227" s="20">
        <f ca="1" xml:space="preserve"> P227*_Precio_cafe</f>
        <v>116.35780442275724</v>
      </c>
      <c r="R227" s="20">
        <f t="shared" ca="1" si="50"/>
        <v>29400.155828265146</v>
      </c>
      <c r="S227" s="20">
        <f ca="1">(1/A227)*((A227-1)*S226 +Q227)</f>
        <v>139.33723141357882</v>
      </c>
      <c r="T227" s="20">
        <f ca="1">IF((T226-P227+F227)&gt;_Max_Stock_Gramos,_Max_Stock_Gramos,T226-P227+F227)</f>
        <v>1390.8357864467014</v>
      </c>
      <c r="U227" s="20">
        <f ca="1">T227/_GramosXFrasco</f>
        <v>8.1813869790982441</v>
      </c>
      <c r="V227" s="58">
        <f ca="1">(T227/_Max_Stock_Gramos)</f>
        <v>0.8181386979098243</v>
      </c>
      <c r="W227" s="58"/>
      <c r="X227" s="10">
        <f ca="1">IF((T226-O227)&lt;0,(T226-O227)*_Costo_Faltante,0)</f>
        <v>0</v>
      </c>
      <c r="Y227">
        <f>IF(B227=0,E227*_Costo_Frasco,0)</f>
        <v>0</v>
      </c>
      <c r="Z227" s="11">
        <f t="shared" ca="1" si="51"/>
        <v>-27500</v>
      </c>
    </row>
    <row r="228" spans="1:26" x14ac:dyDescent="0.25">
      <c r="A228" s="30">
        <f t="shared" si="48"/>
        <v>212</v>
      </c>
      <c r="B228" s="10">
        <f>IF(B227=0,_Proxima_Compra,B227-1)</f>
        <v>0</v>
      </c>
      <c r="C228" s="3">
        <f t="shared" ca="1" si="41"/>
        <v>0.17654556191043114</v>
      </c>
      <c r="D228" s="3">
        <f ca="1">IF(D227&gt;0,D227-1,IF(C228&gt;0,LOOKUP(C228,$S$3:$S$5,$P$3:$P$5),-1))</f>
        <v>0</v>
      </c>
      <c r="E228" s="25">
        <f t="shared" ca="1" si="42"/>
        <v>2</v>
      </c>
      <c r="F228" s="28">
        <f ca="1">E228*_GramosXFrasco</f>
        <v>340</v>
      </c>
      <c r="G228" s="38">
        <f t="shared" ca="1" si="43"/>
        <v>0.64520626767129508</v>
      </c>
      <c r="H228" s="36">
        <f t="shared" ca="1" si="44"/>
        <v>0.7947295434056435</v>
      </c>
      <c r="I228" s="36">
        <f t="shared" ca="1" si="45"/>
        <v>0.37719851268437099</v>
      </c>
      <c r="J228" s="36">
        <f t="shared" ref="J228:J291" ca="1" si="52">IF(I228&gt;0,SQRT(-2*LOG(1-H228)) * COS(2*PI()*I228),-1)</f>
        <v>-0.84063649441979726</v>
      </c>
      <c r="K228" s="37">
        <f ca="1">IF(J228&lt;&gt;-1,_Media_M + J228*_Sigma,-1)</f>
        <v>62.390452583703038</v>
      </c>
      <c r="L228" s="3">
        <f t="shared" ca="1" si="46"/>
        <v>-1</v>
      </c>
      <c r="M228" s="18">
        <f ca="1">IF(LOOKUP(G228,$H$3:$H$4,$E$3:$E$4)=1,50,_Media_M + J228*_Sigma)</f>
        <v>62.390452583703038</v>
      </c>
      <c r="N228" s="36">
        <f t="shared" ca="1" si="47"/>
        <v>80.294778820416994</v>
      </c>
      <c r="O228" s="35">
        <f t="shared" ref="O228:O291" ca="1" si="53">M228+N228</f>
        <v>142.68523140412003</v>
      </c>
      <c r="P228" s="19">
        <f t="shared" ca="1" si="49"/>
        <v>142.68523140412003</v>
      </c>
      <c r="Q228" s="20">
        <f ca="1" xml:space="preserve"> P228*_Precio_cafe</f>
        <v>214.02784710618005</v>
      </c>
      <c r="R228" s="20">
        <f t="shared" ca="1" si="50"/>
        <v>29614.183675371325</v>
      </c>
      <c r="S228" s="20">
        <f ca="1">(1/A228)*((A228-1)*S227 +Q228)</f>
        <v>139.6895456385439</v>
      </c>
      <c r="T228" s="20">
        <f ca="1">IF((T227-P228+F228)&gt;_Max_Stock_Gramos,_Max_Stock_Gramos,T227-P228+F228)</f>
        <v>1588.1505550425813</v>
      </c>
      <c r="U228" s="20">
        <f ca="1">T228/_GramosXFrasco</f>
        <v>9.3420620884857719</v>
      </c>
      <c r="V228" s="58">
        <f ca="1">(T228/_Max_Stock_Gramos)</f>
        <v>0.9342062088485773</v>
      </c>
      <c r="W228" s="58"/>
      <c r="X228" s="10">
        <f ca="1">IF((T227-O228)&lt;0,(T227-O228)*_Costo_Faltante,0)</f>
        <v>0</v>
      </c>
      <c r="Y228">
        <f ca="1">IF(B228=0,E228*_Costo_Frasco,0)</f>
        <v>-500</v>
      </c>
      <c r="Z228" s="11">
        <f t="shared" ca="1" si="51"/>
        <v>-28000</v>
      </c>
    </row>
    <row r="229" spans="1:26" x14ac:dyDescent="0.25">
      <c r="A229" s="30">
        <f t="shared" si="48"/>
        <v>213</v>
      </c>
      <c r="B229" s="10">
        <f>IF(B228=0,_Proxima_Compra,B228-1)</f>
        <v>1</v>
      </c>
      <c r="C229" s="3">
        <f t="shared" ca="1" si="41"/>
        <v>-1</v>
      </c>
      <c r="D229" s="3">
        <f ca="1">IF(D228&gt;0,D228-1,IF(C229&gt;0,LOOKUP(C229,$S$3:$S$5,$P$3:$P$5),-1))</f>
        <v>-1</v>
      </c>
      <c r="E229" s="25">
        <f t="shared" ca="1" si="42"/>
        <v>0</v>
      </c>
      <c r="F229" s="28">
        <f ca="1">E229*_GramosXFrasco</f>
        <v>0</v>
      </c>
      <c r="G229" s="38">
        <f t="shared" ca="1" si="43"/>
        <v>0.59083163895815949</v>
      </c>
      <c r="H229" s="36">
        <f t="shared" ca="1" si="44"/>
        <v>0.90220424117354814</v>
      </c>
      <c r="I229" s="36">
        <f t="shared" ca="1" si="45"/>
        <v>0.86093179383746299</v>
      </c>
      <c r="J229" s="36">
        <f t="shared" ca="1" si="52"/>
        <v>0.91220103211465586</v>
      </c>
      <c r="K229" s="37">
        <f ca="1">IF(J229&lt;&gt;-1,_Media_M + J229*_Sigma,-1)</f>
        <v>88.683015481719835</v>
      </c>
      <c r="L229" s="3">
        <f t="shared" ca="1" si="46"/>
        <v>-1</v>
      </c>
      <c r="M229" s="18">
        <f ca="1">IF(LOOKUP(G229,$H$3:$H$4,$E$3:$E$4)=1,50,_Media_M + J229*_Sigma)</f>
        <v>88.683015481719835</v>
      </c>
      <c r="N229" s="36">
        <f t="shared" ca="1" si="47"/>
        <v>60.822582536374</v>
      </c>
      <c r="O229" s="35">
        <f t="shared" ca="1" si="53"/>
        <v>149.50559801809385</v>
      </c>
      <c r="P229" s="19">
        <f t="shared" ca="1" si="49"/>
        <v>149.50559801809385</v>
      </c>
      <c r="Q229" s="20">
        <f ca="1" xml:space="preserve"> P229*_Precio_cafe</f>
        <v>224.25839702714077</v>
      </c>
      <c r="R229" s="20">
        <f t="shared" ca="1" si="50"/>
        <v>29838.442072398466</v>
      </c>
      <c r="S229" s="20">
        <f ca="1">(1/A229)*((A229-1)*S228 +Q229)</f>
        <v>140.08658249952322</v>
      </c>
      <c r="T229" s="20">
        <f ca="1">IF((T228-P229+F229)&gt;_Max_Stock_Gramos,_Max_Stock_Gramos,T228-P229+F229)</f>
        <v>1438.6449570244874</v>
      </c>
      <c r="U229" s="20">
        <f ca="1">T229/_GramosXFrasco</f>
        <v>8.4626173942616916</v>
      </c>
      <c r="V229" s="58">
        <f ca="1">(T229/_Max_Stock_Gramos)</f>
        <v>0.84626173942616911</v>
      </c>
      <c r="W229" s="58"/>
      <c r="X229" s="10">
        <f ca="1">IF((T228-O229)&lt;0,(T228-O229)*_Costo_Faltante,0)</f>
        <v>0</v>
      </c>
      <c r="Y229">
        <f>IF(B229=0,E229*_Costo_Frasco,0)</f>
        <v>0</v>
      </c>
      <c r="Z229" s="11">
        <f t="shared" ca="1" si="51"/>
        <v>-28000</v>
      </c>
    </row>
    <row r="230" spans="1:26" x14ac:dyDescent="0.25">
      <c r="A230" s="30">
        <f t="shared" si="48"/>
        <v>214</v>
      </c>
      <c r="B230" s="10">
        <f>IF(B229=0,_Proxima_Compra,B229-1)</f>
        <v>0</v>
      </c>
      <c r="C230" s="3">
        <f t="shared" ca="1" si="41"/>
        <v>0.4473423075604086</v>
      </c>
      <c r="D230" s="3">
        <f ca="1">IF(D229&gt;0,D229-1,IF(C230&gt;0,LOOKUP(C230,$S$3:$S$5,$P$3:$P$5),-1))</f>
        <v>0</v>
      </c>
      <c r="E230" s="25">
        <f t="shared" ca="1" si="42"/>
        <v>2</v>
      </c>
      <c r="F230" s="28">
        <f ca="1">E230*_GramosXFrasco</f>
        <v>340</v>
      </c>
      <c r="G230" s="38">
        <f t="shared" ca="1" si="43"/>
        <v>0.15973571827844923</v>
      </c>
      <c r="H230" s="36">
        <f t="shared" ca="1" si="44"/>
        <v>-1</v>
      </c>
      <c r="I230" s="36">
        <f t="shared" ca="1" si="45"/>
        <v>-1</v>
      </c>
      <c r="J230" s="36">
        <f t="shared" ca="1" si="52"/>
        <v>-1</v>
      </c>
      <c r="K230" s="37">
        <f ca="1">IF(J230&lt;&gt;-1,_Media_M + J230*_Sigma,-1)</f>
        <v>-1</v>
      </c>
      <c r="L230" s="3">
        <f t="shared" ca="1" si="46"/>
        <v>50</v>
      </c>
      <c r="M230" s="18">
        <f ca="1">IF(LOOKUP(G230,$H$3:$H$4,$E$3:$E$4)=1,50,_Media_M + J230*_Sigma)</f>
        <v>50</v>
      </c>
      <c r="N230" s="36">
        <f t="shared" ca="1" si="47"/>
        <v>55.551850639928311</v>
      </c>
      <c r="O230" s="35">
        <f t="shared" ca="1" si="53"/>
        <v>105.55185063992832</v>
      </c>
      <c r="P230" s="19">
        <f t="shared" ca="1" si="49"/>
        <v>105.55185063992832</v>
      </c>
      <c r="Q230" s="20">
        <f ca="1" xml:space="preserve"> P230*_Precio_cafe</f>
        <v>158.32777595989248</v>
      </c>
      <c r="R230" s="20">
        <f t="shared" ca="1" si="50"/>
        <v>29996.769848358359</v>
      </c>
      <c r="S230" s="20">
        <f ca="1">(1/A230)*((A230-1)*S229 +Q230)</f>
        <v>140.17182172130063</v>
      </c>
      <c r="T230" s="20">
        <f ca="1">IF((T229-P230+F230)&gt;_Max_Stock_Gramos,_Max_Stock_Gramos,T229-P230+F230)</f>
        <v>1673.0931063845592</v>
      </c>
      <c r="U230" s="20">
        <f ca="1">T230/_GramosXFrasco</f>
        <v>9.8417241552032895</v>
      </c>
      <c r="V230" s="58">
        <f ca="1">(T230/_Max_Stock_Gramos)</f>
        <v>0.98417241552032897</v>
      </c>
      <c r="W230" s="58"/>
      <c r="X230" s="10">
        <f ca="1">IF((T229-O230)&lt;0,(T229-O230)*_Costo_Faltante,0)</f>
        <v>0</v>
      </c>
      <c r="Y230">
        <f ca="1">IF(B230=0,E230*_Costo_Frasco,0)</f>
        <v>-500</v>
      </c>
      <c r="Z230" s="11">
        <f t="shared" ca="1" si="51"/>
        <v>-28500</v>
      </c>
    </row>
    <row r="231" spans="1:26" x14ac:dyDescent="0.25">
      <c r="A231" s="30">
        <f t="shared" si="48"/>
        <v>215</v>
      </c>
      <c r="B231" s="10">
        <f>IF(B230=0,_Proxima_Compra,B230-1)</f>
        <v>1</v>
      </c>
      <c r="C231" s="3">
        <f t="shared" ca="1" si="41"/>
        <v>-1</v>
      </c>
      <c r="D231" s="3">
        <f ca="1">IF(D230&gt;0,D230-1,IF(C231&gt;0,LOOKUP(C231,$S$3:$S$5,$P$3:$P$5),-1))</f>
        <v>-1</v>
      </c>
      <c r="E231" s="25">
        <f t="shared" ca="1" si="42"/>
        <v>0</v>
      </c>
      <c r="F231" s="28">
        <f ca="1">E231*_GramosXFrasco</f>
        <v>0</v>
      </c>
      <c r="G231" s="38">
        <f t="shared" ca="1" si="43"/>
        <v>0.76196703421968925</v>
      </c>
      <c r="H231" s="36">
        <f t="shared" ca="1" si="44"/>
        <v>0.55158622631552112</v>
      </c>
      <c r="I231" s="36">
        <f t="shared" ca="1" si="45"/>
        <v>0.27651544685701746</v>
      </c>
      <c r="J231" s="36">
        <f t="shared" ca="1" si="52"/>
        <v>-0.13841168923688721</v>
      </c>
      <c r="K231" s="37">
        <f ca="1">IF(J231&lt;&gt;-1,_Media_M + J231*_Sigma,-1)</f>
        <v>72.923824661446687</v>
      </c>
      <c r="L231" s="3">
        <f t="shared" ca="1" si="46"/>
        <v>-1</v>
      </c>
      <c r="M231" s="18">
        <f ca="1">IF(LOOKUP(G231,$H$3:$H$4,$E$3:$E$4)=1,50,_Media_M + J231*_Sigma)</f>
        <v>72.923824661446687</v>
      </c>
      <c r="N231" s="36">
        <f t="shared" ca="1" si="47"/>
        <v>38.798489134084093</v>
      </c>
      <c r="O231" s="35">
        <f t="shared" ca="1" si="53"/>
        <v>111.72231379553078</v>
      </c>
      <c r="P231" s="19">
        <f t="shared" ca="1" si="49"/>
        <v>111.72231379553078</v>
      </c>
      <c r="Q231" s="20">
        <f ca="1" xml:space="preserve"> P231*_Precio_cafe</f>
        <v>167.58347069329616</v>
      </c>
      <c r="R231" s="20">
        <f t="shared" ca="1" si="50"/>
        <v>30164.353319051654</v>
      </c>
      <c r="S231" s="20">
        <f ca="1">(1/A231)*((A231-1)*S230 +Q231)</f>
        <v>140.29931776303081</v>
      </c>
      <c r="T231" s="20">
        <f ca="1">IF((T230-P231+F231)&gt;_Max_Stock_Gramos,_Max_Stock_Gramos,T230-P231+F231)</f>
        <v>1561.3707925890285</v>
      </c>
      <c r="U231" s="20">
        <f ca="1">T231/_GramosXFrasco</f>
        <v>9.1845340740531096</v>
      </c>
      <c r="V231" s="58">
        <f ca="1">(T231/_Max_Stock_Gramos)</f>
        <v>0.9184534074053109</v>
      </c>
      <c r="W231" s="58"/>
      <c r="X231" s="10">
        <f ca="1">IF((T230-O231)&lt;0,(T230-O231)*_Costo_Faltante,0)</f>
        <v>0</v>
      </c>
      <c r="Y231">
        <f>IF(B231=0,E231*_Costo_Frasco,0)</f>
        <v>0</v>
      </c>
      <c r="Z231" s="11">
        <f t="shared" ca="1" si="51"/>
        <v>-28500</v>
      </c>
    </row>
    <row r="232" spans="1:26" x14ac:dyDescent="0.25">
      <c r="A232" s="30">
        <f t="shared" si="48"/>
        <v>216</v>
      </c>
      <c r="B232" s="10">
        <f>IF(B231=0,_Proxima_Compra,B231-1)</f>
        <v>0</v>
      </c>
      <c r="C232" s="3">
        <f t="shared" ca="1" si="41"/>
        <v>0.47598895525407048</v>
      </c>
      <c r="D232" s="3">
        <f ca="1">IF(D231&gt;0,D231-1,IF(C232&gt;0,LOOKUP(C232,$S$3:$S$5,$P$3:$P$5),-1))</f>
        <v>0</v>
      </c>
      <c r="E232" s="25">
        <f t="shared" ca="1" si="42"/>
        <v>2</v>
      </c>
      <c r="F232" s="28">
        <f ca="1">E232*_GramosXFrasco</f>
        <v>340</v>
      </c>
      <c r="G232" s="38">
        <f t="shared" ca="1" si="43"/>
        <v>0.11096498462700777</v>
      </c>
      <c r="H232" s="36">
        <f t="shared" ca="1" si="44"/>
        <v>-1</v>
      </c>
      <c r="I232" s="36">
        <f t="shared" ca="1" si="45"/>
        <v>-1</v>
      </c>
      <c r="J232" s="36">
        <f t="shared" ca="1" si="52"/>
        <v>-1</v>
      </c>
      <c r="K232" s="37">
        <f ca="1">IF(J232&lt;&gt;-1,_Media_M + J232*_Sigma,-1)</f>
        <v>-1</v>
      </c>
      <c r="L232" s="3">
        <f t="shared" ca="1" si="46"/>
        <v>50</v>
      </c>
      <c r="M232" s="18">
        <f ca="1">IF(LOOKUP(G232,$H$3:$H$4,$E$3:$E$4)=1,50,_Media_M + J232*_Sigma)</f>
        <v>50</v>
      </c>
      <c r="N232" s="36">
        <f t="shared" ca="1" si="47"/>
        <v>100.67819093597716</v>
      </c>
      <c r="O232" s="35">
        <f t="shared" ca="1" si="53"/>
        <v>150.67819093597717</v>
      </c>
      <c r="P232" s="19">
        <f t="shared" ca="1" si="49"/>
        <v>150.67819093597717</v>
      </c>
      <c r="Q232" s="20">
        <f ca="1" xml:space="preserve"> P232*_Precio_cafe</f>
        <v>226.01728640396576</v>
      </c>
      <c r="R232" s="20">
        <f t="shared" ca="1" si="50"/>
        <v>30390.370605455621</v>
      </c>
      <c r="S232" s="20">
        <f ca="1">(1/A232)*((A232-1)*S231 +Q232)</f>
        <v>140.69616021044254</v>
      </c>
      <c r="T232" s="20">
        <f ca="1">IF((T231-P232+F232)&gt;_Max_Stock_Gramos,_Max_Stock_Gramos,T231-P232+F232)</f>
        <v>1700</v>
      </c>
      <c r="U232" s="20">
        <f ca="1">T232/_GramosXFrasco</f>
        <v>10</v>
      </c>
      <c r="V232" s="58">
        <f ca="1">(T232/_Max_Stock_Gramos)</f>
        <v>1</v>
      </c>
      <c r="W232" s="58"/>
      <c r="X232" s="10">
        <f ca="1">IF((T231-O232)&lt;0,(T231-O232)*_Costo_Faltante,0)</f>
        <v>0</v>
      </c>
      <c r="Y232">
        <f ca="1">IF(B232=0,E232*_Costo_Frasco,0)</f>
        <v>-500</v>
      </c>
      <c r="Z232" s="11">
        <f t="shared" ca="1" si="51"/>
        <v>-29000</v>
      </c>
    </row>
    <row r="233" spans="1:26" x14ac:dyDescent="0.25">
      <c r="A233" s="30">
        <f t="shared" si="48"/>
        <v>217</v>
      </c>
      <c r="B233" s="10">
        <f>IF(B232=0,_Proxima_Compra,B232-1)</f>
        <v>1</v>
      </c>
      <c r="C233" s="3">
        <f t="shared" ca="1" si="41"/>
        <v>-1</v>
      </c>
      <c r="D233" s="3">
        <f ca="1">IF(D232&gt;0,D232-1,IF(C233&gt;0,LOOKUP(C233,$S$3:$S$5,$P$3:$P$5),-1))</f>
        <v>-1</v>
      </c>
      <c r="E233" s="25">
        <f t="shared" ca="1" si="42"/>
        <v>0</v>
      </c>
      <c r="F233" s="28">
        <f ca="1">E233*_GramosXFrasco</f>
        <v>0</v>
      </c>
      <c r="G233" s="38">
        <f t="shared" ca="1" si="43"/>
        <v>0.78444331924125277</v>
      </c>
      <c r="H233" s="36">
        <f t="shared" ca="1" si="44"/>
        <v>0.71145876396341889</v>
      </c>
      <c r="I233" s="36">
        <f t="shared" ca="1" si="45"/>
        <v>5.7663896780087653E-2</v>
      </c>
      <c r="J233" s="36">
        <f t="shared" ca="1" si="52"/>
        <v>0.97157608016763009</v>
      </c>
      <c r="K233" s="37">
        <f ca="1">IF(J233&lt;&gt;-1,_Media_M + J233*_Sigma,-1)</f>
        <v>89.573641202514452</v>
      </c>
      <c r="L233" s="3">
        <f t="shared" ca="1" si="46"/>
        <v>-1</v>
      </c>
      <c r="M233" s="18">
        <f ca="1">IF(LOOKUP(G233,$H$3:$H$4,$E$3:$E$4)=1,50,_Media_M + J233*_Sigma)</f>
        <v>89.573641202514452</v>
      </c>
      <c r="N233" s="36">
        <f t="shared" ca="1" si="47"/>
        <v>16.86739431572331</v>
      </c>
      <c r="O233" s="35">
        <f t="shared" ca="1" si="53"/>
        <v>106.44103551823775</v>
      </c>
      <c r="P233" s="19">
        <f t="shared" ca="1" si="49"/>
        <v>106.44103551823775</v>
      </c>
      <c r="Q233" s="20">
        <f ca="1" xml:space="preserve"> P233*_Precio_cafe</f>
        <v>159.66155327735663</v>
      </c>
      <c r="R233" s="20">
        <f t="shared" ca="1" si="50"/>
        <v>30550.032158732978</v>
      </c>
      <c r="S233" s="20">
        <f ca="1">(1/A233)*((A233-1)*S232 +Q233)</f>
        <v>140.78355833517486</v>
      </c>
      <c r="T233" s="20">
        <f ca="1">IF((T232-P233+F233)&gt;_Max_Stock_Gramos,_Max_Stock_Gramos,T232-P233+F233)</f>
        <v>1593.5589644817624</v>
      </c>
      <c r="U233" s="20">
        <f ca="1">T233/_GramosXFrasco</f>
        <v>9.3738762616574256</v>
      </c>
      <c r="V233" s="58">
        <f ca="1">(T233/_Max_Stock_Gramos)</f>
        <v>0.93738762616574256</v>
      </c>
      <c r="W233" s="58"/>
      <c r="X233" s="10">
        <f ca="1">IF((T232-O233)&lt;0,(T232-O233)*_Costo_Faltante,0)</f>
        <v>0</v>
      </c>
      <c r="Y233">
        <f>IF(B233=0,E233*_Costo_Frasco,0)</f>
        <v>0</v>
      </c>
      <c r="Z233" s="11">
        <f t="shared" ca="1" si="51"/>
        <v>-29000</v>
      </c>
    </row>
    <row r="234" spans="1:26" x14ac:dyDescent="0.25">
      <c r="A234" s="30">
        <f t="shared" si="48"/>
        <v>218</v>
      </c>
      <c r="B234" s="10">
        <f>IF(B233=0,_Proxima_Compra,B233-1)</f>
        <v>0</v>
      </c>
      <c r="C234" s="3">
        <f t="shared" ca="1" si="41"/>
        <v>0.68601742780267105</v>
      </c>
      <c r="D234" s="3">
        <f ca="1">IF(D233&gt;0,D233-1,IF(C234&gt;0,LOOKUP(C234,$S$3:$S$5,$P$3:$P$5),-1))</f>
        <v>1</v>
      </c>
      <c r="E234" s="25">
        <f t="shared" ca="1" si="42"/>
        <v>0</v>
      </c>
      <c r="F234" s="28">
        <f ca="1">E234*_GramosXFrasco</f>
        <v>0</v>
      </c>
      <c r="G234" s="38">
        <f t="shared" ca="1" si="43"/>
        <v>0.17517663581761478</v>
      </c>
      <c r="H234" s="36">
        <f t="shared" ca="1" si="44"/>
        <v>-1</v>
      </c>
      <c r="I234" s="36">
        <f t="shared" ca="1" si="45"/>
        <v>-1</v>
      </c>
      <c r="J234" s="36">
        <f t="shared" ca="1" si="52"/>
        <v>-1</v>
      </c>
      <c r="K234" s="37">
        <f ca="1">IF(J234&lt;&gt;-1,_Media_M + J234*_Sigma,-1)</f>
        <v>-1</v>
      </c>
      <c r="L234" s="3">
        <f t="shared" ca="1" si="46"/>
        <v>50</v>
      </c>
      <c r="M234" s="18">
        <f ca="1">IF(LOOKUP(G234,$H$3:$H$4,$E$3:$E$4)=1,50,_Media_M + J234*_Sigma)</f>
        <v>50</v>
      </c>
      <c r="N234" s="36">
        <f t="shared" ca="1" si="47"/>
        <v>38.089704286442725</v>
      </c>
      <c r="O234" s="35">
        <f t="shared" ca="1" si="53"/>
        <v>88.089704286442725</v>
      </c>
      <c r="P234" s="19">
        <f t="shared" ca="1" si="49"/>
        <v>88.089704286442725</v>
      </c>
      <c r="Q234" s="20">
        <f ca="1" xml:space="preserve"> P234*_Precio_cafe</f>
        <v>132.13455642966409</v>
      </c>
      <c r="R234" s="20">
        <f t="shared" ca="1" si="50"/>
        <v>30682.166715162643</v>
      </c>
      <c r="S234" s="20">
        <f ca="1">(1/A234)*((A234-1)*S233 +Q234)</f>
        <v>140.74388401450739</v>
      </c>
      <c r="T234" s="20">
        <f ca="1">IF((T233-P234+F234)&gt;_Max_Stock_Gramos,_Max_Stock_Gramos,T233-P234+F234)</f>
        <v>1505.4692601953197</v>
      </c>
      <c r="U234" s="20">
        <f ca="1">T234/_GramosXFrasco</f>
        <v>8.8557015305607045</v>
      </c>
      <c r="V234" s="58">
        <f ca="1">(T234/_Max_Stock_Gramos)</f>
        <v>0.88557015305607045</v>
      </c>
      <c r="W234" s="58"/>
      <c r="X234" s="10">
        <f ca="1">IF((T233-O234)&lt;0,(T233-O234)*_Costo_Faltante,0)</f>
        <v>0</v>
      </c>
      <c r="Y234">
        <f ca="1">IF(B234=0,E234*_Costo_Frasco,0)</f>
        <v>0</v>
      </c>
      <c r="Z234" s="11">
        <f t="shared" ca="1" si="51"/>
        <v>-29000</v>
      </c>
    </row>
    <row r="235" spans="1:26" x14ac:dyDescent="0.25">
      <c r="A235" s="30">
        <f t="shared" si="48"/>
        <v>219</v>
      </c>
      <c r="B235" s="10">
        <f>IF(B234=0,_Proxima_Compra,B234-1)</f>
        <v>1</v>
      </c>
      <c r="C235" s="3">
        <f t="shared" ca="1" si="41"/>
        <v>-1</v>
      </c>
      <c r="D235" s="3">
        <f ca="1">IF(D234&gt;0,D234-1,IF(C235&gt;0,LOOKUP(C235,$S$3:$S$5,$P$3:$P$5),-1))</f>
        <v>0</v>
      </c>
      <c r="E235" s="25">
        <f t="shared" ca="1" si="42"/>
        <v>2</v>
      </c>
      <c r="F235" s="28">
        <f ca="1">E235*_GramosXFrasco</f>
        <v>340</v>
      </c>
      <c r="G235" s="38">
        <f t="shared" ca="1" si="43"/>
        <v>0.72091978284589719</v>
      </c>
      <c r="H235" s="36">
        <f t="shared" ca="1" si="44"/>
        <v>0.12580749746456765</v>
      </c>
      <c r="I235" s="36">
        <f t="shared" ca="1" si="45"/>
        <v>0.25526933969849275</v>
      </c>
      <c r="J235" s="36">
        <f t="shared" ca="1" si="52"/>
        <v>-1.1312323704265393E-2</v>
      </c>
      <c r="K235" s="37">
        <f ca="1">IF(J235&lt;&gt;-1,_Media_M + J235*_Sigma,-1)</f>
        <v>74.830315144436014</v>
      </c>
      <c r="L235" s="3">
        <f t="shared" ca="1" si="46"/>
        <v>-1</v>
      </c>
      <c r="M235" s="18">
        <f ca="1">IF(LOOKUP(G235,$H$3:$H$4,$E$3:$E$4)=1,50,_Media_M + J235*_Sigma)</f>
        <v>74.830315144436014</v>
      </c>
      <c r="N235" s="36">
        <f t="shared" ca="1" si="47"/>
        <v>0.45840067836686049</v>
      </c>
      <c r="O235" s="35">
        <f t="shared" ca="1" si="53"/>
        <v>75.288715822802871</v>
      </c>
      <c r="P235" s="19">
        <f t="shared" ca="1" si="49"/>
        <v>75.288715822802871</v>
      </c>
      <c r="Q235" s="20">
        <f ca="1" xml:space="preserve"> P235*_Precio_cafe</f>
        <v>112.9330737342043</v>
      </c>
      <c r="R235" s="20">
        <f t="shared" ca="1" si="50"/>
        <v>30795.099788896849</v>
      </c>
      <c r="S235" s="20">
        <f ca="1">(1/A235)*((A235-1)*S234 +Q235)</f>
        <v>140.61689401322744</v>
      </c>
      <c r="T235" s="20">
        <f ca="1">IF((T234-P235+F235)&gt;_Max_Stock_Gramos,_Max_Stock_Gramos,T234-P235+F235)</f>
        <v>1700</v>
      </c>
      <c r="U235" s="20">
        <f ca="1">T235/_GramosXFrasco</f>
        <v>10</v>
      </c>
      <c r="V235" s="58">
        <f ca="1">(T235/_Max_Stock_Gramos)</f>
        <v>1</v>
      </c>
      <c r="W235" s="58"/>
      <c r="X235" s="10">
        <f ca="1">IF((T234-O235)&lt;0,(T234-O235)*_Costo_Faltante,0)</f>
        <v>0</v>
      </c>
      <c r="Y235">
        <f>IF(B235=0,E235*_Costo_Frasco,0)</f>
        <v>0</v>
      </c>
      <c r="Z235" s="11">
        <f t="shared" ca="1" si="51"/>
        <v>-29000</v>
      </c>
    </row>
    <row r="236" spans="1:26" x14ac:dyDescent="0.25">
      <c r="A236" s="30">
        <f t="shared" si="48"/>
        <v>220</v>
      </c>
      <c r="B236" s="10">
        <f>IF(B235=0,_Proxima_Compra,B235-1)</f>
        <v>0</v>
      </c>
      <c r="C236" s="3">
        <f t="shared" ca="1" si="41"/>
        <v>0.89303519481816696</v>
      </c>
      <c r="D236" s="3">
        <f ca="1">IF(D235&gt;0,D235-1,IF(C236&gt;0,LOOKUP(C236,$S$3:$S$5,$P$3:$P$5),-1))</f>
        <v>2</v>
      </c>
      <c r="E236" s="25">
        <f t="shared" ca="1" si="42"/>
        <v>0</v>
      </c>
      <c r="F236" s="28">
        <f ca="1">E236*_GramosXFrasco</f>
        <v>0</v>
      </c>
      <c r="G236" s="38">
        <f t="shared" ca="1" si="43"/>
        <v>0.8977914622090517</v>
      </c>
      <c r="H236" s="36">
        <f t="shared" ca="1" si="44"/>
        <v>0.45330040024552232</v>
      </c>
      <c r="I236" s="36">
        <f t="shared" ca="1" si="45"/>
        <v>0.5842183532878773</v>
      </c>
      <c r="J236" s="36">
        <f t="shared" ca="1" si="52"/>
        <v>-0.62517432628045233</v>
      </c>
      <c r="K236" s="37">
        <f ca="1">IF(J236&lt;&gt;-1,_Media_M + J236*_Sigma,-1)</f>
        <v>65.622385105793214</v>
      </c>
      <c r="L236" s="3">
        <f t="shared" ca="1" si="46"/>
        <v>-1</v>
      </c>
      <c r="M236" s="18">
        <f ca="1">IF(LOOKUP(G236,$H$3:$H$4,$E$3:$E$4)=1,50,_Media_M + J236*_Sigma)</f>
        <v>65.622385105793214</v>
      </c>
      <c r="N236" s="36">
        <f t="shared" ca="1" si="47"/>
        <v>87.769834791834086</v>
      </c>
      <c r="O236" s="35">
        <f t="shared" ca="1" si="53"/>
        <v>153.39221989762729</v>
      </c>
      <c r="P236" s="19">
        <f t="shared" ca="1" si="49"/>
        <v>153.39221989762729</v>
      </c>
      <c r="Q236" s="20">
        <f ca="1" xml:space="preserve"> P236*_Precio_cafe</f>
        <v>230.08832984644093</v>
      </c>
      <c r="R236" s="20">
        <f t="shared" ca="1" si="50"/>
        <v>31025.188118743288</v>
      </c>
      <c r="S236" s="20">
        <f ca="1">(1/A236)*((A236-1)*S235 +Q236)</f>
        <v>141.02358235792386</v>
      </c>
      <c r="T236" s="20">
        <f ca="1">IF((T235-P236+F236)&gt;_Max_Stock_Gramos,_Max_Stock_Gramos,T235-P236+F236)</f>
        <v>1546.6077801023728</v>
      </c>
      <c r="U236" s="20">
        <f ca="1">T236/_GramosXFrasco</f>
        <v>9.0976928241316042</v>
      </c>
      <c r="V236" s="58">
        <f ca="1">(T236/_Max_Stock_Gramos)</f>
        <v>0.90976928241316046</v>
      </c>
      <c r="W236" s="58"/>
      <c r="X236" s="10">
        <f ca="1">IF((T235-O236)&lt;0,(T235-O236)*_Costo_Faltante,0)</f>
        <v>0</v>
      </c>
      <c r="Y236">
        <f ca="1">IF(B236=0,E236*_Costo_Frasco,0)</f>
        <v>0</v>
      </c>
      <c r="Z236" s="11">
        <f t="shared" ca="1" si="51"/>
        <v>-29000</v>
      </c>
    </row>
    <row r="237" spans="1:26" x14ac:dyDescent="0.25">
      <c r="A237" s="30">
        <f t="shared" si="48"/>
        <v>221</v>
      </c>
      <c r="B237" s="10">
        <f>IF(B236=0,_Proxima_Compra,B236-1)</f>
        <v>1</v>
      </c>
      <c r="C237" s="3">
        <f t="shared" ca="1" si="41"/>
        <v>-1</v>
      </c>
      <c r="D237" s="3">
        <f ca="1">IF(D236&gt;0,D236-1,IF(C237&gt;0,LOOKUP(C237,$S$3:$S$5,$P$3:$P$5),-1))</f>
        <v>1</v>
      </c>
      <c r="E237" s="25">
        <f t="shared" ca="1" si="42"/>
        <v>0</v>
      </c>
      <c r="F237" s="28">
        <f ca="1">E237*_GramosXFrasco</f>
        <v>0</v>
      </c>
      <c r="G237" s="38">
        <f t="shared" ca="1" si="43"/>
        <v>0.77378642726507263</v>
      </c>
      <c r="H237" s="36">
        <f t="shared" ca="1" si="44"/>
        <v>0.74918502394261854</v>
      </c>
      <c r="I237" s="36">
        <f t="shared" ca="1" si="45"/>
        <v>0.73510049956374524</v>
      </c>
      <c r="J237" s="36">
        <f t="shared" ca="1" si="52"/>
        <v>-0.10245697175740774</v>
      </c>
      <c r="K237" s="37">
        <f ca="1">IF(J237&lt;&gt;-1,_Media_M + J237*_Sigma,-1)</f>
        <v>73.463145423638878</v>
      </c>
      <c r="L237" s="3">
        <f t="shared" ca="1" si="46"/>
        <v>-1</v>
      </c>
      <c r="M237" s="18">
        <f ca="1">IF(LOOKUP(G237,$H$3:$H$4,$E$3:$E$4)=1,50,_Media_M + J237*_Sigma)</f>
        <v>73.463145423638878</v>
      </c>
      <c r="N237" s="36">
        <f t="shared" ca="1" si="47"/>
        <v>70.491412403282297</v>
      </c>
      <c r="O237" s="35">
        <f t="shared" ca="1" si="53"/>
        <v>143.95455782692119</v>
      </c>
      <c r="P237" s="19">
        <f t="shared" ca="1" si="49"/>
        <v>143.95455782692119</v>
      </c>
      <c r="Q237" s="20">
        <f ca="1" xml:space="preserve"> P237*_Precio_cafe</f>
        <v>215.93183674038178</v>
      </c>
      <c r="R237" s="20">
        <f t="shared" ca="1" si="50"/>
        <v>31241.119955483671</v>
      </c>
      <c r="S237" s="20">
        <f ca="1">(1/A237)*((A237-1)*S236 +Q237)</f>
        <v>141.36253373522007</v>
      </c>
      <c r="T237" s="20">
        <f ca="1">IF((T236-P237+F237)&gt;_Max_Stock_Gramos,_Max_Stock_Gramos,T236-P237+F237)</f>
        <v>1402.6532222754515</v>
      </c>
      <c r="U237" s="20">
        <f ca="1">T237/_GramosXFrasco</f>
        <v>8.2509013075026552</v>
      </c>
      <c r="V237" s="58">
        <f ca="1">(T237/_Max_Stock_Gramos)</f>
        <v>0.8250901307502656</v>
      </c>
      <c r="W237" s="58"/>
      <c r="X237" s="10">
        <f ca="1">IF((T236-O237)&lt;0,(T236-O237)*_Costo_Faltante,0)</f>
        <v>0</v>
      </c>
      <c r="Y237">
        <f>IF(B237=0,E237*_Costo_Frasco,0)</f>
        <v>0</v>
      </c>
      <c r="Z237" s="11">
        <f t="shared" ca="1" si="51"/>
        <v>-29000</v>
      </c>
    </row>
    <row r="238" spans="1:26" x14ac:dyDescent="0.25">
      <c r="A238" s="30">
        <f t="shared" si="48"/>
        <v>222</v>
      </c>
      <c r="B238" s="10">
        <f>IF(B237=0,_Proxima_Compra,B237-1)</f>
        <v>0</v>
      </c>
      <c r="C238" s="3">
        <f t="shared" ca="1" si="41"/>
        <v>0.25781264183905528</v>
      </c>
      <c r="D238" s="3">
        <f ca="1">IF(D237&gt;0,D237-1,IF(C238&gt;0,LOOKUP(C238,$S$3:$S$5,$P$3:$P$5),-1))</f>
        <v>0</v>
      </c>
      <c r="E238" s="25">
        <f t="shared" ca="1" si="42"/>
        <v>2</v>
      </c>
      <c r="F238" s="28">
        <f ca="1">E238*_GramosXFrasco</f>
        <v>340</v>
      </c>
      <c r="G238" s="38">
        <f t="shared" ca="1" si="43"/>
        <v>0.41696069795675228</v>
      </c>
      <c r="H238" s="36">
        <f t="shared" ca="1" si="44"/>
        <v>-1</v>
      </c>
      <c r="I238" s="36">
        <f t="shared" ca="1" si="45"/>
        <v>-1</v>
      </c>
      <c r="J238" s="36">
        <f t="shared" ca="1" si="52"/>
        <v>-1</v>
      </c>
      <c r="K238" s="37">
        <f ca="1">IF(J238&lt;&gt;-1,_Media_M + J238*_Sigma,-1)</f>
        <v>-1</v>
      </c>
      <c r="L238" s="3">
        <f t="shared" ca="1" si="46"/>
        <v>50</v>
      </c>
      <c r="M238" s="18">
        <f ca="1">IF(LOOKUP(G238,$H$3:$H$4,$E$3:$E$4)=1,50,_Media_M + J238*_Sigma)</f>
        <v>50</v>
      </c>
      <c r="N238" s="36">
        <f t="shared" ca="1" si="47"/>
        <v>7.4842797668360213</v>
      </c>
      <c r="O238" s="35">
        <f t="shared" ca="1" si="53"/>
        <v>57.484279766836025</v>
      </c>
      <c r="P238" s="19">
        <f t="shared" ca="1" si="49"/>
        <v>57.484279766836025</v>
      </c>
      <c r="Q238" s="20">
        <f ca="1" xml:space="preserve"> P238*_Precio_cafe</f>
        <v>86.22641965025403</v>
      </c>
      <c r="R238" s="20">
        <f t="shared" ca="1" si="50"/>
        <v>31327.346375133926</v>
      </c>
      <c r="S238" s="20">
        <f ca="1">(1/A238)*((A238-1)*S237 +Q238)</f>
        <v>141.11417286096346</v>
      </c>
      <c r="T238" s="20">
        <f ca="1">IF((T237-P238+F238)&gt;_Max_Stock_Gramos,_Max_Stock_Gramos,T237-P238+F238)</f>
        <v>1685.1689425086156</v>
      </c>
      <c r="U238" s="20">
        <f ca="1">T238/_GramosXFrasco</f>
        <v>9.9127584853447974</v>
      </c>
      <c r="V238" s="58">
        <f ca="1">(T238/_Max_Stock_Gramos)</f>
        <v>0.99127584853447981</v>
      </c>
      <c r="W238" s="58"/>
      <c r="X238" s="10">
        <f ca="1">IF((T237-O238)&lt;0,(T237-O238)*_Costo_Faltante,0)</f>
        <v>0</v>
      </c>
      <c r="Y238">
        <f ca="1">IF(B238=0,E238*_Costo_Frasco,0)</f>
        <v>-500</v>
      </c>
      <c r="Z238" s="11">
        <f t="shared" ca="1" si="51"/>
        <v>-29500</v>
      </c>
    </row>
    <row r="239" spans="1:26" x14ac:dyDescent="0.25">
      <c r="A239" s="30">
        <f t="shared" si="48"/>
        <v>223</v>
      </c>
      <c r="B239" s="10">
        <f>IF(B238=0,_Proxima_Compra,B238-1)</f>
        <v>1</v>
      </c>
      <c r="C239" s="3">
        <f t="shared" ca="1" si="41"/>
        <v>-1</v>
      </c>
      <c r="D239" s="3">
        <f ca="1">IF(D238&gt;0,D238-1,IF(C239&gt;0,LOOKUP(C239,$S$3:$S$5,$P$3:$P$5),-1))</f>
        <v>-1</v>
      </c>
      <c r="E239" s="25">
        <f t="shared" ca="1" si="42"/>
        <v>0</v>
      </c>
      <c r="F239" s="28">
        <f ca="1">E239*_GramosXFrasco</f>
        <v>0</v>
      </c>
      <c r="G239" s="38">
        <f t="shared" ca="1" si="43"/>
        <v>0.77055224483887519</v>
      </c>
      <c r="H239" s="36">
        <f t="shared" ca="1" si="44"/>
        <v>0.51273428979200308</v>
      </c>
      <c r="I239" s="36">
        <f t="shared" ca="1" si="45"/>
        <v>2.68405599451772E-2</v>
      </c>
      <c r="J239" s="36">
        <f t="shared" ca="1" si="52"/>
        <v>0.77902221676314176</v>
      </c>
      <c r="K239" s="37">
        <f ca="1">IF(J239&lt;&gt;-1,_Media_M + J239*_Sigma,-1)</f>
        <v>86.685333251447133</v>
      </c>
      <c r="L239" s="3">
        <f t="shared" ca="1" si="46"/>
        <v>-1</v>
      </c>
      <c r="M239" s="18">
        <f ca="1">IF(LOOKUP(G239,$H$3:$H$4,$E$3:$E$4)=1,50,_Media_M + J239*_Sigma)</f>
        <v>86.685333251447133</v>
      </c>
      <c r="N239" s="36">
        <f t="shared" ca="1" si="47"/>
        <v>0.71806393682916236</v>
      </c>
      <c r="O239" s="35">
        <f t="shared" ca="1" si="53"/>
        <v>87.403397188276301</v>
      </c>
      <c r="P239" s="19">
        <f t="shared" ca="1" si="49"/>
        <v>87.403397188276301</v>
      </c>
      <c r="Q239" s="20">
        <f ca="1" xml:space="preserve"> P239*_Precio_cafe</f>
        <v>131.10509578241445</v>
      </c>
      <c r="R239" s="20">
        <f t="shared" ca="1" si="50"/>
        <v>31458.451470916341</v>
      </c>
      <c r="S239" s="20">
        <f ca="1">(1/A239)*((A239-1)*S238 +Q239)</f>
        <v>141.06928910724801</v>
      </c>
      <c r="T239" s="20">
        <f ca="1">IF((T238-P239+F239)&gt;_Max_Stock_Gramos,_Max_Stock_Gramos,T238-P239+F239)</f>
        <v>1597.7655453203392</v>
      </c>
      <c r="U239" s="20">
        <f ca="1">T239/_GramosXFrasco</f>
        <v>9.3986208548255252</v>
      </c>
      <c r="V239" s="58">
        <f ca="1">(T239/_Max_Stock_Gramos)</f>
        <v>0.93986208548255246</v>
      </c>
      <c r="W239" s="58"/>
      <c r="X239" s="10">
        <f ca="1">IF((T238-O239)&lt;0,(T238-O239)*_Costo_Faltante,0)</f>
        <v>0</v>
      </c>
      <c r="Y239">
        <f>IF(B239=0,E239*_Costo_Frasco,0)</f>
        <v>0</v>
      </c>
      <c r="Z239" s="11">
        <f t="shared" ca="1" si="51"/>
        <v>-29500</v>
      </c>
    </row>
    <row r="240" spans="1:26" x14ac:dyDescent="0.25">
      <c r="A240" s="30">
        <f t="shared" si="48"/>
        <v>224</v>
      </c>
      <c r="B240" s="10">
        <f>IF(B239=0,_Proxima_Compra,B239-1)</f>
        <v>0</v>
      </c>
      <c r="C240" s="3">
        <f t="shared" ca="1" si="41"/>
        <v>0.40798155699678307</v>
      </c>
      <c r="D240" s="3">
        <f ca="1">IF(D239&gt;0,D239-1,IF(C240&gt;0,LOOKUP(C240,$S$3:$S$5,$P$3:$P$5),-1))</f>
        <v>0</v>
      </c>
      <c r="E240" s="25">
        <f t="shared" ca="1" si="42"/>
        <v>2</v>
      </c>
      <c r="F240" s="28">
        <f ca="1">E240*_GramosXFrasco</f>
        <v>340</v>
      </c>
      <c r="G240" s="38">
        <f t="shared" ca="1" si="43"/>
        <v>0.36663427188986997</v>
      </c>
      <c r="H240" s="36">
        <f t="shared" ca="1" si="44"/>
        <v>-1</v>
      </c>
      <c r="I240" s="36">
        <f t="shared" ca="1" si="45"/>
        <v>-1</v>
      </c>
      <c r="J240" s="36">
        <f t="shared" ca="1" si="52"/>
        <v>-1</v>
      </c>
      <c r="K240" s="37">
        <f ca="1">IF(J240&lt;&gt;-1,_Media_M + J240*_Sigma,-1)</f>
        <v>-1</v>
      </c>
      <c r="L240" s="3">
        <f t="shared" ca="1" si="46"/>
        <v>50</v>
      </c>
      <c r="M240" s="18">
        <f ca="1">IF(LOOKUP(G240,$H$3:$H$4,$E$3:$E$4)=1,50,_Media_M + J240*_Sigma)</f>
        <v>50</v>
      </c>
      <c r="N240" s="36">
        <f t="shared" ca="1" si="47"/>
        <v>24.363355960289194</v>
      </c>
      <c r="O240" s="35">
        <f t="shared" ca="1" si="53"/>
        <v>74.363355960289198</v>
      </c>
      <c r="P240" s="19">
        <f t="shared" ca="1" si="49"/>
        <v>74.363355960289198</v>
      </c>
      <c r="Q240" s="20">
        <f ca="1" xml:space="preserve"> P240*_Precio_cafe</f>
        <v>111.5450339404338</v>
      </c>
      <c r="R240" s="20">
        <f t="shared" ca="1" si="50"/>
        <v>31569.996504856776</v>
      </c>
      <c r="S240" s="20">
        <f ca="1">(1/A240)*((A240-1)*S239 +Q240)</f>
        <v>140.93748439668187</v>
      </c>
      <c r="T240" s="20">
        <f ca="1">IF((T239-P240+F240)&gt;_Max_Stock_Gramos,_Max_Stock_Gramos,T239-P240+F240)</f>
        <v>1700</v>
      </c>
      <c r="U240" s="20">
        <f ca="1">T240/_GramosXFrasco</f>
        <v>10</v>
      </c>
      <c r="V240" s="58">
        <f ca="1">(T240/_Max_Stock_Gramos)</f>
        <v>1</v>
      </c>
      <c r="W240" s="58"/>
      <c r="X240" s="10">
        <f ca="1">IF((T239-O240)&lt;0,(T239-O240)*_Costo_Faltante,0)</f>
        <v>0</v>
      </c>
      <c r="Y240">
        <f ca="1">IF(B240=0,E240*_Costo_Frasco,0)</f>
        <v>-500</v>
      </c>
      <c r="Z240" s="11">
        <f t="shared" ca="1" si="51"/>
        <v>-30000</v>
      </c>
    </row>
    <row r="241" spans="1:26" x14ac:dyDescent="0.25">
      <c r="A241" s="30">
        <f t="shared" si="48"/>
        <v>225</v>
      </c>
      <c r="B241" s="10">
        <f>IF(B240=0,_Proxima_Compra,B240-1)</f>
        <v>1</v>
      </c>
      <c r="C241" s="3">
        <f t="shared" ca="1" si="41"/>
        <v>-1</v>
      </c>
      <c r="D241" s="3">
        <f ca="1">IF(D240&gt;0,D240-1,IF(C241&gt;0,LOOKUP(C241,$S$3:$S$5,$P$3:$P$5),-1))</f>
        <v>-1</v>
      </c>
      <c r="E241" s="25">
        <f t="shared" ca="1" si="42"/>
        <v>0</v>
      </c>
      <c r="F241" s="28">
        <f ca="1">E241*_GramosXFrasco</f>
        <v>0</v>
      </c>
      <c r="G241" s="38">
        <f t="shared" ca="1" si="43"/>
        <v>0.87725487623814102</v>
      </c>
      <c r="H241" s="36">
        <f t="shared" ca="1" si="44"/>
        <v>0.6926630805921441</v>
      </c>
      <c r="I241" s="36">
        <f t="shared" ca="1" si="45"/>
        <v>0.55168534944038883</v>
      </c>
      <c r="J241" s="36">
        <f t="shared" ca="1" si="52"/>
        <v>-0.95939705999515146</v>
      </c>
      <c r="K241" s="37">
        <f ca="1">IF(J241&lt;&gt;-1,_Media_M + J241*_Sigma,-1)</f>
        <v>60.60904410007273</v>
      </c>
      <c r="L241" s="3">
        <f t="shared" ca="1" si="46"/>
        <v>-1</v>
      </c>
      <c r="M241" s="18">
        <f ca="1">IF(LOOKUP(G241,$H$3:$H$4,$E$3:$E$4)=1,50,_Media_M + J241*_Sigma)</f>
        <v>60.60904410007273</v>
      </c>
      <c r="N241" s="36">
        <f t="shared" ca="1" si="47"/>
        <v>10.661572353457885</v>
      </c>
      <c r="O241" s="35">
        <f t="shared" ca="1" si="53"/>
        <v>71.270616453530607</v>
      </c>
      <c r="P241" s="19">
        <f t="shared" ca="1" si="49"/>
        <v>71.270616453530607</v>
      </c>
      <c r="Q241" s="20">
        <f ca="1" xml:space="preserve"> P241*_Precio_cafe</f>
        <v>106.90592468029591</v>
      </c>
      <c r="R241" s="20">
        <f t="shared" ca="1" si="50"/>
        <v>31676.902429537073</v>
      </c>
      <c r="S241" s="20">
        <f ca="1">(1/A241)*((A241-1)*S240 +Q241)</f>
        <v>140.78623302016462</v>
      </c>
      <c r="T241" s="20">
        <f ca="1">IF((T240-P241+F241)&gt;_Max_Stock_Gramos,_Max_Stock_Gramos,T240-P241+F241)</f>
        <v>1628.7293835464693</v>
      </c>
      <c r="U241" s="20">
        <f ca="1">T241/_GramosXFrasco</f>
        <v>9.5807610796851144</v>
      </c>
      <c r="V241" s="58">
        <f ca="1">(T241/_Max_Stock_Gramos)</f>
        <v>0.95807610796851139</v>
      </c>
      <c r="W241" s="58"/>
      <c r="X241" s="10">
        <f ca="1">IF((T240-O241)&lt;0,(T240-O241)*_Costo_Faltante,0)</f>
        <v>0</v>
      </c>
      <c r="Y241">
        <f>IF(B241=0,E241*_Costo_Frasco,0)</f>
        <v>0</v>
      </c>
      <c r="Z241" s="11">
        <f t="shared" ca="1" si="51"/>
        <v>-30000</v>
      </c>
    </row>
    <row r="242" spans="1:26" x14ac:dyDescent="0.25">
      <c r="A242" s="30">
        <f t="shared" si="48"/>
        <v>226</v>
      </c>
      <c r="B242" s="10">
        <f>IF(B241=0,_Proxima_Compra,B241-1)</f>
        <v>0</v>
      </c>
      <c r="C242" s="3">
        <f t="shared" ca="1" si="41"/>
        <v>0.93385747000101682</v>
      </c>
      <c r="D242" s="3">
        <f ca="1">IF(D241&gt;0,D241-1,IF(C242&gt;0,LOOKUP(C242,$S$3:$S$5,$P$3:$P$5),-1))</f>
        <v>2</v>
      </c>
      <c r="E242" s="25">
        <f t="shared" ca="1" si="42"/>
        <v>0</v>
      </c>
      <c r="F242" s="28">
        <f ca="1">E242*_GramosXFrasco</f>
        <v>0</v>
      </c>
      <c r="G242" s="38">
        <f t="shared" ca="1" si="43"/>
        <v>0.29577857356277248</v>
      </c>
      <c r="H242" s="36">
        <f t="shared" ca="1" si="44"/>
        <v>-1</v>
      </c>
      <c r="I242" s="36">
        <f t="shared" ca="1" si="45"/>
        <v>-1</v>
      </c>
      <c r="J242" s="36">
        <f t="shared" ca="1" si="52"/>
        <v>-1</v>
      </c>
      <c r="K242" s="37">
        <f ca="1">IF(J242&lt;&gt;-1,_Media_M + J242*_Sigma,-1)</f>
        <v>-1</v>
      </c>
      <c r="L242" s="3">
        <f t="shared" ca="1" si="46"/>
        <v>50</v>
      </c>
      <c r="M242" s="18">
        <f ca="1">IF(LOOKUP(G242,$H$3:$H$4,$E$3:$E$4)=1,50,_Media_M + J242*_Sigma)</f>
        <v>50</v>
      </c>
      <c r="N242" s="36">
        <f t="shared" ca="1" si="47"/>
        <v>80.590386494732115</v>
      </c>
      <c r="O242" s="35">
        <f t="shared" ca="1" si="53"/>
        <v>130.59038649473212</v>
      </c>
      <c r="P242" s="19">
        <f t="shared" ca="1" si="49"/>
        <v>130.59038649473212</v>
      </c>
      <c r="Q242" s="20">
        <f ca="1" xml:space="preserve"> P242*_Precio_cafe</f>
        <v>195.88557974209817</v>
      </c>
      <c r="R242" s="20">
        <f t="shared" ca="1" si="50"/>
        <v>31872.788009279171</v>
      </c>
      <c r="S242" s="20">
        <f ca="1">(1/A242)*((A242-1)*S241 +Q242)</f>
        <v>141.03003543928821</v>
      </c>
      <c r="T242" s="20">
        <f ca="1">IF((T241-P242+F242)&gt;_Max_Stock_Gramos,_Max_Stock_Gramos,T241-P242+F242)</f>
        <v>1498.1389970517371</v>
      </c>
      <c r="U242" s="20">
        <f ca="1">T242/_GramosXFrasco</f>
        <v>8.8125823355984529</v>
      </c>
      <c r="V242" s="58">
        <f ca="1">(T242/_Max_Stock_Gramos)</f>
        <v>0.88125823355984534</v>
      </c>
      <c r="W242" s="58"/>
      <c r="X242" s="10">
        <f ca="1">IF((T241-O242)&lt;0,(T241-O242)*_Costo_Faltante,0)</f>
        <v>0</v>
      </c>
      <c r="Y242">
        <f ca="1">IF(B242=0,E242*_Costo_Frasco,0)</f>
        <v>0</v>
      </c>
      <c r="Z242" s="11">
        <f t="shared" ca="1" si="51"/>
        <v>-30000</v>
      </c>
    </row>
    <row r="243" spans="1:26" x14ac:dyDescent="0.25">
      <c r="A243" s="30">
        <f t="shared" si="48"/>
        <v>227</v>
      </c>
      <c r="B243" s="10">
        <f>IF(B242=0,_Proxima_Compra,B242-1)</f>
        <v>1</v>
      </c>
      <c r="C243" s="3">
        <f t="shared" ca="1" si="41"/>
        <v>-1</v>
      </c>
      <c r="D243" s="3">
        <f ca="1">IF(D242&gt;0,D242-1,IF(C243&gt;0,LOOKUP(C243,$S$3:$S$5,$P$3:$P$5),-1))</f>
        <v>1</v>
      </c>
      <c r="E243" s="25">
        <f t="shared" ca="1" si="42"/>
        <v>0</v>
      </c>
      <c r="F243" s="28">
        <f ca="1">E243*_GramosXFrasco</f>
        <v>0</v>
      </c>
      <c r="G243" s="38">
        <f t="shared" ca="1" si="43"/>
        <v>0.63904435525561321</v>
      </c>
      <c r="H243" s="36">
        <f t="shared" ca="1" si="44"/>
        <v>0.69476398324121025</v>
      </c>
      <c r="I243" s="36">
        <f t="shared" ca="1" si="45"/>
        <v>0.93268301742104232</v>
      </c>
      <c r="J243" s="36">
        <f t="shared" ca="1" si="52"/>
        <v>0.92578014577525003</v>
      </c>
      <c r="K243" s="37">
        <f ca="1">IF(J243&lt;&gt;-1,_Media_M + J243*_Sigma,-1)</f>
        <v>88.886702186628753</v>
      </c>
      <c r="L243" s="3">
        <f t="shared" ca="1" si="46"/>
        <v>-1</v>
      </c>
      <c r="M243" s="18">
        <f ca="1">IF(LOOKUP(G243,$H$3:$H$4,$E$3:$E$4)=1,50,_Media_M + J243*_Sigma)</f>
        <v>88.886702186628753</v>
      </c>
      <c r="N243" s="36">
        <f t="shared" ca="1" si="47"/>
        <v>13.067864980151098</v>
      </c>
      <c r="O243" s="35">
        <f t="shared" ca="1" si="53"/>
        <v>101.95456716677985</v>
      </c>
      <c r="P243" s="19">
        <f t="shared" ca="1" si="49"/>
        <v>101.95456716677985</v>
      </c>
      <c r="Q243" s="20">
        <f ca="1" xml:space="preserve"> P243*_Precio_cafe</f>
        <v>152.93185075016979</v>
      </c>
      <c r="R243" s="20">
        <f t="shared" ca="1" si="50"/>
        <v>32025.719860029341</v>
      </c>
      <c r="S243" s="20">
        <f ca="1">(1/A243)*((A243-1)*S242 +Q243)</f>
        <v>141.08246634374146</v>
      </c>
      <c r="T243" s="20">
        <f ca="1">IF((T242-P243+F243)&gt;_Max_Stock_Gramos,_Max_Stock_Gramos,T242-P243+F243)</f>
        <v>1396.1844298849571</v>
      </c>
      <c r="U243" s="20">
        <f ca="1">T243/_GramosXFrasco</f>
        <v>8.212849587558571</v>
      </c>
      <c r="V243" s="58">
        <f ca="1">(T243/_Max_Stock_Gramos)</f>
        <v>0.82128495875585716</v>
      </c>
      <c r="W243" s="58"/>
      <c r="X243" s="10">
        <f ca="1">IF((T242-O243)&lt;0,(T242-O243)*_Costo_Faltante,0)</f>
        <v>0</v>
      </c>
      <c r="Y243">
        <f>IF(B243=0,E243*_Costo_Frasco,0)</f>
        <v>0</v>
      </c>
      <c r="Z243" s="11">
        <f t="shared" ca="1" si="51"/>
        <v>-30000</v>
      </c>
    </row>
    <row r="244" spans="1:26" x14ac:dyDescent="0.25">
      <c r="A244" s="30">
        <f t="shared" si="48"/>
        <v>228</v>
      </c>
      <c r="B244" s="10">
        <f>IF(B243=0,_Proxima_Compra,B243-1)</f>
        <v>0</v>
      </c>
      <c r="C244" s="3">
        <f t="shared" ca="1" si="41"/>
        <v>0.37219509571146603</v>
      </c>
      <c r="D244" s="3">
        <f ca="1">IF(D243&gt;0,D243-1,IF(C244&gt;0,LOOKUP(C244,$S$3:$S$5,$P$3:$P$5),-1))</f>
        <v>0</v>
      </c>
      <c r="E244" s="25">
        <f t="shared" ca="1" si="42"/>
        <v>2</v>
      </c>
      <c r="F244" s="28">
        <f ca="1">E244*_GramosXFrasco</f>
        <v>340</v>
      </c>
      <c r="G244" s="38">
        <f t="shared" ca="1" si="43"/>
        <v>0.14476508568449775</v>
      </c>
      <c r="H244" s="36">
        <f t="shared" ca="1" si="44"/>
        <v>-1</v>
      </c>
      <c r="I244" s="36">
        <f t="shared" ca="1" si="45"/>
        <v>-1</v>
      </c>
      <c r="J244" s="36">
        <f t="shared" ca="1" si="52"/>
        <v>-1</v>
      </c>
      <c r="K244" s="37">
        <f ca="1">IF(J244&lt;&gt;-1,_Media_M + J244*_Sigma,-1)</f>
        <v>-1</v>
      </c>
      <c r="L244" s="3">
        <f t="shared" ca="1" si="46"/>
        <v>50</v>
      </c>
      <c r="M244" s="18">
        <f ca="1">IF(LOOKUP(G244,$H$3:$H$4,$E$3:$E$4)=1,50,_Media_M + J244*_Sigma)</f>
        <v>50</v>
      </c>
      <c r="N244" s="36">
        <f t="shared" ca="1" si="47"/>
        <v>49.210703425131442</v>
      </c>
      <c r="O244" s="35">
        <f t="shared" ca="1" si="53"/>
        <v>99.210703425131442</v>
      </c>
      <c r="P244" s="19">
        <f t="shared" ca="1" si="49"/>
        <v>99.210703425131442</v>
      </c>
      <c r="Q244" s="20">
        <f ca="1" xml:space="preserve"> P244*_Precio_cafe</f>
        <v>148.81605513769716</v>
      </c>
      <c r="R244" s="20">
        <f t="shared" ca="1" si="50"/>
        <v>32174.535915167038</v>
      </c>
      <c r="S244" s="20">
        <f ca="1">(1/A244)*((A244-1)*S243 +Q244)</f>
        <v>141.11638559283776</v>
      </c>
      <c r="T244" s="20">
        <f ca="1">IF((T243-P244+F244)&gt;_Max_Stock_Gramos,_Max_Stock_Gramos,T243-P244+F244)</f>
        <v>1636.9737264598257</v>
      </c>
      <c r="U244" s="20">
        <f ca="1">T244/_GramosXFrasco</f>
        <v>9.629257214469563</v>
      </c>
      <c r="V244" s="58">
        <f ca="1">(T244/_Max_Stock_Gramos)</f>
        <v>0.96292572144695632</v>
      </c>
      <c r="W244" s="58"/>
      <c r="X244" s="10">
        <f ca="1">IF((T243-O244)&lt;0,(T243-O244)*_Costo_Faltante,0)</f>
        <v>0</v>
      </c>
      <c r="Y244">
        <f ca="1">IF(B244=0,E244*_Costo_Frasco,0)</f>
        <v>-500</v>
      </c>
      <c r="Z244" s="11">
        <f t="shared" ca="1" si="51"/>
        <v>-30500</v>
      </c>
    </row>
    <row r="245" spans="1:26" x14ac:dyDescent="0.25">
      <c r="A245" s="30">
        <f t="shared" si="48"/>
        <v>229</v>
      </c>
      <c r="B245" s="10">
        <f>IF(B244=0,_Proxima_Compra,B244-1)</f>
        <v>1</v>
      </c>
      <c r="C245" s="3">
        <f t="shared" ca="1" si="41"/>
        <v>-1</v>
      </c>
      <c r="D245" s="3">
        <f ca="1">IF(D244&gt;0,D244-1,IF(C245&gt;0,LOOKUP(C245,$S$3:$S$5,$P$3:$P$5),-1))</f>
        <v>-1</v>
      </c>
      <c r="E245" s="25">
        <f t="shared" ca="1" si="42"/>
        <v>0</v>
      </c>
      <c r="F245" s="28">
        <f ca="1">E245*_GramosXFrasco</f>
        <v>0</v>
      </c>
      <c r="G245" s="38">
        <f t="shared" ca="1" si="43"/>
        <v>0.49792246827763709</v>
      </c>
      <c r="H245" s="36">
        <f t="shared" ca="1" si="44"/>
        <v>-1</v>
      </c>
      <c r="I245" s="36">
        <f t="shared" ca="1" si="45"/>
        <v>-1</v>
      </c>
      <c r="J245" s="36">
        <f t="shared" ca="1" si="52"/>
        <v>-1</v>
      </c>
      <c r="K245" s="37">
        <f ca="1">IF(J245&lt;&gt;-1,_Media_M + J245*_Sigma,-1)</f>
        <v>-1</v>
      </c>
      <c r="L245" s="3">
        <f t="shared" ca="1" si="46"/>
        <v>50</v>
      </c>
      <c r="M245" s="18">
        <f ca="1">IF(LOOKUP(G245,$H$3:$H$4,$E$3:$E$4)=1,50,_Media_M + J245*_Sigma)</f>
        <v>50</v>
      </c>
      <c r="N245" s="36">
        <f t="shared" ca="1" si="47"/>
        <v>69.842507540080106</v>
      </c>
      <c r="O245" s="35">
        <f t="shared" ca="1" si="53"/>
        <v>119.84250754008011</v>
      </c>
      <c r="P245" s="19">
        <f t="shared" ca="1" si="49"/>
        <v>119.84250754008011</v>
      </c>
      <c r="Q245" s="20">
        <f ca="1" xml:space="preserve"> P245*_Precio_cafe</f>
        <v>179.76376131012017</v>
      </c>
      <c r="R245" s="20">
        <f t="shared" ca="1" si="50"/>
        <v>32354.29967647716</v>
      </c>
      <c r="S245" s="20">
        <f ca="1">(1/A245)*((A245-1)*S244 +Q245)</f>
        <v>141.28515142566431</v>
      </c>
      <c r="T245" s="20">
        <f ca="1">IF((T244-P245+F245)&gt;_Max_Stock_Gramos,_Max_Stock_Gramos,T244-P245+F245)</f>
        <v>1517.1312189197456</v>
      </c>
      <c r="U245" s="20">
        <f ca="1">T245/_GramosXFrasco</f>
        <v>8.9243012877632086</v>
      </c>
      <c r="V245" s="58">
        <f ca="1">(T245/_Max_Stock_Gramos)</f>
        <v>0.892430128776321</v>
      </c>
      <c r="W245" s="58"/>
      <c r="X245" s="10">
        <f ca="1">IF((T244-O245)&lt;0,(T244-O245)*_Costo_Faltante,0)</f>
        <v>0</v>
      </c>
      <c r="Y245">
        <f>IF(B245=0,E245*_Costo_Frasco,0)</f>
        <v>0</v>
      </c>
      <c r="Z245" s="11">
        <f t="shared" ca="1" si="51"/>
        <v>-30500</v>
      </c>
    </row>
    <row r="246" spans="1:26" x14ac:dyDescent="0.25">
      <c r="A246" s="30">
        <f t="shared" si="48"/>
        <v>230</v>
      </c>
      <c r="B246" s="10">
        <f>IF(B245=0,_Proxima_Compra,B245-1)</f>
        <v>0</v>
      </c>
      <c r="C246" s="3">
        <f t="shared" ca="1" si="41"/>
        <v>0.44361813626376223</v>
      </c>
      <c r="D246" s="3">
        <f ca="1">IF(D245&gt;0,D245-1,IF(C246&gt;0,LOOKUP(C246,$S$3:$S$5,$P$3:$P$5),-1))</f>
        <v>0</v>
      </c>
      <c r="E246" s="25">
        <f t="shared" ca="1" si="42"/>
        <v>2</v>
      </c>
      <c r="F246" s="28">
        <f ca="1">E246*_GramosXFrasco</f>
        <v>340</v>
      </c>
      <c r="G246" s="38">
        <f t="shared" ca="1" si="43"/>
        <v>0.38877607633837186</v>
      </c>
      <c r="H246" s="36">
        <f t="shared" ca="1" si="44"/>
        <v>-1</v>
      </c>
      <c r="I246" s="36">
        <f t="shared" ca="1" si="45"/>
        <v>-1</v>
      </c>
      <c r="J246" s="36">
        <f t="shared" ca="1" si="52"/>
        <v>-1</v>
      </c>
      <c r="K246" s="37">
        <f ca="1">IF(J246&lt;&gt;-1,_Media_M + J246*_Sigma,-1)</f>
        <v>-1</v>
      </c>
      <c r="L246" s="3">
        <f t="shared" ca="1" si="46"/>
        <v>50</v>
      </c>
      <c r="M246" s="18">
        <f ca="1">IF(LOOKUP(G246,$H$3:$H$4,$E$3:$E$4)=1,50,_Media_M + J246*_Sigma)</f>
        <v>50</v>
      </c>
      <c r="N246" s="36">
        <f t="shared" ca="1" si="47"/>
        <v>43.654101349350853</v>
      </c>
      <c r="O246" s="35">
        <f t="shared" ca="1" si="53"/>
        <v>93.654101349350853</v>
      </c>
      <c r="P246" s="19">
        <f t="shared" ca="1" si="49"/>
        <v>93.654101349350853</v>
      </c>
      <c r="Q246" s="20">
        <f ca="1" xml:space="preserve"> P246*_Precio_cafe</f>
        <v>140.48115202402627</v>
      </c>
      <c r="R246" s="20">
        <f t="shared" ca="1" si="50"/>
        <v>32494.780828501185</v>
      </c>
      <c r="S246" s="20">
        <f ca="1">(1/A246)*((A246-1)*S245 +Q246)</f>
        <v>141.28165577609198</v>
      </c>
      <c r="T246" s="20">
        <f ca="1">IF((T245-P246+F246)&gt;_Max_Stock_Gramos,_Max_Stock_Gramos,T245-P246+F246)</f>
        <v>1700</v>
      </c>
      <c r="U246" s="20">
        <f ca="1">T246/_GramosXFrasco</f>
        <v>10</v>
      </c>
      <c r="V246" s="58">
        <f ca="1">(T246/_Max_Stock_Gramos)</f>
        <v>1</v>
      </c>
      <c r="W246" s="58"/>
      <c r="X246" s="10">
        <f ca="1">IF((T245-O246)&lt;0,(T245-O246)*_Costo_Faltante,0)</f>
        <v>0</v>
      </c>
      <c r="Y246">
        <f ca="1">IF(B246=0,E246*_Costo_Frasco,0)</f>
        <v>-500</v>
      </c>
      <c r="Z246" s="11">
        <f t="shared" ca="1" si="51"/>
        <v>-31000</v>
      </c>
    </row>
    <row r="247" spans="1:26" x14ac:dyDescent="0.25">
      <c r="A247" s="30">
        <f t="shared" si="48"/>
        <v>231</v>
      </c>
      <c r="B247" s="10">
        <f>IF(B246=0,_Proxima_Compra,B246-1)</f>
        <v>1</v>
      </c>
      <c r="C247" s="3">
        <f t="shared" ca="1" si="41"/>
        <v>-1</v>
      </c>
      <c r="D247" s="3">
        <f ca="1">IF(D246&gt;0,D246-1,IF(C247&gt;0,LOOKUP(C247,$S$3:$S$5,$P$3:$P$5),-1))</f>
        <v>-1</v>
      </c>
      <c r="E247" s="25">
        <f t="shared" ca="1" si="42"/>
        <v>0</v>
      </c>
      <c r="F247" s="28">
        <f ca="1">E247*_GramosXFrasco</f>
        <v>0</v>
      </c>
      <c r="G247" s="38">
        <f t="shared" ca="1" si="43"/>
        <v>0.42227718196374209</v>
      </c>
      <c r="H247" s="36">
        <f t="shared" ca="1" si="44"/>
        <v>-1</v>
      </c>
      <c r="I247" s="36">
        <f t="shared" ca="1" si="45"/>
        <v>-1</v>
      </c>
      <c r="J247" s="36">
        <f t="shared" ca="1" si="52"/>
        <v>-1</v>
      </c>
      <c r="K247" s="37">
        <f ca="1">IF(J247&lt;&gt;-1,_Media_M + J247*_Sigma,-1)</f>
        <v>-1</v>
      </c>
      <c r="L247" s="3">
        <f t="shared" ca="1" si="46"/>
        <v>50</v>
      </c>
      <c r="M247" s="18">
        <f ca="1">IF(LOOKUP(G247,$H$3:$H$4,$E$3:$E$4)=1,50,_Media_M + J247*_Sigma)</f>
        <v>50</v>
      </c>
      <c r="N247" s="36">
        <f t="shared" ca="1" si="47"/>
        <v>11.616948383962276</v>
      </c>
      <c r="O247" s="35">
        <f t="shared" ca="1" si="53"/>
        <v>61.616948383962274</v>
      </c>
      <c r="P247" s="19">
        <f t="shared" ca="1" si="49"/>
        <v>61.616948383962274</v>
      </c>
      <c r="Q247" s="20">
        <f ca="1" xml:space="preserve"> P247*_Precio_cafe</f>
        <v>92.425422575943415</v>
      </c>
      <c r="R247" s="20">
        <f t="shared" ca="1" si="50"/>
        <v>32587.206251077128</v>
      </c>
      <c r="S247" s="20">
        <f ca="1">(1/A247)*((A247-1)*S246 +Q247)</f>
        <v>141.0701569310697</v>
      </c>
      <c r="T247" s="20">
        <f ca="1">IF((T246-P247+F247)&gt;_Max_Stock_Gramos,_Max_Stock_Gramos,T246-P247+F247)</f>
        <v>1638.3830516160376</v>
      </c>
      <c r="U247" s="20">
        <f ca="1">T247/_GramosXFrasco</f>
        <v>9.6375473624472807</v>
      </c>
      <c r="V247" s="58">
        <f ca="1">(T247/_Max_Stock_Gramos)</f>
        <v>0.96375473624472796</v>
      </c>
      <c r="W247" s="58"/>
      <c r="X247" s="10">
        <f ca="1">IF((T246-O247)&lt;0,(T246-O247)*_Costo_Faltante,0)</f>
        <v>0</v>
      </c>
      <c r="Y247">
        <f>IF(B247=0,E247*_Costo_Frasco,0)</f>
        <v>0</v>
      </c>
      <c r="Z247" s="11">
        <f t="shared" ca="1" si="51"/>
        <v>-31000</v>
      </c>
    </row>
    <row r="248" spans="1:26" x14ac:dyDescent="0.25">
      <c r="A248" s="30">
        <f t="shared" si="48"/>
        <v>232</v>
      </c>
      <c r="B248" s="10">
        <f>IF(B247=0,_Proxima_Compra,B247-1)</f>
        <v>0</v>
      </c>
      <c r="C248" s="3">
        <f t="shared" ca="1" si="41"/>
        <v>0.79106721124643609</v>
      </c>
      <c r="D248" s="3">
        <f ca="1">IF(D247&gt;0,D247-1,IF(C248&gt;0,LOOKUP(C248,$S$3:$S$5,$P$3:$P$5),-1))</f>
        <v>2</v>
      </c>
      <c r="E248" s="25">
        <f t="shared" ca="1" si="42"/>
        <v>0</v>
      </c>
      <c r="F248" s="28">
        <f ca="1">E248*_GramosXFrasco</f>
        <v>0</v>
      </c>
      <c r="G248" s="38">
        <f t="shared" ca="1" si="43"/>
        <v>0.22241321566035499</v>
      </c>
      <c r="H248" s="36">
        <f t="shared" ca="1" si="44"/>
        <v>-1</v>
      </c>
      <c r="I248" s="36">
        <f t="shared" ca="1" si="45"/>
        <v>-1</v>
      </c>
      <c r="J248" s="36">
        <f t="shared" ca="1" si="52"/>
        <v>-1</v>
      </c>
      <c r="K248" s="37">
        <f ca="1">IF(J248&lt;&gt;-1,_Media_M + J248*_Sigma,-1)</f>
        <v>-1</v>
      </c>
      <c r="L248" s="3">
        <f t="shared" ca="1" si="46"/>
        <v>50</v>
      </c>
      <c r="M248" s="18">
        <f ca="1">IF(LOOKUP(G248,$H$3:$H$4,$E$3:$E$4)=1,50,_Media_M + J248*_Sigma)</f>
        <v>50</v>
      </c>
      <c r="N248" s="36">
        <f t="shared" ca="1" si="47"/>
        <v>41.207459123336335</v>
      </c>
      <c r="O248" s="35">
        <f t="shared" ca="1" si="53"/>
        <v>91.207459123336335</v>
      </c>
      <c r="P248" s="19">
        <f t="shared" ca="1" si="49"/>
        <v>91.207459123336335</v>
      </c>
      <c r="Q248" s="20">
        <f ca="1" xml:space="preserve"> P248*_Precio_cafe</f>
        <v>136.81118868500451</v>
      </c>
      <c r="R248" s="20">
        <f t="shared" ca="1" si="50"/>
        <v>32724.017439762134</v>
      </c>
      <c r="S248" s="20">
        <f ca="1">(1/A248)*((A248-1)*S247 +Q248)</f>
        <v>141.05179930931942</v>
      </c>
      <c r="T248" s="20">
        <f ca="1">IF((T247-P248+F248)&gt;_Max_Stock_Gramos,_Max_Stock_Gramos,T247-P248+F248)</f>
        <v>1547.1755924927013</v>
      </c>
      <c r="U248" s="20">
        <f ca="1">T248/_GramosXFrasco</f>
        <v>9.1010328970158891</v>
      </c>
      <c r="V248" s="58">
        <f ca="1">(T248/_Max_Stock_Gramos)</f>
        <v>0.91010328970158905</v>
      </c>
      <c r="W248" s="58"/>
      <c r="X248" s="10">
        <f ca="1">IF((T247-O248)&lt;0,(T247-O248)*_Costo_Faltante,0)</f>
        <v>0</v>
      </c>
      <c r="Y248">
        <f ca="1">IF(B248=0,E248*_Costo_Frasco,0)</f>
        <v>0</v>
      </c>
      <c r="Z248" s="11">
        <f t="shared" ca="1" si="51"/>
        <v>-31000</v>
      </c>
    </row>
    <row r="249" spans="1:26" x14ac:dyDescent="0.25">
      <c r="A249" s="30">
        <f t="shared" si="48"/>
        <v>233</v>
      </c>
      <c r="B249" s="10">
        <f>IF(B248=0,_Proxima_Compra,B248-1)</f>
        <v>1</v>
      </c>
      <c r="C249" s="3">
        <f t="shared" ca="1" si="41"/>
        <v>-1</v>
      </c>
      <c r="D249" s="3">
        <f ca="1">IF(D248&gt;0,D248-1,IF(C249&gt;0,LOOKUP(C249,$S$3:$S$5,$P$3:$P$5),-1))</f>
        <v>1</v>
      </c>
      <c r="E249" s="25">
        <f t="shared" ca="1" si="42"/>
        <v>0</v>
      </c>
      <c r="F249" s="28">
        <f ca="1">E249*_GramosXFrasco</f>
        <v>0</v>
      </c>
      <c r="G249" s="38">
        <f t="shared" ca="1" si="43"/>
        <v>0.24045798537016261</v>
      </c>
      <c r="H249" s="36">
        <f t="shared" ca="1" si="44"/>
        <v>-1</v>
      </c>
      <c r="I249" s="36">
        <f t="shared" ca="1" si="45"/>
        <v>-1</v>
      </c>
      <c r="J249" s="36">
        <f t="shared" ca="1" si="52"/>
        <v>-1</v>
      </c>
      <c r="K249" s="37">
        <f ca="1">IF(J249&lt;&gt;-1,_Media_M + J249*_Sigma,-1)</f>
        <v>-1</v>
      </c>
      <c r="L249" s="3">
        <f t="shared" ca="1" si="46"/>
        <v>50</v>
      </c>
      <c r="M249" s="18">
        <f ca="1">IF(LOOKUP(G249,$H$3:$H$4,$E$3:$E$4)=1,50,_Media_M + J249*_Sigma)</f>
        <v>50</v>
      </c>
      <c r="N249" s="36">
        <f t="shared" ca="1" si="47"/>
        <v>76.502914614576511</v>
      </c>
      <c r="O249" s="35">
        <f t="shared" ca="1" si="53"/>
        <v>126.50291461457651</v>
      </c>
      <c r="P249" s="19">
        <f t="shared" ca="1" si="49"/>
        <v>126.50291461457651</v>
      </c>
      <c r="Q249" s="20">
        <f ca="1" xml:space="preserve"> P249*_Precio_cafe</f>
        <v>189.75437192186476</v>
      </c>
      <c r="R249" s="20">
        <f t="shared" ca="1" si="50"/>
        <v>32913.771811683997</v>
      </c>
      <c r="S249" s="20">
        <f ca="1">(1/A249)*((A249-1)*S248 +Q249)</f>
        <v>141.26082322611146</v>
      </c>
      <c r="T249" s="20">
        <f ca="1">IF((T248-P249+F249)&gt;_Max_Stock_Gramos,_Max_Stock_Gramos,T248-P249+F249)</f>
        <v>1420.6726778781249</v>
      </c>
      <c r="U249" s="20">
        <f ca="1">T249/_GramosXFrasco</f>
        <v>8.3568981051654401</v>
      </c>
      <c r="V249" s="58">
        <f ca="1">(T249/_Max_Stock_Gramos)</f>
        <v>0.83568981051654401</v>
      </c>
      <c r="W249" s="58"/>
      <c r="X249" s="10">
        <f ca="1">IF((T248-O249)&lt;0,(T248-O249)*_Costo_Faltante,0)</f>
        <v>0</v>
      </c>
      <c r="Y249">
        <f>IF(B249=0,E249*_Costo_Frasco,0)</f>
        <v>0</v>
      </c>
      <c r="Z249" s="11">
        <f t="shared" ca="1" si="51"/>
        <v>-31000</v>
      </c>
    </row>
    <row r="250" spans="1:26" x14ac:dyDescent="0.25">
      <c r="A250" s="30">
        <f t="shared" si="48"/>
        <v>234</v>
      </c>
      <c r="B250" s="10">
        <f>IF(B249=0,_Proxima_Compra,B249-1)</f>
        <v>0</v>
      </c>
      <c r="C250" s="3">
        <f t="shared" ca="1" si="41"/>
        <v>0.13448442348972123</v>
      </c>
      <c r="D250" s="3">
        <f ca="1">IF(D249&gt;0,D249-1,IF(C250&gt;0,LOOKUP(C250,$S$3:$S$5,$P$3:$P$5),-1))</f>
        <v>0</v>
      </c>
      <c r="E250" s="25">
        <f t="shared" ca="1" si="42"/>
        <v>2</v>
      </c>
      <c r="F250" s="28">
        <f ca="1">E250*_GramosXFrasco</f>
        <v>340</v>
      </c>
      <c r="G250" s="38">
        <f t="shared" ca="1" si="43"/>
        <v>0.24488017568739484</v>
      </c>
      <c r="H250" s="36">
        <f t="shared" ca="1" si="44"/>
        <v>-1</v>
      </c>
      <c r="I250" s="36">
        <f t="shared" ca="1" si="45"/>
        <v>-1</v>
      </c>
      <c r="J250" s="36">
        <f t="shared" ca="1" si="52"/>
        <v>-1</v>
      </c>
      <c r="K250" s="37">
        <f ca="1">IF(J250&lt;&gt;-1,_Media_M + J250*_Sigma,-1)</f>
        <v>-1</v>
      </c>
      <c r="L250" s="3">
        <f t="shared" ca="1" si="46"/>
        <v>50</v>
      </c>
      <c r="M250" s="18">
        <f ca="1">IF(LOOKUP(G250,$H$3:$H$4,$E$3:$E$4)=1,50,_Media_M + J250*_Sigma)</f>
        <v>50</v>
      </c>
      <c r="N250" s="36">
        <f t="shared" ca="1" si="47"/>
        <v>44.96021230695515</v>
      </c>
      <c r="O250" s="35">
        <f t="shared" ca="1" si="53"/>
        <v>94.960212306955157</v>
      </c>
      <c r="P250" s="19">
        <f t="shared" ca="1" si="49"/>
        <v>94.960212306955157</v>
      </c>
      <c r="Q250" s="20">
        <f ca="1" xml:space="preserve"> P250*_Precio_cafe</f>
        <v>142.44031846043274</v>
      </c>
      <c r="R250" s="20">
        <f t="shared" ca="1" si="50"/>
        <v>33056.212130144428</v>
      </c>
      <c r="S250" s="20">
        <f ca="1">(1/A250)*((A250-1)*S249 +Q250)</f>
        <v>141.26586380403592</v>
      </c>
      <c r="T250" s="20">
        <f ca="1">IF((T249-P250+F250)&gt;_Max_Stock_Gramos,_Max_Stock_Gramos,T249-P250+F250)</f>
        <v>1665.7124655711698</v>
      </c>
      <c r="U250" s="20">
        <f ca="1">T250/_GramosXFrasco</f>
        <v>9.7983086210068819</v>
      </c>
      <c r="V250" s="58">
        <f ca="1">(T250/_Max_Stock_Gramos)</f>
        <v>0.97983086210068815</v>
      </c>
      <c r="W250" s="58"/>
      <c r="X250" s="10">
        <f ca="1">IF((T249-O250)&lt;0,(T249-O250)*_Costo_Faltante,0)</f>
        <v>0</v>
      </c>
      <c r="Y250">
        <f ca="1">IF(B250=0,E250*_Costo_Frasco,0)</f>
        <v>-500</v>
      </c>
      <c r="Z250" s="11">
        <f t="shared" ca="1" si="51"/>
        <v>-31500</v>
      </c>
    </row>
    <row r="251" spans="1:26" x14ac:dyDescent="0.25">
      <c r="A251" s="30">
        <f t="shared" si="48"/>
        <v>235</v>
      </c>
      <c r="B251" s="10">
        <f>IF(B250=0,_Proxima_Compra,B250-1)</f>
        <v>1</v>
      </c>
      <c r="C251" s="3">
        <f t="shared" ca="1" si="41"/>
        <v>-1</v>
      </c>
      <c r="D251" s="3">
        <f ca="1">IF(D250&gt;0,D250-1,IF(C251&gt;0,LOOKUP(C251,$S$3:$S$5,$P$3:$P$5),-1))</f>
        <v>-1</v>
      </c>
      <c r="E251" s="25">
        <f t="shared" ca="1" si="42"/>
        <v>0</v>
      </c>
      <c r="F251" s="28">
        <f ca="1">E251*_GramosXFrasco</f>
        <v>0</v>
      </c>
      <c r="G251" s="38">
        <f t="shared" ca="1" si="43"/>
        <v>0.69271144879196278</v>
      </c>
      <c r="H251" s="36">
        <f t="shared" ca="1" si="44"/>
        <v>0.57626108260922537</v>
      </c>
      <c r="I251" s="36">
        <f t="shared" ca="1" si="45"/>
        <v>0.40708071336483009</v>
      </c>
      <c r="J251" s="36">
        <f t="shared" ca="1" si="52"/>
        <v>-0.7205508389250076</v>
      </c>
      <c r="K251" s="37">
        <f ca="1">IF(J251&lt;&gt;-1,_Media_M + J251*_Sigma,-1)</f>
        <v>64.19173741612488</v>
      </c>
      <c r="L251" s="3">
        <f t="shared" ca="1" si="46"/>
        <v>-1</v>
      </c>
      <c r="M251" s="18">
        <f ca="1">IF(LOOKUP(G251,$H$3:$H$4,$E$3:$E$4)=1,50,_Media_M + J251*_Sigma)</f>
        <v>64.19173741612488</v>
      </c>
      <c r="N251" s="36">
        <f t="shared" ca="1" si="47"/>
        <v>21.577940395237519</v>
      </c>
      <c r="O251" s="35">
        <f t="shared" ca="1" si="53"/>
        <v>85.769677811362399</v>
      </c>
      <c r="P251" s="19">
        <f t="shared" ca="1" si="49"/>
        <v>85.769677811362399</v>
      </c>
      <c r="Q251" s="20">
        <f ca="1" xml:space="preserve"> P251*_Precio_cafe</f>
        <v>128.65451671704361</v>
      </c>
      <c r="R251" s="20">
        <f t="shared" ca="1" si="50"/>
        <v>33184.866646861468</v>
      </c>
      <c r="S251" s="20">
        <f ca="1">(1/A251)*((A251-1)*S250 +Q251)</f>
        <v>141.21219849728274</v>
      </c>
      <c r="T251" s="20">
        <f ca="1">IF((T250-P251+F251)&gt;_Max_Stock_Gramos,_Max_Stock_Gramos,T250-P251+F251)</f>
        <v>1579.9427877598073</v>
      </c>
      <c r="U251" s="20">
        <f ca="1">T251/_GramosXFrasco</f>
        <v>9.2937811044694545</v>
      </c>
      <c r="V251" s="58">
        <f ca="1">(T251/_Max_Stock_Gramos)</f>
        <v>0.92937811044694552</v>
      </c>
      <c r="W251" s="58"/>
      <c r="X251" s="10">
        <f ca="1">IF((T250-O251)&lt;0,(T250-O251)*_Costo_Faltante,0)</f>
        <v>0</v>
      </c>
      <c r="Y251">
        <f>IF(B251=0,E251*_Costo_Frasco,0)</f>
        <v>0</v>
      </c>
      <c r="Z251" s="11">
        <f t="shared" ca="1" si="51"/>
        <v>-31500</v>
      </c>
    </row>
    <row r="252" spans="1:26" x14ac:dyDescent="0.25">
      <c r="A252" s="30">
        <f t="shared" si="48"/>
        <v>236</v>
      </c>
      <c r="B252" s="10">
        <f>IF(B251=0,_Proxima_Compra,B251-1)</f>
        <v>0</v>
      </c>
      <c r="C252" s="3">
        <f t="shared" ca="1" si="41"/>
        <v>0.17708913243364865</v>
      </c>
      <c r="D252" s="3">
        <f ca="1">IF(D251&gt;0,D251-1,IF(C252&gt;0,LOOKUP(C252,$S$3:$S$5,$P$3:$P$5),-1))</f>
        <v>0</v>
      </c>
      <c r="E252" s="25">
        <f t="shared" ca="1" si="42"/>
        <v>2</v>
      </c>
      <c r="F252" s="28">
        <f ca="1">E252*_GramosXFrasco</f>
        <v>340</v>
      </c>
      <c r="G252" s="38">
        <f t="shared" ca="1" si="43"/>
        <v>7.8862578523968163E-2</v>
      </c>
      <c r="H252" s="36">
        <f t="shared" ca="1" si="44"/>
        <v>-1</v>
      </c>
      <c r="I252" s="36">
        <f t="shared" ca="1" si="45"/>
        <v>-1</v>
      </c>
      <c r="J252" s="36">
        <f t="shared" ca="1" si="52"/>
        <v>-1</v>
      </c>
      <c r="K252" s="37">
        <f ca="1">IF(J252&lt;&gt;-1,_Media_M + J252*_Sigma,-1)</f>
        <v>-1</v>
      </c>
      <c r="L252" s="3">
        <f t="shared" ca="1" si="46"/>
        <v>50</v>
      </c>
      <c r="M252" s="18">
        <f ca="1">IF(LOOKUP(G252,$H$3:$H$4,$E$3:$E$4)=1,50,_Media_M + J252*_Sigma)</f>
        <v>50</v>
      </c>
      <c r="N252" s="36">
        <f t="shared" ca="1" si="47"/>
        <v>107.47419395395346</v>
      </c>
      <c r="O252" s="35">
        <f t="shared" ca="1" si="53"/>
        <v>157.47419395395346</v>
      </c>
      <c r="P252" s="19">
        <f t="shared" ca="1" si="49"/>
        <v>157.47419395395346</v>
      </c>
      <c r="Q252" s="20">
        <f ca="1" xml:space="preserve"> P252*_Precio_cafe</f>
        <v>236.2112909309302</v>
      </c>
      <c r="R252" s="20">
        <f t="shared" ca="1" si="50"/>
        <v>33421.077937792397</v>
      </c>
      <c r="S252" s="20">
        <f ca="1">(1/A252)*((A252-1)*S251 +Q252)</f>
        <v>141.61473702454396</v>
      </c>
      <c r="T252" s="20">
        <f ca="1">IF((T251-P252+F252)&gt;_Max_Stock_Gramos,_Max_Stock_Gramos,T251-P252+F252)</f>
        <v>1700</v>
      </c>
      <c r="U252" s="20">
        <f ca="1">T252/_GramosXFrasco</f>
        <v>10</v>
      </c>
      <c r="V252" s="58">
        <f ca="1">(T252/_Max_Stock_Gramos)</f>
        <v>1</v>
      </c>
      <c r="W252" s="58"/>
      <c r="X252" s="10">
        <f ca="1">IF((T251-O252)&lt;0,(T251-O252)*_Costo_Faltante,0)</f>
        <v>0</v>
      </c>
      <c r="Y252">
        <f ca="1">IF(B252=0,E252*_Costo_Frasco,0)</f>
        <v>-500</v>
      </c>
      <c r="Z252" s="11">
        <f t="shared" ca="1" si="51"/>
        <v>-32000</v>
      </c>
    </row>
    <row r="253" spans="1:26" x14ac:dyDescent="0.25">
      <c r="A253" s="30">
        <f t="shared" si="48"/>
        <v>237</v>
      </c>
      <c r="B253" s="10">
        <f>IF(B252=0,_Proxima_Compra,B252-1)</f>
        <v>1</v>
      </c>
      <c r="C253" s="3">
        <f t="shared" ca="1" si="41"/>
        <v>-1</v>
      </c>
      <c r="D253" s="3">
        <f ca="1">IF(D252&gt;0,D252-1,IF(C253&gt;0,LOOKUP(C253,$S$3:$S$5,$P$3:$P$5),-1))</f>
        <v>-1</v>
      </c>
      <c r="E253" s="25">
        <f t="shared" ca="1" si="42"/>
        <v>0</v>
      </c>
      <c r="F253" s="28">
        <f ca="1">E253*_GramosXFrasco</f>
        <v>0</v>
      </c>
      <c r="G253" s="38">
        <f t="shared" ca="1" si="43"/>
        <v>0.93684043397032279</v>
      </c>
      <c r="H253" s="36">
        <f t="shared" ca="1" si="44"/>
        <v>5.1782244599979599E-2</v>
      </c>
      <c r="I253" s="36">
        <f t="shared" ca="1" si="45"/>
        <v>0.73046124889232833</v>
      </c>
      <c r="J253" s="36">
        <f t="shared" ca="1" si="52"/>
        <v>-2.6316625871129821E-2</v>
      </c>
      <c r="K253" s="37">
        <f ca="1">IF(J253&lt;&gt;-1,_Media_M + J253*_Sigma,-1)</f>
        <v>74.605250611933059</v>
      </c>
      <c r="L253" s="3">
        <f t="shared" ca="1" si="46"/>
        <v>-1</v>
      </c>
      <c r="M253" s="18">
        <f ca="1">IF(LOOKUP(G253,$H$3:$H$4,$E$3:$E$4)=1,50,_Media_M + J253*_Sigma)</f>
        <v>74.605250611933059</v>
      </c>
      <c r="N253" s="36">
        <f t="shared" ca="1" si="47"/>
        <v>4.6761356268969978</v>
      </c>
      <c r="O253" s="35">
        <f t="shared" ca="1" si="53"/>
        <v>79.281386238830052</v>
      </c>
      <c r="P253" s="19">
        <f t="shared" ca="1" si="49"/>
        <v>79.281386238830052</v>
      </c>
      <c r="Q253" s="20">
        <f ca="1" xml:space="preserve"> P253*_Precio_cafe</f>
        <v>118.92207935824507</v>
      </c>
      <c r="R253" s="20">
        <f t="shared" ca="1" si="50"/>
        <v>33540.00001715064</v>
      </c>
      <c r="S253" s="20">
        <f ca="1">(1/A253)*((A253-1)*S252 +Q253)</f>
        <v>141.51898741413763</v>
      </c>
      <c r="T253" s="20">
        <f ca="1">IF((T252-P253+F253)&gt;_Max_Stock_Gramos,_Max_Stock_Gramos,T252-P253+F253)</f>
        <v>1620.71861376117</v>
      </c>
      <c r="U253" s="20">
        <f ca="1">T253/_GramosXFrasco</f>
        <v>9.5336389044774705</v>
      </c>
      <c r="V253" s="58">
        <f ca="1">(T253/_Max_Stock_Gramos)</f>
        <v>0.95336389044774705</v>
      </c>
      <c r="W253" s="58"/>
      <c r="X253" s="10">
        <f ca="1">IF((T252-O253)&lt;0,(T252-O253)*_Costo_Faltante,0)</f>
        <v>0</v>
      </c>
      <c r="Y253">
        <f>IF(B253=0,E253*_Costo_Frasco,0)</f>
        <v>0</v>
      </c>
      <c r="Z253" s="11">
        <f t="shared" ca="1" si="51"/>
        <v>-32000</v>
      </c>
    </row>
    <row r="254" spans="1:26" x14ac:dyDescent="0.25">
      <c r="A254" s="30">
        <f t="shared" si="48"/>
        <v>238</v>
      </c>
      <c r="B254" s="10">
        <f>IF(B253=0,_Proxima_Compra,B253-1)</f>
        <v>0</v>
      </c>
      <c r="C254" s="3">
        <f t="shared" ca="1" si="41"/>
        <v>5.2227860587398034E-2</v>
      </c>
      <c r="D254" s="3">
        <f ca="1">IF(D253&gt;0,D253-1,IF(C254&gt;0,LOOKUP(C254,$S$3:$S$5,$P$3:$P$5),-1))</f>
        <v>0</v>
      </c>
      <c r="E254" s="25">
        <f t="shared" ca="1" si="42"/>
        <v>2</v>
      </c>
      <c r="F254" s="28">
        <f ca="1">E254*_GramosXFrasco</f>
        <v>340</v>
      </c>
      <c r="G254" s="38">
        <f t="shared" ca="1" si="43"/>
        <v>4.7048152973303115E-2</v>
      </c>
      <c r="H254" s="36">
        <f t="shared" ca="1" si="44"/>
        <v>-1</v>
      </c>
      <c r="I254" s="36">
        <f t="shared" ca="1" si="45"/>
        <v>-1</v>
      </c>
      <c r="J254" s="36">
        <f t="shared" ca="1" si="52"/>
        <v>-1</v>
      </c>
      <c r="K254" s="37">
        <f ca="1">IF(J254&lt;&gt;-1,_Media_M + J254*_Sigma,-1)</f>
        <v>-1</v>
      </c>
      <c r="L254" s="3">
        <f t="shared" ca="1" si="46"/>
        <v>50</v>
      </c>
      <c r="M254" s="18">
        <f ca="1">IF(LOOKUP(G254,$H$3:$H$4,$E$3:$E$4)=1,50,_Media_M + J254*_Sigma)</f>
        <v>50</v>
      </c>
      <c r="N254" s="36">
        <f t="shared" ca="1" si="47"/>
        <v>11.130969862241225</v>
      </c>
      <c r="O254" s="35">
        <f t="shared" ca="1" si="53"/>
        <v>61.130969862241223</v>
      </c>
      <c r="P254" s="19">
        <f t="shared" ca="1" si="49"/>
        <v>61.130969862241223</v>
      </c>
      <c r="Q254" s="20">
        <f ca="1" xml:space="preserve"> P254*_Precio_cafe</f>
        <v>91.696454793361838</v>
      </c>
      <c r="R254" s="20">
        <f t="shared" ca="1" si="50"/>
        <v>33631.696471944</v>
      </c>
      <c r="S254" s="20">
        <f ca="1">(1/A254)*((A254-1)*S253 +Q254)</f>
        <v>141.30964904178143</v>
      </c>
      <c r="T254" s="20">
        <f ca="1">IF((T253-P254+F254)&gt;_Max_Stock_Gramos,_Max_Stock_Gramos,T253-P254+F254)</f>
        <v>1700</v>
      </c>
      <c r="U254" s="20">
        <f ca="1">T254/_GramosXFrasco</f>
        <v>10</v>
      </c>
      <c r="V254" s="58">
        <f ca="1">(T254/_Max_Stock_Gramos)</f>
        <v>1</v>
      </c>
      <c r="W254" s="58"/>
      <c r="X254" s="10">
        <f ca="1">IF((T253-O254)&lt;0,(T253-O254)*_Costo_Faltante,0)</f>
        <v>0</v>
      </c>
      <c r="Y254">
        <f ca="1">IF(B254=0,E254*_Costo_Frasco,0)</f>
        <v>-500</v>
      </c>
      <c r="Z254" s="11">
        <f t="shared" ca="1" si="51"/>
        <v>-32500</v>
      </c>
    </row>
    <row r="255" spans="1:26" x14ac:dyDescent="0.25">
      <c r="A255" s="30">
        <f t="shared" si="48"/>
        <v>239</v>
      </c>
      <c r="B255" s="10">
        <f>IF(B254=0,_Proxima_Compra,B254-1)</f>
        <v>1</v>
      </c>
      <c r="C255" s="3">
        <f t="shared" ca="1" si="41"/>
        <v>-1</v>
      </c>
      <c r="D255" s="3">
        <f ca="1">IF(D254&gt;0,D254-1,IF(C255&gt;0,LOOKUP(C255,$S$3:$S$5,$P$3:$P$5),-1))</f>
        <v>-1</v>
      </c>
      <c r="E255" s="25">
        <f t="shared" ca="1" si="42"/>
        <v>0</v>
      </c>
      <c r="F255" s="28">
        <f ca="1">E255*_GramosXFrasco</f>
        <v>0</v>
      </c>
      <c r="G255" s="38">
        <f t="shared" ca="1" si="43"/>
        <v>0.96637072298206139</v>
      </c>
      <c r="H255" s="36">
        <f t="shared" ca="1" si="44"/>
        <v>0.24529392951451845</v>
      </c>
      <c r="I255" s="36">
        <f t="shared" ca="1" si="45"/>
        <v>0.5747706217621591</v>
      </c>
      <c r="J255" s="36">
        <f t="shared" ca="1" si="52"/>
        <v>-0.44084833607333296</v>
      </c>
      <c r="K255" s="37">
        <f ca="1">IF(J255&lt;&gt;-1,_Media_M + J255*_Sigma,-1)</f>
        <v>68.387274958900008</v>
      </c>
      <c r="L255" s="3">
        <f t="shared" ca="1" si="46"/>
        <v>-1</v>
      </c>
      <c r="M255" s="18">
        <f ca="1">IF(LOOKUP(G255,$H$3:$H$4,$E$3:$E$4)=1,50,_Media_M + J255*_Sigma)</f>
        <v>68.387274958900008</v>
      </c>
      <c r="N255" s="36">
        <f t="shared" ca="1" si="47"/>
        <v>14.441591737304039</v>
      </c>
      <c r="O255" s="35">
        <f t="shared" ca="1" si="53"/>
        <v>82.828866696204045</v>
      </c>
      <c r="P255" s="19">
        <f t="shared" ca="1" si="49"/>
        <v>82.828866696204045</v>
      </c>
      <c r="Q255" s="20">
        <f ca="1" xml:space="preserve"> P255*_Precio_cafe</f>
        <v>124.24330004430607</v>
      </c>
      <c r="R255" s="20">
        <f t="shared" ca="1" si="50"/>
        <v>33755.939771988305</v>
      </c>
      <c r="S255" s="20">
        <f ca="1">(1/A255)*((A255-1)*S254 +Q255)</f>
        <v>141.23824172380034</v>
      </c>
      <c r="T255" s="20">
        <f ca="1">IF((T254-P255+F255)&gt;_Max_Stock_Gramos,_Max_Stock_Gramos,T254-P255+F255)</f>
        <v>1617.1711333037961</v>
      </c>
      <c r="U255" s="20">
        <f ca="1">T255/_GramosXFrasco</f>
        <v>9.5127713723752709</v>
      </c>
      <c r="V255" s="58">
        <f ca="1">(T255/_Max_Stock_Gramos)</f>
        <v>0.95127713723752705</v>
      </c>
      <c r="W255" s="58"/>
      <c r="X255" s="10">
        <f ca="1">IF((T254-O255)&lt;0,(T254-O255)*_Costo_Faltante,0)</f>
        <v>0</v>
      </c>
      <c r="Y255">
        <f>IF(B255=0,E255*_Costo_Frasco,0)</f>
        <v>0</v>
      </c>
      <c r="Z255" s="11">
        <f t="shared" ca="1" si="51"/>
        <v>-32500</v>
      </c>
    </row>
    <row r="256" spans="1:26" x14ac:dyDescent="0.25">
      <c r="A256" s="30">
        <f t="shared" si="48"/>
        <v>240</v>
      </c>
      <c r="B256" s="10">
        <f>IF(B255=0,_Proxima_Compra,B255-1)</f>
        <v>0</v>
      </c>
      <c r="C256" s="3">
        <f t="shared" ca="1" si="41"/>
        <v>0.60576638823214324</v>
      </c>
      <c r="D256" s="3">
        <f ca="1">IF(D255&gt;0,D255-1,IF(C256&gt;0,LOOKUP(C256,$S$3:$S$5,$P$3:$P$5),-1))</f>
        <v>1</v>
      </c>
      <c r="E256" s="25">
        <f t="shared" ca="1" si="42"/>
        <v>0</v>
      </c>
      <c r="F256" s="28">
        <f ca="1">E256*_GramosXFrasco</f>
        <v>0</v>
      </c>
      <c r="G256" s="38">
        <f t="shared" ca="1" si="43"/>
        <v>0.86381317267171087</v>
      </c>
      <c r="H256" s="36">
        <f t="shared" ca="1" si="44"/>
        <v>0.38906009702434996</v>
      </c>
      <c r="I256" s="36">
        <f t="shared" ca="1" si="45"/>
        <v>0.97102686396984161</v>
      </c>
      <c r="J256" s="36">
        <f t="shared" ca="1" si="52"/>
        <v>0.64340892779051839</v>
      </c>
      <c r="K256" s="37">
        <f ca="1">IF(J256&lt;&gt;-1,_Media_M + J256*_Sigma,-1)</f>
        <v>84.651133916857773</v>
      </c>
      <c r="L256" s="3">
        <f t="shared" ca="1" si="46"/>
        <v>-1</v>
      </c>
      <c r="M256" s="18">
        <f ca="1">IF(LOOKUP(G256,$H$3:$H$4,$E$3:$E$4)=1,50,_Media_M + J256*_Sigma)</f>
        <v>84.651133916857773</v>
      </c>
      <c r="N256" s="36">
        <f t="shared" ca="1" si="47"/>
        <v>34.588717062183129</v>
      </c>
      <c r="O256" s="35">
        <f t="shared" ca="1" si="53"/>
        <v>119.23985097904091</v>
      </c>
      <c r="P256" s="19">
        <f t="shared" ca="1" si="49"/>
        <v>119.23985097904091</v>
      </c>
      <c r="Q256" s="20">
        <f ca="1" xml:space="preserve"> P256*_Precio_cafe</f>
        <v>178.85977646856136</v>
      </c>
      <c r="R256" s="20">
        <f t="shared" ca="1" si="50"/>
        <v>33934.799548456867</v>
      </c>
      <c r="S256" s="20">
        <f ca="1">(1/A256)*((A256-1)*S255 +Q256)</f>
        <v>141.39499811857019</v>
      </c>
      <c r="T256" s="20">
        <f ca="1">IF((T255-P256+F256)&gt;_Max_Stock_Gramos,_Max_Stock_Gramos,T255-P256+F256)</f>
        <v>1497.9312823247551</v>
      </c>
      <c r="U256" s="20">
        <f ca="1">T256/_GramosXFrasco</f>
        <v>8.8113604842632647</v>
      </c>
      <c r="V256" s="58">
        <f ca="1">(T256/_Max_Stock_Gramos)</f>
        <v>0.88113604842632653</v>
      </c>
      <c r="W256" s="58"/>
      <c r="X256" s="10">
        <f ca="1">IF((T255-O256)&lt;0,(T255-O256)*_Costo_Faltante,0)</f>
        <v>0</v>
      </c>
      <c r="Y256">
        <f ca="1">IF(B256=0,E256*_Costo_Frasco,0)</f>
        <v>0</v>
      </c>
      <c r="Z256" s="11">
        <f t="shared" ca="1" si="51"/>
        <v>-32500</v>
      </c>
    </row>
    <row r="257" spans="1:26" x14ac:dyDescent="0.25">
      <c r="A257" s="30">
        <f t="shared" si="48"/>
        <v>241</v>
      </c>
      <c r="B257" s="10">
        <f>IF(B256=0,_Proxima_Compra,B256-1)</f>
        <v>1</v>
      </c>
      <c r="C257" s="3">
        <f t="shared" ca="1" si="41"/>
        <v>-1</v>
      </c>
      <c r="D257" s="3">
        <f ca="1">IF(D256&gt;0,D256-1,IF(C257&gt;0,LOOKUP(C257,$S$3:$S$5,$P$3:$P$5),-1))</f>
        <v>0</v>
      </c>
      <c r="E257" s="25">
        <f t="shared" ca="1" si="42"/>
        <v>2</v>
      </c>
      <c r="F257" s="28">
        <f ca="1">E257*_GramosXFrasco</f>
        <v>340</v>
      </c>
      <c r="G257" s="38">
        <f t="shared" ca="1" si="43"/>
        <v>9.8965801334491288E-2</v>
      </c>
      <c r="H257" s="36">
        <f t="shared" ca="1" si="44"/>
        <v>-1</v>
      </c>
      <c r="I257" s="36">
        <f t="shared" ca="1" si="45"/>
        <v>-1</v>
      </c>
      <c r="J257" s="36">
        <f t="shared" ca="1" si="52"/>
        <v>-1</v>
      </c>
      <c r="K257" s="37">
        <f ca="1">IF(J257&lt;&gt;-1,_Media_M + J257*_Sigma,-1)</f>
        <v>-1</v>
      </c>
      <c r="L257" s="3">
        <f t="shared" ca="1" si="46"/>
        <v>50</v>
      </c>
      <c r="M257" s="18">
        <f ca="1">IF(LOOKUP(G257,$H$3:$H$4,$E$3:$E$4)=1,50,_Media_M + J257*_Sigma)</f>
        <v>50</v>
      </c>
      <c r="N257" s="36">
        <f t="shared" ca="1" si="47"/>
        <v>45.330902158816336</v>
      </c>
      <c r="O257" s="35">
        <f t="shared" ca="1" si="53"/>
        <v>95.330902158816343</v>
      </c>
      <c r="P257" s="19">
        <f t="shared" ca="1" si="49"/>
        <v>95.330902158816343</v>
      </c>
      <c r="Q257" s="20">
        <f ca="1" xml:space="preserve"> P257*_Precio_cafe</f>
        <v>142.99635323822451</v>
      </c>
      <c r="R257" s="20">
        <f t="shared" ca="1" si="50"/>
        <v>34077.795901695092</v>
      </c>
      <c r="S257" s="20">
        <f ca="1">(1/A257)*((A257-1)*S256 +Q257)</f>
        <v>141.40164274562269</v>
      </c>
      <c r="T257" s="20">
        <f ca="1">IF((T256-P257+F257)&gt;_Max_Stock_Gramos,_Max_Stock_Gramos,T256-P257+F257)</f>
        <v>1700</v>
      </c>
      <c r="U257" s="20">
        <f ca="1">T257/_GramosXFrasco</f>
        <v>10</v>
      </c>
      <c r="V257" s="58">
        <f ca="1">(T257/_Max_Stock_Gramos)</f>
        <v>1</v>
      </c>
      <c r="W257" s="58"/>
      <c r="X257" s="10">
        <f ca="1">IF((T256-O257)&lt;0,(T256-O257)*_Costo_Faltante,0)</f>
        <v>0</v>
      </c>
      <c r="Y257">
        <f>IF(B257=0,E257*_Costo_Frasco,0)</f>
        <v>0</v>
      </c>
      <c r="Z257" s="11">
        <f t="shared" ca="1" si="51"/>
        <v>-32500</v>
      </c>
    </row>
    <row r="258" spans="1:26" x14ac:dyDescent="0.25">
      <c r="A258" s="30">
        <f t="shared" si="48"/>
        <v>242</v>
      </c>
      <c r="B258" s="10">
        <f>IF(B257=0,_Proxima_Compra,B257-1)</f>
        <v>0</v>
      </c>
      <c r="C258" s="3">
        <f t="shared" ca="1" si="41"/>
        <v>0.96126162838658036</v>
      </c>
      <c r="D258" s="3">
        <f ca="1">IF(D257&gt;0,D257-1,IF(C258&gt;0,LOOKUP(C258,$S$3:$S$5,$P$3:$P$5),-1))</f>
        <v>2</v>
      </c>
      <c r="E258" s="25">
        <f t="shared" ca="1" si="42"/>
        <v>0</v>
      </c>
      <c r="F258" s="28">
        <f ca="1">E258*_GramosXFrasco</f>
        <v>0</v>
      </c>
      <c r="G258" s="38">
        <f t="shared" ca="1" si="43"/>
        <v>0.18974185269239963</v>
      </c>
      <c r="H258" s="36">
        <f t="shared" ca="1" si="44"/>
        <v>-1</v>
      </c>
      <c r="I258" s="36">
        <f t="shared" ca="1" si="45"/>
        <v>-1</v>
      </c>
      <c r="J258" s="36">
        <f t="shared" ca="1" si="52"/>
        <v>-1</v>
      </c>
      <c r="K258" s="37">
        <f ca="1">IF(J258&lt;&gt;-1,_Media_M + J258*_Sigma,-1)</f>
        <v>-1</v>
      </c>
      <c r="L258" s="3">
        <f t="shared" ca="1" si="46"/>
        <v>50</v>
      </c>
      <c r="M258" s="18">
        <f ca="1">IF(LOOKUP(G258,$H$3:$H$4,$E$3:$E$4)=1,50,_Media_M + J258*_Sigma)</f>
        <v>50</v>
      </c>
      <c r="N258" s="36">
        <f t="shared" ca="1" si="47"/>
        <v>23.354592948895505</v>
      </c>
      <c r="O258" s="35">
        <f t="shared" ca="1" si="53"/>
        <v>73.354592948895501</v>
      </c>
      <c r="P258" s="19">
        <f t="shared" ca="1" si="49"/>
        <v>73.354592948895501</v>
      </c>
      <c r="Q258" s="20">
        <f ca="1" xml:space="preserve"> P258*_Precio_cafe</f>
        <v>110.03188942334324</v>
      </c>
      <c r="R258" s="20">
        <f t="shared" ca="1" si="50"/>
        <v>34187.827791118434</v>
      </c>
      <c r="S258" s="20">
        <f ca="1">(1/A258)*((A258-1)*S257 +Q258)</f>
        <v>141.27201566577855</v>
      </c>
      <c r="T258" s="20">
        <f ca="1">IF((T257-P258+F258)&gt;_Max_Stock_Gramos,_Max_Stock_Gramos,T257-P258+F258)</f>
        <v>1626.6454070511045</v>
      </c>
      <c r="U258" s="20">
        <f ca="1">T258/_GramosXFrasco</f>
        <v>9.5685023944182621</v>
      </c>
      <c r="V258" s="58">
        <f ca="1">(T258/_Max_Stock_Gramos)</f>
        <v>0.95685023944182612</v>
      </c>
      <c r="W258" s="58"/>
      <c r="X258" s="10">
        <f ca="1">IF((T257-O258)&lt;0,(T257-O258)*_Costo_Faltante,0)</f>
        <v>0</v>
      </c>
      <c r="Y258">
        <f ca="1">IF(B258=0,E258*_Costo_Frasco,0)</f>
        <v>0</v>
      </c>
      <c r="Z258" s="11">
        <f t="shared" ca="1" si="51"/>
        <v>-32500</v>
      </c>
    </row>
    <row r="259" spans="1:26" x14ac:dyDescent="0.25">
      <c r="A259" s="30">
        <f t="shared" si="48"/>
        <v>243</v>
      </c>
      <c r="B259" s="10">
        <f>IF(B258=0,_Proxima_Compra,B258-1)</f>
        <v>1</v>
      </c>
      <c r="C259" s="3">
        <f t="shared" ca="1" si="41"/>
        <v>-1</v>
      </c>
      <c r="D259" s="3">
        <f ca="1">IF(D258&gt;0,D258-1,IF(C259&gt;0,LOOKUP(C259,$S$3:$S$5,$P$3:$P$5),-1))</f>
        <v>1</v>
      </c>
      <c r="E259" s="25">
        <f t="shared" ca="1" si="42"/>
        <v>0</v>
      </c>
      <c r="F259" s="28">
        <f ca="1">E259*_GramosXFrasco</f>
        <v>0</v>
      </c>
      <c r="G259" s="38">
        <f t="shared" ca="1" si="43"/>
        <v>0.3335970785011686</v>
      </c>
      <c r="H259" s="36">
        <f t="shared" ca="1" si="44"/>
        <v>-1</v>
      </c>
      <c r="I259" s="36">
        <f t="shared" ca="1" si="45"/>
        <v>-1</v>
      </c>
      <c r="J259" s="36">
        <f t="shared" ca="1" si="52"/>
        <v>-1</v>
      </c>
      <c r="K259" s="37">
        <f ca="1">IF(J259&lt;&gt;-1,_Media_M + J259*_Sigma,-1)</f>
        <v>-1</v>
      </c>
      <c r="L259" s="3">
        <f t="shared" ca="1" si="46"/>
        <v>50</v>
      </c>
      <c r="M259" s="18">
        <f ca="1">IF(LOOKUP(G259,$H$3:$H$4,$E$3:$E$4)=1,50,_Media_M + J259*_Sigma)</f>
        <v>50</v>
      </c>
      <c r="N259" s="36">
        <f t="shared" ca="1" si="47"/>
        <v>4.2040345170613751</v>
      </c>
      <c r="O259" s="35">
        <f t="shared" ca="1" si="53"/>
        <v>54.204034517061373</v>
      </c>
      <c r="P259" s="19">
        <f t="shared" ca="1" si="49"/>
        <v>54.204034517061373</v>
      </c>
      <c r="Q259" s="20">
        <f ca="1" xml:space="preserve"> P259*_Precio_cafe</f>
        <v>81.306051775592067</v>
      </c>
      <c r="R259" s="20">
        <f t="shared" ca="1" si="50"/>
        <v>34269.133842894029</v>
      </c>
      <c r="S259" s="20">
        <f ca="1">(1/A259)*((A259-1)*S258 +Q259)</f>
        <v>141.0252421518272</v>
      </c>
      <c r="T259" s="20">
        <f ca="1">IF((T258-P259+F259)&gt;_Max_Stock_Gramos,_Max_Stock_Gramos,T258-P259+F259)</f>
        <v>1572.441372534043</v>
      </c>
      <c r="U259" s="20">
        <f ca="1">T259/_GramosXFrasco</f>
        <v>9.2496551325531939</v>
      </c>
      <c r="V259" s="58">
        <f ca="1">(T259/_Max_Stock_Gramos)</f>
        <v>0.92496551325531939</v>
      </c>
      <c r="W259" s="58"/>
      <c r="X259" s="10">
        <f ca="1">IF((T258-O259)&lt;0,(T258-O259)*_Costo_Faltante,0)</f>
        <v>0</v>
      </c>
      <c r="Y259">
        <f>IF(B259=0,E259*_Costo_Frasco,0)</f>
        <v>0</v>
      </c>
      <c r="Z259" s="11">
        <f t="shared" ca="1" si="51"/>
        <v>-32500</v>
      </c>
    </row>
    <row r="260" spans="1:26" x14ac:dyDescent="0.25">
      <c r="A260" s="30">
        <f t="shared" si="48"/>
        <v>244</v>
      </c>
      <c r="B260" s="10">
        <f>IF(B259=0,_Proxima_Compra,B259-1)</f>
        <v>0</v>
      </c>
      <c r="C260" s="3">
        <f t="shared" ca="1" si="41"/>
        <v>0.781595924845918</v>
      </c>
      <c r="D260" s="3">
        <f ca="1">IF(D259&gt;0,D259-1,IF(C260&gt;0,LOOKUP(C260,$S$3:$S$5,$P$3:$P$5),-1))</f>
        <v>0</v>
      </c>
      <c r="E260" s="25">
        <f t="shared" ca="1" si="42"/>
        <v>2</v>
      </c>
      <c r="F260" s="28">
        <f ca="1">E260*_GramosXFrasco</f>
        <v>340</v>
      </c>
      <c r="G260" s="38">
        <f t="shared" ca="1" si="43"/>
        <v>0.40910338699267013</v>
      </c>
      <c r="H260" s="36">
        <f t="shared" ca="1" si="44"/>
        <v>-1</v>
      </c>
      <c r="I260" s="36">
        <f t="shared" ca="1" si="45"/>
        <v>-1</v>
      </c>
      <c r="J260" s="36">
        <f t="shared" ca="1" si="52"/>
        <v>-1</v>
      </c>
      <c r="K260" s="37">
        <f ca="1">IF(J260&lt;&gt;-1,_Media_M + J260*_Sigma,-1)</f>
        <v>-1</v>
      </c>
      <c r="L260" s="3">
        <f t="shared" ca="1" si="46"/>
        <v>50</v>
      </c>
      <c r="M260" s="18">
        <f ca="1">IF(LOOKUP(G260,$H$3:$H$4,$E$3:$E$4)=1,50,_Media_M + J260*_Sigma)</f>
        <v>50</v>
      </c>
      <c r="N260" s="36">
        <f t="shared" ca="1" si="47"/>
        <v>62.745625890785895</v>
      </c>
      <c r="O260" s="35">
        <f t="shared" ca="1" si="53"/>
        <v>112.7456258907859</v>
      </c>
      <c r="P260" s="19">
        <f t="shared" ca="1" si="49"/>
        <v>112.7456258907859</v>
      </c>
      <c r="Q260" s="20">
        <f ca="1" xml:space="preserve"> P260*_Precio_cafe</f>
        <v>169.11843883617885</v>
      </c>
      <c r="R260" s="20">
        <f t="shared" ca="1" si="50"/>
        <v>34438.252281730209</v>
      </c>
      <c r="S260" s="20">
        <f ca="1">(1/A260)*((A260-1)*S259 +Q260)</f>
        <v>141.14037820381225</v>
      </c>
      <c r="T260" s="20">
        <f ca="1">IF((T259-P260+F260)&gt;_Max_Stock_Gramos,_Max_Stock_Gramos,T259-P260+F260)</f>
        <v>1700</v>
      </c>
      <c r="U260" s="20">
        <f ca="1">T260/_GramosXFrasco</f>
        <v>10</v>
      </c>
      <c r="V260" s="58">
        <f ca="1">(T260/_Max_Stock_Gramos)</f>
        <v>1</v>
      </c>
      <c r="W260" s="58"/>
      <c r="X260" s="10">
        <f ca="1">IF((T259-O260)&lt;0,(T259-O260)*_Costo_Faltante,0)</f>
        <v>0</v>
      </c>
      <c r="Y260">
        <f ca="1">IF(B260=0,E260*_Costo_Frasco,0)</f>
        <v>-500</v>
      </c>
      <c r="Z260" s="11">
        <f t="shared" ca="1" si="51"/>
        <v>-33000</v>
      </c>
    </row>
    <row r="261" spans="1:26" x14ac:dyDescent="0.25">
      <c r="A261" s="30">
        <f t="shared" si="48"/>
        <v>245</v>
      </c>
      <c r="B261" s="10">
        <f>IF(B260=0,_Proxima_Compra,B260-1)</f>
        <v>1</v>
      </c>
      <c r="C261" s="3">
        <f t="shared" ca="1" si="41"/>
        <v>-1</v>
      </c>
      <c r="D261" s="3">
        <f ca="1">IF(D260&gt;0,D260-1,IF(C261&gt;0,LOOKUP(C261,$S$3:$S$5,$P$3:$P$5),-1))</f>
        <v>-1</v>
      </c>
      <c r="E261" s="25">
        <f t="shared" ca="1" si="42"/>
        <v>0</v>
      </c>
      <c r="F261" s="28">
        <f ca="1">E261*_GramosXFrasco</f>
        <v>0</v>
      </c>
      <c r="G261" s="38">
        <f t="shared" ca="1" si="43"/>
        <v>0.12644667970476431</v>
      </c>
      <c r="H261" s="36">
        <f t="shared" ca="1" si="44"/>
        <v>-1</v>
      </c>
      <c r="I261" s="36">
        <f t="shared" ca="1" si="45"/>
        <v>-1</v>
      </c>
      <c r="J261" s="36">
        <f t="shared" ca="1" si="52"/>
        <v>-1</v>
      </c>
      <c r="K261" s="37">
        <f ca="1">IF(J261&lt;&gt;-1,_Media_M + J261*_Sigma,-1)</f>
        <v>-1</v>
      </c>
      <c r="L261" s="3">
        <f t="shared" ca="1" si="46"/>
        <v>50</v>
      </c>
      <c r="M261" s="18">
        <f ca="1">IF(LOOKUP(G261,$H$3:$H$4,$E$3:$E$4)=1,50,_Media_M + J261*_Sigma)</f>
        <v>50</v>
      </c>
      <c r="N261" s="36">
        <f t="shared" ca="1" si="47"/>
        <v>29.782164052542576</v>
      </c>
      <c r="O261" s="35">
        <f t="shared" ca="1" si="53"/>
        <v>79.782164052542583</v>
      </c>
      <c r="P261" s="19">
        <f t="shared" ca="1" si="49"/>
        <v>79.782164052542583</v>
      </c>
      <c r="Q261" s="20">
        <f ca="1" xml:space="preserve"> P261*_Precio_cafe</f>
        <v>119.67324607881388</v>
      </c>
      <c r="R261" s="20">
        <f t="shared" ca="1" si="50"/>
        <v>34557.92552780902</v>
      </c>
      <c r="S261" s="20">
        <f ca="1">(1/A261)*((A261-1)*S260 +Q261)</f>
        <v>141.05275725636326</v>
      </c>
      <c r="T261" s="20">
        <f ca="1">IF((T260-P261+F261)&gt;_Max_Stock_Gramos,_Max_Stock_Gramos,T260-P261+F261)</f>
        <v>1620.2178359474574</v>
      </c>
      <c r="U261" s="20">
        <f ca="1">T261/_GramosXFrasco</f>
        <v>9.5306931526321019</v>
      </c>
      <c r="V261" s="58">
        <f ca="1">(T261/_Max_Stock_Gramos)</f>
        <v>0.95306931526321026</v>
      </c>
      <c r="W261" s="58"/>
      <c r="X261" s="10">
        <f ca="1">IF((T260-O261)&lt;0,(T260-O261)*_Costo_Faltante,0)</f>
        <v>0</v>
      </c>
      <c r="Y261">
        <f>IF(B261=0,E261*_Costo_Frasco,0)</f>
        <v>0</v>
      </c>
      <c r="Z261" s="11">
        <f t="shared" ca="1" si="51"/>
        <v>-33000</v>
      </c>
    </row>
    <row r="262" spans="1:26" x14ac:dyDescent="0.25">
      <c r="A262" s="30">
        <f t="shared" si="48"/>
        <v>246</v>
      </c>
      <c r="B262" s="10">
        <f>IF(B261=0,_Proxima_Compra,B261-1)</f>
        <v>0</v>
      </c>
      <c r="C262" s="3">
        <f t="shared" ca="1" si="41"/>
        <v>0.6202568483365144</v>
      </c>
      <c r="D262" s="3">
        <f ca="1">IF(D261&gt;0,D261-1,IF(C262&gt;0,LOOKUP(C262,$S$3:$S$5,$P$3:$P$5),-1))</f>
        <v>1</v>
      </c>
      <c r="E262" s="25">
        <f t="shared" ca="1" si="42"/>
        <v>0</v>
      </c>
      <c r="F262" s="28">
        <f ca="1">E262*_GramosXFrasco</f>
        <v>0</v>
      </c>
      <c r="G262" s="38">
        <f t="shared" ca="1" si="43"/>
        <v>0.80224762742587685</v>
      </c>
      <c r="H262" s="36">
        <f t="shared" ca="1" si="44"/>
        <v>0.85620888384236238</v>
      </c>
      <c r="I262" s="36">
        <f t="shared" ca="1" si="45"/>
        <v>3.2877976148862897E-3</v>
      </c>
      <c r="J262" s="36">
        <f t="shared" ca="1" si="52"/>
        <v>1.2976197913269649</v>
      </c>
      <c r="K262" s="37">
        <f ca="1">IF(J262&lt;&gt;-1,_Media_M + J262*_Sigma,-1)</f>
        <v>94.464296869904473</v>
      </c>
      <c r="L262" s="3">
        <f t="shared" ca="1" si="46"/>
        <v>-1</v>
      </c>
      <c r="M262" s="18">
        <f ca="1">IF(LOOKUP(G262,$H$3:$H$4,$E$3:$E$4)=1,50,_Media_M + J262*_Sigma)</f>
        <v>94.464296869904473</v>
      </c>
      <c r="N262" s="36">
        <f t="shared" ca="1" si="47"/>
        <v>1.5551409266047829</v>
      </c>
      <c r="O262" s="35">
        <f t="shared" ca="1" si="53"/>
        <v>96.019437796509251</v>
      </c>
      <c r="P262" s="19">
        <f t="shared" ca="1" si="49"/>
        <v>96.019437796509251</v>
      </c>
      <c r="Q262" s="20">
        <f ca="1" xml:space="preserve"> P262*_Precio_cafe</f>
        <v>144.02915669476388</v>
      </c>
      <c r="R262" s="20">
        <f t="shared" ca="1" si="50"/>
        <v>34701.954684503784</v>
      </c>
      <c r="S262" s="20">
        <f ca="1">(1/A262)*((A262-1)*S261 +Q262)</f>
        <v>141.06485644107221</v>
      </c>
      <c r="T262" s="20">
        <f ca="1">IF((T261-P262+F262)&gt;_Max_Stock_Gramos,_Max_Stock_Gramos,T261-P262+F262)</f>
        <v>1524.1983981509482</v>
      </c>
      <c r="U262" s="20">
        <f ca="1">T262/_GramosXFrasco</f>
        <v>8.9658729302996942</v>
      </c>
      <c r="V262" s="58">
        <f ca="1">(T262/_Max_Stock_Gramos)</f>
        <v>0.89658729302996953</v>
      </c>
      <c r="W262" s="58"/>
      <c r="X262" s="10">
        <f ca="1">IF((T261-O262)&lt;0,(T261-O262)*_Costo_Faltante,0)</f>
        <v>0</v>
      </c>
      <c r="Y262">
        <f ca="1">IF(B262=0,E262*_Costo_Frasco,0)</f>
        <v>0</v>
      </c>
      <c r="Z262" s="11">
        <f t="shared" ca="1" si="51"/>
        <v>-33000</v>
      </c>
    </row>
    <row r="263" spans="1:26" x14ac:dyDescent="0.25">
      <c r="A263" s="30">
        <f t="shared" si="48"/>
        <v>247</v>
      </c>
      <c r="B263" s="10">
        <f>IF(B262=0,_Proxima_Compra,B262-1)</f>
        <v>1</v>
      </c>
      <c r="C263" s="3">
        <f t="shared" ca="1" si="41"/>
        <v>-1</v>
      </c>
      <c r="D263" s="3">
        <f ca="1">IF(D262&gt;0,D262-1,IF(C263&gt;0,LOOKUP(C263,$S$3:$S$5,$P$3:$P$5),-1))</f>
        <v>0</v>
      </c>
      <c r="E263" s="25">
        <f t="shared" ca="1" si="42"/>
        <v>2</v>
      </c>
      <c r="F263" s="28">
        <f ca="1">E263*_GramosXFrasco</f>
        <v>340</v>
      </c>
      <c r="G263" s="38">
        <f t="shared" ca="1" si="43"/>
        <v>0.49292108893254405</v>
      </c>
      <c r="H263" s="36">
        <f t="shared" ca="1" si="44"/>
        <v>-1</v>
      </c>
      <c r="I263" s="36">
        <f t="shared" ca="1" si="45"/>
        <v>-1</v>
      </c>
      <c r="J263" s="36">
        <f t="shared" ca="1" si="52"/>
        <v>-1</v>
      </c>
      <c r="K263" s="37">
        <f ca="1">IF(J263&lt;&gt;-1,_Media_M + J263*_Sigma,-1)</f>
        <v>-1</v>
      </c>
      <c r="L263" s="3">
        <f t="shared" ca="1" si="46"/>
        <v>50</v>
      </c>
      <c r="M263" s="18">
        <f ca="1">IF(LOOKUP(G263,$H$3:$H$4,$E$3:$E$4)=1,50,_Media_M + J263*_Sigma)</f>
        <v>50</v>
      </c>
      <c r="N263" s="36">
        <f t="shared" ca="1" si="47"/>
        <v>39.441624168774993</v>
      </c>
      <c r="O263" s="35">
        <f t="shared" ca="1" si="53"/>
        <v>89.441624168774993</v>
      </c>
      <c r="P263" s="19">
        <f t="shared" ca="1" si="49"/>
        <v>89.441624168774993</v>
      </c>
      <c r="Q263" s="20">
        <f ca="1" xml:space="preserve"> P263*_Precio_cafe</f>
        <v>134.1624362531625</v>
      </c>
      <c r="R263" s="20">
        <f t="shared" ca="1" si="50"/>
        <v>34836.11712075695</v>
      </c>
      <c r="S263" s="20">
        <f ca="1">(1/A263)*((A263-1)*S262 +Q263)</f>
        <v>141.03691142006855</v>
      </c>
      <c r="T263" s="20">
        <f ca="1">IF((T262-P263+F263)&gt;_Max_Stock_Gramos,_Max_Stock_Gramos,T262-P263+F263)</f>
        <v>1700</v>
      </c>
      <c r="U263" s="20">
        <f ca="1">T263/_GramosXFrasco</f>
        <v>10</v>
      </c>
      <c r="V263" s="58">
        <f ca="1">(T263/_Max_Stock_Gramos)</f>
        <v>1</v>
      </c>
      <c r="W263" s="58"/>
      <c r="X263" s="10">
        <f ca="1">IF((T262-O263)&lt;0,(T262-O263)*_Costo_Faltante,0)</f>
        <v>0</v>
      </c>
      <c r="Y263">
        <f>IF(B263=0,E263*_Costo_Frasco,0)</f>
        <v>0</v>
      </c>
      <c r="Z263" s="11">
        <f t="shared" ca="1" si="51"/>
        <v>-33000</v>
      </c>
    </row>
    <row r="264" spans="1:26" x14ac:dyDescent="0.25">
      <c r="A264" s="30">
        <f t="shared" si="48"/>
        <v>248</v>
      </c>
      <c r="B264" s="10">
        <f>IF(B263=0,_Proxima_Compra,B263-1)</f>
        <v>0</v>
      </c>
      <c r="C264" s="3">
        <f t="shared" ca="1" si="41"/>
        <v>0.30594797625683856</v>
      </c>
      <c r="D264" s="3">
        <f ca="1">IF(D263&gt;0,D263-1,IF(C264&gt;0,LOOKUP(C264,$S$3:$S$5,$P$3:$P$5),-1))</f>
        <v>0</v>
      </c>
      <c r="E264" s="25">
        <f t="shared" ca="1" si="42"/>
        <v>2</v>
      </c>
      <c r="F264" s="28">
        <f ca="1">E264*_GramosXFrasco</f>
        <v>340</v>
      </c>
      <c r="G264" s="38">
        <f t="shared" ca="1" si="43"/>
        <v>0.59010237045942704</v>
      </c>
      <c r="H264" s="36">
        <f t="shared" ca="1" si="44"/>
        <v>0.95308550933163327</v>
      </c>
      <c r="I264" s="36">
        <f t="shared" ca="1" si="45"/>
        <v>0.8994977060309356</v>
      </c>
      <c r="J264" s="36">
        <f t="shared" ca="1" si="52"/>
        <v>1.3157877233113155</v>
      </c>
      <c r="K264" s="37">
        <f ca="1">IF(J264&lt;&gt;-1,_Media_M + J264*_Sigma,-1)</f>
        <v>94.736815849669739</v>
      </c>
      <c r="L264" s="3">
        <f t="shared" ca="1" si="46"/>
        <v>-1</v>
      </c>
      <c r="M264" s="18">
        <f ca="1">IF(LOOKUP(G264,$H$3:$H$4,$E$3:$E$4)=1,50,_Media_M + J264*_Sigma)</f>
        <v>94.736815849669739</v>
      </c>
      <c r="N264" s="36">
        <f t="shared" ca="1" si="47"/>
        <v>117.45714175025292</v>
      </c>
      <c r="O264" s="35">
        <f t="shared" ca="1" si="53"/>
        <v>212.19395759992267</v>
      </c>
      <c r="P264" s="19">
        <f t="shared" ca="1" si="49"/>
        <v>212.19395759992267</v>
      </c>
      <c r="Q264" s="20">
        <f ca="1" xml:space="preserve"> P264*_Precio_cafe</f>
        <v>318.290936399884</v>
      </c>
      <c r="R264" s="20">
        <f t="shared" ca="1" si="50"/>
        <v>35154.408057156834</v>
      </c>
      <c r="S264" s="20">
        <f ca="1">(1/A264)*((A264-1)*S263 +Q264)</f>
        <v>141.75164539176137</v>
      </c>
      <c r="T264" s="20">
        <f ca="1">IF((T263-P264+F264)&gt;_Max_Stock_Gramos,_Max_Stock_Gramos,T263-P264+F264)</f>
        <v>1700</v>
      </c>
      <c r="U264" s="20">
        <f ca="1">T264/_GramosXFrasco</f>
        <v>10</v>
      </c>
      <c r="V264" s="58">
        <f ca="1">(T264/_Max_Stock_Gramos)</f>
        <v>1</v>
      </c>
      <c r="W264" s="58"/>
      <c r="X264" s="10">
        <f ca="1">IF((T263-O264)&lt;0,(T263-O264)*_Costo_Faltante,0)</f>
        <v>0</v>
      </c>
      <c r="Y264">
        <f ca="1">IF(B264=0,E264*_Costo_Frasco,0)</f>
        <v>-500</v>
      </c>
      <c r="Z264" s="11">
        <f t="shared" ca="1" si="51"/>
        <v>-33500</v>
      </c>
    </row>
    <row r="265" spans="1:26" x14ac:dyDescent="0.25">
      <c r="A265" s="30">
        <f t="shared" si="48"/>
        <v>249</v>
      </c>
      <c r="B265" s="10">
        <f>IF(B264=0,_Proxima_Compra,B264-1)</f>
        <v>1</v>
      </c>
      <c r="C265" s="3">
        <f t="shared" ca="1" si="41"/>
        <v>-1</v>
      </c>
      <c r="D265" s="3">
        <f ca="1">IF(D264&gt;0,D264-1,IF(C265&gt;0,LOOKUP(C265,$S$3:$S$5,$P$3:$P$5),-1))</f>
        <v>-1</v>
      </c>
      <c r="E265" s="25">
        <f t="shared" ca="1" si="42"/>
        <v>0</v>
      </c>
      <c r="F265" s="28">
        <f ca="1">E265*_GramosXFrasco</f>
        <v>0</v>
      </c>
      <c r="G265" s="38">
        <f t="shared" ca="1" si="43"/>
        <v>0.72472038541961958</v>
      </c>
      <c r="H265" s="36">
        <f t="shared" ca="1" si="44"/>
        <v>0.75223306221811159</v>
      </c>
      <c r="I265" s="36">
        <f t="shared" ca="1" si="45"/>
        <v>0.71274450299387015</v>
      </c>
      <c r="J265" s="36">
        <f t="shared" ca="1" si="52"/>
        <v>-0.25534804952929036</v>
      </c>
      <c r="K265" s="37">
        <f ca="1">IF(J265&lt;&gt;-1,_Media_M + J265*_Sigma,-1)</f>
        <v>71.16977925706064</v>
      </c>
      <c r="L265" s="3">
        <f t="shared" ca="1" si="46"/>
        <v>-1</v>
      </c>
      <c r="M265" s="18">
        <f ca="1">IF(LOOKUP(G265,$H$3:$H$4,$E$3:$E$4)=1,50,_Media_M + J265*_Sigma)</f>
        <v>71.16977925706064</v>
      </c>
      <c r="N265" s="36">
        <f t="shared" ca="1" si="47"/>
        <v>28.366289404809262</v>
      </c>
      <c r="O265" s="35">
        <f t="shared" ca="1" si="53"/>
        <v>99.536068661869905</v>
      </c>
      <c r="P265" s="19">
        <f t="shared" ca="1" si="49"/>
        <v>99.536068661869905</v>
      </c>
      <c r="Q265" s="20">
        <f ca="1" xml:space="preserve"> P265*_Precio_cafe</f>
        <v>149.30410299280487</v>
      </c>
      <c r="R265" s="20">
        <f t="shared" ca="1" si="50"/>
        <v>35303.71216014964</v>
      </c>
      <c r="S265" s="20">
        <f ca="1">(1/A265)*((A265-1)*S264 +Q265)</f>
        <v>141.78197654678564</v>
      </c>
      <c r="T265" s="20">
        <f ca="1">IF((T264-P265+F265)&gt;_Max_Stock_Gramos,_Max_Stock_Gramos,T264-P265+F265)</f>
        <v>1600.4639313381301</v>
      </c>
      <c r="U265" s="20">
        <f ca="1">T265/_GramosXFrasco</f>
        <v>9.414493713753707</v>
      </c>
      <c r="V265" s="58">
        <f ca="1">(T265/_Max_Stock_Gramos)</f>
        <v>0.94144937137537066</v>
      </c>
      <c r="W265" s="58"/>
      <c r="X265" s="10">
        <f ca="1">IF((T264-O265)&lt;0,(T264-O265)*_Costo_Faltante,0)</f>
        <v>0</v>
      </c>
      <c r="Y265">
        <f>IF(B265=0,E265*_Costo_Frasco,0)</f>
        <v>0</v>
      </c>
      <c r="Z265" s="11">
        <f t="shared" ca="1" si="51"/>
        <v>-33500</v>
      </c>
    </row>
    <row r="266" spans="1:26" x14ac:dyDescent="0.25">
      <c r="A266" s="30">
        <f t="shared" si="48"/>
        <v>250</v>
      </c>
      <c r="B266" s="10">
        <f>IF(B265=0,_Proxima_Compra,B265-1)</f>
        <v>0</v>
      </c>
      <c r="C266" s="3">
        <f t="shared" ca="1" si="41"/>
        <v>0.77469992811512056</v>
      </c>
      <c r="D266" s="3">
        <f ca="1">IF(D265&gt;0,D265-1,IF(C266&gt;0,LOOKUP(C266,$S$3:$S$5,$P$3:$P$5),-1))</f>
        <v>2</v>
      </c>
      <c r="E266" s="25">
        <f t="shared" ca="1" si="42"/>
        <v>0</v>
      </c>
      <c r="F266" s="28">
        <f ca="1">E266*_GramosXFrasco</f>
        <v>0</v>
      </c>
      <c r="G266" s="38">
        <f t="shared" ca="1" si="43"/>
        <v>0.11113837075687261</v>
      </c>
      <c r="H266" s="36">
        <f t="shared" ca="1" si="44"/>
        <v>-1</v>
      </c>
      <c r="I266" s="36">
        <f t="shared" ca="1" si="45"/>
        <v>-1</v>
      </c>
      <c r="J266" s="36">
        <f t="shared" ca="1" si="52"/>
        <v>-1</v>
      </c>
      <c r="K266" s="37">
        <f ca="1">IF(J266&lt;&gt;-1,_Media_M + J266*_Sigma,-1)</f>
        <v>-1</v>
      </c>
      <c r="L266" s="3">
        <f t="shared" ca="1" si="46"/>
        <v>50</v>
      </c>
      <c r="M266" s="18">
        <f ca="1">IF(LOOKUP(G266,$H$3:$H$4,$E$3:$E$4)=1,50,_Media_M + J266*_Sigma)</f>
        <v>50</v>
      </c>
      <c r="N266" s="36">
        <f t="shared" ca="1" si="47"/>
        <v>22.786920144389683</v>
      </c>
      <c r="O266" s="35">
        <f t="shared" ca="1" si="53"/>
        <v>72.786920144389683</v>
      </c>
      <c r="P266" s="19">
        <f t="shared" ca="1" si="49"/>
        <v>72.786920144389683</v>
      </c>
      <c r="Q266" s="20">
        <f ca="1" xml:space="preserve"> P266*_Precio_cafe</f>
        <v>109.18038021658452</v>
      </c>
      <c r="R266" s="20">
        <f t="shared" ca="1" si="50"/>
        <v>35412.892540366222</v>
      </c>
      <c r="S266" s="20">
        <f ca="1">(1/A266)*((A266-1)*S265 +Q266)</f>
        <v>141.65157016146483</v>
      </c>
      <c r="T266" s="20">
        <f ca="1">IF((T265-P266+F266)&gt;_Max_Stock_Gramos,_Max_Stock_Gramos,T265-P266+F266)</f>
        <v>1527.6770111937403</v>
      </c>
      <c r="U266" s="20">
        <f ca="1">T266/_GramosXFrasco</f>
        <v>8.9863353599631779</v>
      </c>
      <c r="V266" s="58">
        <f ca="1">(T266/_Max_Stock_Gramos)</f>
        <v>0.89863353599631779</v>
      </c>
      <c r="W266" s="58"/>
      <c r="X266" s="10">
        <f ca="1">IF((T265-O266)&lt;0,(T265-O266)*_Costo_Faltante,0)</f>
        <v>0</v>
      </c>
      <c r="Y266">
        <f ca="1">IF(B266=0,E266*_Costo_Frasco,0)</f>
        <v>0</v>
      </c>
      <c r="Z266" s="11">
        <f t="shared" ca="1" si="51"/>
        <v>-33500</v>
      </c>
    </row>
    <row r="267" spans="1:26" x14ac:dyDescent="0.25">
      <c r="A267" s="30">
        <f t="shared" si="48"/>
        <v>251</v>
      </c>
      <c r="B267" s="10">
        <f>IF(B266=0,_Proxima_Compra,B266-1)</f>
        <v>1</v>
      </c>
      <c r="C267" s="3">
        <f t="shared" ca="1" si="41"/>
        <v>-1</v>
      </c>
      <c r="D267" s="3">
        <f ca="1">IF(D266&gt;0,D266-1,IF(C267&gt;0,LOOKUP(C267,$S$3:$S$5,$P$3:$P$5),-1))</f>
        <v>1</v>
      </c>
      <c r="E267" s="25">
        <f t="shared" ca="1" si="42"/>
        <v>0</v>
      </c>
      <c r="F267" s="28">
        <f ca="1">E267*_GramosXFrasco</f>
        <v>0</v>
      </c>
      <c r="G267" s="38">
        <f t="shared" ca="1" si="43"/>
        <v>0.45168968283614752</v>
      </c>
      <c r="H267" s="36">
        <f t="shared" ca="1" si="44"/>
        <v>-1</v>
      </c>
      <c r="I267" s="36">
        <f t="shared" ca="1" si="45"/>
        <v>-1</v>
      </c>
      <c r="J267" s="36">
        <f t="shared" ca="1" si="52"/>
        <v>-1</v>
      </c>
      <c r="K267" s="37">
        <f ca="1">IF(J267&lt;&gt;-1,_Media_M + J267*_Sigma,-1)</f>
        <v>-1</v>
      </c>
      <c r="L267" s="3">
        <f t="shared" ca="1" si="46"/>
        <v>50</v>
      </c>
      <c r="M267" s="18">
        <f ca="1">IF(LOOKUP(G267,$H$3:$H$4,$E$3:$E$4)=1,50,_Media_M + J267*_Sigma)</f>
        <v>50</v>
      </c>
      <c r="N267" s="36">
        <f t="shared" ca="1" si="47"/>
        <v>20.855712237859578</v>
      </c>
      <c r="O267" s="35">
        <f t="shared" ca="1" si="53"/>
        <v>70.855712237859578</v>
      </c>
      <c r="P267" s="19">
        <f t="shared" ca="1" si="49"/>
        <v>70.855712237859578</v>
      </c>
      <c r="Q267" s="20">
        <f ca="1" xml:space="preserve"> P267*_Precio_cafe</f>
        <v>106.28356835678937</v>
      </c>
      <c r="R267" s="20">
        <f t="shared" ca="1" si="50"/>
        <v>35519.176108723012</v>
      </c>
      <c r="S267" s="20">
        <f ca="1">(1/A267)*((A267-1)*S266 +Q267)</f>
        <v>141.51066178774101</v>
      </c>
      <c r="T267" s="20">
        <f ca="1">IF((T266-P267+F267)&gt;_Max_Stock_Gramos,_Max_Stock_Gramos,T266-P267+F267)</f>
        <v>1456.8212989558808</v>
      </c>
      <c r="U267" s="20">
        <f ca="1">T267/_GramosXFrasco</f>
        <v>8.5695370526816514</v>
      </c>
      <c r="V267" s="58">
        <f ca="1">(T267/_Max_Stock_Gramos)</f>
        <v>0.85695370526816517</v>
      </c>
      <c r="W267" s="58"/>
      <c r="X267" s="10">
        <f ca="1">IF((T266-O267)&lt;0,(T266-O267)*_Costo_Faltante,0)</f>
        <v>0</v>
      </c>
      <c r="Y267">
        <f>IF(B267=0,E267*_Costo_Frasco,0)</f>
        <v>0</v>
      </c>
      <c r="Z267" s="11">
        <f t="shared" ca="1" si="51"/>
        <v>-33500</v>
      </c>
    </row>
    <row r="268" spans="1:26" x14ac:dyDescent="0.25">
      <c r="A268" s="30">
        <f t="shared" si="48"/>
        <v>252</v>
      </c>
      <c r="B268" s="10">
        <f>IF(B267=0,_Proxima_Compra,B267-1)</f>
        <v>0</v>
      </c>
      <c r="C268" s="3">
        <f t="shared" ca="1" si="41"/>
        <v>7.352998999884286E-2</v>
      </c>
      <c r="D268" s="3">
        <f ca="1">IF(D267&gt;0,D267-1,IF(C268&gt;0,LOOKUP(C268,$S$3:$S$5,$P$3:$P$5),-1))</f>
        <v>0</v>
      </c>
      <c r="E268" s="25">
        <f t="shared" ca="1" si="42"/>
        <v>2</v>
      </c>
      <c r="F268" s="28">
        <f ca="1">E268*_GramosXFrasco</f>
        <v>340</v>
      </c>
      <c r="G268" s="38">
        <f t="shared" ca="1" si="43"/>
        <v>0.91334400310230757</v>
      </c>
      <c r="H268" s="36">
        <f t="shared" ca="1" si="44"/>
        <v>0.88322409298522986</v>
      </c>
      <c r="I268" s="36">
        <f t="shared" ca="1" si="45"/>
        <v>0.24728933602299874</v>
      </c>
      <c r="J268" s="36">
        <f t="shared" ca="1" si="52"/>
        <v>2.3259916145227887E-2</v>
      </c>
      <c r="K268" s="37">
        <f ca="1">IF(J268&lt;&gt;-1,_Media_M + J268*_Sigma,-1)</f>
        <v>75.34889874217842</v>
      </c>
      <c r="L268" s="3">
        <f t="shared" ca="1" si="46"/>
        <v>-1</v>
      </c>
      <c r="M268" s="18">
        <f ca="1">IF(LOOKUP(G268,$H$3:$H$4,$E$3:$E$4)=1,50,_Media_M + J268*_Sigma)</f>
        <v>75.34889874217842</v>
      </c>
      <c r="N268" s="36">
        <f t="shared" ca="1" si="47"/>
        <v>17.695771443599458</v>
      </c>
      <c r="O268" s="35">
        <f t="shared" ca="1" si="53"/>
        <v>93.044670185777875</v>
      </c>
      <c r="P268" s="19">
        <f t="shared" ca="1" si="49"/>
        <v>93.044670185777875</v>
      </c>
      <c r="Q268" s="20">
        <f ca="1" xml:space="preserve"> P268*_Precio_cafe</f>
        <v>139.56700527866681</v>
      </c>
      <c r="R268" s="20">
        <f t="shared" ca="1" si="50"/>
        <v>35658.743114001678</v>
      </c>
      <c r="S268" s="20">
        <f ca="1">(1/A268)*((A268-1)*S267 +Q268)</f>
        <v>141.50294886508595</v>
      </c>
      <c r="T268" s="20">
        <f ca="1">IF((T267-P268+F268)&gt;_Max_Stock_Gramos,_Max_Stock_Gramos,T267-P268+F268)</f>
        <v>1700</v>
      </c>
      <c r="U268" s="20">
        <f ca="1">T268/_GramosXFrasco</f>
        <v>10</v>
      </c>
      <c r="V268" s="58">
        <f ca="1">(T268/_Max_Stock_Gramos)</f>
        <v>1</v>
      </c>
      <c r="W268" s="58"/>
      <c r="X268" s="10">
        <f ca="1">IF((T267-O268)&lt;0,(T267-O268)*_Costo_Faltante,0)</f>
        <v>0</v>
      </c>
      <c r="Y268">
        <f ca="1">IF(B268=0,E268*_Costo_Frasco,0)</f>
        <v>-500</v>
      </c>
      <c r="Z268" s="11">
        <f t="shared" ca="1" si="51"/>
        <v>-34000</v>
      </c>
    </row>
    <row r="269" spans="1:26" x14ac:dyDescent="0.25">
      <c r="A269" s="30">
        <f t="shared" si="48"/>
        <v>253</v>
      </c>
      <c r="B269" s="10">
        <f>IF(B268=0,_Proxima_Compra,B268-1)</f>
        <v>1</v>
      </c>
      <c r="C269" s="3">
        <f t="shared" ca="1" si="41"/>
        <v>-1</v>
      </c>
      <c r="D269" s="3">
        <f ca="1">IF(D268&gt;0,D268-1,IF(C269&gt;0,LOOKUP(C269,$S$3:$S$5,$P$3:$P$5),-1))</f>
        <v>-1</v>
      </c>
      <c r="E269" s="25">
        <f t="shared" ca="1" si="42"/>
        <v>0</v>
      </c>
      <c r="F269" s="28">
        <f ca="1">E269*_GramosXFrasco</f>
        <v>0</v>
      </c>
      <c r="G269" s="38">
        <f t="shared" ca="1" si="43"/>
        <v>0.10762762340747078</v>
      </c>
      <c r="H269" s="36">
        <f t="shared" ca="1" si="44"/>
        <v>-1</v>
      </c>
      <c r="I269" s="36">
        <f t="shared" ca="1" si="45"/>
        <v>-1</v>
      </c>
      <c r="J269" s="36">
        <f t="shared" ca="1" si="52"/>
        <v>-1</v>
      </c>
      <c r="K269" s="37">
        <f ca="1">IF(J269&lt;&gt;-1,_Media_M + J269*_Sigma,-1)</f>
        <v>-1</v>
      </c>
      <c r="L269" s="3">
        <f t="shared" ca="1" si="46"/>
        <v>50</v>
      </c>
      <c r="M269" s="18">
        <f ca="1">IF(LOOKUP(G269,$H$3:$H$4,$E$3:$E$4)=1,50,_Media_M + J269*_Sigma)</f>
        <v>50</v>
      </c>
      <c r="N269" s="36">
        <f t="shared" ca="1" si="47"/>
        <v>179.47744858786265</v>
      </c>
      <c r="O269" s="35">
        <f t="shared" ca="1" si="53"/>
        <v>229.47744858786265</v>
      </c>
      <c r="P269" s="19">
        <f t="shared" ca="1" si="49"/>
        <v>229.47744858786265</v>
      </c>
      <c r="Q269" s="20">
        <f ca="1" xml:space="preserve"> P269*_Precio_cafe</f>
        <v>344.21617288179397</v>
      </c>
      <c r="R269" s="20">
        <f t="shared" ca="1" si="50"/>
        <v>36002.959286883473</v>
      </c>
      <c r="S269" s="20">
        <f ca="1">(1/A269)*((A269-1)*S268 +Q269)</f>
        <v>142.30418690467769</v>
      </c>
      <c r="T269" s="20">
        <f ca="1">IF((T268-P269+F269)&gt;_Max_Stock_Gramos,_Max_Stock_Gramos,T268-P269+F269)</f>
        <v>1470.5225514121373</v>
      </c>
      <c r="U269" s="20">
        <f ca="1">T269/_GramosXFrasco</f>
        <v>8.650132655365514</v>
      </c>
      <c r="V269" s="58">
        <f ca="1">(T269/_Max_Stock_Gramos)</f>
        <v>0.86501326553655133</v>
      </c>
      <c r="W269" s="58"/>
      <c r="X269" s="10">
        <f ca="1">IF((T268-O269)&lt;0,(T268-O269)*_Costo_Faltante,0)</f>
        <v>0</v>
      </c>
      <c r="Y269">
        <f>IF(B269=0,E269*_Costo_Frasco,0)</f>
        <v>0</v>
      </c>
      <c r="Z269" s="11">
        <f t="shared" ca="1" si="51"/>
        <v>-34000</v>
      </c>
    </row>
    <row r="270" spans="1:26" x14ac:dyDescent="0.25">
      <c r="A270" s="30">
        <f t="shared" si="48"/>
        <v>254</v>
      </c>
      <c r="B270" s="10">
        <f>IF(B269=0,_Proxima_Compra,B269-1)</f>
        <v>0</v>
      </c>
      <c r="C270" s="3">
        <f t="shared" ca="1" si="41"/>
        <v>0.88959886837450064</v>
      </c>
      <c r="D270" s="3">
        <f ca="1">IF(D269&gt;0,D269-1,IF(C270&gt;0,LOOKUP(C270,$S$3:$S$5,$P$3:$P$5),-1))</f>
        <v>2</v>
      </c>
      <c r="E270" s="25">
        <f t="shared" ca="1" si="42"/>
        <v>0</v>
      </c>
      <c r="F270" s="28">
        <f ca="1">E270*_GramosXFrasco</f>
        <v>0</v>
      </c>
      <c r="G270" s="38">
        <f t="shared" ca="1" si="43"/>
        <v>0.84053412672068495</v>
      </c>
      <c r="H270" s="36">
        <f t="shared" ca="1" si="44"/>
        <v>0.73743150668537727</v>
      </c>
      <c r="I270" s="36">
        <f t="shared" ca="1" si="45"/>
        <v>0.93473053203086742</v>
      </c>
      <c r="J270" s="36">
        <f t="shared" ca="1" si="52"/>
        <v>0.98837104618020855</v>
      </c>
      <c r="K270" s="37">
        <f ca="1">IF(J270&lt;&gt;-1,_Media_M + J270*_Sigma,-1)</f>
        <v>89.825565692703123</v>
      </c>
      <c r="L270" s="3">
        <f t="shared" ca="1" si="46"/>
        <v>-1</v>
      </c>
      <c r="M270" s="18">
        <f ca="1">IF(LOOKUP(G270,$H$3:$H$4,$E$3:$E$4)=1,50,_Media_M + J270*_Sigma)</f>
        <v>89.825565692703123</v>
      </c>
      <c r="N270" s="36">
        <f t="shared" ca="1" si="47"/>
        <v>18.588269910086076</v>
      </c>
      <c r="O270" s="35">
        <f t="shared" ca="1" si="53"/>
        <v>108.41383560278919</v>
      </c>
      <c r="P270" s="19">
        <f t="shared" ca="1" si="49"/>
        <v>108.41383560278919</v>
      </c>
      <c r="Q270" s="20">
        <f ca="1" xml:space="preserve"> P270*_Precio_cafe</f>
        <v>162.6207534041838</v>
      </c>
      <c r="R270" s="20">
        <f t="shared" ca="1" si="50"/>
        <v>36165.580040287656</v>
      </c>
      <c r="S270" s="20">
        <f ca="1">(1/A270)*((A270-1)*S269 +Q270)</f>
        <v>142.38417338695922</v>
      </c>
      <c r="T270" s="20">
        <f ca="1">IF((T269-P270+F270)&gt;_Max_Stock_Gramos,_Max_Stock_Gramos,T269-P270+F270)</f>
        <v>1362.108715809348</v>
      </c>
      <c r="U270" s="20">
        <f ca="1">T270/_GramosXFrasco</f>
        <v>8.0124042106432238</v>
      </c>
      <c r="V270" s="58">
        <f ca="1">(T270/_Max_Stock_Gramos)</f>
        <v>0.80124042106432236</v>
      </c>
      <c r="W270" s="58"/>
      <c r="X270" s="10">
        <f ca="1">IF((T269-O270)&lt;0,(T269-O270)*_Costo_Faltante,0)</f>
        <v>0</v>
      </c>
      <c r="Y270">
        <f ca="1">IF(B270=0,E270*_Costo_Frasco,0)</f>
        <v>0</v>
      </c>
      <c r="Z270" s="11">
        <f t="shared" ca="1" si="51"/>
        <v>-34000</v>
      </c>
    </row>
    <row r="271" spans="1:26" x14ac:dyDescent="0.25">
      <c r="A271" s="30">
        <f t="shared" si="48"/>
        <v>255</v>
      </c>
      <c r="B271" s="10">
        <f>IF(B270=0,_Proxima_Compra,B270-1)</f>
        <v>1</v>
      </c>
      <c r="C271" s="3">
        <f t="shared" ca="1" si="41"/>
        <v>-1</v>
      </c>
      <c r="D271" s="3">
        <f ca="1">IF(D270&gt;0,D270-1,IF(C271&gt;0,LOOKUP(C271,$S$3:$S$5,$P$3:$P$5),-1))</f>
        <v>1</v>
      </c>
      <c r="E271" s="25">
        <f t="shared" ca="1" si="42"/>
        <v>0</v>
      </c>
      <c r="F271" s="28">
        <f ca="1">E271*_GramosXFrasco</f>
        <v>0</v>
      </c>
      <c r="G271" s="38">
        <f t="shared" ca="1" si="43"/>
        <v>0.83341053718537073</v>
      </c>
      <c r="H271" s="36">
        <f t="shared" ca="1" si="44"/>
        <v>0.64176490534599484</v>
      </c>
      <c r="I271" s="36">
        <f t="shared" ca="1" si="45"/>
        <v>0.60854068322704746</v>
      </c>
      <c r="J271" s="36">
        <f t="shared" ca="1" si="52"/>
        <v>-0.73306815863501285</v>
      </c>
      <c r="K271" s="37">
        <f ca="1">IF(J271&lt;&gt;-1,_Media_M + J271*_Sigma,-1)</f>
        <v>64.003977620474814</v>
      </c>
      <c r="L271" s="3">
        <f t="shared" ca="1" si="46"/>
        <v>-1</v>
      </c>
      <c r="M271" s="18">
        <f ca="1">IF(LOOKUP(G271,$H$3:$H$4,$E$3:$E$4)=1,50,_Media_M + J271*_Sigma)</f>
        <v>64.003977620474814</v>
      </c>
      <c r="N271" s="36">
        <f t="shared" ca="1" si="47"/>
        <v>32.744758902227289</v>
      </c>
      <c r="O271" s="35">
        <f t="shared" ca="1" si="53"/>
        <v>96.748736522702103</v>
      </c>
      <c r="P271" s="19">
        <f t="shared" ca="1" si="49"/>
        <v>96.748736522702103</v>
      </c>
      <c r="Q271" s="20">
        <f ca="1" xml:space="preserve"> P271*_Precio_cafe</f>
        <v>145.12310478405317</v>
      </c>
      <c r="R271" s="20">
        <f t="shared" ca="1" si="50"/>
        <v>36310.703145071711</v>
      </c>
      <c r="S271" s="20">
        <f ca="1">(1/A271)*((A271-1)*S270 +Q271)</f>
        <v>142.3949142943988</v>
      </c>
      <c r="T271" s="20">
        <f ca="1">IF((T270-P271+F271)&gt;_Max_Stock_Gramos,_Max_Stock_Gramos,T270-P271+F271)</f>
        <v>1265.359979286646</v>
      </c>
      <c r="U271" s="20">
        <f ca="1">T271/_GramosXFrasco</f>
        <v>7.4432939958038</v>
      </c>
      <c r="V271" s="58">
        <f ca="1">(T271/_Max_Stock_Gramos)</f>
        <v>0.74432939958038002</v>
      </c>
      <c r="W271" s="58"/>
      <c r="X271" s="10">
        <f ca="1">IF((T270-O271)&lt;0,(T270-O271)*_Costo_Faltante,0)</f>
        <v>0</v>
      </c>
      <c r="Y271">
        <f>IF(B271=0,E271*_Costo_Frasco,0)</f>
        <v>0</v>
      </c>
      <c r="Z271" s="11">
        <f t="shared" ca="1" si="51"/>
        <v>-34000</v>
      </c>
    </row>
    <row r="272" spans="1:26" x14ac:dyDescent="0.25">
      <c r="A272" s="30">
        <f t="shared" si="48"/>
        <v>256</v>
      </c>
      <c r="B272" s="10">
        <f>IF(B271=0,_Proxima_Compra,B271-1)</f>
        <v>0</v>
      </c>
      <c r="C272" s="3">
        <f t="shared" ca="1" si="41"/>
        <v>0.31787156144235762</v>
      </c>
      <c r="D272" s="3">
        <f ca="1">IF(D271&gt;0,D271-1,IF(C272&gt;0,LOOKUP(C272,$S$3:$S$5,$P$3:$P$5),-1))</f>
        <v>0</v>
      </c>
      <c r="E272" s="25">
        <f t="shared" ca="1" si="42"/>
        <v>2</v>
      </c>
      <c r="F272" s="28">
        <f ca="1">E272*_GramosXFrasco</f>
        <v>340</v>
      </c>
      <c r="G272" s="38">
        <f t="shared" ca="1" si="43"/>
        <v>2.5273237940091953E-2</v>
      </c>
      <c r="H272" s="36">
        <f t="shared" ca="1" si="44"/>
        <v>-1</v>
      </c>
      <c r="I272" s="36">
        <f t="shared" ca="1" si="45"/>
        <v>-1</v>
      </c>
      <c r="J272" s="36">
        <f t="shared" ca="1" si="52"/>
        <v>-1</v>
      </c>
      <c r="K272" s="37">
        <f ca="1">IF(J272&lt;&gt;-1,_Media_M + J272*_Sigma,-1)</f>
        <v>-1</v>
      </c>
      <c r="L272" s="3">
        <f t="shared" ca="1" si="46"/>
        <v>50</v>
      </c>
      <c r="M272" s="18">
        <f ca="1">IF(LOOKUP(G272,$H$3:$H$4,$E$3:$E$4)=1,50,_Media_M + J272*_Sigma)</f>
        <v>50</v>
      </c>
      <c r="N272" s="36">
        <f t="shared" ca="1" si="47"/>
        <v>32.654064874486245</v>
      </c>
      <c r="O272" s="35">
        <f t="shared" ca="1" si="53"/>
        <v>82.654064874486238</v>
      </c>
      <c r="P272" s="19">
        <f t="shared" ca="1" si="49"/>
        <v>82.654064874486238</v>
      </c>
      <c r="Q272" s="20">
        <f ca="1" xml:space="preserve"> P272*_Precio_cafe</f>
        <v>123.98109731172936</v>
      </c>
      <c r="R272" s="20">
        <f t="shared" ca="1" si="50"/>
        <v>36434.684242383439</v>
      </c>
      <c r="S272" s="20">
        <f ca="1">(1/A272)*((A272-1)*S271 +Q272)</f>
        <v>142.32298532181025</v>
      </c>
      <c r="T272" s="20">
        <f ca="1">IF((T271-P272+F272)&gt;_Max_Stock_Gramos,_Max_Stock_Gramos,T271-P272+F272)</f>
        <v>1522.7059144121597</v>
      </c>
      <c r="U272" s="20">
        <f ca="1">T272/_GramosXFrasco</f>
        <v>8.9570936141891746</v>
      </c>
      <c r="V272" s="58">
        <f ca="1">(T272/_Max_Stock_Gramos)</f>
        <v>0.89570936141891744</v>
      </c>
      <c r="W272" s="58"/>
      <c r="X272" s="10">
        <f ca="1">IF((T271-O272)&lt;0,(T271-O272)*_Costo_Faltante,0)</f>
        <v>0</v>
      </c>
      <c r="Y272">
        <f ca="1">IF(B272=0,E272*_Costo_Frasco,0)</f>
        <v>-500</v>
      </c>
      <c r="Z272" s="11">
        <f t="shared" ca="1" si="51"/>
        <v>-34500</v>
      </c>
    </row>
    <row r="273" spans="1:26" x14ac:dyDescent="0.25">
      <c r="A273" s="30">
        <f t="shared" si="48"/>
        <v>257</v>
      </c>
      <c r="B273" s="10">
        <f>IF(B272=0,_Proxima_Compra,B272-1)</f>
        <v>1</v>
      </c>
      <c r="C273" s="3">
        <f t="shared" ref="C273:C336" ca="1" si="54">IF(B273=0,RAND(),-1)</f>
        <v>-1</v>
      </c>
      <c r="D273" s="3">
        <f ca="1">IF(D272&gt;0,D272-1,IF(C273&gt;0,LOOKUP(C273,$S$3:$S$5,$P$3:$P$5),-1))</f>
        <v>-1</v>
      </c>
      <c r="E273" s="25">
        <f t="shared" ref="E273:E336" ca="1" si="55">IF(D273=0,2,)</f>
        <v>0</v>
      </c>
      <c r="F273" s="28">
        <f ca="1">E273*_GramosXFrasco</f>
        <v>0</v>
      </c>
      <c r="G273" s="38">
        <f t="shared" ref="G273:G336" ca="1" si="56">RAND()</f>
        <v>0.74212653605823453</v>
      </c>
      <c r="H273" s="36">
        <f t="shared" ref="H273:H336" ca="1" si="57">IF(G273&gt;0.5,RAND(),-1)</f>
        <v>0.84887093719798778</v>
      </c>
      <c r="I273" s="36">
        <f t="shared" ref="I273:I336" ca="1" si="58">IF(G273&gt;0.5,RAND(),-1)</f>
        <v>0.13341493488840028</v>
      </c>
      <c r="J273" s="36">
        <f t="shared" ca="1" si="52"/>
        <v>0.85675763601487998</v>
      </c>
      <c r="K273" s="37">
        <f ca="1">IF(J273&lt;&gt;-1,_Media_M + J273*_Sigma,-1)</f>
        <v>87.851364540223202</v>
      </c>
      <c r="L273" s="3">
        <f t="shared" ref="L273:L336" ca="1" si="59">IF(K273=-1,50,-1)</f>
        <v>-1</v>
      </c>
      <c r="M273" s="18">
        <f ca="1">IF(LOOKUP(G273,$H$3:$H$4,$E$3:$E$4)=1,50,_Media_M + J273*_Sigma)</f>
        <v>87.851364540223202</v>
      </c>
      <c r="N273" s="36">
        <f t="shared" ref="N273:N336" ca="1" si="60">(-1/(1/70)*(LOG(1-RAND())))</f>
        <v>4.5392647074961987</v>
      </c>
      <c r="O273" s="35">
        <f t="shared" ca="1" si="53"/>
        <v>92.390629247719403</v>
      </c>
      <c r="P273" s="19">
        <f t="shared" ca="1" si="49"/>
        <v>92.390629247719403</v>
      </c>
      <c r="Q273" s="20">
        <f ca="1" xml:space="preserve"> P273*_Precio_cafe</f>
        <v>138.5859438715791</v>
      </c>
      <c r="R273" s="20">
        <f t="shared" ca="1" si="50"/>
        <v>36573.270186255017</v>
      </c>
      <c r="S273" s="20">
        <f ca="1">(1/A273)*((A273-1)*S272 +Q273)</f>
        <v>142.30844430449417</v>
      </c>
      <c r="T273" s="20">
        <f ca="1">IF((T272-P273+F273)&gt;_Max_Stock_Gramos,_Max_Stock_Gramos,T272-P273+F273)</f>
        <v>1430.3152851644404</v>
      </c>
      <c r="U273" s="20">
        <f ca="1">T273/_GramosXFrasco</f>
        <v>8.4136193244967075</v>
      </c>
      <c r="V273" s="58">
        <f ca="1">(T273/_Max_Stock_Gramos)</f>
        <v>0.84136193244967084</v>
      </c>
      <c r="W273" s="58"/>
      <c r="X273" s="10">
        <f ca="1">IF((T272-O273)&lt;0,(T272-O273)*_Costo_Faltante,0)</f>
        <v>0</v>
      </c>
      <c r="Y273">
        <f>IF(B273=0,E273*_Costo_Frasco,0)</f>
        <v>0</v>
      </c>
      <c r="Z273" s="11">
        <f t="shared" ca="1" si="51"/>
        <v>-34500</v>
      </c>
    </row>
    <row r="274" spans="1:26" x14ac:dyDescent="0.25">
      <c r="A274" s="30">
        <f t="shared" ref="A274:A337" si="61">A273+1</f>
        <v>258</v>
      </c>
      <c r="B274" s="10">
        <f>IF(B273=0,_Proxima_Compra,B273-1)</f>
        <v>0</v>
      </c>
      <c r="C274" s="3">
        <f t="shared" ca="1" si="54"/>
        <v>0.84992291994557156</v>
      </c>
      <c r="D274" s="3">
        <f ca="1">IF(D273&gt;0,D273-1,IF(C274&gt;0,LOOKUP(C274,$S$3:$S$5,$P$3:$P$5),-1))</f>
        <v>2</v>
      </c>
      <c r="E274" s="25">
        <f t="shared" ca="1" si="55"/>
        <v>0</v>
      </c>
      <c r="F274" s="28">
        <f ca="1">E274*_GramosXFrasco</f>
        <v>0</v>
      </c>
      <c r="G274" s="38">
        <f t="shared" ca="1" si="56"/>
        <v>0.48802655400338124</v>
      </c>
      <c r="H274" s="36">
        <f t="shared" ca="1" si="57"/>
        <v>-1</v>
      </c>
      <c r="I274" s="36">
        <f t="shared" ca="1" si="58"/>
        <v>-1</v>
      </c>
      <c r="J274" s="36">
        <f t="shared" ca="1" si="52"/>
        <v>-1</v>
      </c>
      <c r="K274" s="37">
        <f ca="1">IF(J274&lt;&gt;-1,_Media_M + J274*_Sigma,-1)</f>
        <v>-1</v>
      </c>
      <c r="L274" s="3">
        <f t="shared" ca="1" si="59"/>
        <v>50</v>
      </c>
      <c r="M274" s="18">
        <f ca="1">IF(LOOKUP(G274,$H$3:$H$4,$E$3:$E$4)=1,50,_Media_M + J274*_Sigma)</f>
        <v>50</v>
      </c>
      <c r="N274" s="36">
        <f t="shared" ca="1" si="60"/>
        <v>8.8168786749165946</v>
      </c>
      <c r="O274" s="35">
        <f t="shared" ca="1" si="53"/>
        <v>58.816878674916595</v>
      </c>
      <c r="P274" s="19">
        <f t="shared" ref="P274:P337" ca="1" si="62">IF(O274&lt;T273,O274,T273)</f>
        <v>58.816878674916595</v>
      </c>
      <c r="Q274" s="20">
        <f ca="1" xml:space="preserve"> P274*_Precio_cafe</f>
        <v>88.225318012374885</v>
      </c>
      <c r="R274" s="20">
        <f t="shared" ref="R274:R337" ca="1" si="63">Q274+R273</f>
        <v>36661.49550426739</v>
      </c>
      <c r="S274" s="20">
        <f ca="1">(1/A274)*((A274-1)*S273 +Q274)</f>
        <v>142.09881978398207</v>
      </c>
      <c r="T274" s="20">
        <f ca="1">IF((T273-P274+F274)&gt;_Max_Stock_Gramos,_Max_Stock_Gramos,T273-P274+F274)</f>
        <v>1371.4984064895239</v>
      </c>
      <c r="U274" s="20">
        <f ca="1">T274/_GramosXFrasco</f>
        <v>8.0676376852324925</v>
      </c>
      <c r="V274" s="58">
        <f ca="1">(T274/_Max_Stock_Gramos)</f>
        <v>0.80676376852324938</v>
      </c>
      <c r="W274" s="58"/>
      <c r="X274" s="10">
        <f ca="1">IF((T273-O274)&lt;0,(T273-O274)*_Costo_Faltante,0)</f>
        <v>0</v>
      </c>
      <c r="Y274">
        <f ca="1">IF(B274=0,E274*_Costo_Frasco,0)</f>
        <v>0</v>
      </c>
      <c r="Z274" s="11">
        <f t="shared" ref="Z274:Z337" ca="1" si="64">X274+Y274+Z273</f>
        <v>-34500</v>
      </c>
    </row>
    <row r="275" spans="1:26" x14ac:dyDescent="0.25">
      <c r="A275" s="30">
        <f t="shared" si="61"/>
        <v>259</v>
      </c>
      <c r="B275" s="10">
        <f>IF(B274=0,_Proxima_Compra,B274-1)</f>
        <v>1</v>
      </c>
      <c r="C275" s="3">
        <f t="shared" ca="1" si="54"/>
        <v>-1</v>
      </c>
      <c r="D275" s="3">
        <f ca="1">IF(D274&gt;0,D274-1,IF(C275&gt;0,LOOKUP(C275,$S$3:$S$5,$P$3:$P$5),-1))</f>
        <v>1</v>
      </c>
      <c r="E275" s="25">
        <f t="shared" ca="1" si="55"/>
        <v>0</v>
      </c>
      <c r="F275" s="28">
        <f ca="1">E275*_GramosXFrasco</f>
        <v>0</v>
      </c>
      <c r="G275" s="38">
        <f t="shared" ca="1" si="56"/>
        <v>0.50995199709601535</v>
      </c>
      <c r="H275" s="36">
        <f t="shared" ca="1" si="57"/>
        <v>0.20271209759323072</v>
      </c>
      <c r="I275" s="36">
        <f t="shared" ca="1" si="58"/>
        <v>0.11210426563645826</v>
      </c>
      <c r="J275" s="36">
        <f t="shared" ca="1" si="52"/>
        <v>0.33802167019045476</v>
      </c>
      <c r="K275" s="37">
        <f ca="1">IF(J275&lt;&gt;-1,_Media_M + J275*_Sigma,-1)</f>
        <v>80.070325052856816</v>
      </c>
      <c r="L275" s="3">
        <f t="shared" ca="1" si="59"/>
        <v>-1</v>
      </c>
      <c r="M275" s="18">
        <f ca="1">IF(LOOKUP(G275,$H$3:$H$4,$E$3:$E$4)=1,50,_Media_M + J275*_Sigma)</f>
        <v>80.070325052856816</v>
      </c>
      <c r="N275" s="36">
        <f t="shared" ca="1" si="60"/>
        <v>26.944033686330048</v>
      </c>
      <c r="O275" s="35">
        <f t="shared" ca="1" si="53"/>
        <v>107.01435873918686</v>
      </c>
      <c r="P275" s="19">
        <f t="shared" ca="1" si="62"/>
        <v>107.01435873918686</v>
      </c>
      <c r="Q275" s="20">
        <f ca="1" xml:space="preserve"> P275*_Precio_cafe</f>
        <v>160.52153810878031</v>
      </c>
      <c r="R275" s="20">
        <f t="shared" ca="1" si="63"/>
        <v>36822.017042376174</v>
      </c>
      <c r="S275" s="20">
        <f ca="1">(1/A275)*((A275-1)*S274 +Q275)</f>
        <v>142.16994997056432</v>
      </c>
      <c r="T275" s="20">
        <f ca="1">IF((T274-P275+F275)&gt;_Max_Stock_Gramos,_Max_Stock_Gramos,T274-P275+F275)</f>
        <v>1264.4840477503369</v>
      </c>
      <c r="U275" s="20">
        <f ca="1">T275/_GramosXFrasco</f>
        <v>7.4381414573549227</v>
      </c>
      <c r="V275" s="58">
        <f ca="1">(T275/_Max_Stock_Gramos)</f>
        <v>0.74381414573549232</v>
      </c>
      <c r="W275" s="58"/>
      <c r="X275" s="10">
        <f ca="1">IF((T274-O275)&lt;0,(T274-O275)*_Costo_Faltante,0)</f>
        <v>0</v>
      </c>
      <c r="Y275">
        <f>IF(B275=0,E275*_Costo_Frasco,0)</f>
        <v>0</v>
      </c>
      <c r="Z275" s="11">
        <f t="shared" ca="1" si="64"/>
        <v>-34500</v>
      </c>
    </row>
    <row r="276" spans="1:26" x14ac:dyDescent="0.25">
      <c r="A276" s="30">
        <f t="shared" si="61"/>
        <v>260</v>
      </c>
      <c r="B276" s="10">
        <f>IF(B275=0,_Proxima_Compra,B275-1)</f>
        <v>0</v>
      </c>
      <c r="C276" s="3">
        <f t="shared" ca="1" si="54"/>
        <v>0.17090525038421533</v>
      </c>
      <c r="D276" s="3">
        <f ca="1">IF(D275&gt;0,D275-1,IF(C276&gt;0,LOOKUP(C276,$S$3:$S$5,$P$3:$P$5),-1))</f>
        <v>0</v>
      </c>
      <c r="E276" s="25">
        <f t="shared" ca="1" si="55"/>
        <v>2</v>
      </c>
      <c r="F276" s="28">
        <f ca="1">E276*_GramosXFrasco</f>
        <v>340</v>
      </c>
      <c r="G276" s="38">
        <f t="shared" ca="1" si="56"/>
        <v>0.37707729960588743</v>
      </c>
      <c r="H276" s="36">
        <f t="shared" ca="1" si="57"/>
        <v>-1</v>
      </c>
      <c r="I276" s="36">
        <f t="shared" ca="1" si="58"/>
        <v>-1</v>
      </c>
      <c r="J276" s="36">
        <f t="shared" ca="1" si="52"/>
        <v>-1</v>
      </c>
      <c r="K276" s="37">
        <f ca="1">IF(J276&lt;&gt;-1,_Media_M + J276*_Sigma,-1)</f>
        <v>-1</v>
      </c>
      <c r="L276" s="3">
        <f t="shared" ca="1" si="59"/>
        <v>50</v>
      </c>
      <c r="M276" s="18">
        <f ca="1">IF(LOOKUP(G276,$H$3:$H$4,$E$3:$E$4)=1,50,_Media_M + J276*_Sigma)</f>
        <v>50</v>
      </c>
      <c r="N276" s="36">
        <f t="shared" ca="1" si="60"/>
        <v>21.738412429455519</v>
      </c>
      <c r="O276" s="35">
        <f t="shared" ca="1" si="53"/>
        <v>71.738412429455522</v>
      </c>
      <c r="P276" s="19">
        <f t="shared" ca="1" si="62"/>
        <v>71.738412429455522</v>
      </c>
      <c r="Q276" s="20">
        <f ca="1" xml:space="preserve"> P276*_Precio_cafe</f>
        <v>107.60761864418328</v>
      </c>
      <c r="R276" s="20">
        <f t="shared" ca="1" si="63"/>
        <v>36929.62466102036</v>
      </c>
      <c r="S276" s="20">
        <f ca="1">(1/A276)*((A276-1)*S275 +Q276)</f>
        <v>142.03701792700133</v>
      </c>
      <c r="T276" s="20">
        <f ca="1">IF((T275-P276+F276)&gt;_Max_Stock_Gramos,_Max_Stock_Gramos,T275-P276+F276)</f>
        <v>1532.7456353208813</v>
      </c>
      <c r="U276" s="20">
        <f ca="1">T276/_GramosXFrasco</f>
        <v>9.016150796005185</v>
      </c>
      <c r="V276" s="58">
        <f ca="1">(T276/_Max_Stock_Gramos)</f>
        <v>0.90161507960051845</v>
      </c>
      <c r="W276" s="58"/>
      <c r="X276" s="10">
        <f ca="1">IF((T275-O276)&lt;0,(T275-O276)*_Costo_Faltante,0)</f>
        <v>0</v>
      </c>
      <c r="Y276">
        <f ca="1">IF(B276=0,E276*_Costo_Frasco,0)</f>
        <v>-500</v>
      </c>
      <c r="Z276" s="11">
        <f t="shared" ca="1" si="64"/>
        <v>-35000</v>
      </c>
    </row>
    <row r="277" spans="1:26" x14ac:dyDescent="0.25">
      <c r="A277" s="30">
        <f t="shared" si="61"/>
        <v>261</v>
      </c>
      <c r="B277" s="10">
        <f>IF(B276=0,_Proxima_Compra,B276-1)</f>
        <v>1</v>
      </c>
      <c r="C277" s="3">
        <f t="shared" ca="1" si="54"/>
        <v>-1</v>
      </c>
      <c r="D277" s="3">
        <f ca="1">IF(D276&gt;0,D276-1,IF(C277&gt;0,LOOKUP(C277,$S$3:$S$5,$P$3:$P$5),-1))</f>
        <v>-1</v>
      </c>
      <c r="E277" s="25">
        <f t="shared" ca="1" si="55"/>
        <v>0</v>
      </c>
      <c r="F277" s="28">
        <f ca="1">E277*_GramosXFrasco</f>
        <v>0</v>
      </c>
      <c r="G277" s="38">
        <f t="shared" ca="1" si="56"/>
        <v>0.41224712362698723</v>
      </c>
      <c r="H277" s="36">
        <f t="shared" ca="1" si="57"/>
        <v>-1</v>
      </c>
      <c r="I277" s="36">
        <f t="shared" ca="1" si="58"/>
        <v>-1</v>
      </c>
      <c r="J277" s="36">
        <f t="shared" ca="1" si="52"/>
        <v>-1</v>
      </c>
      <c r="K277" s="37">
        <f ca="1">IF(J277&lt;&gt;-1,_Media_M + J277*_Sigma,-1)</f>
        <v>-1</v>
      </c>
      <c r="L277" s="3">
        <f t="shared" ca="1" si="59"/>
        <v>50</v>
      </c>
      <c r="M277" s="18">
        <f ca="1">IF(LOOKUP(G277,$H$3:$H$4,$E$3:$E$4)=1,50,_Media_M + J277*_Sigma)</f>
        <v>50</v>
      </c>
      <c r="N277" s="36">
        <f t="shared" ca="1" si="60"/>
        <v>72.359562567603561</v>
      </c>
      <c r="O277" s="35">
        <f t="shared" ca="1" si="53"/>
        <v>122.35956256760356</v>
      </c>
      <c r="P277" s="19">
        <f t="shared" ca="1" si="62"/>
        <v>122.35956256760356</v>
      </c>
      <c r="Q277" s="20">
        <f ca="1" xml:space="preserve"> P277*_Precio_cafe</f>
        <v>183.53934385140533</v>
      </c>
      <c r="R277" s="20">
        <f t="shared" ca="1" si="63"/>
        <v>37113.164004871767</v>
      </c>
      <c r="S277" s="20">
        <f ca="1">(1/A277)*((A277-1)*S276 +Q277)</f>
        <v>142.19603067000671</v>
      </c>
      <c r="T277" s="20">
        <f ca="1">IF((T276-P277+F277)&gt;_Max_Stock_Gramos,_Max_Stock_Gramos,T276-P277+F277)</f>
        <v>1410.3860727532779</v>
      </c>
      <c r="U277" s="20">
        <f ca="1">T277/_GramosXFrasco</f>
        <v>8.2963886632545751</v>
      </c>
      <c r="V277" s="58">
        <f ca="1">(T277/_Max_Stock_Gramos)</f>
        <v>0.82963886632545758</v>
      </c>
      <c r="W277" s="58"/>
      <c r="X277" s="10">
        <f ca="1">IF((T276-O277)&lt;0,(T276-O277)*_Costo_Faltante,0)</f>
        <v>0</v>
      </c>
      <c r="Y277">
        <f>IF(B277=0,E277*_Costo_Frasco,0)</f>
        <v>0</v>
      </c>
      <c r="Z277" s="11">
        <f t="shared" ca="1" si="64"/>
        <v>-35000</v>
      </c>
    </row>
    <row r="278" spans="1:26" x14ac:dyDescent="0.25">
      <c r="A278" s="30">
        <f t="shared" si="61"/>
        <v>262</v>
      </c>
      <c r="B278" s="10">
        <f>IF(B277=0,_Proxima_Compra,B277-1)</f>
        <v>0</v>
      </c>
      <c r="C278" s="3">
        <f t="shared" ca="1" si="54"/>
        <v>0.23700424712934365</v>
      </c>
      <c r="D278" s="3">
        <f ca="1">IF(D277&gt;0,D277-1,IF(C278&gt;0,LOOKUP(C278,$S$3:$S$5,$P$3:$P$5),-1))</f>
        <v>0</v>
      </c>
      <c r="E278" s="25">
        <f t="shared" ca="1" si="55"/>
        <v>2</v>
      </c>
      <c r="F278" s="28">
        <f ca="1">E278*_GramosXFrasco</f>
        <v>340</v>
      </c>
      <c r="G278" s="38">
        <f t="shared" ca="1" si="56"/>
        <v>0.43260562368481437</v>
      </c>
      <c r="H278" s="36">
        <f t="shared" ca="1" si="57"/>
        <v>-1</v>
      </c>
      <c r="I278" s="36">
        <f t="shared" ca="1" si="58"/>
        <v>-1</v>
      </c>
      <c r="J278" s="36">
        <f t="shared" ca="1" si="52"/>
        <v>-1</v>
      </c>
      <c r="K278" s="37">
        <f ca="1">IF(J278&lt;&gt;-1,_Media_M + J278*_Sigma,-1)</f>
        <v>-1</v>
      </c>
      <c r="L278" s="3">
        <f t="shared" ca="1" si="59"/>
        <v>50</v>
      </c>
      <c r="M278" s="18">
        <f ca="1">IF(LOOKUP(G278,$H$3:$H$4,$E$3:$E$4)=1,50,_Media_M + J278*_Sigma)</f>
        <v>50</v>
      </c>
      <c r="N278" s="36">
        <f t="shared" ca="1" si="60"/>
        <v>80.322755084744344</v>
      </c>
      <c r="O278" s="35">
        <f t="shared" ca="1" si="53"/>
        <v>130.32275508474436</v>
      </c>
      <c r="P278" s="19">
        <f t="shared" ca="1" si="62"/>
        <v>130.32275508474436</v>
      </c>
      <c r="Q278" s="20">
        <f ca="1" xml:space="preserve"> P278*_Precio_cafe</f>
        <v>195.48413262711654</v>
      </c>
      <c r="R278" s="20">
        <f t="shared" ca="1" si="63"/>
        <v>37308.648137498887</v>
      </c>
      <c r="S278" s="20">
        <f ca="1">(1/A278)*((A278-1)*S277 +Q278)</f>
        <v>142.39942037213311</v>
      </c>
      <c r="T278" s="20">
        <f ca="1">IF((T277-P278+F278)&gt;_Max_Stock_Gramos,_Max_Stock_Gramos,T277-P278+F278)</f>
        <v>1620.0633176685335</v>
      </c>
      <c r="U278" s="20">
        <f ca="1">T278/_GramosXFrasco</f>
        <v>9.5297842215796091</v>
      </c>
      <c r="V278" s="58">
        <f ca="1">(T278/_Max_Stock_Gramos)</f>
        <v>0.95297842215796091</v>
      </c>
      <c r="W278" s="58"/>
      <c r="X278" s="10">
        <f ca="1">IF((T277-O278)&lt;0,(T277-O278)*_Costo_Faltante,0)</f>
        <v>0</v>
      </c>
      <c r="Y278">
        <f ca="1">IF(B278=0,E278*_Costo_Frasco,0)</f>
        <v>-500</v>
      </c>
      <c r="Z278" s="11">
        <f t="shared" ca="1" si="64"/>
        <v>-35500</v>
      </c>
    </row>
    <row r="279" spans="1:26" x14ac:dyDescent="0.25">
      <c r="A279" s="30">
        <f t="shared" si="61"/>
        <v>263</v>
      </c>
      <c r="B279" s="10">
        <f>IF(B278=0,_Proxima_Compra,B278-1)</f>
        <v>1</v>
      </c>
      <c r="C279" s="3">
        <f t="shared" ca="1" si="54"/>
        <v>-1</v>
      </c>
      <c r="D279" s="3">
        <f ca="1">IF(D278&gt;0,D278-1,IF(C279&gt;0,LOOKUP(C279,$S$3:$S$5,$P$3:$P$5),-1))</f>
        <v>-1</v>
      </c>
      <c r="E279" s="25">
        <f t="shared" ca="1" si="55"/>
        <v>0</v>
      </c>
      <c r="F279" s="28">
        <f ca="1">E279*_GramosXFrasco</f>
        <v>0</v>
      </c>
      <c r="G279" s="38">
        <f t="shared" ca="1" si="56"/>
        <v>0.96596053626705392</v>
      </c>
      <c r="H279" s="36">
        <f t="shared" ca="1" si="57"/>
        <v>3.863127606584682E-2</v>
      </c>
      <c r="I279" s="36">
        <f t="shared" ca="1" si="58"/>
        <v>0.10424715386981287</v>
      </c>
      <c r="J279" s="36">
        <f t="shared" ca="1" si="52"/>
        <v>0.14670272415894006</v>
      </c>
      <c r="K279" s="37">
        <f ca="1">IF(J279&lt;&gt;-1,_Media_M + J279*_Sigma,-1)</f>
        <v>77.200540862384102</v>
      </c>
      <c r="L279" s="3">
        <f t="shared" ca="1" si="59"/>
        <v>-1</v>
      </c>
      <c r="M279" s="18">
        <f ca="1">IF(LOOKUP(G279,$H$3:$H$4,$E$3:$E$4)=1,50,_Media_M + J279*_Sigma)</f>
        <v>77.200540862384102</v>
      </c>
      <c r="N279" s="36">
        <f t="shared" ca="1" si="60"/>
        <v>20.715348657298897</v>
      </c>
      <c r="O279" s="35">
        <f t="shared" ca="1" si="53"/>
        <v>97.915889519682992</v>
      </c>
      <c r="P279" s="19">
        <f t="shared" ca="1" si="62"/>
        <v>97.915889519682992</v>
      </c>
      <c r="Q279" s="20">
        <f ca="1" xml:space="preserve"> P279*_Precio_cafe</f>
        <v>146.87383427952449</v>
      </c>
      <c r="R279" s="20">
        <f t="shared" ca="1" si="63"/>
        <v>37455.521971778413</v>
      </c>
      <c r="S279" s="20">
        <f ca="1">(1/A279)*((A279-1)*S278 +Q279)</f>
        <v>142.41643335276959</v>
      </c>
      <c r="T279" s="20">
        <f ca="1">IF((T278-P279+F279)&gt;_Max_Stock_Gramos,_Max_Stock_Gramos,T278-P279+F279)</f>
        <v>1522.1474281488504</v>
      </c>
      <c r="U279" s="20">
        <f ca="1">T279/_GramosXFrasco</f>
        <v>8.9538084008755909</v>
      </c>
      <c r="V279" s="58">
        <f ca="1">(T279/_Max_Stock_Gramos)</f>
        <v>0.89538084008755903</v>
      </c>
      <c r="W279" s="58"/>
      <c r="X279" s="10">
        <f ca="1">IF((T278-O279)&lt;0,(T278-O279)*_Costo_Faltante,0)</f>
        <v>0</v>
      </c>
      <c r="Y279">
        <f>IF(B279=0,E279*_Costo_Frasco,0)</f>
        <v>0</v>
      </c>
      <c r="Z279" s="11">
        <f t="shared" ca="1" si="64"/>
        <v>-35500</v>
      </c>
    </row>
    <row r="280" spans="1:26" x14ac:dyDescent="0.25">
      <c r="A280" s="30">
        <f t="shared" si="61"/>
        <v>264</v>
      </c>
      <c r="B280" s="10">
        <f>IF(B279=0,_Proxima_Compra,B279-1)</f>
        <v>0</v>
      </c>
      <c r="C280" s="3">
        <f t="shared" ca="1" si="54"/>
        <v>0.32107412750420028</v>
      </c>
      <c r="D280" s="3">
        <f ca="1">IF(D279&gt;0,D279-1,IF(C280&gt;0,LOOKUP(C280,$S$3:$S$5,$P$3:$P$5),-1))</f>
        <v>0</v>
      </c>
      <c r="E280" s="25">
        <f t="shared" ca="1" si="55"/>
        <v>2</v>
      </c>
      <c r="F280" s="28">
        <f ca="1">E280*_GramosXFrasco</f>
        <v>340</v>
      </c>
      <c r="G280" s="38">
        <f t="shared" ca="1" si="56"/>
        <v>0.63743961635291269</v>
      </c>
      <c r="H280" s="36">
        <f t="shared" ca="1" si="57"/>
        <v>0.97124091758036635</v>
      </c>
      <c r="I280" s="36">
        <f t="shared" ca="1" si="58"/>
        <v>0.43720715426587764</v>
      </c>
      <c r="J280" s="36">
        <f t="shared" ca="1" si="52"/>
        <v>-1.6208077379020993</v>
      </c>
      <c r="K280" s="37">
        <f ca="1">IF(J280&lt;&gt;-1,_Media_M + J280*_Sigma,-1)</f>
        <v>50.687883931468505</v>
      </c>
      <c r="L280" s="3">
        <f t="shared" ca="1" si="59"/>
        <v>-1</v>
      </c>
      <c r="M280" s="18">
        <f ca="1">IF(LOOKUP(G280,$H$3:$H$4,$E$3:$E$4)=1,50,_Media_M + J280*_Sigma)</f>
        <v>50.687883931468505</v>
      </c>
      <c r="N280" s="36">
        <f t="shared" ca="1" si="60"/>
        <v>26.951213781479613</v>
      </c>
      <c r="O280" s="35">
        <f t="shared" ca="1" si="53"/>
        <v>77.639097712948114</v>
      </c>
      <c r="P280" s="19">
        <f t="shared" ca="1" si="62"/>
        <v>77.639097712948114</v>
      </c>
      <c r="Q280" s="20">
        <f ca="1" xml:space="preserve"> P280*_Precio_cafe</f>
        <v>116.45864656942217</v>
      </c>
      <c r="R280" s="20">
        <f t="shared" ca="1" si="63"/>
        <v>37571.980618347836</v>
      </c>
      <c r="S280" s="20">
        <f ca="1">(1/A280)*((A280-1)*S279 +Q280)</f>
        <v>142.31810840283265</v>
      </c>
      <c r="T280" s="20">
        <f ca="1">IF((T279-P280+F280)&gt;_Max_Stock_Gramos,_Max_Stock_Gramos,T279-P280+F280)</f>
        <v>1700</v>
      </c>
      <c r="U280" s="20">
        <f ca="1">T280/_GramosXFrasco</f>
        <v>10</v>
      </c>
      <c r="V280" s="58">
        <f ca="1">(T280/_Max_Stock_Gramos)</f>
        <v>1</v>
      </c>
      <c r="W280" s="58"/>
      <c r="X280" s="10">
        <f ca="1">IF((T279-O280)&lt;0,(T279-O280)*_Costo_Faltante,0)</f>
        <v>0</v>
      </c>
      <c r="Y280">
        <f ca="1">IF(B280=0,E280*_Costo_Frasco,0)</f>
        <v>-500</v>
      </c>
      <c r="Z280" s="11">
        <f t="shared" ca="1" si="64"/>
        <v>-36000</v>
      </c>
    </row>
    <row r="281" spans="1:26" x14ac:dyDescent="0.25">
      <c r="A281" s="30">
        <f t="shared" si="61"/>
        <v>265</v>
      </c>
      <c r="B281" s="10">
        <f>IF(B280=0,_Proxima_Compra,B280-1)</f>
        <v>1</v>
      </c>
      <c r="C281" s="3">
        <f t="shared" ca="1" si="54"/>
        <v>-1</v>
      </c>
      <c r="D281" s="3">
        <f ca="1">IF(D280&gt;0,D280-1,IF(C281&gt;0,LOOKUP(C281,$S$3:$S$5,$P$3:$P$5),-1))</f>
        <v>-1</v>
      </c>
      <c r="E281" s="25">
        <f t="shared" ca="1" si="55"/>
        <v>0</v>
      </c>
      <c r="F281" s="28">
        <f ca="1">E281*_GramosXFrasco</f>
        <v>0</v>
      </c>
      <c r="G281" s="38">
        <f t="shared" ca="1" si="56"/>
        <v>0.16775404186004961</v>
      </c>
      <c r="H281" s="36">
        <f t="shared" ca="1" si="57"/>
        <v>-1</v>
      </c>
      <c r="I281" s="36">
        <f t="shared" ca="1" si="58"/>
        <v>-1</v>
      </c>
      <c r="J281" s="36">
        <f t="shared" ca="1" si="52"/>
        <v>-1</v>
      </c>
      <c r="K281" s="37">
        <f ca="1">IF(J281&lt;&gt;-1,_Media_M + J281*_Sigma,-1)</f>
        <v>-1</v>
      </c>
      <c r="L281" s="3">
        <f t="shared" ca="1" si="59"/>
        <v>50</v>
      </c>
      <c r="M281" s="18">
        <f ca="1">IF(LOOKUP(G281,$H$3:$H$4,$E$3:$E$4)=1,50,_Media_M + J281*_Sigma)</f>
        <v>50</v>
      </c>
      <c r="N281" s="36">
        <f t="shared" ca="1" si="60"/>
        <v>2.2861713149638585</v>
      </c>
      <c r="O281" s="35">
        <f t="shared" ca="1" si="53"/>
        <v>52.286171314963859</v>
      </c>
      <c r="P281" s="19">
        <f t="shared" ca="1" si="62"/>
        <v>52.286171314963859</v>
      </c>
      <c r="Q281" s="20">
        <f ca="1" xml:space="preserve"> P281*_Precio_cafe</f>
        <v>78.429256972445785</v>
      </c>
      <c r="R281" s="20">
        <f t="shared" ca="1" si="63"/>
        <v>37650.409875320285</v>
      </c>
      <c r="S281" s="20">
        <f ca="1">(1/A281)*((A281-1)*S280 +Q281)</f>
        <v>142.07701839743498</v>
      </c>
      <c r="T281" s="20">
        <f ca="1">IF((T280-P281+F281)&gt;_Max_Stock_Gramos,_Max_Stock_Gramos,T280-P281+F281)</f>
        <v>1647.7138286850361</v>
      </c>
      <c r="U281" s="20">
        <f ca="1">T281/_GramosXFrasco</f>
        <v>9.6924342863825661</v>
      </c>
      <c r="V281" s="58">
        <f ca="1">(T281/_Max_Stock_Gramos)</f>
        <v>0.96924342863825652</v>
      </c>
      <c r="W281" s="58"/>
      <c r="X281" s="10">
        <f ca="1">IF((T280-O281)&lt;0,(T280-O281)*_Costo_Faltante,0)</f>
        <v>0</v>
      </c>
      <c r="Y281">
        <f>IF(B281=0,E281*_Costo_Frasco,0)</f>
        <v>0</v>
      </c>
      <c r="Z281" s="11">
        <f t="shared" ca="1" si="64"/>
        <v>-36000</v>
      </c>
    </row>
    <row r="282" spans="1:26" x14ac:dyDescent="0.25">
      <c r="A282" s="30">
        <f t="shared" si="61"/>
        <v>266</v>
      </c>
      <c r="B282" s="10">
        <f>IF(B281=0,_Proxima_Compra,B281-1)</f>
        <v>0</v>
      </c>
      <c r="C282" s="3">
        <f t="shared" ca="1" si="54"/>
        <v>0.43504721568284987</v>
      </c>
      <c r="D282" s="3">
        <f ca="1">IF(D281&gt;0,D281-1,IF(C282&gt;0,LOOKUP(C282,$S$3:$S$5,$P$3:$P$5),-1))</f>
        <v>0</v>
      </c>
      <c r="E282" s="25">
        <f t="shared" ca="1" si="55"/>
        <v>2</v>
      </c>
      <c r="F282" s="28">
        <f ca="1">E282*_GramosXFrasco</f>
        <v>340</v>
      </c>
      <c r="G282" s="38">
        <f t="shared" ca="1" si="56"/>
        <v>0.85256734810590284</v>
      </c>
      <c r="H282" s="36">
        <f t="shared" ca="1" si="57"/>
        <v>0.74837906058996995</v>
      </c>
      <c r="I282" s="36">
        <f t="shared" ca="1" si="58"/>
        <v>0.93716848382908469</v>
      </c>
      <c r="J282" s="36">
        <f t="shared" ca="1" si="52"/>
        <v>1.0105544514708493</v>
      </c>
      <c r="K282" s="37">
        <f ca="1">IF(J282&lt;&gt;-1,_Media_M + J282*_Sigma,-1)</f>
        <v>90.158316772062733</v>
      </c>
      <c r="L282" s="3">
        <f t="shared" ca="1" si="59"/>
        <v>-1</v>
      </c>
      <c r="M282" s="18">
        <f ca="1">IF(LOOKUP(G282,$H$3:$H$4,$E$3:$E$4)=1,50,_Media_M + J282*_Sigma)</f>
        <v>90.158316772062733</v>
      </c>
      <c r="N282" s="36">
        <f t="shared" ca="1" si="60"/>
        <v>8.5677805565503231</v>
      </c>
      <c r="O282" s="35">
        <f t="shared" ca="1" si="53"/>
        <v>98.726097328613051</v>
      </c>
      <c r="P282" s="19">
        <f t="shared" ca="1" si="62"/>
        <v>98.726097328613051</v>
      </c>
      <c r="Q282" s="20">
        <f ca="1" xml:space="preserve"> P282*_Precio_cafe</f>
        <v>148.08914599291958</v>
      </c>
      <c r="R282" s="20">
        <f t="shared" ca="1" si="63"/>
        <v>37798.499021313204</v>
      </c>
      <c r="S282" s="20">
        <f ca="1">(1/A282)*((A282-1)*S281 +Q282)</f>
        <v>142.09962038087664</v>
      </c>
      <c r="T282" s="20">
        <f ca="1">IF((T281-P282+F282)&gt;_Max_Stock_Gramos,_Max_Stock_Gramos,T281-P282+F282)</f>
        <v>1700</v>
      </c>
      <c r="U282" s="20">
        <f ca="1">T282/_GramosXFrasco</f>
        <v>10</v>
      </c>
      <c r="V282" s="58">
        <f ca="1">(T282/_Max_Stock_Gramos)</f>
        <v>1</v>
      </c>
      <c r="W282" s="58"/>
      <c r="X282" s="10">
        <f ca="1">IF((T281-O282)&lt;0,(T281-O282)*_Costo_Faltante,0)</f>
        <v>0</v>
      </c>
      <c r="Y282">
        <f ca="1">IF(B282=0,E282*_Costo_Frasco,0)</f>
        <v>-500</v>
      </c>
      <c r="Z282" s="11">
        <f t="shared" ca="1" si="64"/>
        <v>-36500</v>
      </c>
    </row>
    <row r="283" spans="1:26" x14ac:dyDescent="0.25">
      <c r="A283" s="30">
        <f t="shared" si="61"/>
        <v>267</v>
      </c>
      <c r="B283" s="10">
        <f>IF(B282=0,_Proxima_Compra,B282-1)</f>
        <v>1</v>
      </c>
      <c r="C283" s="3">
        <f t="shared" ca="1" si="54"/>
        <v>-1</v>
      </c>
      <c r="D283" s="3">
        <f ca="1">IF(D282&gt;0,D282-1,IF(C283&gt;0,LOOKUP(C283,$S$3:$S$5,$P$3:$P$5),-1))</f>
        <v>-1</v>
      </c>
      <c r="E283" s="25">
        <f t="shared" ca="1" si="55"/>
        <v>0</v>
      </c>
      <c r="F283" s="28">
        <f ca="1">E283*_GramosXFrasco</f>
        <v>0</v>
      </c>
      <c r="G283" s="38">
        <f t="shared" ca="1" si="56"/>
        <v>0.56314921659450101</v>
      </c>
      <c r="H283" s="36">
        <f t="shared" ca="1" si="57"/>
        <v>0.223019727274822</v>
      </c>
      <c r="I283" s="36">
        <f t="shared" ca="1" si="58"/>
        <v>6.8573047361690009E-2</v>
      </c>
      <c r="J283" s="36">
        <f t="shared" ca="1" si="52"/>
        <v>0.42538000837194717</v>
      </c>
      <c r="K283" s="37">
        <f ca="1">IF(J283&lt;&gt;-1,_Media_M + J283*_Sigma,-1)</f>
        <v>81.38070012557921</v>
      </c>
      <c r="L283" s="3">
        <f t="shared" ca="1" si="59"/>
        <v>-1</v>
      </c>
      <c r="M283" s="18">
        <f ca="1">IF(LOOKUP(G283,$H$3:$H$4,$E$3:$E$4)=1,50,_Media_M + J283*_Sigma)</f>
        <v>81.38070012557921</v>
      </c>
      <c r="N283" s="36">
        <f t="shared" ca="1" si="60"/>
        <v>54.905374960912404</v>
      </c>
      <c r="O283" s="35">
        <f t="shared" ca="1" si="53"/>
        <v>136.28607508649162</v>
      </c>
      <c r="P283" s="19">
        <f t="shared" ca="1" si="62"/>
        <v>136.28607508649162</v>
      </c>
      <c r="Q283" s="20">
        <f ca="1" xml:space="preserve"> P283*_Precio_cafe</f>
        <v>204.42911262973743</v>
      </c>
      <c r="R283" s="20">
        <f t="shared" ca="1" si="63"/>
        <v>38002.928133942944</v>
      </c>
      <c r="S283" s="20">
        <f ca="1">(1/A283)*((A283-1)*S282 +Q283)</f>
        <v>142.33306417207089</v>
      </c>
      <c r="T283" s="20">
        <f ca="1">IF((T282-P283+F283)&gt;_Max_Stock_Gramos,_Max_Stock_Gramos,T282-P283+F283)</f>
        <v>1563.7139249135084</v>
      </c>
      <c r="U283" s="20">
        <f ca="1">T283/_GramosXFrasco</f>
        <v>9.1983172053735789</v>
      </c>
      <c r="V283" s="58">
        <f ca="1">(T283/_Max_Stock_Gramos)</f>
        <v>0.91983172053735796</v>
      </c>
      <c r="W283" s="58"/>
      <c r="X283" s="10">
        <f ca="1">IF((T282-O283)&lt;0,(T282-O283)*_Costo_Faltante,0)</f>
        <v>0</v>
      </c>
      <c r="Y283">
        <f>IF(B283=0,E283*_Costo_Frasco,0)</f>
        <v>0</v>
      </c>
      <c r="Z283" s="11">
        <f t="shared" ca="1" si="64"/>
        <v>-36500</v>
      </c>
    </row>
    <row r="284" spans="1:26" x14ac:dyDescent="0.25">
      <c r="A284" s="30">
        <f t="shared" si="61"/>
        <v>268</v>
      </c>
      <c r="B284" s="10">
        <f>IF(B283=0,_Proxima_Compra,B283-1)</f>
        <v>0</v>
      </c>
      <c r="C284" s="3">
        <f t="shared" ca="1" si="54"/>
        <v>0.35512578615566903</v>
      </c>
      <c r="D284" s="3">
        <f ca="1">IF(D283&gt;0,D283-1,IF(C284&gt;0,LOOKUP(C284,$S$3:$S$5,$P$3:$P$5),-1))</f>
        <v>0</v>
      </c>
      <c r="E284" s="25">
        <f t="shared" ca="1" si="55"/>
        <v>2</v>
      </c>
      <c r="F284" s="28">
        <f ca="1">E284*_GramosXFrasco</f>
        <v>340</v>
      </c>
      <c r="G284" s="38">
        <f t="shared" ca="1" si="56"/>
        <v>4.1680776918587847E-2</v>
      </c>
      <c r="H284" s="36">
        <f t="shared" ca="1" si="57"/>
        <v>-1</v>
      </c>
      <c r="I284" s="36">
        <f t="shared" ca="1" si="58"/>
        <v>-1</v>
      </c>
      <c r="J284" s="36">
        <f t="shared" ca="1" si="52"/>
        <v>-1</v>
      </c>
      <c r="K284" s="37">
        <f ca="1">IF(J284&lt;&gt;-1,_Media_M + J284*_Sigma,-1)</f>
        <v>-1</v>
      </c>
      <c r="L284" s="3">
        <f t="shared" ca="1" si="59"/>
        <v>50</v>
      </c>
      <c r="M284" s="18">
        <f ca="1">IF(LOOKUP(G284,$H$3:$H$4,$E$3:$E$4)=1,50,_Media_M + J284*_Sigma)</f>
        <v>50</v>
      </c>
      <c r="N284" s="36">
        <f t="shared" ca="1" si="60"/>
        <v>21.958935304533099</v>
      </c>
      <c r="O284" s="35">
        <f t="shared" ca="1" si="53"/>
        <v>71.958935304533099</v>
      </c>
      <c r="P284" s="19">
        <f t="shared" ca="1" si="62"/>
        <v>71.958935304533099</v>
      </c>
      <c r="Q284" s="20">
        <f ca="1" xml:space="preserve"> P284*_Precio_cafe</f>
        <v>107.93840295679965</v>
      </c>
      <c r="R284" s="20">
        <f t="shared" ca="1" si="63"/>
        <v>38110.866536899746</v>
      </c>
      <c r="S284" s="20">
        <f ca="1">(1/A284)*((A284-1)*S283 +Q284)</f>
        <v>142.20472588395421</v>
      </c>
      <c r="T284" s="20">
        <f ca="1">IF((T283-P284+F284)&gt;_Max_Stock_Gramos,_Max_Stock_Gramos,T283-P284+F284)</f>
        <v>1700</v>
      </c>
      <c r="U284" s="20">
        <f ca="1">T284/_GramosXFrasco</f>
        <v>10</v>
      </c>
      <c r="V284" s="58">
        <f ca="1">(T284/_Max_Stock_Gramos)</f>
        <v>1</v>
      </c>
      <c r="W284" s="58"/>
      <c r="X284" s="10">
        <f ca="1">IF((T283-O284)&lt;0,(T283-O284)*_Costo_Faltante,0)</f>
        <v>0</v>
      </c>
      <c r="Y284">
        <f ca="1">IF(B284=0,E284*_Costo_Frasco,0)</f>
        <v>-500</v>
      </c>
      <c r="Z284" s="11">
        <f t="shared" ca="1" si="64"/>
        <v>-37000</v>
      </c>
    </row>
    <row r="285" spans="1:26" x14ac:dyDescent="0.25">
      <c r="A285" s="30">
        <f t="shared" si="61"/>
        <v>269</v>
      </c>
      <c r="B285" s="10">
        <f>IF(B284=0,_Proxima_Compra,B284-1)</f>
        <v>1</v>
      </c>
      <c r="C285" s="3">
        <f t="shared" ca="1" si="54"/>
        <v>-1</v>
      </c>
      <c r="D285" s="3">
        <f ca="1">IF(D284&gt;0,D284-1,IF(C285&gt;0,LOOKUP(C285,$S$3:$S$5,$P$3:$P$5),-1))</f>
        <v>-1</v>
      </c>
      <c r="E285" s="25">
        <f t="shared" ca="1" si="55"/>
        <v>0</v>
      </c>
      <c r="F285" s="28">
        <f ca="1">E285*_GramosXFrasco</f>
        <v>0</v>
      </c>
      <c r="G285" s="38">
        <f t="shared" ca="1" si="56"/>
        <v>0.21476218808183845</v>
      </c>
      <c r="H285" s="36">
        <f t="shared" ca="1" si="57"/>
        <v>-1</v>
      </c>
      <c r="I285" s="36">
        <f t="shared" ca="1" si="58"/>
        <v>-1</v>
      </c>
      <c r="J285" s="36">
        <f t="shared" ca="1" si="52"/>
        <v>-1</v>
      </c>
      <c r="K285" s="37">
        <f ca="1">IF(J285&lt;&gt;-1,_Media_M + J285*_Sigma,-1)</f>
        <v>-1</v>
      </c>
      <c r="L285" s="3">
        <f t="shared" ca="1" si="59"/>
        <v>50</v>
      </c>
      <c r="M285" s="18">
        <f ca="1">IF(LOOKUP(G285,$H$3:$H$4,$E$3:$E$4)=1,50,_Media_M + J285*_Sigma)</f>
        <v>50</v>
      </c>
      <c r="N285" s="36">
        <f t="shared" ca="1" si="60"/>
        <v>133.90275120599406</v>
      </c>
      <c r="O285" s="35">
        <f t="shared" ca="1" si="53"/>
        <v>183.90275120599406</v>
      </c>
      <c r="P285" s="19">
        <f t="shared" ca="1" si="62"/>
        <v>183.90275120599406</v>
      </c>
      <c r="Q285" s="20">
        <f ca="1" xml:space="preserve"> P285*_Precio_cafe</f>
        <v>275.85412680899111</v>
      </c>
      <c r="R285" s="20">
        <f t="shared" ca="1" si="63"/>
        <v>38386.720663708737</v>
      </c>
      <c r="S285" s="20">
        <f ca="1">(1/A285)*((A285-1)*S284 +Q285)</f>
        <v>142.70156380560863</v>
      </c>
      <c r="T285" s="20">
        <f ca="1">IF((T284-P285+F285)&gt;_Max_Stock_Gramos,_Max_Stock_Gramos,T284-P285+F285)</f>
        <v>1516.097248794006</v>
      </c>
      <c r="U285" s="20">
        <f ca="1">T285/_GramosXFrasco</f>
        <v>8.9182191105529771</v>
      </c>
      <c r="V285" s="58">
        <f ca="1">(T285/_Max_Stock_Gramos)</f>
        <v>0.89182191105529762</v>
      </c>
      <c r="W285" s="58"/>
      <c r="X285" s="10">
        <f ca="1">IF((T284-O285)&lt;0,(T284-O285)*_Costo_Faltante,0)</f>
        <v>0</v>
      </c>
      <c r="Y285">
        <f>IF(B285=0,E285*_Costo_Frasco,0)</f>
        <v>0</v>
      </c>
      <c r="Z285" s="11">
        <f t="shared" ca="1" si="64"/>
        <v>-37000</v>
      </c>
    </row>
    <row r="286" spans="1:26" x14ac:dyDescent="0.25">
      <c r="A286" s="30">
        <f t="shared" si="61"/>
        <v>270</v>
      </c>
      <c r="B286" s="10">
        <f>IF(B285=0,_Proxima_Compra,B285-1)</f>
        <v>0</v>
      </c>
      <c r="C286" s="3">
        <f t="shared" ca="1" si="54"/>
        <v>8.3775157993389748E-2</v>
      </c>
      <c r="D286" s="3">
        <f ca="1">IF(D285&gt;0,D285-1,IF(C286&gt;0,LOOKUP(C286,$S$3:$S$5,$P$3:$P$5),-1))</f>
        <v>0</v>
      </c>
      <c r="E286" s="25">
        <f t="shared" ca="1" si="55"/>
        <v>2</v>
      </c>
      <c r="F286" s="28">
        <f ca="1">E286*_GramosXFrasco</f>
        <v>340</v>
      </c>
      <c r="G286" s="38">
        <f t="shared" ca="1" si="56"/>
        <v>0.5277544241216271</v>
      </c>
      <c r="H286" s="36">
        <f t="shared" ca="1" si="57"/>
        <v>0.79097792864060834</v>
      </c>
      <c r="I286" s="36">
        <f t="shared" ca="1" si="58"/>
        <v>0.90474750493187028</v>
      </c>
      <c r="J286" s="36">
        <f t="shared" ca="1" si="52"/>
        <v>0.96335613138184528</v>
      </c>
      <c r="K286" s="37">
        <f ca="1">IF(J286&lt;&gt;-1,_Media_M + J286*_Sigma,-1)</f>
        <v>89.450341970727678</v>
      </c>
      <c r="L286" s="3">
        <f t="shared" ca="1" si="59"/>
        <v>-1</v>
      </c>
      <c r="M286" s="18">
        <f ca="1">IF(LOOKUP(G286,$H$3:$H$4,$E$3:$E$4)=1,50,_Media_M + J286*_Sigma)</f>
        <v>89.450341970727678</v>
      </c>
      <c r="N286" s="36">
        <f t="shared" ca="1" si="60"/>
        <v>26.083790698421623</v>
      </c>
      <c r="O286" s="35">
        <f t="shared" ca="1" si="53"/>
        <v>115.5341326691493</v>
      </c>
      <c r="P286" s="19">
        <f t="shared" ca="1" si="62"/>
        <v>115.5341326691493</v>
      </c>
      <c r="Q286" s="20">
        <f ca="1" xml:space="preserve"> P286*_Precio_cafe</f>
        <v>173.30119900372395</v>
      </c>
      <c r="R286" s="20">
        <f t="shared" ca="1" si="63"/>
        <v>38560.021862712463</v>
      </c>
      <c r="S286" s="20">
        <f ca="1">(1/A286)*((A286-1)*S285 +Q286)</f>
        <v>142.8148957878239</v>
      </c>
      <c r="T286" s="20">
        <f ca="1">IF((T285-P286+F286)&gt;_Max_Stock_Gramos,_Max_Stock_Gramos,T285-P286+F286)</f>
        <v>1700</v>
      </c>
      <c r="U286" s="20">
        <f ca="1">T286/_GramosXFrasco</f>
        <v>10</v>
      </c>
      <c r="V286" s="58">
        <f ca="1">(T286/_Max_Stock_Gramos)</f>
        <v>1</v>
      </c>
      <c r="W286" s="58"/>
      <c r="X286" s="10">
        <f ca="1">IF((T285-O286)&lt;0,(T285-O286)*_Costo_Faltante,0)</f>
        <v>0</v>
      </c>
      <c r="Y286">
        <f ca="1">IF(B286=0,E286*_Costo_Frasco,0)</f>
        <v>-500</v>
      </c>
      <c r="Z286" s="11">
        <f t="shared" ca="1" si="64"/>
        <v>-37500</v>
      </c>
    </row>
    <row r="287" spans="1:26" x14ac:dyDescent="0.25">
      <c r="A287" s="30">
        <f t="shared" si="61"/>
        <v>271</v>
      </c>
      <c r="B287" s="10">
        <f>IF(B286=0,_Proxima_Compra,B286-1)</f>
        <v>1</v>
      </c>
      <c r="C287" s="3">
        <f t="shared" ca="1" si="54"/>
        <v>-1</v>
      </c>
      <c r="D287" s="3">
        <f ca="1">IF(D286&gt;0,D286-1,IF(C287&gt;0,LOOKUP(C287,$S$3:$S$5,$P$3:$P$5),-1))</f>
        <v>-1</v>
      </c>
      <c r="E287" s="25">
        <f t="shared" ca="1" si="55"/>
        <v>0</v>
      </c>
      <c r="F287" s="28">
        <f ca="1">E287*_GramosXFrasco</f>
        <v>0</v>
      </c>
      <c r="G287" s="38">
        <f t="shared" ca="1" si="56"/>
        <v>0.47205260625030954</v>
      </c>
      <c r="H287" s="36">
        <f t="shared" ca="1" si="57"/>
        <v>-1</v>
      </c>
      <c r="I287" s="36">
        <f t="shared" ca="1" si="58"/>
        <v>-1</v>
      </c>
      <c r="J287" s="36">
        <f t="shared" ca="1" si="52"/>
        <v>-1</v>
      </c>
      <c r="K287" s="37">
        <f ca="1">IF(J287&lt;&gt;-1,_Media_M + J287*_Sigma,-1)</f>
        <v>-1</v>
      </c>
      <c r="L287" s="3">
        <f t="shared" ca="1" si="59"/>
        <v>50</v>
      </c>
      <c r="M287" s="18">
        <f ca="1">IF(LOOKUP(G287,$H$3:$H$4,$E$3:$E$4)=1,50,_Media_M + J287*_Sigma)</f>
        <v>50</v>
      </c>
      <c r="N287" s="36">
        <f t="shared" ca="1" si="60"/>
        <v>2.7044641699101959</v>
      </c>
      <c r="O287" s="35">
        <f t="shared" ca="1" si="53"/>
        <v>52.704464169910196</v>
      </c>
      <c r="P287" s="19">
        <f t="shared" ca="1" si="62"/>
        <v>52.704464169910196</v>
      </c>
      <c r="Q287" s="20">
        <f ca="1" xml:space="preserve"> P287*_Precio_cafe</f>
        <v>79.056696254865301</v>
      </c>
      <c r="R287" s="20">
        <f t="shared" ca="1" si="63"/>
        <v>38639.078558967325</v>
      </c>
      <c r="S287" s="20">
        <f ca="1">(1/A287)*((A287-1)*S286 +Q287)</f>
        <v>142.57962567884618</v>
      </c>
      <c r="T287" s="20">
        <f ca="1">IF((T286-P287+F287)&gt;_Max_Stock_Gramos,_Max_Stock_Gramos,T286-P287+F287)</f>
        <v>1647.2955358300899</v>
      </c>
      <c r="U287" s="20">
        <f ca="1">T287/_GramosXFrasco</f>
        <v>9.689973740176999</v>
      </c>
      <c r="V287" s="58">
        <f ca="1">(T287/_Max_Stock_Gramos)</f>
        <v>0.96899737401769992</v>
      </c>
      <c r="W287" s="58"/>
      <c r="X287" s="10">
        <f ca="1">IF((T286-O287)&lt;0,(T286-O287)*_Costo_Faltante,0)</f>
        <v>0</v>
      </c>
      <c r="Y287">
        <f>IF(B287=0,E287*_Costo_Frasco,0)</f>
        <v>0</v>
      </c>
      <c r="Z287" s="11">
        <f t="shared" ca="1" si="64"/>
        <v>-37500</v>
      </c>
    </row>
    <row r="288" spans="1:26" x14ac:dyDescent="0.25">
      <c r="A288" s="30">
        <f t="shared" si="61"/>
        <v>272</v>
      </c>
      <c r="B288" s="10">
        <f>IF(B287=0,_Proxima_Compra,B287-1)</f>
        <v>0</v>
      </c>
      <c r="C288" s="3">
        <f t="shared" ca="1" si="54"/>
        <v>0.56918767414487403</v>
      </c>
      <c r="D288" s="3">
        <f ca="1">IF(D287&gt;0,D287-1,IF(C288&gt;0,LOOKUP(C288,$S$3:$S$5,$P$3:$P$5),-1))</f>
        <v>1</v>
      </c>
      <c r="E288" s="25">
        <f t="shared" ca="1" si="55"/>
        <v>0</v>
      </c>
      <c r="F288" s="28">
        <f ca="1">E288*_GramosXFrasco</f>
        <v>0</v>
      </c>
      <c r="G288" s="38">
        <f t="shared" ca="1" si="56"/>
        <v>0.90119720246714541</v>
      </c>
      <c r="H288" s="36">
        <f t="shared" ca="1" si="57"/>
        <v>0.42440554178300793</v>
      </c>
      <c r="I288" s="36">
        <f t="shared" ca="1" si="58"/>
        <v>0.10832687914712802</v>
      </c>
      <c r="J288" s="36">
        <f t="shared" ca="1" si="52"/>
        <v>0.53830938050150279</v>
      </c>
      <c r="K288" s="37">
        <f ca="1">IF(J288&lt;&gt;-1,_Media_M + J288*_Sigma,-1)</f>
        <v>83.074640707522548</v>
      </c>
      <c r="L288" s="3">
        <f t="shared" ca="1" si="59"/>
        <v>-1</v>
      </c>
      <c r="M288" s="18">
        <f ca="1">IF(LOOKUP(G288,$H$3:$H$4,$E$3:$E$4)=1,50,_Media_M + J288*_Sigma)</f>
        <v>83.074640707522548</v>
      </c>
      <c r="N288" s="36">
        <f t="shared" ca="1" si="60"/>
        <v>3.7919441483637617</v>
      </c>
      <c r="O288" s="35">
        <f t="shared" ca="1" si="53"/>
        <v>86.866584855886316</v>
      </c>
      <c r="P288" s="19">
        <f t="shared" ca="1" si="62"/>
        <v>86.866584855886316</v>
      </c>
      <c r="Q288" s="20">
        <f ca="1" xml:space="preserve"> P288*_Precio_cafe</f>
        <v>130.29987728382946</v>
      </c>
      <c r="R288" s="20">
        <f t="shared" ca="1" si="63"/>
        <v>38769.378436251158</v>
      </c>
      <c r="S288" s="20">
        <f ca="1">(1/A288)*((A288-1)*S287 +Q288)</f>
        <v>142.53447954504099</v>
      </c>
      <c r="T288" s="20">
        <f ca="1">IF((T287-P288+F288)&gt;_Max_Stock_Gramos,_Max_Stock_Gramos,T287-P288+F288)</f>
        <v>1560.4289509742036</v>
      </c>
      <c r="U288" s="20">
        <f ca="1">T288/_GramosXFrasco</f>
        <v>9.1789938292600208</v>
      </c>
      <c r="V288" s="58">
        <f ca="1">(T288/_Max_Stock_Gramos)</f>
        <v>0.91789938292600215</v>
      </c>
      <c r="W288" s="58"/>
      <c r="X288" s="10">
        <f ca="1">IF((T287-O288)&lt;0,(T287-O288)*_Costo_Faltante,0)</f>
        <v>0</v>
      </c>
      <c r="Y288">
        <f ca="1">IF(B288=0,E288*_Costo_Frasco,0)</f>
        <v>0</v>
      </c>
      <c r="Z288" s="11">
        <f t="shared" ca="1" si="64"/>
        <v>-37500</v>
      </c>
    </row>
    <row r="289" spans="1:26" x14ac:dyDescent="0.25">
      <c r="A289" s="30">
        <f t="shared" si="61"/>
        <v>273</v>
      </c>
      <c r="B289" s="10">
        <f>IF(B288=0,_Proxima_Compra,B288-1)</f>
        <v>1</v>
      </c>
      <c r="C289" s="3">
        <f t="shared" ca="1" si="54"/>
        <v>-1</v>
      </c>
      <c r="D289" s="3">
        <f ca="1">IF(D288&gt;0,D288-1,IF(C289&gt;0,LOOKUP(C289,$S$3:$S$5,$P$3:$P$5),-1))</f>
        <v>0</v>
      </c>
      <c r="E289" s="25">
        <f t="shared" ca="1" si="55"/>
        <v>2</v>
      </c>
      <c r="F289" s="28">
        <f ca="1">E289*_GramosXFrasco</f>
        <v>340</v>
      </c>
      <c r="G289" s="38">
        <f t="shared" ca="1" si="56"/>
        <v>0.95952006849705362</v>
      </c>
      <c r="H289" s="36">
        <f t="shared" ca="1" si="57"/>
        <v>0.15563054109718044</v>
      </c>
      <c r="I289" s="36">
        <f t="shared" ca="1" si="58"/>
        <v>0.18243658258083006</v>
      </c>
      <c r="J289" s="36">
        <f t="shared" ca="1" si="52"/>
        <v>0.15788127841824343</v>
      </c>
      <c r="K289" s="37">
        <f ca="1">IF(J289&lt;&gt;-1,_Media_M + J289*_Sigma,-1)</f>
        <v>77.368219176273655</v>
      </c>
      <c r="L289" s="3">
        <f t="shared" ca="1" si="59"/>
        <v>-1</v>
      </c>
      <c r="M289" s="18">
        <f ca="1">IF(LOOKUP(G289,$H$3:$H$4,$E$3:$E$4)=1,50,_Media_M + J289*_Sigma)</f>
        <v>77.368219176273655</v>
      </c>
      <c r="N289" s="36">
        <f t="shared" ca="1" si="60"/>
        <v>21.444229709322602</v>
      </c>
      <c r="O289" s="35">
        <f t="shared" ca="1" si="53"/>
        <v>98.812448885596254</v>
      </c>
      <c r="P289" s="19">
        <f t="shared" ca="1" si="62"/>
        <v>98.812448885596254</v>
      </c>
      <c r="Q289" s="20">
        <f ca="1" xml:space="preserve"> P289*_Precio_cafe</f>
        <v>148.21867332839437</v>
      </c>
      <c r="R289" s="20">
        <f t="shared" ca="1" si="63"/>
        <v>38917.597109579554</v>
      </c>
      <c r="S289" s="20">
        <f ca="1">(1/A289)*((A289-1)*S288 +Q289)</f>
        <v>142.55530076769065</v>
      </c>
      <c r="T289" s="20">
        <f ca="1">IF((T288-P289+F289)&gt;_Max_Stock_Gramos,_Max_Stock_Gramos,T288-P289+F289)</f>
        <v>1700</v>
      </c>
      <c r="U289" s="20">
        <f ca="1">T289/_GramosXFrasco</f>
        <v>10</v>
      </c>
      <c r="V289" s="58">
        <f ca="1">(T289/_Max_Stock_Gramos)</f>
        <v>1</v>
      </c>
      <c r="W289" s="58"/>
      <c r="X289" s="10">
        <f ca="1">IF((T288-O289)&lt;0,(T288-O289)*_Costo_Faltante,0)</f>
        <v>0</v>
      </c>
      <c r="Y289">
        <f>IF(B289=0,E289*_Costo_Frasco,0)</f>
        <v>0</v>
      </c>
      <c r="Z289" s="11">
        <f t="shared" ca="1" si="64"/>
        <v>-37500</v>
      </c>
    </row>
    <row r="290" spans="1:26" x14ac:dyDescent="0.25">
      <c r="A290" s="30">
        <f t="shared" si="61"/>
        <v>274</v>
      </c>
      <c r="B290" s="10">
        <f>IF(B289=0,_Proxima_Compra,B289-1)</f>
        <v>0</v>
      </c>
      <c r="C290" s="3">
        <f t="shared" ca="1" si="54"/>
        <v>0.47468623827872558</v>
      </c>
      <c r="D290" s="3">
        <f ca="1">IF(D289&gt;0,D289-1,IF(C290&gt;0,LOOKUP(C290,$S$3:$S$5,$P$3:$P$5),-1))</f>
        <v>0</v>
      </c>
      <c r="E290" s="25">
        <f t="shared" ca="1" si="55"/>
        <v>2</v>
      </c>
      <c r="F290" s="28">
        <f ca="1">E290*_GramosXFrasco</f>
        <v>340</v>
      </c>
      <c r="G290" s="38">
        <f t="shared" ca="1" si="56"/>
        <v>0.80554900283808906</v>
      </c>
      <c r="H290" s="36">
        <f t="shared" ca="1" si="57"/>
        <v>0.31437799080798734</v>
      </c>
      <c r="I290" s="36">
        <f t="shared" ca="1" si="58"/>
        <v>0.84596916622771035</v>
      </c>
      <c r="J290" s="36">
        <f t="shared" ca="1" si="52"/>
        <v>0.32470689980568596</v>
      </c>
      <c r="K290" s="37">
        <f ca="1">IF(J290&lt;&gt;-1,_Media_M + J290*_Sigma,-1)</f>
        <v>79.870603497085284</v>
      </c>
      <c r="L290" s="3">
        <f t="shared" ca="1" si="59"/>
        <v>-1</v>
      </c>
      <c r="M290" s="18">
        <f ca="1">IF(LOOKUP(G290,$H$3:$H$4,$E$3:$E$4)=1,50,_Media_M + J290*_Sigma)</f>
        <v>79.870603497085284</v>
      </c>
      <c r="N290" s="36">
        <f t="shared" ca="1" si="60"/>
        <v>22.930713310723188</v>
      </c>
      <c r="O290" s="35">
        <f t="shared" ca="1" si="53"/>
        <v>102.80131680780848</v>
      </c>
      <c r="P290" s="19">
        <f t="shared" ca="1" si="62"/>
        <v>102.80131680780848</v>
      </c>
      <c r="Q290" s="20">
        <f ca="1" xml:space="preserve"> P290*_Precio_cafe</f>
        <v>154.20197521171272</v>
      </c>
      <c r="R290" s="20">
        <f t="shared" ca="1" si="63"/>
        <v>39071.799084791266</v>
      </c>
      <c r="S290" s="20">
        <f ca="1">(1/A290)*((A290-1)*S289 +Q290)</f>
        <v>142.59780687880021</v>
      </c>
      <c r="T290" s="20">
        <f ca="1">IF((T289-P290+F290)&gt;_Max_Stock_Gramos,_Max_Stock_Gramos,T289-P290+F290)</f>
        <v>1700</v>
      </c>
      <c r="U290" s="20">
        <f ca="1">T290/_GramosXFrasco</f>
        <v>10</v>
      </c>
      <c r="V290" s="58">
        <f ca="1">(T290/_Max_Stock_Gramos)</f>
        <v>1</v>
      </c>
      <c r="W290" s="58"/>
      <c r="X290" s="10">
        <f ca="1">IF((T289-O290)&lt;0,(T289-O290)*_Costo_Faltante,0)</f>
        <v>0</v>
      </c>
      <c r="Y290">
        <f ca="1">IF(B290=0,E290*_Costo_Frasco,0)</f>
        <v>-500</v>
      </c>
      <c r="Z290" s="11">
        <f t="shared" ca="1" si="64"/>
        <v>-38000</v>
      </c>
    </row>
    <row r="291" spans="1:26" x14ac:dyDescent="0.25">
      <c r="A291" s="30">
        <f t="shared" si="61"/>
        <v>275</v>
      </c>
      <c r="B291" s="10">
        <f>IF(B290=0,_Proxima_Compra,B290-1)</f>
        <v>1</v>
      </c>
      <c r="C291" s="3">
        <f t="shared" ca="1" si="54"/>
        <v>-1</v>
      </c>
      <c r="D291" s="3">
        <f ca="1">IF(D290&gt;0,D290-1,IF(C291&gt;0,LOOKUP(C291,$S$3:$S$5,$P$3:$P$5),-1))</f>
        <v>-1</v>
      </c>
      <c r="E291" s="25">
        <f t="shared" ca="1" si="55"/>
        <v>0</v>
      </c>
      <c r="F291" s="28">
        <f ca="1">E291*_GramosXFrasco</f>
        <v>0</v>
      </c>
      <c r="G291" s="38">
        <f t="shared" ca="1" si="56"/>
        <v>0.8458953351558578</v>
      </c>
      <c r="H291" s="36">
        <f t="shared" ca="1" si="57"/>
        <v>0.95680615608086717</v>
      </c>
      <c r="I291" s="36">
        <f t="shared" ca="1" si="58"/>
        <v>0.99914307379134804</v>
      </c>
      <c r="J291" s="36">
        <f t="shared" ca="1" si="52"/>
        <v>1.6519918805985467</v>
      </c>
      <c r="K291" s="37">
        <f ca="1">IF(J291&lt;&gt;-1,_Media_M + J291*_Sigma,-1)</f>
        <v>99.779878208978204</v>
      </c>
      <c r="L291" s="3">
        <f t="shared" ca="1" si="59"/>
        <v>-1</v>
      </c>
      <c r="M291" s="18">
        <f ca="1">IF(LOOKUP(G291,$H$3:$H$4,$E$3:$E$4)=1,50,_Media_M + J291*_Sigma)</f>
        <v>99.779878208978204</v>
      </c>
      <c r="N291" s="36">
        <f t="shared" ca="1" si="60"/>
        <v>4.7873899423142259</v>
      </c>
      <c r="O291" s="35">
        <f t="shared" ca="1" si="53"/>
        <v>104.56726815129242</v>
      </c>
      <c r="P291" s="19">
        <f t="shared" ca="1" si="62"/>
        <v>104.56726815129242</v>
      </c>
      <c r="Q291" s="20">
        <f ca="1" xml:space="preserve"> P291*_Precio_cafe</f>
        <v>156.85090222693864</v>
      </c>
      <c r="R291" s="20">
        <f t="shared" ca="1" si="63"/>
        <v>39228.649987018202</v>
      </c>
      <c r="S291" s="20">
        <f ca="1">(1/A291)*((A291-1)*S290 +Q291)</f>
        <v>142.64963631642979</v>
      </c>
      <c r="T291" s="20">
        <f ca="1">IF((T290-P291+F291)&gt;_Max_Stock_Gramos,_Max_Stock_Gramos,T290-P291+F291)</f>
        <v>1595.4327318487076</v>
      </c>
      <c r="U291" s="20">
        <f ca="1">T291/_GramosXFrasco</f>
        <v>9.3848984226394556</v>
      </c>
      <c r="V291" s="58">
        <f ca="1">(T291/_Max_Stock_Gramos)</f>
        <v>0.93848984226394561</v>
      </c>
      <c r="W291" s="58"/>
      <c r="X291" s="10">
        <f ca="1">IF((T290-O291)&lt;0,(T290-O291)*_Costo_Faltante,0)</f>
        <v>0</v>
      </c>
      <c r="Y291">
        <f>IF(B291=0,E291*_Costo_Frasco,0)</f>
        <v>0</v>
      </c>
      <c r="Z291" s="11">
        <f t="shared" ca="1" si="64"/>
        <v>-38000</v>
      </c>
    </row>
    <row r="292" spans="1:26" x14ac:dyDescent="0.25">
      <c r="A292" s="30">
        <f t="shared" si="61"/>
        <v>276</v>
      </c>
      <c r="B292" s="10">
        <f>IF(B291=0,_Proxima_Compra,B291-1)</f>
        <v>0</v>
      </c>
      <c r="C292" s="3">
        <f t="shared" ca="1" si="54"/>
        <v>0.11799892868408235</v>
      </c>
      <c r="D292" s="3">
        <f ca="1">IF(D291&gt;0,D291-1,IF(C292&gt;0,LOOKUP(C292,$S$3:$S$5,$P$3:$P$5),-1))</f>
        <v>0</v>
      </c>
      <c r="E292" s="25">
        <f t="shared" ca="1" si="55"/>
        <v>2</v>
      </c>
      <c r="F292" s="28">
        <f ca="1">E292*_GramosXFrasco</f>
        <v>340</v>
      </c>
      <c r="G292" s="38">
        <f t="shared" ca="1" si="56"/>
        <v>0.90736761140418276</v>
      </c>
      <c r="H292" s="36">
        <f t="shared" ca="1" si="57"/>
        <v>0.75018558210629482</v>
      </c>
      <c r="I292" s="36">
        <f t="shared" ca="1" si="58"/>
        <v>0.55900834828057544</v>
      </c>
      <c r="J292" s="36">
        <f t="shared" ref="J292:J355" ca="1" si="65">IF(I292&gt;0,SQRT(-2*LOG(1-H292)) * COS(2*PI()*I292),-1)</f>
        <v>-1.0230370550369476</v>
      </c>
      <c r="K292" s="37">
        <f ca="1">IF(J292&lt;&gt;-1,_Media_M + J292*_Sigma,-1)</f>
        <v>59.654444174445786</v>
      </c>
      <c r="L292" s="3">
        <f t="shared" ca="1" si="59"/>
        <v>-1</v>
      </c>
      <c r="M292" s="18">
        <f ca="1">IF(LOOKUP(G292,$H$3:$H$4,$E$3:$E$4)=1,50,_Media_M + J292*_Sigma)</f>
        <v>59.654444174445786</v>
      </c>
      <c r="N292" s="36">
        <f t="shared" ca="1" si="60"/>
        <v>124.18540313515425</v>
      </c>
      <c r="O292" s="35">
        <f t="shared" ref="O292:O355" ca="1" si="66">M292+N292</f>
        <v>183.83984730960003</v>
      </c>
      <c r="P292" s="19">
        <f t="shared" ca="1" si="62"/>
        <v>183.83984730960003</v>
      </c>
      <c r="Q292" s="20">
        <f ca="1" xml:space="preserve"> P292*_Precio_cafe</f>
        <v>275.75977096440005</v>
      </c>
      <c r="R292" s="20">
        <f t="shared" ca="1" si="63"/>
        <v>39504.409757982605</v>
      </c>
      <c r="S292" s="20">
        <f ca="1">(1/A292)*((A292-1)*S291 +Q292)</f>
        <v>143.13191941298044</v>
      </c>
      <c r="T292" s="20">
        <f ca="1">IF((T291-P292+F292)&gt;_Max_Stock_Gramos,_Max_Stock_Gramos,T291-P292+F292)</f>
        <v>1700</v>
      </c>
      <c r="U292" s="20">
        <f ca="1">T292/_GramosXFrasco</f>
        <v>10</v>
      </c>
      <c r="V292" s="58">
        <f ca="1">(T292/_Max_Stock_Gramos)</f>
        <v>1</v>
      </c>
      <c r="W292" s="58"/>
      <c r="X292" s="10">
        <f ca="1">IF((T291-O292)&lt;0,(T291-O292)*_Costo_Faltante,0)</f>
        <v>0</v>
      </c>
      <c r="Y292">
        <f ca="1">IF(B292=0,E292*_Costo_Frasco,0)</f>
        <v>-500</v>
      </c>
      <c r="Z292" s="11">
        <f t="shared" ca="1" si="64"/>
        <v>-38500</v>
      </c>
    </row>
    <row r="293" spans="1:26" x14ac:dyDescent="0.25">
      <c r="A293" s="30">
        <f t="shared" si="61"/>
        <v>277</v>
      </c>
      <c r="B293" s="10">
        <f>IF(B292=0,_Proxima_Compra,B292-1)</f>
        <v>1</v>
      </c>
      <c r="C293" s="3">
        <f t="shared" ca="1" si="54"/>
        <v>-1</v>
      </c>
      <c r="D293" s="3">
        <f ca="1">IF(D292&gt;0,D292-1,IF(C293&gt;0,LOOKUP(C293,$S$3:$S$5,$P$3:$P$5),-1))</f>
        <v>-1</v>
      </c>
      <c r="E293" s="25">
        <f t="shared" ca="1" si="55"/>
        <v>0</v>
      </c>
      <c r="F293" s="28">
        <f ca="1">E293*_GramosXFrasco</f>
        <v>0</v>
      </c>
      <c r="G293" s="38">
        <f t="shared" ca="1" si="56"/>
        <v>0.5655634832192783</v>
      </c>
      <c r="H293" s="36">
        <f t="shared" ca="1" si="57"/>
        <v>0.76623887242658906</v>
      </c>
      <c r="I293" s="36">
        <f t="shared" ca="1" si="58"/>
        <v>0.49694817366515798</v>
      </c>
      <c r="J293" s="36">
        <f t="shared" ca="1" si="65"/>
        <v>-1.1233838526292941</v>
      </c>
      <c r="K293" s="37">
        <f ca="1">IF(J293&lt;&gt;-1,_Media_M + J293*_Sigma,-1)</f>
        <v>58.149242210560587</v>
      </c>
      <c r="L293" s="3">
        <f t="shared" ca="1" si="59"/>
        <v>-1</v>
      </c>
      <c r="M293" s="18">
        <f ca="1">IF(LOOKUP(G293,$H$3:$H$4,$E$3:$E$4)=1,50,_Media_M + J293*_Sigma)</f>
        <v>58.149242210560587</v>
      </c>
      <c r="N293" s="36">
        <f t="shared" ca="1" si="60"/>
        <v>0.95058874499817092</v>
      </c>
      <c r="O293" s="35">
        <f t="shared" ca="1" si="66"/>
        <v>59.099830955558758</v>
      </c>
      <c r="P293" s="19">
        <f t="shared" ca="1" si="62"/>
        <v>59.099830955558758</v>
      </c>
      <c r="Q293" s="20">
        <f ca="1" xml:space="preserve"> P293*_Precio_cafe</f>
        <v>88.649746433338137</v>
      </c>
      <c r="R293" s="20">
        <f t="shared" ca="1" si="63"/>
        <v>39593.059504415942</v>
      </c>
      <c r="S293" s="20">
        <f ca="1">(1/A293)*((A293-1)*S292 +Q293)</f>
        <v>142.93523286792757</v>
      </c>
      <c r="T293" s="20">
        <f ca="1">IF((T292-P293+F293)&gt;_Max_Stock_Gramos,_Max_Stock_Gramos,T292-P293+F293)</f>
        <v>1640.9001690444413</v>
      </c>
      <c r="U293" s="20">
        <f ca="1">T293/_GramosXFrasco</f>
        <v>9.6523539355555368</v>
      </c>
      <c r="V293" s="58">
        <f ca="1">(T293/_Max_Stock_Gramos)</f>
        <v>0.96523539355555377</v>
      </c>
      <c r="W293" s="58"/>
      <c r="X293" s="10">
        <f ca="1">IF((T292-O293)&lt;0,(T292-O293)*_Costo_Faltante,0)</f>
        <v>0</v>
      </c>
      <c r="Y293">
        <f>IF(B293=0,E293*_Costo_Frasco,0)</f>
        <v>0</v>
      </c>
      <c r="Z293" s="11">
        <f t="shared" ca="1" si="64"/>
        <v>-38500</v>
      </c>
    </row>
    <row r="294" spans="1:26" x14ac:dyDescent="0.25">
      <c r="A294" s="30">
        <f t="shared" si="61"/>
        <v>278</v>
      </c>
      <c r="B294" s="10">
        <f>IF(B293=0,_Proxima_Compra,B293-1)</f>
        <v>0</v>
      </c>
      <c r="C294" s="3">
        <f t="shared" ca="1" si="54"/>
        <v>7.3431517832975857E-2</v>
      </c>
      <c r="D294" s="3">
        <f ca="1">IF(D293&gt;0,D293-1,IF(C294&gt;0,LOOKUP(C294,$S$3:$S$5,$P$3:$P$5),-1))</f>
        <v>0</v>
      </c>
      <c r="E294" s="25">
        <f t="shared" ca="1" si="55"/>
        <v>2</v>
      </c>
      <c r="F294" s="28">
        <f ca="1">E294*_GramosXFrasco</f>
        <v>340</v>
      </c>
      <c r="G294" s="38">
        <f t="shared" ca="1" si="56"/>
        <v>0.24779069439115486</v>
      </c>
      <c r="H294" s="36">
        <f t="shared" ca="1" si="57"/>
        <v>-1</v>
      </c>
      <c r="I294" s="36">
        <f t="shared" ca="1" si="58"/>
        <v>-1</v>
      </c>
      <c r="J294" s="36">
        <f t="shared" ca="1" si="65"/>
        <v>-1</v>
      </c>
      <c r="K294" s="37">
        <f ca="1">IF(J294&lt;&gt;-1,_Media_M + J294*_Sigma,-1)</f>
        <v>-1</v>
      </c>
      <c r="L294" s="3">
        <f t="shared" ca="1" si="59"/>
        <v>50</v>
      </c>
      <c r="M294" s="18">
        <f ca="1">IF(LOOKUP(G294,$H$3:$H$4,$E$3:$E$4)=1,50,_Media_M + J294*_Sigma)</f>
        <v>50</v>
      </c>
      <c r="N294" s="36">
        <f t="shared" ca="1" si="60"/>
        <v>1.6020872046509229</v>
      </c>
      <c r="O294" s="35">
        <f t="shared" ca="1" si="66"/>
        <v>51.602087204650921</v>
      </c>
      <c r="P294" s="19">
        <f t="shared" ca="1" si="62"/>
        <v>51.602087204650921</v>
      </c>
      <c r="Q294" s="20">
        <f ca="1" xml:space="preserve"> P294*_Precio_cafe</f>
        <v>77.403130806976378</v>
      </c>
      <c r="R294" s="20">
        <f t="shared" ca="1" si="63"/>
        <v>39670.462635222917</v>
      </c>
      <c r="S294" s="20">
        <f ca="1">(1/A294)*((A294-1)*S293 +Q294)</f>
        <v>142.69950588209682</v>
      </c>
      <c r="T294" s="20">
        <f ca="1">IF((T293-P294+F294)&gt;_Max_Stock_Gramos,_Max_Stock_Gramos,T293-P294+F294)</f>
        <v>1700</v>
      </c>
      <c r="U294" s="20">
        <f ca="1">T294/_GramosXFrasco</f>
        <v>10</v>
      </c>
      <c r="V294" s="58">
        <f ca="1">(T294/_Max_Stock_Gramos)</f>
        <v>1</v>
      </c>
      <c r="W294" s="58"/>
      <c r="X294" s="10">
        <f ca="1">IF((T293-O294)&lt;0,(T293-O294)*_Costo_Faltante,0)</f>
        <v>0</v>
      </c>
      <c r="Y294">
        <f ca="1">IF(B294=0,E294*_Costo_Frasco,0)</f>
        <v>-500</v>
      </c>
      <c r="Z294" s="11">
        <f t="shared" ca="1" si="64"/>
        <v>-39000</v>
      </c>
    </row>
    <row r="295" spans="1:26" x14ac:dyDescent="0.25">
      <c r="A295" s="30">
        <f t="shared" si="61"/>
        <v>279</v>
      </c>
      <c r="B295" s="10">
        <f>IF(B294=0,_Proxima_Compra,B294-1)</f>
        <v>1</v>
      </c>
      <c r="C295" s="3">
        <f t="shared" ca="1" si="54"/>
        <v>-1</v>
      </c>
      <c r="D295" s="3">
        <f ca="1">IF(D294&gt;0,D294-1,IF(C295&gt;0,LOOKUP(C295,$S$3:$S$5,$P$3:$P$5),-1))</f>
        <v>-1</v>
      </c>
      <c r="E295" s="25">
        <f t="shared" ca="1" si="55"/>
        <v>0</v>
      </c>
      <c r="F295" s="28">
        <f ca="1">E295*_GramosXFrasco</f>
        <v>0</v>
      </c>
      <c r="G295" s="38">
        <f t="shared" ca="1" si="56"/>
        <v>4.5877012126384953E-2</v>
      </c>
      <c r="H295" s="36">
        <f t="shared" ca="1" si="57"/>
        <v>-1</v>
      </c>
      <c r="I295" s="36">
        <f t="shared" ca="1" si="58"/>
        <v>-1</v>
      </c>
      <c r="J295" s="36">
        <f t="shared" ca="1" si="65"/>
        <v>-1</v>
      </c>
      <c r="K295" s="37">
        <f ca="1">IF(J295&lt;&gt;-1,_Media_M + J295*_Sigma,-1)</f>
        <v>-1</v>
      </c>
      <c r="L295" s="3">
        <f t="shared" ca="1" si="59"/>
        <v>50</v>
      </c>
      <c r="M295" s="18">
        <f ca="1">IF(LOOKUP(G295,$H$3:$H$4,$E$3:$E$4)=1,50,_Media_M + J295*_Sigma)</f>
        <v>50</v>
      </c>
      <c r="N295" s="36">
        <f t="shared" ca="1" si="60"/>
        <v>44.717430258217803</v>
      </c>
      <c r="O295" s="35">
        <f t="shared" ca="1" si="66"/>
        <v>94.717430258217803</v>
      </c>
      <c r="P295" s="19">
        <f t="shared" ca="1" si="62"/>
        <v>94.717430258217803</v>
      </c>
      <c r="Q295" s="20">
        <f ca="1" xml:space="preserve"> P295*_Precio_cafe</f>
        <v>142.0761453873267</v>
      </c>
      <c r="R295" s="20">
        <f t="shared" ca="1" si="63"/>
        <v>39812.538780610244</v>
      </c>
      <c r="S295" s="20">
        <f ca="1">(1/A295)*((A295-1)*S294 +Q295)</f>
        <v>142.69727161509047</v>
      </c>
      <c r="T295" s="20">
        <f ca="1">IF((T294-P295+F295)&gt;_Max_Stock_Gramos,_Max_Stock_Gramos,T294-P295+F295)</f>
        <v>1605.2825697417823</v>
      </c>
      <c r="U295" s="20">
        <f ca="1">T295/_GramosXFrasco</f>
        <v>9.4428386455398954</v>
      </c>
      <c r="V295" s="58">
        <f ca="1">(T295/_Max_Stock_Gramos)</f>
        <v>0.9442838645539896</v>
      </c>
      <c r="W295" s="58"/>
      <c r="X295" s="10">
        <f ca="1">IF((T294-O295)&lt;0,(T294-O295)*_Costo_Faltante,0)</f>
        <v>0</v>
      </c>
      <c r="Y295">
        <f>IF(B295=0,E295*_Costo_Frasco,0)</f>
        <v>0</v>
      </c>
      <c r="Z295" s="11">
        <f t="shared" ca="1" si="64"/>
        <v>-39000</v>
      </c>
    </row>
    <row r="296" spans="1:26" x14ac:dyDescent="0.25">
      <c r="A296" s="30">
        <f t="shared" si="61"/>
        <v>280</v>
      </c>
      <c r="B296" s="10">
        <f>IF(B295=0,_Proxima_Compra,B295-1)</f>
        <v>0</v>
      </c>
      <c r="C296" s="3">
        <f t="shared" ca="1" si="54"/>
        <v>0.97455042577347295</v>
      </c>
      <c r="D296" s="3">
        <f ca="1">IF(D295&gt;0,D295-1,IF(C296&gt;0,LOOKUP(C296,$S$3:$S$5,$P$3:$P$5),-1))</f>
        <v>2</v>
      </c>
      <c r="E296" s="25">
        <f t="shared" ca="1" si="55"/>
        <v>0</v>
      </c>
      <c r="F296" s="28">
        <f ca="1">E296*_GramosXFrasco</f>
        <v>0</v>
      </c>
      <c r="G296" s="38">
        <f t="shared" ca="1" si="56"/>
        <v>0.15985214645969392</v>
      </c>
      <c r="H296" s="36">
        <f t="shared" ca="1" si="57"/>
        <v>-1</v>
      </c>
      <c r="I296" s="36">
        <f t="shared" ca="1" si="58"/>
        <v>-1</v>
      </c>
      <c r="J296" s="36">
        <f t="shared" ca="1" si="65"/>
        <v>-1</v>
      </c>
      <c r="K296" s="37">
        <f ca="1">IF(J296&lt;&gt;-1,_Media_M + J296*_Sigma,-1)</f>
        <v>-1</v>
      </c>
      <c r="L296" s="3">
        <f t="shared" ca="1" si="59"/>
        <v>50</v>
      </c>
      <c r="M296" s="18">
        <f ca="1">IF(LOOKUP(G296,$H$3:$H$4,$E$3:$E$4)=1,50,_Media_M + J296*_Sigma)</f>
        <v>50</v>
      </c>
      <c r="N296" s="36">
        <f t="shared" ca="1" si="60"/>
        <v>70.11243052420572</v>
      </c>
      <c r="O296" s="35">
        <f t="shared" ca="1" si="66"/>
        <v>120.11243052420572</v>
      </c>
      <c r="P296" s="19">
        <f t="shared" ca="1" si="62"/>
        <v>120.11243052420572</v>
      </c>
      <c r="Q296" s="20">
        <f ca="1" xml:space="preserve"> P296*_Precio_cafe</f>
        <v>180.16864578630859</v>
      </c>
      <c r="R296" s="20">
        <f t="shared" ca="1" si="63"/>
        <v>39992.707426396555</v>
      </c>
      <c r="S296" s="20">
        <f ca="1">(1/A296)*((A296-1)*S295 +Q296)</f>
        <v>142.83109795141627</v>
      </c>
      <c r="T296" s="20">
        <f ca="1">IF((T295-P296+F296)&gt;_Max_Stock_Gramos,_Max_Stock_Gramos,T295-P296+F296)</f>
        <v>1485.1701392175764</v>
      </c>
      <c r="U296" s="20">
        <f ca="1">T296/_GramosXFrasco</f>
        <v>8.7362949365739784</v>
      </c>
      <c r="V296" s="58">
        <f ca="1">(T296/_Max_Stock_Gramos)</f>
        <v>0.87362949365739795</v>
      </c>
      <c r="W296" s="58"/>
      <c r="X296" s="10">
        <f ca="1">IF((T295-O296)&lt;0,(T295-O296)*_Costo_Faltante,0)</f>
        <v>0</v>
      </c>
      <c r="Y296">
        <f ca="1">IF(B296=0,E296*_Costo_Frasco,0)</f>
        <v>0</v>
      </c>
      <c r="Z296" s="11">
        <f t="shared" ca="1" si="64"/>
        <v>-39000</v>
      </c>
    </row>
    <row r="297" spans="1:26" x14ac:dyDescent="0.25">
      <c r="A297" s="30">
        <f t="shared" si="61"/>
        <v>281</v>
      </c>
      <c r="B297" s="10">
        <f>IF(B296=0,_Proxima_Compra,B296-1)</f>
        <v>1</v>
      </c>
      <c r="C297" s="3">
        <f t="shared" ca="1" si="54"/>
        <v>-1</v>
      </c>
      <c r="D297" s="3">
        <f ca="1">IF(D296&gt;0,D296-1,IF(C297&gt;0,LOOKUP(C297,$S$3:$S$5,$P$3:$P$5),-1))</f>
        <v>1</v>
      </c>
      <c r="E297" s="25">
        <f t="shared" ca="1" si="55"/>
        <v>0</v>
      </c>
      <c r="F297" s="28">
        <f ca="1">E297*_GramosXFrasco</f>
        <v>0</v>
      </c>
      <c r="G297" s="38">
        <f t="shared" ca="1" si="56"/>
        <v>0.33883549463569906</v>
      </c>
      <c r="H297" s="36">
        <f t="shared" ca="1" si="57"/>
        <v>-1</v>
      </c>
      <c r="I297" s="36">
        <f t="shared" ca="1" si="58"/>
        <v>-1</v>
      </c>
      <c r="J297" s="36">
        <f t="shared" ca="1" si="65"/>
        <v>-1</v>
      </c>
      <c r="K297" s="37">
        <f ca="1">IF(J297&lt;&gt;-1,_Media_M + J297*_Sigma,-1)</f>
        <v>-1</v>
      </c>
      <c r="L297" s="3">
        <f t="shared" ca="1" si="59"/>
        <v>50</v>
      </c>
      <c r="M297" s="18">
        <f ca="1">IF(LOOKUP(G297,$H$3:$H$4,$E$3:$E$4)=1,50,_Media_M + J297*_Sigma)</f>
        <v>50</v>
      </c>
      <c r="N297" s="36">
        <f t="shared" ca="1" si="60"/>
        <v>6.2168198929307561</v>
      </c>
      <c r="O297" s="35">
        <f t="shared" ca="1" si="66"/>
        <v>56.216819892930758</v>
      </c>
      <c r="P297" s="19">
        <f t="shared" ca="1" si="62"/>
        <v>56.216819892930758</v>
      </c>
      <c r="Q297" s="20">
        <f ca="1" xml:space="preserve"> P297*_Precio_cafe</f>
        <v>84.325229839396144</v>
      </c>
      <c r="R297" s="20">
        <f t="shared" ca="1" si="63"/>
        <v>40077.032656235948</v>
      </c>
      <c r="S297" s="20">
        <f ca="1">(1/A297)*((A297-1)*S296 +Q297)</f>
        <v>142.62289201507454</v>
      </c>
      <c r="T297" s="20">
        <f ca="1">IF((T296-P297+F297)&gt;_Max_Stock_Gramos,_Max_Stock_Gramos,T296-P297+F297)</f>
        <v>1428.9533193246457</v>
      </c>
      <c r="U297" s="20">
        <f ca="1">T297/_GramosXFrasco</f>
        <v>8.4056077607332096</v>
      </c>
      <c r="V297" s="58">
        <f ca="1">(T297/_Max_Stock_Gramos)</f>
        <v>0.84056077607332103</v>
      </c>
      <c r="W297" s="58"/>
      <c r="X297" s="10">
        <f ca="1">IF((T296-O297)&lt;0,(T296-O297)*_Costo_Faltante,0)</f>
        <v>0</v>
      </c>
      <c r="Y297">
        <f>IF(B297=0,E297*_Costo_Frasco,0)</f>
        <v>0</v>
      </c>
      <c r="Z297" s="11">
        <f t="shared" ca="1" si="64"/>
        <v>-39000</v>
      </c>
    </row>
    <row r="298" spans="1:26" x14ac:dyDescent="0.25">
      <c r="A298" s="30">
        <f t="shared" si="61"/>
        <v>282</v>
      </c>
      <c r="B298" s="10">
        <f>IF(B297=0,_Proxima_Compra,B297-1)</f>
        <v>0</v>
      </c>
      <c r="C298" s="3">
        <f t="shared" ca="1" si="54"/>
        <v>0.17396221121893429</v>
      </c>
      <c r="D298" s="3">
        <f ca="1">IF(D297&gt;0,D297-1,IF(C298&gt;0,LOOKUP(C298,$S$3:$S$5,$P$3:$P$5),-1))</f>
        <v>0</v>
      </c>
      <c r="E298" s="25">
        <f t="shared" ca="1" si="55"/>
        <v>2</v>
      </c>
      <c r="F298" s="28">
        <f ca="1">E298*_GramosXFrasco</f>
        <v>340</v>
      </c>
      <c r="G298" s="38">
        <f t="shared" ca="1" si="56"/>
        <v>0.81172194834824085</v>
      </c>
      <c r="H298" s="36">
        <f t="shared" ca="1" si="57"/>
        <v>0.57916979977301408</v>
      </c>
      <c r="I298" s="36">
        <f t="shared" ca="1" si="58"/>
        <v>0.26122428332750847</v>
      </c>
      <c r="J298" s="36">
        <f t="shared" ca="1" si="65"/>
        <v>-6.1097803673201258E-2</v>
      </c>
      <c r="K298" s="37">
        <f ca="1">IF(J298&lt;&gt;-1,_Media_M + J298*_Sigma,-1)</f>
        <v>74.083532944901975</v>
      </c>
      <c r="L298" s="3">
        <f t="shared" ca="1" si="59"/>
        <v>-1</v>
      </c>
      <c r="M298" s="18">
        <f ca="1">IF(LOOKUP(G298,$H$3:$H$4,$E$3:$E$4)=1,50,_Media_M + J298*_Sigma)</f>
        <v>74.083532944901975</v>
      </c>
      <c r="N298" s="36">
        <f t="shared" ca="1" si="60"/>
        <v>25.35465763568525</v>
      </c>
      <c r="O298" s="35">
        <f t="shared" ca="1" si="66"/>
        <v>99.438190580587218</v>
      </c>
      <c r="P298" s="19">
        <f t="shared" ca="1" si="62"/>
        <v>99.438190580587218</v>
      </c>
      <c r="Q298" s="20">
        <f ca="1" xml:space="preserve"> P298*_Precio_cafe</f>
        <v>149.15728587088083</v>
      </c>
      <c r="R298" s="20">
        <f t="shared" ca="1" si="63"/>
        <v>40226.18994210683</v>
      </c>
      <c r="S298" s="20">
        <f ca="1">(1/A298)*((A298-1)*S297 +Q298)</f>
        <v>142.64606362449231</v>
      </c>
      <c r="T298" s="20">
        <f ca="1">IF((T297-P298+F298)&gt;_Max_Stock_Gramos,_Max_Stock_Gramos,T297-P298+F298)</f>
        <v>1669.5151287440585</v>
      </c>
      <c r="U298" s="20">
        <f ca="1">T298/_GramosXFrasco</f>
        <v>9.8206772279062271</v>
      </c>
      <c r="V298" s="58">
        <f ca="1">(T298/_Max_Stock_Gramos)</f>
        <v>0.98206772279062271</v>
      </c>
      <c r="W298" s="58"/>
      <c r="X298" s="10">
        <f ca="1">IF((T297-O298)&lt;0,(T297-O298)*_Costo_Faltante,0)</f>
        <v>0</v>
      </c>
      <c r="Y298">
        <f ca="1">IF(B298=0,E298*_Costo_Frasco,0)</f>
        <v>-500</v>
      </c>
      <c r="Z298" s="11">
        <f t="shared" ca="1" si="64"/>
        <v>-39500</v>
      </c>
    </row>
    <row r="299" spans="1:26" x14ac:dyDescent="0.25">
      <c r="A299" s="30">
        <f t="shared" si="61"/>
        <v>283</v>
      </c>
      <c r="B299" s="10">
        <f>IF(B298=0,_Proxima_Compra,B298-1)</f>
        <v>1</v>
      </c>
      <c r="C299" s="3">
        <f t="shared" ca="1" si="54"/>
        <v>-1</v>
      </c>
      <c r="D299" s="3">
        <f ca="1">IF(D298&gt;0,D298-1,IF(C299&gt;0,LOOKUP(C299,$S$3:$S$5,$P$3:$P$5),-1))</f>
        <v>-1</v>
      </c>
      <c r="E299" s="25">
        <f t="shared" ca="1" si="55"/>
        <v>0</v>
      </c>
      <c r="F299" s="28">
        <f ca="1">E299*_GramosXFrasco</f>
        <v>0</v>
      </c>
      <c r="G299" s="38">
        <f t="shared" ca="1" si="56"/>
        <v>0.66129015948239844</v>
      </c>
      <c r="H299" s="36">
        <f t="shared" ca="1" si="57"/>
        <v>0.3575245729049592</v>
      </c>
      <c r="I299" s="36">
        <f t="shared" ca="1" si="58"/>
        <v>0.26998120837631745</v>
      </c>
      <c r="J299" s="36">
        <f t="shared" ca="1" si="65"/>
        <v>-7.7622561272378682E-2</v>
      </c>
      <c r="K299" s="37">
        <f ca="1">IF(J299&lt;&gt;-1,_Media_M + J299*_Sigma,-1)</f>
        <v>73.835661580914319</v>
      </c>
      <c r="L299" s="3">
        <f t="shared" ca="1" si="59"/>
        <v>-1</v>
      </c>
      <c r="M299" s="18">
        <f ca="1">IF(LOOKUP(G299,$H$3:$H$4,$E$3:$E$4)=1,50,_Media_M + J299*_Sigma)</f>
        <v>73.835661580914319</v>
      </c>
      <c r="N299" s="36">
        <f t="shared" ca="1" si="60"/>
        <v>5.4061967914290889</v>
      </c>
      <c r="O299" s="35">
        <f t="shared" ca="1" si="66"/>
        <v>79.241858372343415</v>
      </c>
      <c r="P299" s="19">
        <f t="shared" ca="1" si="62"/>
        <v>79.241858372343415</v>
      </c>
      <c r="Q299" s="20">
        <f ca="1" xml:space="preserve"> P299*_Precio_cafe</f>
        <v>118.86278755851512</v>
      </c>
      <c r="R299" s="20">
        <f t="shared" ca="1" si="63"/>
        <v>40345.052729665345</v>
      </c>
      <c r="S299" s="20">
        <f ca="1">(1/A299)*((A299-1)*S298 +Q299)</f>
        <v>142.56202377973619</v>
      </c>
      <c r="T299" s="20">
        <f ca="1">IF((T298-P299+F299)&gt;_Max_Stock_Gramos,_Max_Stock_Gramos,T298-P299+F299)</f>
        <v>1590.2732703717152</v>
      </c>
      <c r="U299" s="20">
        <f ca="1">T299/_GramosXFrasco</f>
        <v>9.354548649245384</v>
      </c>
      <c r="V299" s="58">
        <f ca="1">(T299/_Max_Stock_Gramos)</f>
        <v>0.93545486492453833</v>
      </c>
      <c r="W299" s="58"/>
      <c r="X299" s="10">
        <f ca="1">IF((T298-O299)&lt;0,(T298-O299)*_Costo_Faltante,0)</f>
        <v>0</v>
      </c>
      <c r="Y299">
        <f>IF(B299=0,E299*_Costo_Frasco,0)</f>
        <v>0</v>
      </c>
      <c r="Z299" s="11">
        <f t="shared" ca="1" si="64"/>
        <v>-39500</v>
      </c>
    </row>
    <row r="300" spans="1:26" x14ac:dyDescent="0.25">
      <c r="A300" s="30">
        <f t="shared" si="61"/>
        <v>284</v>
      </c>
      <c r="B300" s="10">
        <f>IF(B299=0,_Proxima_Compra,B299-1)</f>
        <v>0</v>
      </c>
      <c r="C300" s="3">
        <f t="shared" ca="1" si="54"/>
        <v>6.5243195642963436E-2</v>
      </c>
      <c r="D300" s="3">
        <f ca="1">IF(D299&gt;0,D299-1,IF(C300&gt;0,LOOKUP(C300,$S$3:$S$5,$P$3:$P$5),-1))</f>
        <v>0</v>
      </c>
      <c r="E300" s="25">
        <f t="shared" ca="1" si="55"/>
        <v>2</v>
      </c>
      <c r="F300" s="28">
        <f ca="1">E300*_GramosXFrasco</f>
        <v>340</v>
      </c>
      <c r="G300" s="38">
        <f t="shared" ca="1" si="56"/>
        <v>3.1321669773188843E-3</v>
      </c>
      <c r="H300" s="36">
        <f t="shared" ca="1" si="57"/>
        <v>-1</v>
      </c>
      <c r="I300" s="36">
        <f t="shared" ca="1" si="58"/>
        <v>-1</v>
      </c>
      <c r="J300" s="36">
        <f t="shared" ca="1" si="65"/>
        <v>-1</v>
      </c>
      <c r="K300" s="37">
        <f ca="1">IF(J300&lt;&gt;-1,_Media_M + J300*_Sigma,-1)</f>
        <v>-1</v>
      </c>
      <c r="L300" s="3">
        <f t="shared" ca="1" si="59"/>
        <v>50</v>
      </c>
      <c r="M300" s="18">
        <f ca="1">IF(LOOKUP(G300,$H$3:$H$4,$E$3:$E$4)=1,50,_Media_M + J300*_Sigma)</f>
        <v>50</v>
      </c>
      <c r="N300" s="36">
        <f t="shared" ca="1" si="60"/>
        <v>19.77926807751782</v>
      </c>
      <c r="O300" s="35">
        <f t="shared" ca="1" si="66"/>
        <v>69.779268077517827</v>
      </c>
      <c r="P300" s="19">
        <f t="shared" ca="1" si="62"/>
        <v>69.779268077517827</v>
      </c>
      <c r="Q300" s="20">
        <f ca="1" xml:space="preserve"> P300*_Precio_cafe</f>
        <v>104.66890211627674</v>
      </c>
      <c r="R300" s="20">
        <f t="shared" ca="1" si="63"/>
        <v>40449.72163178162</v>
      </c>
      <c r="S300" s="20">
        <f ca="1">(1/A300)*((A300-1)*S299 +Q300)</f>
        <v>142.42859729500572</v>
      </c>
      <c r="T300" s="20">
        <f ca="1">IF((T299-P300+F300)&gt;_Max_Stock_Gramos,_Max_Stock_Gramos,T299-P300+F300)</f>
        <v>1700</v>
      </c>
      <c r="U300" s="20">
        <f ca="1">T300/_GramosXFrasco</f>
        <v>10</v>
      </c>
      <c r="V300" s="58">
        <f ca="1">(T300/_Max_Stock_Gramos)</f>
        <v>1</v>
      </c>
      <c r="W300" s="58"/>
      <c r="X300" s="10">
        <f ca="1">IF((T299-O300)&lt;0,(T299-O300)*_Costo_Faltante,0)</f>
        <v>0</v>
      </c>
      <c r="Y300">
        <f ca="1">IF(B300=0,E300*_Costo_Frasco,0)</f>
        <v>-500</v>
      </c>
      <c r="Z300" s="11">
        <f t="shared" ca="1" si="64"/>
        <v>-40000</v>
      </c>
    </row>
    <row r="301" spans="1:26" x14ac:dyDescent="0.25">
      <c r="A301" s="30">
        <f t="shared" si="61"/>
        <v>285</v>
      </c>
      <c r="B301" s="10">
        <f>IF(B300=0,_Proxima_Compra,B300-1)</f>
        <v>1</v>
      </c>
      <c r="C301" s="3">
        <f t="shared" ca="1" si="54"/>
        <v>-1</v>
      </c>
      <c r="D301" s="3">
        <f ca="1">IF(D300&gt;0,D300-1,IF(C301&gt;0,LOOKUP(C301,$S$3:$S$5,$P$3:$P$5),-1))</f>
        <v>-1</v>
      </c>
      <c r="E301" s="25">
        <f t="shared" ca="1" si="55"/>
        <v>0</v>
      </c>
      <c r="F301" s="28">
        <f ca="1">E301*_GramosXFrasco</f>
        <v>0</v>
      </c>
      <c r="G301" s="38">
        <f t="shared" ca="1" si="56"/>
        <v>0.84379258410347502</v>
      </c>
      <c r="H301" s="36">
        <f t="shared" ca="1" si="57"/>
        <v>0.26767225224631175</v>
      </c>
      <c r="I301" s="36">
        <f t="shared" ca="1" si="58"/>
        <v>1.7557390574364895E-2</v>
      </c>
      <c r="J301" s="36">
        <f t="shared" ca="1" si="65"/>
        <v>0.51701970104449591</v>
      </c>
      <c r="K301" s="37">
        <f ca="1">IF(J301&lt;&gt;-1,_Media_M + J301*_Sigma,-1)</f>
        <v>82.755295515667441</v>
      </c>
      <c r="L301" s="3">
        <f t="shared" ca="1" si="59"/>
        <v>-1</v>
      </c>
      <c r="M301" s="18">
        <f ca="1">IF(LOOKUP(G301,$H$3:$H$4,$E$3:$E$4)=1,50,_Media_M + J301*_Sigma)</f>
        <v>82.755295515667441</v>
      </c>
      <c r="N301" s="36">
        <f t="shared" ca="1" si="60"/>
        <v>35.979490105006022</v>
      </c>
      <c r="O301" s="35">
        <f t="shared" ca="1" si="66"/>
        <v>118.73478562067346</v>
      </c>
      <c r="P301" s="19">
        <f t="shared" ca="1" si="62"/>
        <v>118.73478562067346</v>
      </c>
      <c r="Q301" s="20">
        <f ca="1" xml:space="preserve"> P301*_Precio_cafe</f>
        <v>178.1021784310102</v>
      </c>
      <c r="R301" s="20">
        <f t="shared" ca="1" si="63"/>
        <v>40627.823810212627</v>
      </c>
      <c r="S301" s="20">
        <f ca="1">(1/A301)*((A301-1)*S300 +Q301)</f>
        <v>142.55376775513201</v>
      </c>
      <c r="T301" s="20">
        <f ca="1">IF((T300-P301+F301)&gt;_Max_Stock_Gramos,_Max_Stock_Gramos,T300-P301+F301)</f>
        <v>1581.2652143793266</v>
      </c>
      <c r="U301" s="20">
        <f ca="1">T301/_GramosXFrasco</f>
        <v>9.3015600845842741</v>
      </c>
      <c r="V301" s="58">
        <f ca="1">(T301/_Max_Stock_Gramos)</f>
        <v>0.93015600845842739</v>
      </c>
      <c r="W301" s="58"/>
      <c r="X301" s="10">
        <f ca="1">IF((T300-O301)&lt;0,(T300-O301)*_Costo_Faltante,0)</f>
        <v>0</v>
      </c>
      <c r="Y301">
        <f>IF(B301=0,E301*_Costo_Frasco,0)</f>
        <v>0</v>
      </c>
      <c r="Z301" s="11">
        <f t="shared" ca="1" si="64"/>
        <v>-40000</v>
      </c>
    </row>
    <row r="302" spans="1:26" x14ac:dyDescent="0.25">
      <c r="A302" s="30">
        <f t="shared" si="61"/>
        <v>286</v>
      </c>
      <c r="B302" s="10">
        <f>IF(B301=0,_Proxima_Compra,B301-1)</f>
        <v>0</v>
      </c>
      <c r="C302" s="3">
        <f t="shared" ca="1" si="54"/>
        <v>0.60325724622329113</v>
      </c>
      <c r="D302" s="3">
        <f ca="1">IF(D301&gt;0,D301-1,IF(C302&gt;0,LOOKUP(C302,$S$3:$S$5,$P$3:$P$5),-1))</f>
        <v>1</v>
      </c>
      <c r="E302" s="25">
        <f t="shared" ca="1" si="55"/>
        <v>0</v>
      </c>
      <c r="F302" s="28">
        <f ca="1">E302*_GramosXFrasco</f>
        <v>0</v>
      </c>
      <c r="G302" s="38">
        <f t="shared" ca="1" si="56"/>
        <v>0.51724416851927324</v>
      </c>
      <c r="H302" s="36">
        <f t="shared" ca="1" si="57"/>
        <v>0.77107631477408711</v>
      </c>
      <c r="I302" s="36">
        <f t="shared" ca="1" si="58"/>
        <v>0.52469009910591768</v>
      </c>
      <c r="J302" s="36">
        <f t="shared" ca="1" si="65"/>
        <v>-1.118054342983904</v>
      </c>
      <c r="K302" s="37">
        <f ca="1">IF(J302&lt;&gt;-1,_Media_M + J302*_Sigma,-1)</f>
        <v>58.229184855241442</v>
      </c>
      <c r="L302" s="3">
        <f t="shared" ca="1" si="59"/>
        <v>-1</v>
      </c>
      <c r="M302" s="18">
        <f ca="1">IF(LOOKUP(G302,$H$3:$H$4,$E$3:$E$4)=1,50,_Media_M + J302*_Sigma)</f>
        <v>58.229184855241442</v>
      </c>
      <c r="N302" s="36">
        <f t="shared" ca="1" si="60"/>
        <v>9.3716540440026161</v>
      </c>
      <c r="O302" s="35">
        <f t="shared" ca="1" si="66"/>
        <v>67.600838899244053</v>
      </c>
      <c r="P302" s="19">
        <f t="shared" ca="1" si="62"/>
        <v>67.600838899244053</v>
      </c>
      <c r="Q302" s="20">
        <f ca="1" xml:space="preserve"> P302*_Precio_cafe</f>
        <v>101.40125834886608</v>
      </c>
      <c r="R302" s="20">
        <f t="shared" ca="1" si="63"/>
        <v>40729.225068561493</v>
      </c>
      <c r="S302" s="20">
        <f ca="1">(1/A302)*((A302-1)*S301 +Q302)</f>
        <v>142.40987786210312</v>
      </c>
      <c r="T302" s="20">
        <f ca="1">IF((T301-P302+F302)&gt;_Max_Stock_Gramos,_Max_Stock_Gramos,T301-P302+F302)</f>
        <v>1513.6643754800825</v>
      </c>
      <c r="U302" s="20">
        <f ca="1">T302/_GramosXFrasco</f>
        <v>8.9039080910593089</v>
      </c>
      <c r="V302" s="58">
        <f ca="1">(T302/_Max_Stock_Gramos)</f>
        <v>0.89039080910593094</v>
      </c>
      <c r="W302" s="58"/>
      <c r="X302" s="10">
        <f ca="1">IF((T301-O302)&lt;0,(T301-O302)*_Costo_Faltante,0)</f>
        <v>0</v>
      </c>
      <c r="Y302">
        <f ca="1">IF(B302=0,E302*_Costo_Frasco,0)</f>
        <v>0</v>
      </c>
      <c r="Z302" s="11">
        <f t="shared" ca="1" si="64"/>
        <v>-40000</v>
      </c>
    </row>
    <row r="303" spans="1:26" x14ac:dyDescent="0.25">
      <c r="A303" s="30">
        <f t="shared" si="61"/>
        <v>287</v>
      </c>
      <c r="B303" s="10">
        <f>IF(B302=0,_Proxima_Compra,B302-1)</f>
        <v>1</v>
      </c>
      <c r="C303" s="3">
        <f t="shared" ca="1" si="54"/>
        <v>-1</v>
      </c>
      <c r="D303" s="3">
        <f ca="1">IF(D302&gt;0,D302-1,IF(C303&gt;0,LOOKUP(C303,$S$3:$S$5,$P$3:$P$5),-1))</f>
        <v>0</v>
      </c>
      <c r="E303" s="25">
        <f t="shared" ca="1" si="55"/>
        <v>2</v>
      </c>
      <c r="F303" s="28">
        <f ca="1">E303*_GramosXFrasco</f>
        <v>340</v>
      </c>
      <c r="G303" s="38">
        <f t="shared" ca="1" si="56"/>
        <v>0.89665498691432322</v>
      </c>
      <c r="H303" s="36">
        <f t="shared" ca="1" si="57"/>
        <v>0.22584475178375052</v>
      </c>
      <c r="I303" s="36">
        <f t="shared" ca="1" si="58"/>
        <v>0.17613864407081814</v>
      </c>
      <c r="J303" s="36">
        <f t="shared" ca="1" si="65"/>
        <v>0.21106048402383215</v>
      </c>
      <c r="K303" s="37">
        <f ca="1">IF(J303&lt;&gt;-1,_Media_M + J303*_Sigma,-1)</f>
        <v>78.165907260357486</v>
      </c>
      <c r="L303" s="3">
        <f t="shared" ca="1" si="59"/>
        <v>-1</v>
      </c>
      <c r="M303" s="18">
        <f ca="1">IF(LOOKUP(G303,$H$3:$H$4,$E$3:$E$4)=1,50,_Media_M + J303*_Sigma)</f>
        <v>78.165907260357486</v>
      </c>
      <c r="N303" s="36">
        <f t="shared" ca="1" si="60"/>
        <v>12.823476840076474</v>
      </c>
      <c r="O303" s="35">
        <f t="shared" ca="1" si="66"/>
        <v>90.989384100433966</v>
      </c>
      <c r="P303" s="19">
        <f t="shared" ca="1" si="62"/>
        <v>90.989384100433966</v>
      </c>
      <c r="Q303" s="20">
        <f ca="1" xml:space="preserve"> P303*_Precio_cafe</f>
        <v>136.48407615065094</v>
      </c>
      <c r="R303" s="20">
        <f t="shared" ca="1" si="63"/>
        <v>40865.709144712142</v>
      </c>
      <c r="S303" s="20">
        <f ca="1">(1/A303)*((A303-1)*S302 +Q303)</f>
        <v>142.38923046938029</v>
      </c>
      <c r="T303" s="20">
        <f ca="1">IF((T302-P303+F303)&gt;_Max_Stock_Gramos,_Max_Stock_Gramos,T302-P303+F303)</f>
        <v>1700</v>
      </c>
      <c r="U303" s="20">
        <f ca="1">T303/_GramosXFrasco</f>
        <v>10</v>
      </c>
      <c r="V303" s="58">
        <f ca="1">(T303/_Max_Stock_Gramos)</f>
        <v>1</v>
      </c>
      <c r="W303" s="58"/>
      <c r="X303" s="10">
        <f ca="1">IF((T302-O303)&lt;0,(T302-O303)*_Costo_Faltante,0)</f>
        <v>0</v>
      </c>
      <c r="Y303">
        <f>IF(B303=0,E303*_Costo_Frasco,0)</f>
        <v>0</v>
      </c>
      <c r="Z303" s="11">
        <f t="shared" ca="1" si="64"/>
        <v>-40000</v>
      </c>
    </row>
    <row r="304" spans="1:26" x14ac:dyDescent="0.25">
      <c r="A304" s="30">
        <f t="shared" si="61"/>
        <v>288</v>
      </c>
      <c r="B304" s="10">
        <f>IF(B303=0,_Proxima_Compra,B303-1)</f>
        <v>0</v>
      </c>
      <c r="C304" s="3">
        <f t="shared" ca="1" si="54"/>
        <v>0.47840280808291968</v>
      </c>
      <c r="D304" s="3">
        <f ca="1">IF(D303&gt;0,D303-1,IF(C304&gt;0,LOOKUP(C304,$S$3:$S$5,$P$3:$P$5),-1))</f>
        <v>0</v>
      </c>
      <c r="E304" s="25">
        <f t="shared" ca="1" si="55"/>
        <v>2</v>
      </c>
      <c r="F304" s="28">
        <f ca="1">E304*_GramosXFrasco</f>
        <v>340</v>
      </c>
      <c r="G304" s="38">
        <f t="shared" ca="1" si="56"/>
        <v>0.75712699846190934</v>
      </c>
      <c r="H304" s="36">
        <f t="shared" ca="1" si="57"/>
        <v>0.48151153156335069</v>
      </c>
      <c r="I304" s="36">
        <f t="shared" ca="1" si="58"/>
        <v>0.44364686310527568</v>
      </c>
      <c r="J304" s="36">
        <f t="shared" ca="1" si="65"/>
        <v>-0.70847349607312815</v>
      </c>
      <c r="K304" s="37">
        <f ca="1">IF(J304&lt;&gt;-1,_Media_M + J304*_Sigma,-1)</f>
        <v>64.372897558903077</v>
      </c>
      <c r="L304" s="3">
        <f t="shared" ca="1" si="59"/>
        <v>-1</v>
      </c>
      <c r="M304" s="18">
        <f ca="1">IF(LOOKUP(G304,$H$3:$H$4,$E$3:$E$4)=1,50,_Media_M + J304*_Sigma)</f>
        <v>64.372897558903077</v>
      </c>
      <c r="N304" s="36">
        <f t="shared" ca="1" si="60"/>
        <v>18.19598113623708</v>
      </c>
      <c r="O304" s="35">
        <f t="shared" ca="1" si="66"/>
        <v>82.568878695140157</v>
      </c>
      <c r="P304" s="19">
        <f t="shared" ca="1" si="62"/>
        <v>82.568878695140157</v>
      </c>
      <c r="Q304" s="20">
        <f ca="1" xml:space="preserve"> P304*_Precio_cafe</f>
        <v>123.85331804271024</v>
      </c>
      <c r="R304" s="20">
        <f t="shared" ca="1" si="63"/>
        <v>40989.562462754853</v>
      </c>
      <c r="S304" s="20">
        <f ca="1">(1/A304)*((A304-1)*S303 +Q304)</f>
        <v>142.32486966234325</v>
      </c>
      <c r="T304" s="20">
        <f ca="1">IF((T303-P304+F304)&gt;_Max_Stock_Gramos,_Max_Stock_Gramos,T303-P304+F304)</f>
        <v>1700</v>
      </c>
      <c r="U304" s="20">
        <f ca="1">T304/_GramosXFrasco</f>
        <v>10</v>
      </c>
      <c r="V304" s="58">
        <f ca="1">(T304/_Max_Stock_Gramos)</f>
        <v>1</v>
      </c>
      <c r="W304" s="58"/>
      <c r="X304" s="10">
        <f ca="1">IF((T303-O304)&lt;0,(T303-O304)*_Costo_Faltante,0)</f>
        <v>0</v>
      </c>
      <c r="Y304">
        <f ca="1">IF(B304=0,E304*_Costo_Frasco,0)</f>
        <v>-500</v>
      </c>
      <c r="Z304" s="11">
        <f t="shared" ca="1" si="64"/>
        <v>-40500</v>
      </c>
    </row>
    <row r="305" spans="1:26" x14ac:dyDescent="0.25">
      <c r="A305" s="30">
        <f t="shared" si="61"/>
        <v>289</v>
      </c>
      <c r="B305" s="10">
        <f>IF(B304=0,_Proxima_Compra,B304-1)</f>
        <v>1</v>
      </c>
      <c r="C305" s="3">
        <f t="shared" ca="1" si="54"/>
        <v>-1</v>
      </c>
      <c r="D305" s="3">
        <f ca="1">IF(D304&gt;0,D304-1,IF(C305&gt;0,LOOKUP(C305,$S$3:$S$5,$P$3:$P$5),-1))</f>
        <v>-1</v>
      </c>
      <c r="E305" s="25">
        <f t="shared" ca="1" si="55"/>
        <v>0</v>
      </c>
      <c r="F305" s="28">
        <f ca="1">E305*_GramosXFrasco</f>
        <v>0</v>
      </c>
      <c r="G305" s="38">
        <f t="shared" ca="1" si="56"/>
        <v>0.75715886755667672</v>
      </c>
      <c r="H305" s="36">
        <f t="shared" ca="1" si="57"/>
        <v>0.4228438793612419</v>
      </c>
      <c r="I305" s="36">
        <f t="shared" ca="1" si="58"/>
        <v>0.94734650199506509</v>
      </c>
      <c r="J305" s="36">
        <f t="shared" ca="1" si="65"/>
        <v>0.65348253616009644</v>
      </c>
      <c r="K305" s="37">
        <f ca="1">IF(J305&lt;&gt;-1,_Media_M + J305*_Sigma,-1)</f>
        <v>84.802238042401441</v>
      </c>
      <c r="L305" s="3">
        <f t="shared" ca="1" si="59"/>
        <v>-1</v>
      </c>
      <c r="M305" s="18">
        <f ca="1">IF(LOOKUP(G305,$H$3:$H$4,$E$3:$E$4)=1,50,_Media_M + J305*_Sigma)</f>
        <v>84.802238042401441</v>
      </c>
      <c r="N305" s="36">
        <f t="shared" ca="1" si="60"/>
        <v>27.838908481258869</v>
      </c>
      <c r="O305" s="35">
        <f t="shared" ca="1" si="66"/>
        <v>112.64114652366031</v>
      </c>
      <c r="P305" s="19">
        <f t="shared" ca="1" si="62"/>
        <v>112.64114652366031</v>
      </c>
      <c r="Q305" s="20">
        <f ca="1" xml:space="preserve"> P305*_Precio_cafe</f>
        <v>168.96171978549046</v>
      </c>
      <c r="R305" s="20">
        <f t="shared" ca="1" si="63"/>
        <v>41158.524182540343</v>
      </c>
      <c r="S305" s="20">
        <f ca="1">(1/A305)*((A305-1)*S304 +Q305)</f>
        <v>142.41703869391122</v>
      </c>
      <c r="T305" s="20">
        <f ca="1">IF((T304-P305+F305)&gt;_Max_Stock_Gramos,_Max_Stock_Gramos,T304-P305+F305)</f>
        <v>1587.3588534763396</v>
      </c>
      <c r="U305" s="20">
        <f ca="1">T305/_GramosXFrasco</f>
        <v>9.3374050204490562</v>
      </c>
      <c r="V305" s="58">
        <f ca="1">(T305/_Max_Stock_Gramos)</f>
        <v>0.93374050204490566</v>
      </c>
      <c r="W305" s="58"/>
      <c r="X305" s="10">
        <f ca="1">IF((T304-O305)&lt;0,(T304-O305)*_Costo_Faltante,0)</f>
        <v>0</v>
      </c>
      <c r="Y305">
        <f>IF(B305=0,E305*_Costo_Frasco,0)</f>
        <v>0</v>
      </c>
      <c r="Z305" s="11">
        <f t="shared" ca="1" si="64"/>
        <v>-40500</v>
      </c>
    </row>
    <row r="306" spans="1:26" x14ac:dyDescent="0.25">
      <c r="A306" s="30">
        <f t="shared" si="61"/>
        <v>290</v>
      </c>
      <c r="B306" s="10">
        <f>IF(B305=0,_Proxima_Compra,B305-1)</f>
        <v>0</v>
      </c>
      <c r="C306" s="3">
        <f t="shared" ca="1" si="54"/>
        <v>7.6618789647840302E-2</v>
      </c>
      <c r="D306" s="3">
        <f ca="1">IF(D305&gt;0,D305-1,IF(C306&gt;0,LOOKUP(C306,$S$3:$S$5,$P$3:$P$5),-1))</f>
        <v>0</v>
      </c>
      <c r="E306" s="25">
        <f t="shared" ca="1" si="55"/>
        <v>2</v>
      </c>
      <c r="F306" s="28">
        <f ca="1">E306*_GramosXFrasco</f>
        <v>340</v>
      </c>
      <c r="G306" s="38">
        <f t="shared" ca="1" si="56"/>
        <v>0.27061492177561519</v>
      </c>
      <c r="H306" s="36">
        <f t="shared" ca="1" si="57"/>
        <v>-1</v>
      </c>
      <c r="I306" s="36">
        <f t="shared" ca="1" si="58"/>
        <v>-1</v>
      </c>
      <c r="J306" s="36">
        <f t="shared" ca="1" si="65"/>
        <v>-1</v>
      </c>
      <c r="K306" s="37">
        <f ca="1">IF(J306&lt;&gt;-1,_Media_M + J306*_Sigma,-1)</f>
        <v>-1</v>
      </c>
      <c r="L306" s="3">
        <f t="shared" ca="1" si="59"/>
        <v>50</v>
      </c>
      <c r="M306" s="18">
        <f ca="1">IF(LOOKUP(G306,$H$3:$H$4,$E$3:$E$4)=1,50,_Media_M + J306*_Sigma)</f>
        <v>50</v>
      </c>
      <c r="N306" s="36">
        <f t="shared" ca="1" si="60"/>
        <v>20.178208723410666</v>
      </c>
      <c r="O306" s="35">
        <f t="shared" ca="1" si="66"/>
        <v>70.178208723410663</v>
      </c>
      <c r="P306" s="19">
        <f t="shared" ca="1" si="62"/>
        <v>70.178208723410663</v>
      </c>
      <c r="Q306" s="20">
        <f ca="1" xml:space="preserve"> P306*_Precio_cafe</f>
        <v>105.267313085116</v>
      </c>
      <c r="R306" s="20">
        <f t="shared" ca="1" si="63"/>
        <v>41263.791495625461</v>
      </c>
      <c r="S306" s="20">
        <f ca="1">(1/A306)*((A306-1)*S305 +Q306)</f>
        <v>142.28893619181193</v>
      </c>
      <c r="T306" s="20">
        <f ca="1">IF((T305-P306+F306)&gt;_Max_Stock_Gramos,_Max_Stock_Gramos,T305-P306+F306)</f>
        <v>1700</v>
      </c>
      <c r="U306" s="20">
        <f ca="1">T306/_GramosXFrasco</f>
        <v>10</v>
      </c>
      <c r="V306" s="58">
        <f ca="1">(T306/_Max_Stock_Gramos)</f>
        <v>1</v>
      </c>
      <c r="W306" s="58"/>
      <c r="X306" s="10">
        <f ca="1">IF((T305-O306)&lt;0,(T305-O306)*_Costo_Faltante,0)</f>
        <v>0</v>
      </c>
      <c r="Y306">
        <f ca="1">IF(B306=0,E306*_Costo_Frasco,0)</f>
        <v>-500</v>
      </c>
      <c r="Z306" s="11">
        <f t="shared" ca="1" si="64"/>
        <v>-41000</v>
      </c>
    </row>
    <row r="307" spans="1:26" x14ac:dyDescent="0.25">
      <c r="A307" s="30">
        <f t="shared" si="61"/>
        <v>291</v>
      </c>
      <c r="B307" s="10">
        <f>IF(B306=0,_Proxima_Compra,B306-1)</f>
        <v>1</v>
      </c>
      <c r="C307" s="3">
        <f t="shared" ca="1" si="54"/>
        <v>-1</v>
      </c>
      <c r="D307" s="3">
        <f ca="1">IF(D306&gt;0,D306-1,IF(C307&gt;0,LOOKUP(C307,$S$3:$S$5,$P$3:$P$5),-1))</f>
        <v>-1</v>
      </c>
      <c r="E307" s="25">
        <f t="shared" ca="1" si="55"/>
        <v>0</v>
      </c>
      <c r="F307" s="28">
        <f ca="1">E307*_GramosXFrasco</f>
        <v>0</v>
      </c>
      <c r="G307" s="38">
        <f t="shared" ca="1" si="56"/>
        <v>0.24184430830281611</v>
      </c>
      <c r="H307" s="36">
        <f t="shared" ca="1" si="57"/>
        <v>-1</v>
      </c>
      <c r="I307" s="36">
        <f t="shared" ca="1" si="58"/>
        <v>-1</v>
      </c>
      <c r="J307" s="36">
        <f t="shared" ca="1" si="65"/>
        <v>-1</v>
      </c>
      <c r="K307" s="37">
        <f ca="1">IF(J307&lt;&gt;-1,_Media_M + J307*_Sigma,-1)</f>
        <v>-1</v>
      </c>
      <c r="L307" s="3">
        <f t="shared" ca="1" si="59"/>
        <v>50</v>
      </c>
      <c r="M307" s="18">
        <f ca="1">IF(LOOKUP(G307,$H$3:$H$4,$E$3:$E$4)=1,50,_Media_M + J307*_Sigma)</f>
        <v>50</v>
      </c>
      <c r="N307" s="36">
        <f t="shared" ca="1" si="60"/>
        <v>57.913094415266265</v>
      </c>
      <c r="O307" s="35">
        <f t="shared" ca="1" si="66"/>
        <v>107.91309441526627</v>
      </c>
      <c r="P307" s="19">
        <f t="shared" ca="1" si="62"/>
        <v>107.91309441526627</v>
      </c>
      <c r="Q307" s="20">
        <f ca="1" xml:space="preserve"> P307*_Precio_cafe</f>
        <v>161.86964162289939</v>
      </c>
      <c r="R307" s="20">
        <f t="shared" ca="1" si="63"/>
        <v>41425.66113724836</v>
      </c>
      <c r="S307" s="20">
        <f ca="1">(1/A307)*((A307-1)*S306 +Q307)</f>
        <v>142.35622383934145</v>
      </c>
      <c r="T307" s="20">
        <f ca="1">IF((T306-P307+F307)&gt;_Max_Stock_Gramos,_Max_Stock_Gramos,T306-P307+F307)</f>
        <v>1592.0869055847338</v>
      </c>
      <c r="U307" s="20">
        <f ca="1">T307/_GramosXFrasco</f>
        <v>9.3652170916749053</v>
      </c>
      <c r="V307" s="58">
        <f ca="1">(T307/_Max_Stock_Gramos)</f>
        <v>0.93652170916749045</v>
      </c>
      <c r="W307" s="58"/>
      <c r="X307" s="10">
        <f ca="1">IF((T306-O307)&lt;0,(T306-O307)*_Costo_Faltante,0)</f>
        <v>0</v>
      </c>
      <c r="Y307">
        <f>IF(B307=0,E307*_Costo_Frasco,0)</f>
        <v>0</v>
      </c>
      <c r="Z307" s="11">
        <f t="shared" ca="1" si="64"/>
        <v>-41000</v>
      </c>
    </row>
    <row r="308" spans="1:26" x14ac:dyDescent="0.25">
      <c r="A308" s="30">
        <f t="shared" si="61"/>
        <v>292</v>
      </c>
      <c r="B308" s="10">
        <f>IF(B307=0,_Proxima_Compra,B307-1)</f>
        <v>0</v>
      </c>
      <c r="C308" s="3">
        <f t="shared" ca="1" si="54"/>
        <v>0.80861025620751636</v>
      </c>
      <c r="D308" s="3">
        <f ca="1">IF(D307&gt;0,D307-1,IF(C308&gt;0,LOOKUP(C308,$S$3:$S$5,$P$3:$P$5),-1))</f>
        <v>2</v>
      </c>
      <c r="E308" s="25">
        <f t="shared" ca="1" si="55"/>
        <v>0</v>
      </c>
      <c r="F308" s="28">
        <f ca="1">E308*_GramosXFrasco</f>
        <v>0</v>
      </c>
      <c r="G308" s="38">
        <f t="shared" ca="1" si="56"/>
        <v>0.24471499924785967</v>
      </c>
      <c r="H308" s="36">
        <f t="shared" ca="1" si="57"/>
        <v>-1</v>
      </c>
      <c r="I308" s="36">
        <f t="shared" ca="1" si="58"/>
        <v>-1</v>
      </c>
      <c r="J308" s="36">
        <f t="shared" ca="1" si="65"/>
        <v>-1</v>
      </c>
      <c r="K308" s="37">
        <f ca="1">IF(J308&lt;&gt;-1,_Media_M + J308*_Sigma,-1)</f>
        <v>-1</v>
      </c>
      <c r="L308" s="3">
        <f t="shared" ca="1" si="59"/>
        <v>50</v>
      </c>
      <c r="M308" s="18">
        <f ca="1">IF(LOOKUP(G308,$H$3:$H$4,$E$3:$E$4)=1,50,_Media_M + J308*_Sigma)</f>
        <v>50</v>
      </c>
      <c r="N308" s="36">
        <f t="shared" ca="1" si="60"/>
        <v>3.2867421815150832</v>
      </c>
      <c r="O308" s="35">
        <f t="shared" ca="1" si="66"/>
        <v>53.286742181515081</v>
      </c>
      <c r="P308" s="19">
        <f t="shared" ca="1" si="62"/>
        <v>53.286742181515081</v>
      </c>
      <c r="Q308" s="20">
        <f ca="1" xml:space="preserve"> P308*_Precio_cafe</f>
        <v>79.930113272272621</v>
      </c>
      <c r="R308" s="20">
        <f t="shared" ca="1" si="63"/>
        <v>41505.591250520636</v>
      </c>
      <c r="S308" s="20">
        <f ca="1">(1/A308)*((A308-1)*S307 +Q308)</f>
        <v>142.14243578945423</v>
      </c>
      <c r="T308" s="20">
        <f ca="1">IF((T307-P308+F308)&gt;_Max_Stock_Gramos,_Max_Stock_Gramos,T307-P308+F308)</f>
        <v>1538.8001634032187</v>
      </c>
      <c r="U308" s="20">
        <f ca="1">T308/_GramosXFrasco</f>
        <v>9.0517656670777562</v>
      </c>
      <c r="V308" s="58">
        <f ca="1">(T308/_Max_Stock_Gramos)</f>
        <v>0.90517656670777569</v>
      </c>
      <c r="W308" s="58"/>
      <c r="X308" s="10">
        <f ca="1">IF((T307-O308)&lt;0,(T307-O308)*_Costo_Faltante,0)</f>
        <v>0</v>
      </c>
      <c r="Y308">
        <f ca="1">IF(B308=0,E308*_Costo_Frasco,0)</f>
        <v>0</v>
      </c>
      <c r="Z308" s="11">
        <f t="shared" ca="1" si="64"/>
        <v>-41000</v>
      </c>
    </row>
    <row r="309" spans="1:26" x14ac:dyDescent="0.25">
      <c r="A309" s="30">
        <f t="shared" si="61"/>
        <v>293</v>
      </c>
      <c r="B309" s="10">
        <f>IF(B308=0,_Proxima_Compra,B308-1)</f>
        <v>1</v>
      </c>
      <c r="C309" s="3">
        <f t="shared" ca="1" si="54"/>
        <v>-1</v>
      </c>
      <c r="D309" s="3">
        <f ca="1">IF(D308&gt;0,D308-1,IF(C309&gt;0,LOOKUP(C309,$S$3:$S$5,$P$3:$P$5),-1))</f>
        <v>1</v>
      </c>
      <c r="E309" s="25">
        <f t="shared" ca="1" si="55"/>
        <v>0</v>
      </c>
      <c r="F309" s="28">
        <f ca="1">E309*_GramosXFrasco</f>
        <v>0</v>
      </c>
      <c r="G309" s="38">
        <f t="shared" ca="1" si="56"/>
        <v>0.40105920700689746</v>
      </c>
      <c r="H309" s="36">
        <f t="shared" ca="1" si="57"/>
        <v>-1</v>
      </c>
      <c r="I309" s="36">
        <f t="shared" ca="1" si="58"/>
        <v>-1</v>
      </c>
      <c r="J309" s="36">
        <f t="shared" ca="1" si="65"/>
        <v>-1</v>
      </c>
      <c r="K309" s="37">
        <f ca="1">IF(J309&lt;&gt;-1,_Media_M + J309*_Sigma,-1)</f>
        <v>-1</v>
      </c>
      <c r="L309" s="3">
        <f t="shared" ca="1" si="59"/>
        <v>50</v>
      </c>
      <c r="M309" s="18">
        <f ca="1">IF(LOOKUP(G309,$H$3:$H$4,$E$3:$E$4)=1,50,_Media_M + J309*_Sigma)</f>
        <v>50</v>
      </c>
      <c r="N309" s="36">
        <f t="shared" ca="1" si="60"/>
        <v>25.758981015131575</v>
      </c>
      <c r="O309" s="35">
        <f t="shared" ca="1" si="66"/>
        <v>75.758981015131582</v>
      </c>
      <c r="P309" s="19">
        <f t="shared" ca="1" si="62"/>
        <v>75.758981015131582</v>
      </c>
      <c r="Q309" s="20">
        <f ca="1" xml:space="preserve"> P309*_Precio_cafe</f>
        <v>113.63847152269737</v>
      </c>
      <c r="R309" s="20">
        <f t="shared" ca="1" si="63"/>
        <v>41619.229722043332</v>
      </c>
      <c r="S309" s="20">
        <f ca="1">(1/A309)*((A309-1)*S308 +Q309)</f>
        <v>142.04515263496017</v>
      </c>
      <c r="T309" s="20">
        <f ca="1">IF((T308-P309+F309)&gt;_Max_Stock_Gramos,_Max_Stock_Gramos,T308-P309+F309)</f>
        <v>1463.041182388087</v>
      </c>
      <c r="U309" s="20">
        <f ca="1">T309/_GramosXFrasco</f>
        <v>8.6061246022828648</v>
      </c>
      <c r="V309" s="58">
        <f ca="1">(T309/_Max_Stock_Gramos)</f>
        <v>0.86061246022828652</v>
      </c>
      <c r="W309" s="58"/>
      <c r="X309" s="10">
        <f ca="1">IF((T308-O309)&lt;0,(T308-O309)*_Costo_Faltante,0)</f>
        <v>0</v>
      </c>
      <c r="Y309">
        <f>IF(B309=0,E309*_Costo_Frasco,0)</f>
        <v>0</v>
      </c>
      <c r="Z309" s="11">
        <f t="shared" ca="1" si="64"/>
        <v>-41000</v>
      </c>
    </row>
    <row r="310" spans="1:26" x14ac:dyDescent="0.25">
      <c r="A310" s="30">
        <f t="shared" si="61"/>
        <v>294</v>
      </c>
      <c r="B310" s="10">
        <f>IF(B309=0,_Proxima_Compra,B309-1)</f>
        <v>0</v>
      </c>
      <c r="C310" s="3">
        <f t="shared" ca="1" si="54"/>
        <v>0.92930153263128046</v>
      </c>
      <c r="D310" s="3">
        <f ca="1">IF(D309&gt;0,D309-1,IF(C310&gt;0,LOOKUP(C310,$S$3:$S$5,$P$3:$P$5),-1))</f>
        <v>0</v>
      </c>
      <c r="E310" s="25">
        <f t="shared" ca="1" si="55"/>
        <v>2</v>
      </c>
      <c r="F310" s="28">
        <f ca="1">E310*_GramosXFrasco</f>
        <v>340</v>
      </c>
      <c r="G310" s="38">
        <f t="shared" ca="1" si="56"/>
        <v>0.48449696270022591</v>
      </c>
      <c r="H310" s="36">
        <f t="shared" ca="1" si="57"/>
        <v>-1</v>
      </c>
      <c r="I310" s="36">
        <f t="shared" ca="1" si="58"/>
        <v>-1</v>
      </c>
      <c r="J310" s="36">
        <f t="shared" ca="1" si="65"/>
        <v>-1</v>
      </c>
      <c r="K310" s="37">
        <f ca="1">IF(J310&lt;&gt;-1,_Media_M + J310*_Sigma,-1)</f>
        <v>-1</v>
      </c>
      <c r="L310" s="3">
        <f t="shared" ca="1" si="59"/>
        <v>50</v>
      </c>
      <c r="M310" s="18">
        <f ca="1">IF(LOOKUP(G310,$H$3:$H$4,$E$3:$E$4)=1,50,_Media_M + J310*_Sigma)</f>
        <v>50</v>
      </c>
      <c r="N310" s="36">
        <f t="shared" ca="1" si="60"/>
        <v>59.14330807227585</v>
      </c>
      <c r="O310" s="35">
        <f t="shared" ca="1" si="66"/>
        <v>109.14330807227586</v>
      </c>
      <c r="P310" s="19">
        <f t="shared" ca="1" si="62"/>
        <v>109.14330807227586</v>
      </c>
      <c r="Q310" s="20">
        <f ca="1" xml:space="preserve"> P310*_Precio_cafe</f>
        <v>163.71496210841377</v>
      </c>
      <c r="R310" s="20">
        <f t="shared" ca="1" si="63"/>
        <v>41782.944684151749</v>
      </c>
      <c r="S310" s="20">
        <f ca="1">(1/A310)*((A310-1)*S309 +Q310)</f>
        <v>142.1188594699039</v>
      </c>
      <c r="T310" s="20">
        <f ca="1">IF((T309-P310+F310)&gt;_Max_Stock_Gramos,_Max_Stock_Gramos,T309-P310+F310)</f>
        <v>1693.8978743158111</v>
      </c>
      <c r="U310" s="20">
        <f ca="1">T310/_GramosXFrasco</f>
        <v>9.9641051430341836</v>
      </c>
      <c r="V310" s="58">
        <f ca="1">(T310/_Max_Stock_Gramos)</f>
        <v>0.99641051430341832</v>
      </c>
      <c r="W310" s="58"/>
      <c r="X310" s="10">
        <f ca="1">IF((T309-O310)&lt;0,(T309-O310)*_Costo_Faltante,0)</f>
        <v>0</v>
      </c>
      <c r="Y310">
        <f ca="1">IF(B310=0,E310*_Costo_Frasco,0)</f>
        <v>-500</v>
      </c>
      <c r="Z310" s="11">
        <f t="shared" ca="1" si="64"/>
        <v>-41500</v>
      </c>
    </row>
    <row r="311" spans="1:26" x14ac:dyDescent="0.25">
      <c r="A311" s="30">
        <f t="shared" si="61"/>
        <v>295</v>
      </c>
      <c r="B311" s="10">
        <f>IF(B310=0,_Proxima_Compra,B310-1)</f>
        <v>1</v>
      </c>
      <c r="C311" s="3">
        <f t="shared" ca="1" si="54"/>
        <v>-1</v>
      </c>
      <c r="D311" s="3">
        <f ca="1">IF(D310&gt;0,D310-1,IF(C311&gt;0,LOOKUP(C311,$S$3:$S$5,$P$3:$P$5),-1))</f>
        <v>-1</v>
      </c>
      <c r="E311" s="25">
        <f t="shared" ca="1" si="55"/>
        <v>0</v>
      </c>
      <c r="F311" s="28">
        <f ca="1">E311*_GramosXFrasco</f>
        <v>0</v>
      </c>
      <c r="G311" s="38">
        <f t="shared" ca="1" si="56"/>
        <v>0.93052292697075767</v>
      </c>
      <c r="H311" s="36">
        <f t="shared" ca="1" si="57"/>
        <v>0.82141515567283352</v>
      </c>
      <c r="I311" s="36">
        <f t="shared" ca="1" si="58"/>
        <v>0.91854202656000739</v>
      </c>
      <c r="J311" s="36">
        <f t="shared" ca="1" si="65"/>
        <v>1.0664881798323267</v>
      </c>
      <c r="K311" s="37">
        <f ca="1">IF(J311&lt;&gt;-1,_Media_M + J311*_Sigma,-1)</f>
        <v>90.997322697484904</v>
      </c>
      <c r="L311" s="3">
        <f t="shared" ca="1" si="59"/>
        <v>-1</v>
      </c>
      <c r="M311" s="18">
        <f ca="1">IF(LOOKUP(G311,$H$3:$H$4,$E$3:$E$4)=1,50,_Media_M + J311*_Sigma)</f>
        <v>90.997322697484904</v>
      </c>
      <c r="N311" s="36">
        <f t="shared" ca="1" si="60"/>
        <v>24.808578085656137</v>
      </c>
      <c r="O311" s="35">
        <f t="shared" ca="1" si="66"/>
        <v>115.80590078314104</v>
      </c>
      <c r="P311" s="19">
        <f t="shared" ca="1" si="62"/>
        <v>115.80590078314104</v>
      </c>
      <c r="Q311" s="20">
        <f ca="1" xml:space="preserve"> P311*_Precio_cafe</f>
        <v>173.70885117471155</v>
      </c>
      <c r="R311" s="20">
        <f t="shared" ca="1" si="63"/>
        <v>41956.653535326463</v>
      </c>
      <c r="S311" s="20">
        <f ca="1">(1/A311)*((A311-1)*S310 +Q311)</f>
        <v>142.2259441875473</v>
      </c>
      <c r="T311" s="20">
        <f ca="1">IF((T310-P311+F311)&gt;_Max_Stock_Gramos,_Max_Stock_Gramos,T310-P311+F311)</f>
        <v>1578.0919735326702</v>
      </c>
      <c r="U311" s="20">
        <f ca="1">T311/_GramosXFrasco</f>
        <v>9.2828939619568835</v>
      </c>
      <c r="V311" s="58">
        <f ca="1">(T311/_Max_Stock_Gramos)</f>
        <v>0.92828939619568829</v>
      </c>
      <c r="W311" s="58"/>
      <c r="X311" s="10">
        <f ca="1">IF((T310-O311)&lt;0,(T310-O311)*_Costo_Faltante,0)</f>
        <v>0</v>
      </c>
      <c r="Y311">
        <f>IF(B311=0,E311*_Costo_Frasco,0)</f>
        <v>0</v>
      </c>
      <c r="Z311" s="11">
        <f t="shared" ca="1" si="64"/>
        <v>-41500</v>
      </c>
    </row>
    <row r="312" spans="1:26" x14ac:dyDescent="0.25">
      <c r="A312" s="30">
        <f t="shared" si="61"/>
        <v>296</v>
      </c>
      <c r="B312" s="10">
        <f>IF(B311=0,_Proxima_Compra,B311-1)</f>
        <v>0</v>
      </c>
      <c r="C312" s="3">
        <f t="shared" ca="1" si="54"/>
        <v>5.8768926272496858E-2</v>
      </c>
      <c r="D312" s="3">
        <f ca="1">IF(D311&gt;0,D311-1,IF(C312&gt;0,LOOKUP(C312,$S$3:$S$5,$P$3:$P$5),-1))</f>
        <v>0</v>
      </c>
      <c r="E312" s="25">
        <f t="shared" ca="1" si="55"/>
        <v>2</v>
      </c>
      <c r="F312" s="28">
        <f ca="1">E312*_GramosXFrasco</f>
        <v>340</v>
      </c>
      <c r="G312" s="38">
        <f t="shared" ca="1" si="56"/>
        <v>0.96095607008912542</v>
      </c>
      <c r="H312" s="36">
        <f t="shared" ca="1" si="57"/>
        <v>4.6489426229586739E-3</v>
      </c>
      <c r="I312" s="36">
        <f t="shared" ca="1" si="58"/>
        <v>0.33915678206930699</v>
      </c>
      <c r="J312" s="36">
        <f t="shared" ca="1" si="65"/>
        <v>-3.3803943544573008E-2</v>
      </c>
      <c r="K312" s="37">
        <f ca="1">IF(J312&lt;&gt;-1,_Media_M + J312*_Sigma,-1)</f>
        <v>74.492940846831402</v>
      </c>
      <c r="L312" s="3">
        <f t="shared" ca="1" si="59"/>
        <v>-1</v>
      </c>
      <c r="M312" s="18">
        <f ca="1">IF(LOOKUP(G312,$H$3:$H$4,$E$3:$E$4)=1,50,_Media_M + J312*_Sigma)</f>
        <v>74.492940846831402</v>
      </c>
      <c r="N312" s="36">
        <f t="shared" ca="1" si="60"/>
        <v>13.533413373265665</v>
      </c>
      <c r="O312" s="35">
        <f t="shared" ca="1" si="66"/>
        <v>88.026354220097062</v>
      </c>
      <c r="P312" s="19">
        <f t="shared" ca="1" si="62"/>
        <v>88.026354220097062</v>
      </c>
      <c r="Q312" s="20">
        <f ca="1" xml:space="preserve"> P312*_Precio_cafe</f>
        <v>132.03953133014559</v>
      </c>
      <c r="R312" s="20">
        <f t="shared" ca="1" si="63"/>
        <v>42088.693066656611</v>
      </c>
      <c r="S312" s="20">
        <f ca="1">(1/A312)*((A312-1)*S311 +Q312)</f>
        <v>142.19153063059665</v>
      </c>
      <c r="T312" s="20">
        <f ca="1">IF((T311-P312+F312)&gt;_Max_Stock_Gramos,_Max_Stock_Gramos,T311-P312+F312)</f>
        <v>1700</v>
      </c>
      <c r="U312" s="20">
        <f ca="1">T312/_GramosXFrasco</f>
        <v>10</v>
      </c>
      <c r="V312" s="58">
        <f ca="1">(T312/_Max_Stock_Gramos)</f>
        <v>1</v>
      </c>
      <c r="W312" s="58"/>
      <c r="X312" s="10">
        <f ca="1">IF((T311-O312)&lt;0,(T311-O312)*_Costo_Faltante,0)</f>
        <v>0</v>
      </c>
      <c r="Y312">
        <f ca="1">IF(B312=0,E312*_Costo_Frasco,0)</f>
        <v>-500</v>
      </c>
      <c r="Z312" s="11">
        <f t="shared" ca="1" si="64"/>
        <v>-42000</v>
      </c>
    </row>
    <row r="313" spans="1:26" x14ac:dyDescent="0.25">
      <c r="A313" s="30">
        <f t="shared" si="61"/>
        <v>297</v>
      </c>
      <c r="B313" s="10">
        <f>IF(B312=0,_Proxima_Compra,B312-1)</f>
        <v>1</v>
      </c>
      <c r="C313" s="3">
        <f t="shared" ca="1" si="54"/>
        <v>-1</v>
      </c>
      <c r="D313" s="3">
        <f ca="1">IF(D312&gt;0,D312-1,IF(C313&gt;0,LOOKUP(C313,$S$3:$S$5,$P$3:$P$5),-1))</f>
        <v>-1</v>
      </c>
      <c r="E313" s="25">
        <f t="shared" ca="1" si="55"/>
        <v>0</v>
      </c>
      <c r="F313" s="28">
        <f ca="1">E313*_GramosXFrasco</f>
        <v>0</v>
      </c>
      <c r="G313" s="38">
        <f t="shared" ca="1" si="56"/>
        <v>0.17151975804818553</v>
      </c>
      <c r="H313" s="36">
        <f t="shared" ca="1" si="57"/>
        <v>-1</v>
      </c>
      <c r="I313" s="36">
        <f t="shared" ca="1" si="58"/>
        <v>-1</v>
      </c>
      <c r="J313" s="36">
        <f t="shared" ca="1" si="65"/>
        <v>-1</v>
      </c>
      <c r="K313" s="37">
        <f ca="1">IF(J313&lt;&gt;-1,_Media_M + J313*_Sigma,-1)</f>
        <v>-1</v>
      </c>
      <c r="L313" s="3">
        <f t="shared" ca="1" si="59"/>
        <v>50</v>
      </c>
      <c r="M313" s="18">
        <f ca="1">IF(LOOKUP(G313,$H$3:$H$4,$E$3:$E$4)=1,50,_Media_M + J313*_Sigma)</f>
        <v>50</v>
      </c>
      <c r="N313" s="36">
        <f t="shared" ca="1" si="60"/>
        <v>20.402569277934923</v>
      </c>
      <c r="O313" s="35">
        <f t="shared" ca="1" si="66"/>
        <v>70.40256927793493</v>
      </c>
      <c r="P313" s="19">
        <f t="shared" ca="1" si="62"/>
        <v>70.40256927793493</v>
      </c>
      <c r="Q313" s="20">
        <f ca="1" xml:space="preserve"> P313*_Precio_cafe</f>
        <v>105.60385391690239</v>
      </c>
      <c r="R313" s="20">
        <f t="shared" ca="1" si="63"/>
        <v>42194.296920573513</v>
      </c>
      <c r="S313" s="20">
        <f ca="1">(1/A313)*((A313-1)*S312 +Q313)</f>
        <v>142.0683397999108</v>
      </c>
      <c r="T313" s="20">
        <f ca="1">IF((T312-P313+F313)&gt;_Max_Stock_Gramos,_Max_Stock_Gramos,T312-P313+F313)</f>
        <v>1629.5974307220652</v>
      </c>
      <c r="U313" s="20">
        <f ca="1">T313/_GramosXFrasco</f>
        <v>9.5858672395415603</v>
      </c>
      <c r="V313" s="58">
        <f ca="1">(T313/_Max_Stock_Gramos)</f>
        <v>0.95858672395415601</v>
      </c>
      <c r="W313" s="58"/>
      <c r="X313" s="10">
        <f ca="1">IF((T312-O313)&lt;0,(T312-O313)*_Costo_Faltante,0)</f>
        <v>0</v>
      </c>
      <c r="Y313">
        <f>IF(B313=0,E313*_Costo_Frasco,0)</f>
        <v>0</v>
      </c>
      <c r="Z313" s="11">
        <f t="shared" ca="1" si="64"/>
        <v>-42000</v>
      </c>
    </row>
    <row r="314" spans="1:26" x14ac:dyDescent="0.25">
      <c r="A314" s="30">
        <f t="shared" si="61"/>
        <v>298</v>
      </c>
      <c r="B314" s="10">
        <f>IF(B313=0,_Proxima_Compra,B313-1)</f>
        <v>0</v>
      </c>
      <c r="C314" s="3">
        <f t="shared" ca="1" si="54"/>
        <v>0.90304586797355357</v>
      </c>
      <c r="D314" s="3">
        <f ca="1">IF(D313&gt;0,D313-1,IF(C314&gt;0,LOOKUP(C314,$S$3:$S$5,$P$3:$P$5),-1))</f>
        <v>2</v>
      </c>
      <c r="E314" s="25">
        <f t="shared" ca="1" si="55"/>
        <v>0</v>
      </c>
      <c r="F314" s="28">
        <f ca="1">E314*_GramosXFrasco</f>
        <v>0</v>
      </c>
      <c r="G314" s="38">
        <f t="shared" ca="1" si="56"/>
        <v>0.29400788590710469</v>
      </c>
      <c r="H314" s="36">
        <f t="shared" ca="1" si="57"/>
        <v>-1</v>
      </c>
      <c r="I314" s="36">
        <f t="shared" ca="1" si="58"/>
        <v>-1</v>
      </c>
      <c r="J314" s="36">
        <f t="shared" ca="1" si="65"/>
        <v>-1</v>
      </c>
      <c r="K314" s="37">
        <f ca="1">IF(J314&lt;&gt;-1,_Media_M + J314*_Sigma,-1)</f>
        <v>-1</v>
      </c>
      <c r="L314" s="3">
        <f t="shared" ca="1" si="59"/>
        <v>50</v>
      </c>
      <c r="M314" s="18">
        <f ca="1">IF(LOOKUP(G314,$H$3:$H$4,$E$3:$E$4)=1,50,_Media_M + J314*_Sigma)</f>
        <v>50</v>
      </c>
      <c r="N314" s="36">
        <f t="shared" ca="1" si="60"/>
        <v>4.0500737190145282</v>
      </c>
      <c r="O314" s="35">
        <f t="shared" ca="1" si="66"/>
        <v>54.050073719014527</v>
      </c>
      <c r="P314" s="19">
        <f t="shared" ca="1" si="62"/>
        <v>54.050073719014527</v>
      </c>
      <c r="Q314" s="20">
        <f ca="1" xml:space="preserve"> P314*_Precio_cafe</f>
        <v>81.075110578521787</v>
      </c>
      <c r="R314" s="20">
        <f t="shared" ca="1" si="63"/>
        <v>42275.372031152037</v>
      </c>
      <c r="S314" s="20">
        <f ca="1">(1/A314)*((A314-1)*S313 +Q314)</f>
        <v>141.86366453406723</v>
      </c>
      <c r="T314" s="20">
        <f ca="1">IF((T313-P314+F314)&gt;_Max_Stock_Gramos,_Max_Stock_Gramos,T313-P314+F314)</f>
        <v>1575.5473570030506</v>
      </c>
      <c r="U314" s="20">
        <f ca="1">T314/_GramosXFrasco</f>
        <v>9.2679256294297101</v>
      </c>
      <c r="V314" s="58">
        <f ca="1">(T314/_Max_Stock_Gramos)</f>
        <v>0.92679256294297097</v>
      </c>
      <c r="W314" s="58"/>
      <c r="X314" s="10">
        <f ca="1">IF((T313-O314)&lt;0,(T313-O314)*_Costo_Faltante,0)</f>
        <v>0</v>
      </c>
      <c r="Y314">
        <f ca="1">IF(B314=0,E314*_Costo_Frasco,0)</f>
        <v>0</v>
      </c>
      <c r="Z314" s="11">
        <f t="shared" ca="1" si="64"/>
        <v>-42000</v>
      </c>
    </row>
    <row r="315" spans="1:26" x14ac:dyDescent="0.25">
      <c r="A315" s="30">
        <f t="shared" si="61"/>
        <v>299</v>
      </c>
      <c r="B315" s="10">
        <f>IF(B314=0,_Proxima_Compra,B314-1)</f>
        <v>1</v>
      </c>
      <c r="C315" s="3">
        <f t="shared" ca="1" si="54"/>
        <v>-1</v>
      </c>
      <c r="D315" s="3">
        <f ca="1">IF(D314&gt;0,D314-1,IF(C315&gt;0,LOOKUP(C315,$S$3:$S$5,$P$3:$P$5),-1))</f>
        <v>1</v>
      </c>
      <c r="E315" s="25">
        <f t="shared" ca="1" si="55"/>
        <v>0</v>
      </c>
      <c r="F315" s="28">
        <f ca="1">E315*_GramosXFrasco</f>
        <v>0</v>
      </c>
      <c r="G315" s="38">
        <f t="shared" ca="1" si="56"/>
        <v>0.58702862806771416</v>
      </c>
      <c r="H315" s="36">
        <f t="shared" ca="1" si="57"/>
        <v>0.85566762995861956</v>
      </c>
      <c r="I315" s="36">
        <f t="shared" ca="1" si="58"/>
        <v>7.173348361936116E-2</v>
      </c>
      <c r="J315" s="36">
        <f t="shared" ca="1" si="65"/>
        <v>1.1671513431240628</v>
      </c>
      <c r="K315" s="37">
        <f ca="1">IF(J315&lt;&gt;-1,_Media_M + J315*_Sigma,-1)</f>
        <v>92.507270146860947</v>
      </c>
      <c r="L315" s="3">
        <f t="shared" ca="1" si="59"/>
        <v>-1</v>
      </c>
      <c r="M315" s="18">
        <f ca="1">IF(LOOKUP(G315,$H$3:$H$4,$E$3:$E$4)=1,50,_Media_M + J315*_Sigma)</f>
        <v>92.507270146860947</v>
      </c>
      <c r="N315" s="36">
        <f t="shared" ca="1" si="60"/>
        <v>8.8283431637374008</v>
      </c>
      <c r="O315" s="35">
        <f t="shared" ca="1" si="66"/>
        <v>101.33561331059835</v>
      </c>
      <c r="P315" s="19">
        <f t="shared" ca="1" si="62"/>
        <v>101.33561331059835</v>
      </c>
      <c r="Q315" s="20">
        <f ca="1" xml:space="preserve"> P315*_Precio_cafe</f>
        <v>152.00341996589754</v>
      </c>
      <c r="R315" s="20">
        <f t="shared" ca="1" si="63"/>
        <v>42427.375451117936</v>
      </c>
      <c r="S315" s="20">
        <f ca="1">(1/A315)*((A315-1)*S314 +Q315)</f>
        <v>141.89757675959174</v>
      </c>
      <c r="T315" s="20">
        <f ca="1">IF((T314-P315+F315)&gt;_Max_Stock_Gramos,_Max_Stock_Gramos,T314-P315+F315)</f>
        <v>1474.2117436924523</v>
      </c>
      <c r="U315" s="20">
        <f ca="1">T315/_GramosXFrasco</f>
        <v>8.6718337864261894</v>
      </c>
      <c r="V315" s="58">
        <f ca="1">(T315/_Max_Stock_Gramos)</f>
        <v>0.86718337864261896</v>
      </c>
      <c r="W315" s="58"/>
      <c r="X315" s="10">
        <f ca="1">IF((T314-O315)&lt;0,(T314-O315)*_Costo_Faltante,0)</f>
        <v>0</v>
      </c>
      <c r="Y315">
        <f>IF(B315=0,E315*_Costo_Frasco,0)</f>
        <v>0</v>
      </c>
      <c r="Z315" s="11">
        <f t="shared" ca="1" si="64"/>
        <v>-42000</v>
      </c>
    </row>
    <row r="316" spans="1:26" x14ac:dyDescent="0.25">
      <c r="A316" s="30">
        <f t="shared" si="61"/>
        <v>300</v>
      </c>
      <c r="B316" s="10">
        <f>IF(B315=0,_Proxima_Compra,B315-1)</f>
        <v>0</v>
      </c>
      <c r="C316" s="3">
        <f t="shared" ca="1" si="54"/>
        <v>0.64582943022113382</v>
      </c>
      <c r="D316" s="3">
        <f ca="1">IF(D315&gt;0,D315-1,IF(C316&gt;0,LOOKUP(C316,$S$3:$S$5,$P$3:$P$5),-1))</f>
        <v>0</v>
      </c>
      <c r="E316" s="25">
        <f t="shared" ca="1" si="55"/>
        <v>2</v>
      </c>
      <c r="F316" s="28">
        <f ca="1">E316*_GramosXFrasco</f>
        <v>340</v>
      </c>
      <c r="G316" s="38">
        <f t="shared" ca="1" si="56"/>
        <v>0.74267267997667319</v>
      </c>
      <c r="H316" s="36">
        <f t="shared" ca="1" si="57"/>
        <v>0.35121960836236343</v>
      </c>
      <c r="I316" s="36">
        <f t="shared" ca="1" si="58"/>
        <v>5.1094193959092649E-2</v>
      </c>
      <c r="J316" s="36">
        <f t="shared" ca="1" si="65"/>
        <v>0.58170908818346945</v>
      </c>
      <c r="K316" s="37">
        <f ca="1">IF(J316&lt;&gt;-1,_Media_M + J316*_Sigma,-1)</f>
        <v>83.725636322752038</v>
      </c>
      <c r="L316" s="3">
        <f t="shared" ca="1" si="59"/>
        <v>-1</v>
      </c>
      <c r="M316" s="18">
        <f ca="1">IF(LOOKUP(G316,$H$3:$H$4,$E$3:$E$4)=1,50,_Media_M + J316*_Sigma)</f>
        <v>83.725636322752038</v>
      </c>
      <c r="N316" s="36">
        <f t="shared" ca="1" si="60"/>
        <v>130.30515141829963</v>
      </c>
      <c r="O316" s="35">
        <f t="shared" ca="1" si="66"/>
        <v>214.03078774105165</v>
      </c>
      <c r="P316" s="19">
        <f t="shared" ca="1" si="62"/>
        <v>214.03078774105165</v>
      </c>
      <c r="Q316" s="20">
        <f ca="1" xml:space="preserve"> P316*_Precio_cafe</f>
        <v>321.04618161157748</v>
      </c>
      <c r="R316" s="20">
        <f t="shared" ca="1" si="63"/>
        <v>42748.421632729514</v>
      </c>
      <c r="S316" s="20">
        <f ca="1">(1/A316)*((A316-1)*S315 +Q316)</f>
        <v>142.49473877576503</v>
      </c>
      <c r="T316" s="20">
        <f ca="1">IF((T315-P316+F316)&gt;_Max_Stock_Gramos,_Max_Stock_Gramos,T315-P316+F316)</f>
        <v>1600.1809559514006</v>
      </c>
      <c r="U316" s="20">
        <f ca="1">T316/_GramosXFrasco</f>
        <v>9.4128291526552985</v>
      </c>
      <c r="V316" s="58">
        <f ca="1">(T316/_Max_Stock_Gramos)</f>
        <v>0.94128291526552976</v>
      </c>
      <c r="W316" s="58"/>
      <c r="X316" s="10">
        <f ca="1">IF((T315-O316)&lt;0,(T315-O316)*_Costo_Faltante,0)</f>
        <v>0</v>
      </c>
      <c r="Y316">
        <f ca="1">IF(B316=0,E316*_Costo_Frasco,0)</f>
        <v>-500</v>
      </c>
      <c r="Z316" s="11">
        <f t="shared" ca="1" si="64"/>
        <v>-42500</v>
      </c>
    </row>
    <row r="317" spans="1:26" x14ac:dyDescent="0.25">
      <c r="A317" s="30">
        <f t="shared" si="61"/>
        <v>301</v>
      </c>
      <c r="B317" s="10">
        <f>IF(B316=0,_Proxima_Compra,B316-1)</f>
        <v>1</v>
      </c>
      <c r="C317" s="3">
        <f t="shared" ca="1" si="54"/>
        <v>-1</v>
      </c>
      <c r="D317" s="3">
        <f ca="1">IF(D316&gt;0,D316-1,IF(C317&gt;0,LOOKUP(C317,$S$3:$S$5,$P$3:$P$5),-1))</f>
        <v>-1</v>
      </c>
      <c r="E317" s="25">
        <f t="shared" ca="1" si="55"/>
        <v>0</v>
      </c>
      <c r="F317" s="28">
        <f ca="1">E317*_GramosXFrasco</f>
        <v>0</v>
      </c>
      <c r="G317" s="38">
        <f t="shared" ca="1" si="56"/>
        <v>0.49175475274528391</v>
      </c>
      <c r="H317" s="36">
        <f t="shared" ca="1" si="57"/>
        <v>-1</v>
      </c>
      <c r="I317" s="36">
        <f t="shared" ca="1" si="58"/>
        <v>-1</v>
      </c>
      <c r="J317" s="36">
        <f t="shared" ca="1" si="65"/>
        <v>-1</v>
      </c>
      <c r="K317" s="37">
        <f ca="1">IF(J317&lt;&gt;-1,_Media_M + J317*_Sigma,-1)</f>
        <v>-1</v>
      </c>
      <c r="L317" s="3">
        <f t="shared" ca="1" si="59"/>
        <v>50</v>
      </c>
      <c r="M317" s="18">
        <f ca="1">IF(LOOKUP(G317,$H$3:$H$4,$E$3:$E$4)=1,50,_Media_M + J317*_Sigma)</f>
        <v>50</v>
      </c>
      <c r="N317" s="36">
        <f t="shared" ca="1" si="60"/>
        <v>36.536849672881232</v>
      </c>
      <c r="O317" s="35">
        <f t="shared" ca="1" si="66"/>
        <v>86.536849672881232</v>
      </c>
      <c r="P317" s="19">
        <f t="shared" ca="1" si="62"/>
        <v>86.536849672881232</v>
      </c>
      <c r="Q317" s="20">
        <f ca="1" xml:space="preserve"> P317*_Precio_cafe</f>
        <v>129.80527450932186</v>
      </c>
      <c r="R317" s="20">
        <f t="shared" ca="1" si="63"/>
        <v>42878.226907238837</v>
      </c>
      <c r="S317" s="20">
        <f ca="1">(1/A317)*((A317-1)*S316 +Q317)</f>
        <v>142.45258108717221</v>
      </c>
      <c r="T317" s="20">
        <f ca="1">IF((T316-P317+F317)&gt;_Max_Stock_Gramos,_Max_Stock_Gramos,T316-P317+F317)</f>
        <v>1513.6441062785193</v>
      </c>
      <c r="U317" s="20">
        <f ca="1">T317/_GramosXFrasco</f>
        <v>8.9037888604618782</v>
      </c>
      <c r="V317" s="58">
        <f ca="1">(T317/_Max_Stock_Gramos)</f>
        <v>0.89037888604618787</v>
      </c>
      <c r="W317" s="58"/>
      <c r="X317" s="10">
        <f ca="1">IF((T316-O317)&lt;0,(T316-O317)*_Costo_Faltante,0)</f>
        <v>0</v>
      </c>
      <c r="Y317">
        <f>IF(B317=0,E317*_Costo_Frasco,0)</f>
        <v>0</v>
      </c>
      <c r="Z317" s="11">
        <f t="shared" ca="1" si="64"/>
        <v>-42500</v>
      </c>
    </row>
    <row r="318" spans="1:26" x14ac:dyDescent="0.25">
      <c r="A318" s="30">
        <f t="shared" si="61"/>
        <v>302</v>
      </c>
      <c r="B318" s="10">
        <f>IF(B317=0,_Proxima_Compra,B317-1)</f>
        <v>0</v>
      </c>
      <c r="C318" s="3">
        <f t="shared" ca="1" si="54"/>
        <v>0.84175284794916816</v>
      </c>
      <c r="D318" s="3">
        <f ca="1">IF(D317&gt;0,D317-1,IF(C318&gt;0,LOOKUP(C318,$S$3:$S$5,$P$3:$P$5),-1))</f>
        <v>2</v>
      </c>
      <c r="E318" s="25">
        <f t="shared" ca="1" si="55"/>
        <v>0</v>
      </c>
      <c r="F318" s="28">
        <f ca="1">E318*_GramosXFrasco</f>
        <v>0</v>
      </c>
      <c r="G318" s="38">
        <f t="shared" ca="1" si="56"/>
        <v>0.72968223232378793</v>
      </c>
      <c r="H318" s="36">
        <f t="shared" ca="1" si="57"/>
        <v>0.60645083180457238</v>
      </c>
      <c r="I318" s="36">
        <f t="shared" ca="1" si="58"/>
        <v>0.64701314189174497</v>
      </c>
      <c r="J318" s="36">
        <f t="shared" ca="1" si="65"/>
        <v>-0.5425779677058995</v>
      </c>
      <c r="K318" s="37">
        <f ca="1">IF(J318&lt;&gt;-1,_Media_M + J318*_Sigma,-1)</f>
        <v>66.861330484411511</v>
      </c>
      <c r="L318" s="3">
        <f t="shared" ca="1" si="59"/>
        <v>-1</v>
      </c>
      <c r="M318" s="18">
        <f ca="1">IF(LOOKUP(G318,$H$3:$H$4,$E$3:$E$4)=1,50,_Media_M + J318*_Sigma)</f>
        <v>66.861330484411511</v>
      </c>
      <c r="N318" s="36">
        <f t="shared" ca="1" si="60"/>
        <v>7.2803673853459845</v>
      </c>
      <c r="O318" s="35">
        <f t="shared" ca="1" si="66"/>
        <v>74.141697869757493</v>
      </c>
      <c r="P318" s="19">
        <f t="shared" ca="1" si="62"/>
        <v>74.141697869757493</v>
      </c>
      <c r="Q318" s="20">
        <f ca="1" xml:space="preserve"> P318*_Precio_cafe</f>
        <v>111.21254680463625</v>
      </c>
      <c r="R318" s="20">
        <f t="shared" ca="1" si="63"/>
        <v>42989.439454043473</v>
      </c>
      <c r="S318" s="20">
        <f ca="1">(1/A318)*((A318-1)*S317 +Q318)</f>
        <v>142.34913726504462</v>
      </c>
      <c r="T318" s="20">
        <f ca="1">IF((T317-P318+F318)&gt;_Max_Stock_Gramos,_Max_Stock_Gramos,T317-P318+F318)</f>
        <v>1439.5024084087618</v>
      </c>
      <c r="U318" s="20">
        <f ca="1">T318/_GramosXFrasco</f>
        <v>8.4676612259338935</v>
      </c>
      <c r="V318" s="58">
        <f ca="1">(T318/_Max_Stock_Gramos)</f>
        <v>0.84676612259338924</v>
      </c>
      <c r="W318" s="58"/>
      <c r="X318" s="10">
        <f ca="1">IF((T317-O318)&lt;0,(T317-O318)*_Costo_Faltante,0)</f>
        <v>0</v>
      </c>
      <c r="Y318">
        <f ca="1">IF(B318=0,E318*_Costo_Frasco,0)</f>
        <v>0</v>
      </c>
      <c r="Z318" s="11">
        <f t="shared" ca="1" si="64"/>
        <v>-42500</v>
      </c>
    </row>
    <row r="319" spans="1:26" x14ac:dyDescent="0.25">
      <c r="A319" s="30">
        <f t="shared" si="61"/>
        <v>303</v>
      </c>
      <c r="B319" s="10">
        <f>IF(B318=0,_Proxima_Compra,B318-1)</f>
        <v>1</v>
      </c>
      <c r="C319" s="3">
        <f t="shared" ca="1" si="54"/>
        <v>-1</v>
      </c>
      <c r="D319" s="3">
        <f ca="1">IF(D318&gt;0,D318-1,IF(C319&gt;0,LOOKUP(C319,$S$3:$S$5,$P$3:$P$5),-1))</f>
        <v>1</v>
      </c>
      <c r="E319" s="25">
        <f t="shared" ca="1" si="55"/>
        <v>0</v>
      </c>
      <c r="F319" s="28">
        <f ca="1">E319*_GramosXFrasco</f>
        <v>0</v>
      </c>
      <c r="G319" s="38">
        <f t="shared" ca="1" si="56"/>
        <v>0.70241096329980346</v>
      </c>
      <c r="H319" s="36">
        <f t="shared" ca="1" si="57"/>
        <v>0.56836906066324999</v>
      </c>
      <c r="I319" s="36">
        <f t="shared" ca="1" si="58"/>
        <v>0.78645823132952064</v>
      </c>
      <c r="J319" s="36">
        <f t="shared" ca="1" si="65"/>
        <v>0.19398359133698265</v>
      </c>
      <c r="K319" s="37">
        <f ca="1">IF(J319&lt;&gt;-1,_Media_M + J319*_Sigma,-1)</f>
        <v>77.909753870054743</v>
      </c>
      <c r="L319" s="3">
        <f t="shared" ca="1" si="59"/>
        <v>-1</v>
      </c>
      <c r="M319" s="18">
        <f ca="1">IF(LOOKUP(G319,$H$3:$H$4,$E$3:$E$4)=1,50,_Media_M + J319*_Sigma)</f>
        <v>77.909753870054743</v>
      </c>
      <c r="N319" s="36">
        <f t="shared" ca="1" si="60"/>
        <v>27.308072360837489</v>
      </c>
      <c r="O319" s="35">
        <f t="shared" ca="1" si="66"/>
        <v>105.21782623089223</v>
      </c>
      <c r="P319" s="19">
        <f t="shared" ca="1" si="62"/>
        <v>105.21782623089223</v>
      </c>
      <c r="Q319" s="20">
        <f ca="1" xml:space="preserve"> P319*_Precio_cafe</f>
        <v>157.82673934633834</v>
      </c>
      <c r="R319" s="20">
        <f t="shared" ca="1" si="63"/>
        <v>43147.266193389813</v>
      </c>
      <c r="S319" s="20">
        <f ca="1">(1/A319)*((A319-1)*S318 +Q319)</f>
        <v>142.40021846003239</v>
      </c>
      <c r="T319" s="20">
        <f ca="1">IF((T318-P319+F319)&gt;_Max_Stock_Gramos,_Max_Stock_Gramos,T318-P319+F319)</f>
        <v>1334.2845821778697</v>
      </c>
      <c r="U319" s="20">
        <f ca="1">T319/_GramosXFrasco</f>
        <v>7.8487328363404094</v>
      </c>
      <c r="V319" s="58">
        <f ca="1">(T319/_Max_Stock_Gramos)</f>
        <v>0.78487328363404096</v>
      </c>
      <c r="W319" s="58"/>
      <c r="X319" s="10">
        <f ca="1">IF((T318-O319)&lt;0,(T318-O319)*_Costo_Faltante,0)</f>
        <v>0</v>
      </c>
      <c r="Y319">
        <f>IF(B319=0,E319*_Costo_Frasco,0)</f>
        <v>0</v>
      </c>
      <c r="Z319" s="11">
        <f t="shared" ca="1" si="64"/>
        <v>-42500</v>
      </c>
    </row>
    <row r="320" spans="1:26" x14ac:dyDescent="0.25">
      <c r="A320" s="30">
        <f t="shared" si="61"/>
        <v>304</v>
      </c>
      <c r="B320" s="10">
        <f>IF(B319=0,_Proxima_Compra,B319-1)</f>
        <v>0</v>
      </c>
      <c r="C320" s="3">
        <f t="shared" ca="1" si="54"/>
        <v>0.75212182522542981</v>
      </c>
      <c r="D320" s="3">
        <f ca="1">IF(D319&gt;0,D319-1,IF(C320&gt;0,LOOKUP(C320,$S$3:$S$5,$P$3:$P$5),-1))</f>
        <v>0</v>
      </c>
      <c r="E320" s="25">
        <f t="shared" ca="1" si="55"/>
        <v>2</v>
      </c>
      <c r="F320" s="28">
        <f ca="1">E320*_GramosXFrasco</f>
        <v>340</v>
      </c>
      <c r="G320" s="38">
        <f t="shared" ca="1" si="56"/>
        <v>0.58053052062399446</v>
      </c>
      <c r="H320" s="36">
        <f t="shared" ca="1" si="57"/>
        <v>0.34346894490978697</v>
      </c>
      <c r="I320" s="36">
        <f t="shared" ca="1" si="58"/>
        <v>0.2067775744086614</v>
      </c>
      <c r="J320" s="36">
        <f t="shared" ca="1" si="65"/>
        <v>0.16217161529245641</v>
      </c>
      <c r="K320" s="37">
        <f ca="1">IF(J320&lt;&gt;-1,_Media_M + J320*_Sigma,-1)</f>
        <v>77.432574229386844</v>
      </c>
      <c r="L320" s="3">
        <f t="shared" ca="1" si="59"/>
        <v>-1</v>
      </c>
      <c r="M320" s="18">
        <f ca="1">IF(LOOKUP(G320,$H$3:$H$4,$E$3:$E$4)=1,50,_Media_M + J320*_Sigma)</f>
        <v>77.432574229386844</v>
      </c>
      <c r="N320" s="36">
        <f t="shared" ca="1" si="60"/>
        <v>28.612263264052693</v>
      </c>
      <c r="O320" s="35">
        <f t="shared" ca="1" si="66"/>
        <v>106.04483749343953</v>
      </c>
      <c r="P320" s="19">
        <f t="shared" ca="1" si="62"/>
        <v>106.04483749343953</v>
      </c>
      <c r="Q320" s="20">
        <f ca="1" xml:space="preserve"> P320*_Precio_cafe</f>
        <v>159.06725624015928</v>
      </c>
      <c r="R320" s="20">
        <f t="shared" ca="1" si="63"/>
        <v>43306.333449629972</v>
      </c>
      <c r="S320" s="20">
        <f ca="1">(1/A320)*((A320-1)*S319 +Q320)</f>
        <v>142.45504424220385</v>
      </c>
      <c r="T320" s="20">
        <f ca="1">IF((T319-P320+F320)&gt;_Max_Stock_Gramos,_Max_Stock_Gramos,T319-P320+F320)</f>
        <v>1568.2397446844302</v>
      </c>
      <c r="U320" s="20">
        <f ca="1">T320/_GramosXFrasco</f>
        <v>9.224939674614296</v>
      </c>
      <c r="V320" s="58">
        <f ca="1">(T320/_Max_Stock_Gramos)</f>
        <v>0.92249396746142953</v>
      </c>
      <c r="W320" s="58"/>
      <c r="X320" s="10">
        <f ca="1">IF((T319-O320)&lt;0,(T319-O320)*_Costo_Faltante,0)</f>
        <v>0</v>
      </c>
      <c r="Y320">
        <f ca="1">IF(B320=0,E320*_Costo_Frasco,0)</f>
        <v>-500</v>
      </c>
      <c r="Z320" s="11">
        <f t="shared" ca="1" si="64"/>
        <v>-43000</v>
      </c>
    </row>
    <row r="321" spans="1:26" x14ac:dyDescent="0.25">
      <c r="A321" s="30">
        <f t="shared" si="61"/>
        <v>305</v>
      </c>
      <c r="B321" s="10">
        <f>IF(B320=0,_Proxima_Compra,B320-1)</f>
        <v>1</v>
      </c>
      <c r="C321" s="3">
        <f t="shared" ca="1" si="54"/>
        <v>-1</v>
      </c>
      <c r="D321" s="3">
        <f ca="1">IF(D320&gt;0,D320-1,IF(C321&gt;0,LOOKUP(C321,$S$3:$S$5,$P$3:$P$5),-1))</f>
        <v>-1</v>
      </c>
      <c r="E321" s="25">
        <f t="shared" ca="1" si="55"/>
        <v>0</v>
      </c>
      <c r="F321" s="28">
        <f ca="1">E321*_GramosXFrasco</f>
        <v>0</v>
      </c>
      <c r="G321" s="38">
        <f t="shared" ca="1" si="56"/>
        <v>0.94825144469962208</v>
      </c>
      <c r="H321" s="36">
        <f t="shared" ca="1" si="57"/>
        <v>0.95739694319907342</v>
      </c>
      <c r="I321" s="36">
        <f t="shared" ca="1" si="58"/>
        <v>0.27069867576606721</v>
      </c>
      <c r="J321" s="36">
        <f t="shared" ca="1" si="65"/>
        <v>-0.21471449829578118</v>
      </c>
      <c r="K321" s="37">
        <f ca="1">IF(J321&lt;&gt;-1,_Media_M + J321*_Sigma,-1)</f>
        <v>71.779282525563289</v>
      </c>
      <c r="L321" s="3">
        <f t="shared" ca="1" si="59"/>
        <v>-1</v>
      </c>
      <c r="M321" s="18">
        <f ca="1">IF(LOOKUP(G321,$H$3:$H$4,$E$3:$E$4)=1,50,_Media_M + J321*_Sigma)</f>
        <v>71.779282525563289</v>
      </c>
      <c r="N321" s="36">
        <f t="shared" ca="1" si="60"/>
        <v>3.0218721800121262</v>
      </c>
      <c r="O321" s="35">
        <f t="shared" ca="1" si="66"/>
        <v>74.801154705575414</v>
      </c>
      <c r="P321" s="19">
        <f t="shared" ca="1" si="62"/>
        <v>74.801154705575414</v>
      </c>
      <c r="Q321" s="20">
        <f ca="1" xml:space="preserve"> P321*_Precio_cafe</f>
        <v>112.20173205836312</v>
      </c>
      <c r="R321" s="20">
        <f t="shared" ca="1" si="63"/>
        <v>43418.535181688334</v>
      </c>
      <c r="S321" s="20">
        <f ca="1">(1/A321)*((A321-1)*S320 +Q321)</f>
        <v>142.35585305471585</v>
      </c>
      <c r="T321" s="20">
        <f ca="1">IF((T320-P321+F321)&gt;_Max_Stock_Gramos,_Max_Stock_Gramos,T320-P321+F321)</f>
        <v>1493.4385899788549</v>
      </c>
      <c r="U321" s="20">
        <f ca="1">T321/_GramosXFrasco</f>
        <v>8.7849328822285582</v>
      </c>
      <c r="V321" s="58">
        <f ca="1">(T321/_Max_Stock_Gramos)</f>
        <v>0.87849328822285577</v>
      </c>
      <c r="W321" s="58"/>
      <c r="X321" s="10">
        <f ca="1">IF((T320-O321)&lt;0,(T320-O321)*_Costo_Faltante,0)</f>
        <v>0</v>
      </c>
      <c r="Y321">
        <f>IF(B321=0,E321*_Costo_Frasco,0)</f>
        <v>0</v>
      </c>
      <c r="Z321" s="11">
        <f t="shared" ca="1" si="64"/>
        <v>-43000</v>
      </c>
    </row>
    <row r="322" spans="1:26" x14ac:dyDescent="0.25">
      <c r="A322" s="30">
        <f t="shared" si="61"/>
        <v>306</v>
      </c>
      <c r="B322" s="10">
        <f>IF(B321=0,_Proxima_Compra,B321-1)</f>
        <v>0</v>
      </c>
      <c r="C322" s="3">
        <f t="shared" ca="1" si="54"/>
        <v>0.32212364432329932</v>
      </c>
      <c r="D322" s="3">
        <f ca="1">IF(D321&gt;0,D321-1,IF(C322&gt;0,LOOKUP(C322,$S$3:$S$5,$P$3:$P$5),-1))</f>
        <v>0</v>
      </c>
      <c r="E322" s="25">
        <f t="shared" ca="1" si="55"/>
        <v>2</v>
      </c>
      <c r="F322" s="28">
        <f ca="1">E322*_GramosXFrasco</f>
        <v>340</v>
      </c>
      <c r="G322" s="38">
        <f t="shared" ca="1" si="56"/>
        <v>0.6716860770088805</v>
      </c>
      <c r="H322" s="36">
        <f t="shared" ca="1" si="57"/>
        <v>0.98143957707567686</v>
      </c>
      <c r="I322" s="36">
        <f t="shared" ca="1" si="58"/>
        <v>0.19923432799922602</v>
      </c>
      <c r="J322" s="36">
        <f t="shared" ca="1" si="65"/>
        <v>0.58354690316556734</v>
      </c>
      <c r="K322" s="37">
        <f ca="1">IF(J322&lt;&gt;-1,_Media_M + J322*_Sigma,-1)</f>
        <v>83.753203547483508</v>
      </c>
      <c r="L322" s="3">
        <f t="shared" ca="1" si="59"/>
        <v>-1</v>
      </c>
      <c r="M322" s="18">
        <f ca="1">IF(LOOKUP(G322,$H$3:$H$4,$E$3:$E$4)=1,50,_Media_M + J322*_Sigma)</f>
        <v>83.753203547483508</v>
      </c>
      <c r="N322" s="36">
        <f t="shared" ca="1" si="60"/>
        <v>4.7166360289953424</v>
      </c>
      <c r="O322" s="35">
        <f t="shared" ca="1" si="66"/>
        <v>88.469839576478847</v>
      </c>
      <c r="P322" s="19">
        <f t="shared" ca="1" si="62"/>
        <v>88.469839576478847</v>
      </c>
      <c r="Q322" s="20">
        <f ca="1" xml:space="preserve"> P322*_Precio_cafe</f>
        <v>132.70475936471826</v>
      </c>
      <c r="R322" s="20">
        <f t="shared" ca="1" si="63"/>
        <v>43551.239941053049</v>
      </c>
      <c r="S322" s="20">
        <f ca="1">(1/A322)*((A322-1)*S321 +Q322)</f>
        <v>142.3243135328531</v>
      </c>
      <c r="T322" s="20">
        <f ca="1">IF((T321-P322+F322)&gt;_Max_Stock_Gramos,_Max_Stock_Gramos,T321-P322+F322)</f>
        <v>1700</v>
      </c>
      <c r="U322" s="20">
        <f ca="1">T322/_GramosXFrasco</f>
        <v>10</v>
      </c>
      <c r="V322" s="58">
        <f ca="1">(T322/_Max_Stock_Gramos)</f>
        <v>1</v>
      </c>
      <c r="W322" s="58"/>
      <c r="X322" s="10">
        <f ca="1">IF((T321-O322)&lt;0,(T321-O322)*_Costo_Faltante,0)</f>
        <v>0</v>
      </c>
      <c r="Y322">
        <f ca="1">IF(B322=0,E322*_Costo_Frasco,0)</f>
        <v>-500</v>
      </c>
      <c r="Z322" s="11">
        <f t="shared" ca="1" si="64"/>
        <v>-43500</v>
      </c>
    </row>
    <row r="323" spans="1:26" x14ac:dyDescent="0.25">
      <c r="A323" s="30">
        <f t="shared" si="61"/>
        <v>307</v>
      </c>
      <c r="B323" s="10">
        <f>IF(B322=0,_Proxima_Compra,B322-1)</f>
        <v>1</v>
      </c>
      <c r="C323" s="3">
        <f t="shared" ca="1" si="54"/>
        <v>-1</v>
      </c>
      <c r="D323" s="3">
        <f ca="1">IF(D322&gt;0,D322-1,IF(C323&gt;0,LOOKUP(C323,$S$3:$S$5,$P$3:$P$5),-1))</f>
        <v>-1</v>
      </c>
      <c r="E323" s="25">
        <f t="shared" ca="1" si="55"/>
        <v>0</v>
      </c>
      <c r="F323" s="28">
        <f ca="1">E323*_GramosXFrasco</f>
        <v>0</v>
      </c>
      <c r="G323" s="38">
        <f t="shared" ca="1" si="56"/>
        <v>0.33931633441108544</v>
      </c>
      <c r="H323" s="36">
        <f t="shared" ca="1" si="57"/>
        <v>-1</v>
      </c>
      <c r="I323" s="36">
        <f t="shared" ca="1" si="58"/>
        <v>-1</v>
      </c>
      <c r="J323" s="36">
        <f t="shared" ca="1" si="65"/>
        <v>-1</v>
      </c>
      <c r="K323" s="37">
        <f ca="1">IF(J323&lt;&gt;-1,_Media_M + J323*_Sigma,-1)</f>
        <v>-1</v>
      </c>
      <c r="L323" s="3">
        <f t="shared" ca="1" si="59"/>
        <v>50</v>
      </c>
      <c r="M323" s="18">
        <f ca="1">IF(LOOKUP(G323,$H$3:$H$4,$E$3:$E$4)=1,50,_Media_M + J323*_Sigma)</f>
        <v>50</v>
      </c>
      <c r="N323" s="36">
        <f t="shared" ca="1" si="60"/>
        <v>2.7172084358322048</v>
      </c>
      <c r="O323" s="35">
        <f t="shared" ca="1" si="66"/>
        <v>52.717208435832205</v>
      </c>
      <c r="P323" s="19">
        <f t="shared" ca="1" si="62"/>
        <v>52.717208435832205</v>
      </c>
      <c r="Q323" s="20">
        <f ca="1" xml:space="preserve"> P323*_Precio_cafe</f>
        <v>79.075812653748301</v>
      </c>
      <c r="R323" s="20">
        <f t="shared" ca="1" si="63"/>
        <v>43630.315753706796</v>
      </c>
      <c r="S323" s="20">
        <f ca="1">(1/A323)*((A323-1)*S322 +Q323)</f>
        <v>142.11829235735112</v>
      </c>
      <c r="T323" s="20">
        <f ca="1">IF((T322-P323+F323)&gt;_Max_Stock_Gramos,_Max_Stock_Gramos,T322-P323+F323)</f>
        <v>1647.2827915641678</v>
      </c>
      <c r="U323" s="20">
        <f ca="1">T323/_GramosXFrasco</f>
        <v>9.6898987739068705</v>
      </c>
      <c r="V323" s="58">
        <f ca="1">(T323/_Max_Stock_Gramos)</f>
        <v>0.96898987739068698</v>
      </c>
      <c r="W323" s="58"/>
      <c r="X323" s="10">
        <f ca="1">IF((T322-O323)&lt;0,(T322-O323)*_Costo_Faltante,0)</f>
        <v>0</v>
      </c>
      <c r="Y323">
        <f>IF(B323=0,E323*_Costo_Frasco,0)</f>
        <v>0</v>
      </c>
      <c r="Z323" s="11">
        <f t="shared" ca="1" si="64"/>
        <v>-43500</v>
      </c>
    </row>
    <row r="324" spans="1:26" x14ac:dyDescent="0.25">
      <c r="A324" s="30">
        <f t="shared" si="61"/>
        <v>308</v>
      </c>
      <c r="B324" s="10">
        <f>IF(B323=0,_Proxima_Compra,B323-1)</f>
        <v>0</v>
      </c>
      <c r="C324" s="3">
        <f t="shared" ca="1" si="54"/>
        <v>0.17374732098371148</v>
      </c>
      <c r="D324" s="3">
        <f ca="1">IF(D323&gt;0,D323-1,IF(C324&gt;0,LOOKUP(C324,$S$3:$S$5,$P$3:$P$5),-1))</f>
        <v>0</v>
      </c>
      <c r="E324" s="25">
        <f t="shared" ca="1" si="55"/>
        <v>2</v>
      </c>
      <c r="F324" s="28">
        <f ca="1">E324*_GramosXFrasco</f>
        <v>340</v>
      </c>
      <c r="G324" s="38">
        <f t="shared" ca="1" si="56"/>
        <v>0.28820533967832906</v>
      </c>
      <c r="H324" s="36">
        <f t="shared" ca="1" si="57"/>
        <v>-1</v>
      </c>
      <c r="I324" s="36">
        <f t="shared" ca="1" si="58"/>
        <v>-1</v>
      </c>
      <c r="J324" s="36">
        <f t="shared" ca="1" si="65"/>
        <v>-1</v>
      </c>
      <c r="K324" s="37">
        <f ca="1">IF(J324&lt;&gt;-1,_Media_M + J324*_Sigma,-1)</f>
        <v>-1</v>
      </c>
      <c r="L324" s="3">
        <f t="shared" ca="1" si="59"/>
        <v>50</v>
      </c>
      <c r="M324" s="18">
        <f ca="1">IF(LOOKUP(G324,$H$3:$H$4,$E$3:$E$4)=1,50,_Media_M + J324*_Sigma)</f>
        <v>50</v>
      </c>
      <c r="N324" s="36">
        <f t="shared" ca="1" si="60"/>
        <v>41.943753857829897</v>
      </c>
      <c r="O324" s="35">
        <f t="shared" ca="1" si="66"/>
        <v>91.943753857829904</v>
      </c>
      <c r="P324" s="19">
        <f t="shared" ca="1" si="62"/>
        <v>91.943753857829904</v>
      </c>
      <c r="Q324" s="20">
        <f ca="1" xml:space="preserve"> P324*_Precio_cafe</f>
        <v>137.91563078674486</v>
      </c>
      <c r="R324" s="20">
        <f t="shared" ca="1" si="63"/>
        <v>43768.231384493542</v>
      </c>
      <c r="S324" s="20">
        <f ca="1">(1/A324)*((A324-1)*S323 +Q324)</f>
        <v>142.10464735225176</v>
      </c>
      <c r="T324" s="20">
        <f ca="1">IF((T323-P324+F324)&gt;_Max_Stock_Gramos,_Max_Stock_Gramos,T323-P324+F324)</f>
        <v>1700</v>
      </c>
      <c r="U324" s="20">
        <f ca="1">T324/_GramosXFrasco</f>
        <v>10</v>
      </c>
      <c r="V324" s="58">
        <f ca="1">(T324/_Max_Stock_Gramos)</f>
        <v>1</v>
      </c>
      <c r="W324" s="58"/>
      <c r="X324" s="10">
        <f ca="1">IF((T323-O324)&lt;0,(T323-O324)*_Costo_Faltante,0)</f>
        <v>0</v>
      </c>
      <c r="Y324">
        <f ca="1">IF(B324=0,E324*_Costo_Frasco,0)</f>
        <v>-500</v>
      </c>
      <c r="Z324" s="11">
        <f t="shared" ca="1" si="64"/>
        <v>-44000</v>
      </c>
    </row>
    <row r="325" spans="1:26" x14ac:dyDescent="0.25">
      <c r="A325" s="30">
        <f t="shared" si="61"/>
        <v>309</v>
      </c>
      <c r="B325" s="10">
        <f>IF(B324=0,_Proxima_Compra,B324-1)</f>
        <v>1</v>
      </c>
      <c r="C325" s="3">
        <f t="shared" ca="1" si="54"/>
        <v>-1</v>
      </c>
      <c r="D325" s="3">
        <f ca="1">IF(D324&gt;0,D324-1,IF(C325&gt;0,LOOKUP(C325,$S$3:$S$5,$P$3:$P$5),-1))</f>
        <v>-1</v>
      </c>
      <c r="E325" s="25">
        <f t="shared" ca="1" si="55"/>
        <v>0</v>
      </c>
      <c r="F325" s="28">
        <f ca="1">E325*_GramosXFrasco</f>
        <v>0</v>
      </c>
      <c r="G325" s="38">
        <f t="shared" ca="1" si="56"/>
        <v>0.65031242681388735</v>
      </c>
      <c r="H325" s="36">
        <f t="shared" ca="1" si="57"/>
        <v>0.33650830518333974</v>
      </c>
      <c r="I325" s="36">
        <f t="shared" ca="1" si="58"/>
        <v>0.42044853746521194</v>
      </c>
      <c r="J325" s="36">
        <f t="shared" ca="1" si="65"/>
        <v>-0.52390476106061779</v>
      </c>
      <c r="K325" s="37">
        <f ca="1">IF(J325&lt;&gt;-1,_Media_M + J325*_Sigma,-1)</f>
        <v>67.141428584090733</v>
      </c>
      <c r="L325" s="3">
        <f t="shared" ca="1" si="59"/>
        <v>-1</v>
      </c>
      <c r="M325" s="18">
        <f ca="1">IF(LOOKUP(G325,$H$3:$H$4,$E$3:$E$4)=1,50,_Media_M + J325*_Sigma)</f>
        <v>67.141428584090733</v>
      </c>
      <c r="N325" s="36">
        <f t="shared" ca="1" si="60"/>
        <v>2.506997323978748</v>
      </c>
      <c r="O325" s="35">
        <f t="shared" ca="1" si="66"/>
        <v>69.648425908069484</v>
      </c>
      <c r="P325" s="19">
        <f t="shared" ca="1" si="62"/>
        <v>69.648425908069484</v>
      </c>
      <c r="Q325" s="20">
        <f ca="1" xml:space="preserve"> P325*_Precio_cafe</f>
        <v>104.47263886210422</v>
      </c>
      <c r="R325" s="20">
        <f t="shared" ca="1" si="63"/>
        <v>43872.704023355647</v>
      </c>
      <c r="S325" s="20">
        <f ca="1">(1/A325)*((A325-1)*S324 +Q325)</f>
        <v>141.98286091700857</v>
      </c>
      <c r="T325" s="20">
        <f ca="1">IF((T324-P325+F325)&gt;_Max_Stock_Gramos,_Max_Stock_Gramos,T324-P325+F325)</f>
        <v>1630.3515740919306</v>
      </c>
      <c r="U325" s="20">
        <f ca="1">T325/_GramosXFrasco</f>
        <v>9.5903033770113559</v>
      </c>
      <c r="V325" s="58">
        <f ca="1">(T325/_Max_Stock_Gramos)</f>
        <v>0.95903033770113566</v>
      </c>
      <c r="W325" s="58"/>
      <c r="X325" s="10">
        <f ca="1">IF((T324-O325)&lt;0,(T324-O325)*_Costo_Faltante,0)</f>
        <v>0</v>
      </c>
      <c r="Y325">
        <f>IF(B325=0,E325*_Costo_Frasco,0)</f>
        <v>0</v>
      </c>
      <c r="Z325" s="11">
        <f t="shared" ca="1" si="64"/>
        <v>-44000</v>
      </c>
    </row>
    <row r="326" spans="1:26" x14ac:dyDescent="0.25">
      <c r="A326" s="30">
        <f t="shared" si="61"/>
        <v>310</v>
      </c>
      <c r="B326" s="10">
        <f>IF(B325=0,_Proxima_Compra,B325-1)</f>
        <v>0</v>
      </c>
      <c r="C326" s="3">
        <f t="shared" ca="1" si="54"/>
        <v>0.29073068637856525</v>
      </c>
      <c r="D326" s="3">
        <f ca="1">IF(D325&gt;0,D325-1,IF(C326&gt;0,LOOKUP(C326,$S$3:$S$5,$P$3:$P$5),-1))</f>
        <v>0</v>
      </c>
      <c r="E326" s="25">
        <f t="shared" ca="1" si="55"/>
        <v>2</v>
      </c>
      <c r="F326" s="28">
        <f ca="1">E326*_GramosXFrasco</f>
        <v>340</v>
      </c>
      <c r="G326" s="38">
        <f t="shared" ca="1" si="56"/>
        <v>0.57167308743395406</v>
      </c>
      <c r="H326" s="36">
        <f t="shared" ca="1" si="57"/>
        <v>0.27561837808025713</v>
      </c>
      <c r="I326" s="36">
        <f t="shared" ca="1" si="58"/>
        <v>0.73567685263684313</v>
      </c>
      <c r="J326" s="36">
        <f t="shared" ca="1" si="65"/>
        <v>-4.7562149718030244E-2</v>
      </c>
      <c r="K326" s="37">
        <f ca="1">IF(J326&lt;&gt;-1,_Media_M + J326*_Sigma,-1)</f>
        <v>74.286567754229551</v>
      </c>
      <c r="L326" s="3">
        <f t="shared" ca="1" si="59"/>
        <v>-1</v>
      </c>
      <c r="M326" s="18">
        <f ca="1">IF(LOOKUP(G326,$H$3:$H$4,$E$3:$E$4)=1,50,_Media_M + J326*_Sigma)</f>
        <v>74.286567754229551</v>
      </c>
      <c r="N326" s="36">
        <f t="shared" ca="1" si="60"/>
        <v>42.921052308881393</v>
      </c>
      <c r="O326" s="35">
        <f t="shared" ca="1" si="66"/>
        <v>117.20762006311094</v>
      </c>
      <c r="P326" s="19">
        <f t="shared" ca="1" si="62"/>
        <v>117.20762006311094</v>
      </c>
      <c r="Q326" s="20">
        <f ca="1" xml:space="preserve"> P326*_Precio_cafe</f>
        <v>175.81143009466641</v>
      </c>
      <c r="R326" s="20">
        <f t="shared" ca="1" si="63"/>
        <v>44048.515453450316</v>
      </c>
      <c r="S326" s="20">
        <f ca="1">(1/A326)*((A326-1)*S325 +Q326)</f>
        <v>142.09198533371071</v>
      </c>
      <c r="T326" s="20">
        <f ca="1">IF((T325-P326+F326)&gt;_Max_Stock_Gramos,_Max_Stock_Gramos,T325-P326+F326)</f>
        <v>1700</v>
      </c>
      <c r="U326" s="20">
        <f ca="1">T326/_GramosXFrasco</f>
        <v>10</v>
      </c>
      <c r="V326" s="58">
        <f ca="1">(T326/_Max_Stock_Gramos)</f>
        <v>1</v>
      </c>
      <c r="W326" s="58"/>
      <c r="X326" s="10">
        <f ca="1">IF((T325-O326)&lt;0,(T325-O326)*_Costo_Faltante,0)</f>
        <v>0</v>
      </c>
      <c r="Y326">
        <f ca="1">IF(B326=0,E326*_Costo_Frasco,0)</f>
        <v>-500</v>
      </c>
      <c r="Z326" s="11">
        <f t="shared" ca="1" si="64"/>
        <v>-44500</v>
      </c>
    </row>
    <row r="327" spans="1:26" x14ac:dyDescent="0.25">
      <c r="A327" s="30">
        <f t="shared" si="61"/>
        <v>311</v>
      </c>
      <c r="B327" s="10">
        <f>IF(B326=0,_Proxima_Compra,B326-1)</f>
        <v>1</v>
      </c>
      <c r="C327" s="3">
        <f t="shared" ca="1" si="54"/>
        <v>-1</v>
      </c>
      <c r="D327" s="3">
        <f ca="1">IF(D326&gt;0,D326-1,IF(C327&gt;0,LOOKUP(C327,$S$3:$S$5,$P$3:$P$5),-1))</f>
        <v>-1</v>
      </c>
      <c r="E327" s="25">
        <f t="shared" ca="1" si="55"/>
        <v>0</v>
      </c>
      <c r="F327" s="28">
        <f ca="1">E327*_GramosXFrasco</f>
        <v>0</v>
      </c>
      <c r="G327" s="38">
        <f t="shared" ca="1" si="56"/>
        <v>0.48013907911781795</v>
      </c>
      <c r="H327" s="36">
        <f t="shared" ca="1" si="57"/>
        <v>-1</v>
      </c>
      <c r="I327" s="36">
        <f t="shared" ca="1" si="58"/>
        <v>-1</v>
      </c>
      <c r="J327" s="36">
        <f t="shared" ca="1" si="65"/>
        <v>-1</v>
      </c>
      <c r="K327" s="37">
        <f ca="1">IF(J327&lt;&gt;-1,_Media_M + J327*_Sigma,-1)</f>
        <v>-1</v>
      </c>
      <c r="L327" s="3">
        <f t="shared" ca="1" si="59"/>
        <v>50</v>
      </c>
      <c r="M327" s="18">
        <f ca="1">IF(LOOKUP(G327,$H$3:$H$4,$E$3:$E$4)=1,50,_Media_M + J327*_Sigma)</f>
        <v>50</v>
      </c>
      <c r="N327" s="36">
        <f t="shared" ca="1" si="60"/>
        <v>22.694642232849603</v>
      </c>
      <c r="O327" s="35">
        <f t="shared" ca="1" si="66"/>
        <v>72.694642232849603</v>
      </c>
      <c r="P327" s="19">
        <f t="shared" ca="1" si="62"/>
        <v>72.694642232849603</v>
      </c>
      <c r="Q327" s="20">
        <f ca="1" xml:space="preserve"> P327*_Precio_cafe</f>
        <v>109.0419633492744</v>
      </c>
      <c r="R327" s="20">
        <f t="shared" ca="1" si="63"/>
        <v>44157.557416799587</v>
      </c>
      <c r="S327" s="20">
        <f ca="1">(1/A327)*((A327-1)*S326 +Q327)</f>
        <v>141.98571516655818</v>
      </c>
      <c r="T327" s="20">
        <f ca="1">IF((T326-P327+F327)&gt;_Max_Stock_Gramos,_Max_Stock_Gramos,T326-P327+F327)</f>
        <v>1627.3053577671503</v>
      </c>
      <c r="U327" s="20">
        <f ca="1">T327/_GramosXFrasco</f>
        <v>9.5723844574538255</v>
      </c>
      <c r="V327" s="58">
        <f ca="1">(T327/_Max_Stock_Gramos)</f>
        <v>0.95723844574538253</v>
      </c>
      <c r="W327" s="58"/>
      <c r="X327" s="10">
        <f ca="1">IF((T326-O327)&lt;0,(T326-O327)*_Costo_Faltante,0)</f>
        <v>0</v>
      </c>
      <c r="Y327">
        <f>IF(B327=0,E327*_Costo_Frasco,0)</f>
        <v>0</v>
      </c>
      <c r="Z327" s="11">
        <f t="shared" ca="1" si="64"/>
        <v>-44500</v>
      </c>
    </row>
    <row r="328" spans="1:26" x14ac:dyDescent="0.25">
      <c r="A328" s="30">
        <f t="shared" si="61"/>
        <v>312</v>
      </c>
      <c r="B328" s="10">
        <f>IF(B327=0,_Proxima_Compra,B327-1)</f>
        <v>0</v>
      </c>
      <c r="C328" s="3">
        <f t="shared" ca="1" si="54"/>
        <v>0.10782426478654916</v>
      </c>
      <c r="D328" s="3">
        <f ca="1">IF(D327&gt;0,D327-1,IF(C328&gt;0,LOOKUP(C328,$S$3:$S$5,$P$3:$P$5),-1))</f>
        <v>0</v>
      </c>
      <c r="E328" s="25">
        <f t="shared" ca="1" si="55"/>
        <v>2</v>
      </c>
      <c r="F328" s="28">
        <f ca="1">E328*_GramosXFrasco</f>
        <v>340</v>
      </c>
      <c r="G328" s="38">
        <f t="shared" ca="1" si="56"/>
        <v>0.79069803815199857</v>
      </c>
      <c r="H328" s="36">
        <f t="shared" ca="1" si="57"/>
        <v>0.38056465170074616</v>
      </c>
      <c r="I328" s="36">
        <f t="shared" ca="1" si="58"/>
        <v>0.68914875950690946</v>
      </c>
      <c r="J328" s="36">
        <f t="shared" ca="1" si="65"/>
        <v>-0.24063954470404003</v>
      </c>
      <c r="K328" s="37">
        <f ca="1">IF(J328&lt;&gt;-1,_Media_M + J328*_Sigma,-1)</f>
        <v>71.390406829439399</v>
      </c>
      <c r="L328" s="3">
        <f t="shared" ca="1" si="59"/>
        <v>-1</v>
      </c>
      <c r="M328" s="18">
        <f ca="1">IF(LOOKUP(G328,$H$3:$H$4,$E$3:$E$4)=1,50,_Media_M + J328*_Sigma)</f>
        <v>71.390406829439399</v>
      </c>
      <c r="N328" s="36">
        <f t="shared" ca="1" si="60"/>
        <v>3.8030791955450614</v>
      </c>
      <c r="O328" s="35">
        <f t="shared" ca="1" si="66"/>
        <v>75.193486024984466</v>
      </c>
      <c r="P328" s="19">
        <f t="shared" ca="1" si="62"/>
        <v>75.193486024984466</v>
      </c>
      <c r="Q328" s="20">
        <f ca="1" xml:space="preserve"> P328*_Precio_cafe</f>
        <v>112.79022903747671</v>
      </c>
      <c r="R328" s="20">
        <f t="shared" ca="1" si="63"/>
        <v>44270.347645837064</v>
      </c>
      <c r="S328" s="20">
        <f ca="1">(1/A328)*((A328-1)*S327 +Q328)</f>
        <v>141.89213989050342</v>
      </c>
      <c r="T328" s="20">
        <f ca="1">IF((T327-P328+F328)&gt;_Max_Stock_Gramos,_Max_Stock_Gramos,T327-P328+F328)</f>
        <v>1700</v>
      </c>
      <c r="U328" s="20">
        <f ca="1">T328/_GramosXFrasco</f>
        <v>10</v>
      </c>
      <c r="V328" s="58">
        <f ca="1">(T328/_Max_Stock_Gramos)</f>
        <v>1</v>
      </c>
      <c r="W328" s="58"/>
      <c r="X328" s="10">
        <f ca="1">IF((T327-O328)&lt;0,(T327-O328)*_Costo_Faltante,0)</f>
        <v>0</v>
      </c>
      <c r="Y328">
        <f ca="1">IF(B328=0,E328*_Costo_Frasco,0)</f>
        <v>-500</v>
      </c>
      <c r="Z328" s="11">
        <f t="shared" ca="1" si="64"/>
        <v>-45000</v>
      </c>
    </row>
    <row r="329" spans="1:26" x14ac:dyDescent="0.25">
      <c r="A329" s="30">
        <f t="shared" si="61"/>
        <v>313</v>
      </c>
      <c r="B329" s="10">
        <f>IF(B328=0,_Proxima_Compra,B328-1)</f>
        <v>1</v>
      </c>
      <c r="C329" s="3">
        <f t="shared" ca="1" si="54"/>
        <v>-1</v>
      </c>
      <c r="D329" s="3">
        <f ca="1">IF(D328&gt;0,D328-1,IF(C329&gt;0,LOOKUP(C329,$S$3:$S$5,$P$3:$P$5),-1))</f>
        <v>-1</v>
      </c>
      <c r="E329" s="25">
        <f t="shared" ca="1" si="55"/>
        <v>0</v>
      </c>
      <c r="F329" s="28">
        <f ca="1">E329*_GramosXFrasco</f>
        <v>0</v>
      </c>
      <c r="G329" s="38">
        <f t="shared" ca="1" si="56"/>
        <v>4.5767067079996004E-2</v>
      </c>
      <c r="H329" s="36">
        <f t="shared" ca="1" si="57"/>
        <v>-1</v>
      </c>
      <c r="I329" s="36">
        <f t="shared" ca="1" si="58"/>
        <v>-1</v>
      </c>
      <c r="J329" s="36">
        <f t="shared" ca="1" si="65"/>
        <v>-1</v>
      </c>
      <c r="K329" s="37">
        <f ca="1">IF(J329&lt;&gt;-1,_Media_M + J329*_Sigma,-1)</f>
        <v>-1</v>
      </c>
      <c r="L329" s="3">
        <f t="shared" ca="1" si="59"/>
        <v>50</v>
      </c>
      <c r="M329" s="18">
        <f ca="1">IF(LOOKUP(G329,$H$3:$H$4,$E$3:$E$4)=1,50,_Media_M + J329*_Sigma)</f>
        <v>50</v>
      </c>
      <c r="N329" s="36">
        <f t="shared" ca="1" si="60"/>
        <v>32.001795233868847</v>
      </c>
      <c r="O329" s="35">
        <f t="shared" ca="1" si="66"/>
        <v>82.001795233868847</v>
      </c>
      <c r="P329" s="19">
        <f t="shared" ca="1" si="62"/>
        <v>82.001795233868847</v>
      </c>
      <c r="Q329" s="20">
        <f ca="1" xml:space="preserve"> P329*_Precio_cafe</f>
        <v>123.00269285080327</v>
      </c>
      <c r="R329" s="20">
        <f t="shared" ca="1" si="63"/>
        <v>44393.350338687866</v>
      </c>
      <c r="S329" s="20">
        <f ca="1">(1/A329)*((A329-1)*S328 +Q329)</f>
        <v>141.83179021945006</v>
      </c>
      <c r="T329" s="20">
        <f ca="1">IF((T328-P329+F329)&gt;_Max_Stock_Gramos,_Max_Stock_Gramos,T328-P329+F329)</f>
        <v>1617.998204766131</v>
      </c>
      <c r="U329" s="20">
        <f ca="1">T329/_GramosXFrasco</f>
        <v>9.5176364986243005</v>
      </c>
      <c r="V329" s="58">
        <f ca="1">(T329/_Max_Stock_Gramos)</f>
        <v>0.95176364986243001</v>
      </c>
      <c r="W329" s="58"/>
      <c r="X329" s="10">
        <f ca="1">IF((T328-O329)&lt;0,(T328-O329)*_Costo_Faltante,0)</f>
        <v>0</v>
      </c>
      <c r="Y329">
        <f>IF(B329=0,E329*_Costo_Frasco,0)</f>
        <v>0</v>
      </c>
      <c r="Z329" s="11">
        <f t="shared" ca="1" si="64"/>
        <v>-45000</v>
      </c>
    </row>
    <row r="330" spans="1:26" x14ac:dyDescent="0.25">
      <c r="A330" s="30">
        <f t="shared" si="61"/>
        <v>314</v>
      </c>
      <c r="B330" s="10">
        <f>IF(B329=0,_Proxima_Compra,B329-1)</f>
        <v>0</v>
      </c>
      <c r="C330" s="3">
        <f t="shared" ca="1" si="54"/>
        <v>0.72269735407427937</v>
      </c>
      <c r="D330" s="3">
        <f ca="1">IF(D329&gt;0,D329-1,IF(C330&gt;0,LOOKUP(C330,$S$3:$S$5,$P$3:$P$5),-1))</f>
        <v>1</v>
      </c>
      <c r="E330" s="25">
        <f t="shared" ca="1" si="55"/>
        <v>0</v>
      </c>
      <c r="F330" s="28">
        <f ca="1">E330*_GramosXFrasco</f>
        <v>0</v>
      </c>
      <c r="G330" s="38">
        <f t="shared" ca="1" si="56"/>
        <v>0.86888145208180612</v>
      </c>
      <c r="H330" s="36">
        <f t="shared" ca="1" si="57"/>
        <v>0.12406756639805172</v>
      </c>
      <c r="I330" s="36">
        <f t="shared" ca="1" si="58"/>
        <v>0.59812574674544916</v>
      </c>
      <c r="J330" s="36">
        <f t="shared" ca="1" si="65"/>
        <v>-0.27674997849922739</v>
      </c>
      <c r="K330" s="37">
        <f ca="1">IF(J330&lt;&gt;-1,_Media_M + J330*_Sigma,-1)</f>
        <v>70.848750322511592</v>
      </c>
      <c r="L330" s="3">
        <f t="shared" ca="1" si="59"/>
        <v>-1</v>
      </c>
      <c r="M330" s="18">
        <f ca="1">IF(LOOKUP(G330,$H$3:$H$4,$E$3:$E$4)=1,50,_Media_M + J330*_Sigma)</f>
        <v>70.848750322511592</v>
      </c>
      <c r="N330" s="36">
        <f t="shared" ca="1" si="60"/>
        <v>41.783716042047892</v>
      </c>
      <c r="O330" s="35">
        <f t="shared" ca="1" si="66"/>
        <v>112.63246636455949</v>
      </c>
      <c r="P330" s="19">
        <f t="shared" ca="1" si="62"/>
        <v>112.63246636455949</v>
      </c>
      <c r="Q330" s="20">
        <f ca="1" xml:space="preserve"> P330*_Precio_cafe</f>
        <v>168.94869954683924</v>
      </c>
      <c r="R330" s="20">
        <f t="shared" ca="1" si="63"/>
        <v>44562.299038234705</v>
      </c>
      <c r="S330" s="20">
        <f ca="1">(1/A330)*((A330-1)*S329 +Q330)</f>
        <v>141.91814980329525</v>
      </c>
      <c r="T330" s="20">
        <f ca="1">IF((T329-P330+F330)&gt;_Max_Stock_Gramos,_Max_Stock_Gramos,T329-P330+F330)</f>
        <v>1505.3657384015714</v>
      </c>
      <c r="U330" s="20">
        <f ca="1">T330/_GramosXFrasco</f>
        <v>8.8550925788327728</v>
      </c>
      <c r="V330" s="58">
        <f ca="1">(T330/_Max_Stock_Gramos)</f>
        <v>0.88550925788327728</v>
      </c>
      <c r="W330" s="58"/>
      <c r="X330" s="10">
        <f ca="1">IF((T329-O330)&lt;0,(T329-O330)*_Costo_Faltante,0)</f>
        <v>0</v>
      </c>
      <c r="Y330">
        <f ca="1">IF(B330=0,E330*_Costo_Frasco,0)</f>
        <v>0</v>
      </c>
      <c r="Z330" s="11">
        <f t="shared" ca="1" si="64"/>
        <v>-45000</v>
      </c>
    </row>
    <row r="331" spans="1:26" x14ac:dyDescent="0.25">
      <c r="A331" s="30">
        <f t="shared" si="61"/>
        <v>315</v>
      </c>
      <c r="B331" s="10">
        <f>IF(B330=0,_Proxima_Compra,B330-1)</f>
        <v>1</v>
      </c>
      <c r="C331" s="3">
        <f t="shared" ca="1" si="54"/>
        <v>-1</v>
      </c>
      <c r="D331" s="3">
        <f ca="1">IF(D330&gt;0,D330-1,IF(C331&gt;0,LOOKUP(C331,$S$3:$S$5,$P$3:$P$5),-1))</f>
        <v>0</v>
      </c>
      <c r="E331" s="25">
        <f t="shared" ca="1" si="55"/>
        <v>2</v>
      </c>
      <c r="F331" s="28">
        <f ca="1">E331*_GramosXFrasco</f>
        <v>340</v>
      </c>
      <c r="G331" s="38">
        <f t="shared" ca="1" si="56"/>
        <v>0.81963527104502965</v>
      </c>
      <c r="H331" s="36">
        <f t="shared" ca="1" si="57"/>
        <v>0.14086590568295232</v>
      </c>
      <c r="I331" s="36">
        <f t="shared" ca="1" si="58"/>
        <v>0.66615742343399797</v>
      </c>
      <c r="J331" s="36">
        <f t="shared" ca="1" si="65"/>
        <v>-0.18258047283904991</v>
      </c>
      <c r="K331" s="37">
        <f ca="1">IF(J331&lt;&gt;-1,_Media_M + J331*_Sigma,-1)</f>
        <v>72.261292907414258</v>
      </c>
      <c r="L331" s="3">
        <f t="shared" ca="1" si="59"/>
        <v>-1</v>
      </c>
      <c r="M331" s="18">
        <f ca="1">IF(LOOKUP(G331,$H$3:$H$4,$E$3:$E$4)=1,50,_Media_M + J331*_Sigma)</f>
        <v>72.261292907414258</v>
      </c>
      <c r="N331" s="36">
        <f t="shared" ca="1" si="60"/>
        <v>102.03718477721706</v>
      </c>
      <c r="O331" s="35">
        <f t="shared" ca="1" si="66"/>
        <v>174.29847768463134</v>
      </c>
      <c r="P331" s="19">
        <f t="shared" ca="1" si="62"/>
        <v>174.29847768463134</v>
      </c>
      <c r="Q331" s="20">
        <f ca="1" xml:space="preserve"> P331*_Precio_cafe</f>
        <v>261.44771652694703</v>
      </c>
      <c r="R331" s="20">
        <f t="shared" ca="1" si="63"/>
        <v>44823.746754761654</v>
      </c>
      <c r="S331" s="20">
        <f ca="1">(1/A331)*((A331-1)*S330 +Q331)</f>
        <v>142.29760874527508</v>
      </c>
      <c r="T331" s="20">
        <f ca="1">IF((T330-P331+F331)&gt;_Max_Stock_Gramos,_Max_Stock_Gramos,T330-P331+F331)</f>
        <v>1671.0672607169402</v>
      </c>
      <c r="U331" s="20">
        <f ca="1">T331/_GramosXFrasco</f>
        <v>9.8298074159820015</v>
      </c>
      <c r="V331" s="58">
        <f ca="1">(T331/_Max_Stock_Gramos)</f>
        <v>0.98298074159820004</v>
      </c>
      <c r="W331" s="58"/>
      <c r="X331" s="10">
        <f ca="1">IF((T330-O331)&lt;0,(T330-O331)*_Costo_Faltante,0)</f>
        <v>0</v>
      </c>
      <c r="Y331">
        <f>IF(B331=0,E331*_Costo_Frasco,0)</f>
        <v>0</v>
      </c>
      <c r="Z331" s="11">
        <f t="shared" ca="1" si="64"/>
        <v>-45000</v>
      </c>
    </row>
    <row r="332" spans="1:26" x14ac:dyDescent="0.25">
      <c r="A332" s="30">
        <f t="shared" si="61"/>
        <v>316</v>
      </c>
      <c r="B332" s="10">
        <f>IF(B331=0,_Proxima_Compra,B331-1)</f>
        <v>0</v>
      </c>
      <c r="C332" s="3">
        <f t="shared" ca="1" si="54"/>
        <v>6.7518945275138909E-2</v>
      </c>
      <c r="D332" s="3">
        <f ca="1">IF(D331&gt;0,D331-1,IF(C332&gt;0,LOOKUP(C332,$S$3:$S$5,$P$3:$P$5),-1))</f>
        <v>0</v>
      </c>
      <c r="E332" s="25">
        <f t="shared" ca="1" si="55"/>
        <v>2</v>
      </c>
      <c r="F332" s="28">
        <f ca="1">E332*_GramosXFrasco</f>
        <v>340</v>
      </c>
      <c r="G332" s="38">
        <f t="shared" ca="1" si="56"/>
        <v>0.24688603507714835</v>
      </c>
      <c r="H332" s="36">
        <f t="shared" ca="1" si="57"/>
        <v>-1</v>
      </c>
      <c r="I332" s="36">
        <f t="shared" ca="1" si="58"/>
        <v>-1</v>
      </c>
      <c r="J332" s="36">
        <f t="shared" ca="1" si="65"/>
        <v>-1</v>
      </c>
      <c r="K332" s="37">
        <f ca="1">IF(J332&lt;&gt;-1,_Media_M + J332*_Sigma,-1)</f>
        <v>-1</v>
      </c>
      <c r="L332" s="3">
        <f t="shared" ca="1" si="59"/>
        <v>50</v>
      </c>
      <c r="M332" s="18">
        <f ca="1">IF(LOOKUP(G332,$H$3:$H$4,$E$3:$E$4)=1,50,_Media_M + J332*_Sigma)</f>
        <v>50</v>
      </c>
      <c r="N332" s="36">
        <f t="shared" ca="1" si="60"/>
        <v>21.951420108725895</v>
      </c>
      <c r="O332" s="35">
        <f t="shared" ca="1" si="66"/>
        <v>71.951420108725898</v>
      </c>
      <c r="P332" s="19">
        <f t="shared" ca="1" si="62"/>
        <v>71.951420108725898</v>
      </c>
      <c r="Q332" s="20">
        <f ca="1" xml:space="preserve"> P332*_Precio_cafe</f>
        <v>107.92713016308885</v>
      </c>
      <c r="R332" s="20">
        <f t="shared" ca="1" si="63"/>
        <v>44931.673884924741</v>
      </c>
      <c r="S332" s="20">
        <f ca="1">(1/A332)*((A332-1)*S331 +Q332)</f>
        <v>142.18884140798968</v>
      </c>
      <c r="T332" s="20">
        <f ca="1">IF((T331-P332+F332)&gt;_Max_Stock_Gramos,_Max_Stock_Gramos,T331-P332+F332)</f>
        <v>1700</v>
      </c>
      <c r="U332" s="20">
        <f ca="1">T332/_GramosXFrasco</f>
        <v>10</v>
      </c>
      <c r="V332" s="58">
        <f ca="1">(T332/_Max_Stock_Gramos)</f>
        <v>1</v>
      </c>
      <c r="W332" s="58"/>
      <c r="X332" s="10">
        <f ca="1">IF((T331-O332)&lt;0,(T331-O332)*_Costo_Faltante,0)</f>
        <v>0</v>
      </c>
      <c r="Y332">
        <f ca="1">IF(B332=0,E332*_Costo_Frasco,0)</f>
        <v>-500</v>
      </c>
      <c r="Z332" s="11">
        <f t="shared" ca="1" si="64"/>
        <v>-45500</v>
      </c>
    </row>
    <row r="333" spans="1:26" x14ac:dyDescent="0.25">
      <c r="A333" s="30">
        <f t="shared" si="61"/>
        <v>317</v>
      </c>
      <c r="B333" s="10">
        <f>IF(B332=0,_Proxima_Compra,B332-1)</f>
        <v>1</v>
      </c>
      <c r="C333" s="3">
        <f t="shared" ca="1" si="54"/>
        <v>-1</v>
      </c>
      <c r="D333" s="3">
        <f ca="1">IF(D332&gt;0,D332-1,IF(C333&gt;0,LOOKUP(C333,$S$3:$S$5,$P$3:$P$5),-1))</f>
        <v>-1</v>
      </c>
      <c r="E333" s="25">
        <f t="shared" ca="1" si="55"/>
        <v>0</v>
      </c>
      <c r="F333" s="28">
        <f ca="1">E333*_GramosXFrasco</f>
        <v>0</v>
      </c>
      <c r="G333" s="38">
        <f t="shared" ca="1" si="56"/>
        <v>0.39471253538876327</v>
      </c>
      <c r="H333" s="36">
        <f t="shared" ca="1" si="57"/>
        <v>-1</v>
      </c>
      <c r="I333" s="36">
        <f t="shared" ca="1" si="58"/>
        <v>-1</v>
      </c>
      <c r="J333" s="36">
        <f t="shared" ca="1" si="65"/>
        <v>-1</v>
      </c>
      <c r="K333" s="37">
        <f ca="1">IF(J333&lt;&gt;-1,_Media_M + J333*_Sigma,-1)</f>
        <v>-1</v>
      </c>
      <c r="L333" s="3">
        <f t="shared" ca="1" si="59"/>
        <v>50</v>
      </c>
      <c r="M333" s="18">
        <f ca="1">IF(LOOKUP(G333,$H$3:$H$4,$E$3:$E$4)=1,50,_Media_M + J333*_Sigma)</f>
        <v>50</v>
      </c>
      <c r="N333" s="36">
        <f t="shared" ca="1" si="60"/>
        <v>58.414426926907446</v>
      </c>
      <c r="O333" s="35">
        <f t="shared" ca="1" si="66"/>
        <v>108.41442692690745</v>
      </c>
      <c r="P333" s="19">
        <f t="shared" ca="1" si="62"/>
        <v>108.41442692690745</v>
      </c>
      <c r="Q333" s="20">
        <f ca="1" xml:space="preserve"> P333*_Precio_cafe</f>
        <v>162.62164039036116</v>
      </c>
      <c r="R333" s="20">
        <f t="shared" ca="1" si="63"/>
        <v>45094.295525315101</v>
      </c>
      <c r="S333" s="20">
        <f ca="1">(1/A333)*((A333-1)*S332 +Q333)</f>
        <v>142.25329818711387</v>
      </c>
      <c r="T333" s="20">
        <f ca="1">IF((T332-P333+F333)&gt;_Max_Stock_Gramos,_Max_Stock_Gramos,T332-P333+F333)</f>
        <v>1591.5855730730925</v>
      </c>
      <c r="U333" s="20">
        <f ca="1">T333/_GramosXFrasco</f>
        <v>9.3622680769005449</v>
      </c>
      <c r="V333" s="58">
        <f ca="1">(T333/_Max_Stock_Gramos)</f>
        <v>0.9362268076900544</v>
      </c>
      <c r="W333" s="58"/>
      <c r="X333" s="10">
        <f ca="1">IF((T332-O333)&lt;0,(T332-O333)*_Costo_Faltante,0)</f>
        <v>0</v>
      </c>
      <c r="Y333">
        <f>IF(B333=0,E333*_Costo_Frasco,0)</f>
        <v>0</v>
      </c>
      <c r="Z333" s="11">
        <f t="shared" ca="1" si="64"/>
        <v>-45500</v>
      </c>
    </row>
    <row r="334" spans="1:26" x14ac:dyDescent="0.25">
      <c r="A334" s="30">
        <f t="shared" si="61"/>
        <v>318</v>
      </c>
      <c r="B334" s="10">
        <f>IF(B333=0,_Proxima_Compra,B333-1)</f>
        <v>0</v>
      </c>
      <c r="C334" s="3">
        <f t="shared" ca="1" si="54"/>
        <v>0.63574119345694124</v>
      </c>
      <c r="D334" s="3">
        <f ca="1">IF(D333&gt;0,D333-1,IF(C334&gt;0,LOOKUP(C334,$S$3:$S$5,$P$3:$P$5),-1))</f>
        <v>1</v>
      </c>
      <c r="E334" s="25">
        <f t="shared" ca="1" si="55"/>
        <v>0</v>
      </c>
      <c r="F334" s="28">
        <f ca="1">E334*_GramosXFrasco</f>
        <v>0</v>
      </c>
      <c r="G334" s="38">
        <f t="shared" ca="1" si="56"/>
        <v>0.51970310731617975</v>
      </c>
      <c r="H334" s="36">
        <f t="shared" ca="1" si="57"/>
        <v>0.19381607198737094</v>
      </c>
      <c r="I334" s="36">
        <f t="shared" ca="1" si="58"/>
        <v>0.1496765048954537</v>
      </c>
      <c r="J334" s="36">
        <f t="shared" ca="1" si="65"/>
        <v>0.25497922255477212</v>
      </c>
      <c r="K334" s="37">
        <f ca="1">IF(J334&lt;&gt;-1,_Media_M + J334*_Sigma,-1)</f>
        <v>78.824688338321579</v>
      </c>
      <c r="L334" s="3">
        <f t="shared" ca="1" si="59"/>
        <v>-1</v>
      </c>
      <c r="M334" s="18">
        <f ca="1">IF(LOOKUP(G334,$H$3:$H$4,$E$3:$E$4)=1,50,_Media_M + J334*_Sigma)</f>
        <v>78.824688338321579</v>
      </c>
      <c r="N334" s="36">
        <f t="shared" ca="1" si="60"/>
        <v>3.2492550148669994</v>
      </c>
      <c r="O334" s="35">
        <f t="shared" ca="1" si="66"/>
        <v>82.073943353188582</v>
      </c>
      <c r="P334" s="19">
        <f t="shared" ca="1" si="62"/>
        <v>82.073943353188582</v>
      </c>
      <c r="Q334" s="20">
        <f ca="1" xml:space="preserve"> P334*_Precio_cafe</f>
        <v>123.11091502978287</v>
      </c>
      <c r="R334" s="20">
        <f t="shared" ca="1" si="63"/>
        <v>45217.406440344887</v>
      </c>
      <c r="S334" s="20">
        <f ca="1">(1/A334)*((A334-1)*S333 +Q334)</f>
        <v>142.19310201366315</v>
      </c>
      <c r="T334" s="20">
        <f ca="1">IF((T333-P334+F334)&gt;_Max_Stock_Gramos,_Max_Stock_Gramos,T333-P334+F334)</f>
        <v>1509.511629719904</v>
      </c>
      <c r="U334" s="20">
        <f ca="1">T334/_GramosXFrasco</f>
        <v>8.8794801748229641</v>
      </c>
      <c r="V334" s="58">
        <f ca="1">(T334/_Max_Stock_Gramos)</f>
        <v>0.88794801748229646</v>
      </c>
      <c r="W334" s="58"/>
      <c r="X334" s="10">
        <f ca="1">IF((T333-O334)&lt;0,(T333-O334)*_Costo_Faltante,0)</f>
        <v>0</v>
      </c>
      <c r="Y334">
        <f ca="1">IF(B334=0,E334*_Costo_Frasco,0)</f>
        <v>0</v>
      </c>
      <c r="Z334" s="11">
        <f t="shared" ca="1" si="64"/>
        <v>-45500</v>
      </c>
    </row>
    <row r="335" spans="1:26" x14ac:dyDescent="0.25">
      <c r="A335" s="30">
        <f t="shared" si="61"/>
        <v>319</v>
      </c>
      <c r="B335" s="10">
        <f>IF(B334=0,_Proxima_Compra,B334-1)</f>
        <v>1</v>
      </c>
      <c r="C335" s="3">
        <f t="shared" ca="1" si="54"/>
        <v>-1</v>
      </c>
      <c r="D335" s="3">
        <f ca="1">IF(D334&gt;0,D334-1,IF(C335&gt;0,LOOKUP(C335,$S$3:$S$5,$P$3:$P$5),-1))</f>
        <v>0</v>
      </c>
      <c r="E335" s="25">
        <f t="shared" ca="1" si="55"/>
        <v>2</v>
      </c>
      <c r="F335" s="28">
        <f ca="1">E335*_GramosXFrasco</f>
        <v>340</v>
      </c>
      <c r="G335" s="38">
        <f t="shared" ca="1" si="56"/>
        <v>0.27252870750690805</v>
      </c>
      <c r="H335" s="36">
        <f t="shared" ca="1" si="57"/>
        <v>-1</v>
      </c>
      <c r="I335" s="36">
        <f t="shared" ca="1" si="58"/>
        <v>-1</v>
      </c>
      <c r="J335" s="36">
        <f t="shared" ca="1" si="65"/>
        <v>-1</v>
      </c>
      <c r="K335" s="37">
        <f ca="1">IF(J335&lt;&gt;-1,_Media_M + J335*_Sigma,-1)</f>
        <v>-1</v>
      </c>
      <c r="L335" s="3">
        <f t="shared" ca="1" si="59"/>
        <v>50</v>
      </c>
      <c r="M335" s="18">
        <f ca="1">IF(LOOKUP(G335,$H$3:$H$4,$E$3:$E$4)=1,50,_Media_M + J335*_Sigma)</f>
        <v>50</v>
      </c>
      <c r="N335" s="36">
        <f t="shared" ca="1" si="60"/>
        <v>118.17314781134502</v>
      </c>
      <c r="O335" s="35">
        <f t="shared" ca="1" si="66"/>
        <v>168.17314781134502</v>
      </c>
      <c r="P335" s="19">
        <f t="shared" ca="1" si="62"/>
        <v>168.17314781134502</v>
      </c>
      <c r="Q335" s="20">
        <f ca="1" xml:space="preserve"> P335*_Precio_cafe</f>
        <v>252.25972171701753</v>
      </c>
      <c r="R335" s="20">
        <f t="shared" ca="1" si="63"/>
        <v>45469.666162061905</v>
      </c>
      <c r="S335" s="20">
        <f ca="1">(1/A335)*((A335-1)*S334 +Q335)</f>
        <v>142.53813843906551</v>
      </c>
      <c r="T335" s="20">
        <f ca="1">IF((T334-P335+F335)&gt;_Max_Stock_Gramos,_Max_Stock_Gramos,T334-P335+F335)</f>
        <v>1681.3384819085591</v>
      </c>
      <c r="U335" s="20">
        <f ca="1">T335/_GramosXFrasco</f>
        <v>9.8902263641679937</v>
      </c>
      <c r="V335" s="58">
        <f ca="1">(T335/_Max_Stock_Gramos)</f>
        <v>0.98902263641679944</v>
      </c>
      <c r="W335" s="58"/>
      <c r="X335" s="10">
        <f ca="1">IF((T334-O335)&lt;0,(T334-O335)*_Costo_Faltante,0)</f>
        <v>0</v>
      </c>
      <c r="Y335">
        <f>IF(B335=0,E335*_Costo_Frasco,0)</f>
        <v>0</v>
      </c>
      <c r="Z335" s="11">
        <f t="shared" ca="1" si="64"/>
        <v>-45500</v>
      </c>
    </row>
    <row r="336" spans="1:26" x14ac:dyDescent="0.25">
      <c r="A336" s="30">
        <f t="shared" si="61"/>
        <v>320</v>
      </c>
      <c r="B336" s="10">
        <f>IF(B335=0,_Proxima_Compra,B335-1)</f>
        <v>0</v>
      </c>
      <c r="C336" s="3">
        <f t="shared" ca="1" si="54"/>
        <v>0.13252973215760211</v>
      </c>
      <c r="D336" s="3">
        <f ca="1">IF(D335&gt;0,D335-1,IF(C336&gt;0,LOOKUP(C336,$S$3:$S$5,$P$3:$P$5),-1))</f>
        <v>0</v>
      </c>
      <c r="E336" s="25">
        <f t="shared" ca="1" si="55"/>
        <v>2</v>
      </c>
      <c r="F336" s="28">
        <f ca="1">E336*_GramosXFrasco</f>
        <v>340</v>
      </c>
      <c r="G336" s="38">
        <f t="shared" ca="1" si="56"/>
        <v>0.14706322792298188</v>
      </c>
      <c r="H336" s="36">
        <f t="shared" ca="1" si="57"/>
        <v>-1</v>
      </c>
      <c r="I336" s="36">
        <f t="shared" ca="1" si="58"/>
        <v>-1</v>
      </c>
      <c r="J336" s="36">
        <f t="shared" ca="1" si="65"/>
        <v>-1</v>
      </c>
      <c r="K336" s="37">
        <f ca="1">IF(J336&lt;&gt;-1,_Media_M + J336*_Sigma,-1)</f>
        <v>-1</v>
      </c>
      <c r="L336" s="3">
        <f t="shared" ca="1" si="59"/>
        <v>50</v>
      </c>
      <c r="M336" s="18">
        <f ca="1">IF(LOOKUP(G336,$H$3:$H$4,$E$3:$E$4)=1,50,_Media_M + J336*_Sigma)</f>
        <v>50</v>
      </c>
      <c r="N336" s="36">
        <f t="shared" ca="1" si="60"/>
        <v>57.015125606438836</v>
      </c>
      <c r="O336" s="35">
        <f t="shared" ca="1" si="66"/>
        <v>107.01512560643883</v>
      </c>
      <c r="P336" s="19">
        <f t="shared" ca="1" si="62"/>
        <v>107.01512560643883</v>
      </c>
      <c r="Q336" s="20">
        <f ca="1" xml:space="preserve"> P336*_Precio_cafe</f>
        <v>160.52268840965826</v>
      </c>
      <c r="R336" s="20">
        <f t="shared" ca="1" si="63"/>
        <v>45630.188850471561</v>
      </c>
      <c r="S336" s="20">
        <f ca="1">(1/A336)*((A336-1)*S335 +Q336)</f>
        <v>142.59434015772362</v>
      </c>
      <c r="T336" s="20">
        <f ca="1">IF((T335-P336+F336)&gt;_Max_Stock_Gramos,_Max_Stock_Gramos,T335-P336+F336)</f>
        <v>1700</v>
      </c>
      <c r="U336" s="20">
        <f ca="1">T336/_GramosXFrasco</f>
        <v>10</v>
      </c>
      <c r="V336" s="58">
        <f ca="1">(T336/_Max_Stock_Gramos)</f>
        <v>1</v>
      </c>
      <c r="W336" s="58"/>
      <c r="X336" s="10">
        <f ca="1">IF((T335-O336)&lt;0,(T335-O336)*_Costo_Faltante,0)</f>
        <v>0</v>
      </c>
      <c r="Y336">
        <f ca="1">IF(B336=0,E336*_Costo_Frasco,0)</f>
        <v>-500</v>
      </c>
      <c r="Z336" s="11">
        <f t="shared" ca="1" si="64"/>
        <v>-46000</v>
      </c>
    </row>
    <row r="337" spans="1:26" x14ac:dyDescent="0.25">
      <c r="A337" s="30">
        <f t="shared" si="61"/>
        <v>321</v>
      </c>
      <c r="B337" s="10">
        <f>IF(B336=0,_Proxima_Compra,B336-1)</f>
        <v>1</v>
      </c>
      <c r="C337" s="3">
        <f t="shared" ref="C337:C400" ca="1" si="67">IF(B337=0,RAND(),-1)</f>
        <v>-1</v>
      </c>
      <c r="D337" s="3">
        <f ca="1">IF(D336&gt;0,D336-1,IF(C337&gt;0,LOOKUP(C337,$S$3:$S$5,$P$3:$P$5),-1))</f>
        <v>-1</v>
      </c>
      <c r="E337" s="25">
        <f t="shared" ref="E337:E400" ca="1" si="68">IF(D337=0,2,)</f>
        <v>0</v>
      </c>
      <c r="F337" s="28">
        <f ca="1">E337*_GramosXFrasco</f>
        <v>0</v>
      </c>
      <c r="G337" s="38">
        <f t="shared" ref="G337:G400" ca="1" si="69">RAND()</f>
        <v>0.46458356113073596</v>
      </c>
      <c r="H337" s="36">
        <f t="shared" ref="H337:H400" ca="1" si="70">IF(G337&gt;0.5,RAND(),-1)</f>
        <v>-1</v>
      </c>
      <c r="I337" s="36">
        <f t="shared" ref="I337:I400" ca="1" si="71">IF(G337&gt;0.5,RAND(),-1)</f>
        <v>-1</v>
      </c>
      <c r="J337" s="36">
        <f t="shared" ca="1" si="65"/>
        <v>-1</v>
      </c>
      <c r="K337" s="37">
        <f ca="1">IF(J337&lt;&gt;-1,_Media_M + J337*_Sigma,-1)</f>
        <v>-1</v>
      </c>
      <c r="L337" s="3">
        <f t="shared" ref="L337:L400" ca="1" si="72">IF(K337=-1,50,-1)</f>
        <v>50</v>
      </c>
      <c r="M337" s="18">
        <f ca="1">IF(LOOKUP(G337,$H$3:$H$4,$E$3:$E$4)=1,50,_Media_M + J337*_Sigma)</f>
        <v>50</v>
      </c>
      <c r="N337" s="36">
        <f t="shared" ref="N337:N400" ca="1" si="73">(-1/(1/70)*(LOG(1-RAND())))</f>
        <v>44.898294681494306</v>
      </c>
      <c r="O337" s="35">
        <f t="shared" ca="1" si="66"/>
        <v>94.898294681494306</v>
      </c>
      <c r="P337" s="19">
        <f t="shared" ca="1" si="62"/>
        <v>94.898294681494306</v>
      </c>
      <c r="Q337" s="20">
        <f ca="1" xml:space="preserve"> P337*_Precio_cafe</f>
        <v>142.34744202224147</v>
      </c>
      <c r="R337" s="20">
        <f t="shared" ca="1" si="63"/>
        <v>45772.536292493802</v>
      </c>
      <c r="S337" s="20">
        <f ca="1">(1/A337)*((A337-1)*S336 +Q337)</f>
        <v>142.5935710046536</v>
      </c>
      <c r="T337" s="20">
        <f ca="1">IF((T336-P337+F337)&gt;_Max_Stock_Gramos,_Max_Stock_Gramos,T336-P337+F337)</f>
        <v>1605.1017053185058</v>
      </c>
      <c r="U337" s="20">
        <f ca="1">T337/_GramosXFrasco</f>
        <v>9.4417747371676803</v>
      </c>
      <c r="V337" s="58">
        <f ca="1">(T337/_Max_Stock_Gramos)</f>
        <v>0.94417747371676808</v>
      </c>
      <c r="W337" s="58"/>
      <c r="X337" s="10">
        <f ca="1">IF((T336-O337)&lt;0,(T336-O337)*_Costo_Faltante,0)</f>
        <v>0</v>
      </c>
      <c r="Y337">
        <f>IF(B337=0,E337*_Costo_Frasco,0)</f>
        <v>0</v>
      </c>
      <c r="Z337" s="11">
        <f t="shared" ca="1" si="64"/>
        <v>-46000</v>
      </c>
    </row>
    <row r="338" spans="1:26" x14ac:dyDescent="0.25">
      <c r="A338" s="30">
        <f t="shared" ref="A338:A401" si="74">A337+1</f>
        <v>322</v>
      </c>
      <c r="B338" s="10">
        <f>IF(B337=0,_Proxima_Compra,B337-1)</f>
        <v>0</v>
      </c>
      <c r="C338" s="3">
        <f t="shared" ca="1" si="67"/>
        <v>0.14193392385830206</v>
      </c>
      <c r="D338" s="3">
        <f ca="1">IF(D337&gt;0,D337-1,IF(C338&gt;0,LOOKUP(C338,$S$3:$S$5,$P$3:$P$5),-1))</f>
        <v>0</v>
      </c>
      <c r="E338" s="25">
        <f t="shared" ca="1" si="68"/>
        <v>2</v>
      </c>
      <c r="F338" s="28">
        <f ca="1">E338*_GramosXFrasco</f>
        <v>340</v>
      </c>
      <c r="G338" s="38">
        <f t="shared" ca="1" si="69"/>
        <v>0.78960762098705772</v>
      </c>
      <c r="H338" s="36">
        <f t="shared" ca="1" si="70"/>
        <v>0.57950994926946975</v>
      </c>
      <c r="I338" s="36">
        <f t="shared" ca="1" si="71"/>
        <v>0.25016477204141063</v>
      </c>
      <c r="J338" s="36">
        <f t="shared" ca="1" si="65"/>
        <v>-8.980763535044702E-4</v>
      </c>
      <c r="K338" s="37">
        <f ca="1">IF(J338&lt;&gt;-1,_Media_M + J338*_Sigma,-1)</f>
        <v>74.98652885469744</v>
      </c>
      <c r="L338" s="3">
        <f t="shared" ca="1" si="72"/>
        <v>-1</v>
      </c>
      <c r="M338" s="18">
        <f ca="1">IF(LOOKUP(G338,$H$3:$H$4,$E$3:$E$4)=1,50,_Media_M + J338*_Sigma)</f>
        <v>74.98652885469744</v>
      </c>
      <c r="N338" s="36">
        <f t="shared" ca="1" si="73"/>
        <v>2.4222969027908983</v>
      </c>
      <c r="O338" s="35">
        <f t="shared" ca="1" si="66"/>
        <v>77.408825757488344</v>
      </c>
      <c r="P338" s="19">
        <f t="shared" ref="P338:P401" ca="1" si="75">IF(O338&lt;T337,O338,T337)</f>
        <v>77.408825757488344</v>
      </c>
      <c r="Q338" s="20">
        <f ca="1" xml:space="preserve"> P338*_Precio_cafe</f>
        <v>116.11323863623252</v>
      </c>
      <c r="R338" s="20">
        <f t="shared" ref="R338:R401" ca="1" si="76">Q338+R337</f>
        <v>45888.649531130031</v>
      </c>
      <c r="S338" s="20">
        <f ca="1">(1/A338)*((A338-1)*S337 +Q338)</f>
        <v>142.51133394760879</v>
      </c>
      <c r="T338" s="20">
        <f ca="1">IF((T337-P338+F338)&gt;_Max_Stock_Gramos,_Max_Stock_Gramos,T337-P338+F338)</f>
        <v>1700</v>
      </c>
      <c r="U338" s="20">
        <f ca="1">T338/_GramosXFrasco</f>
        <v>10</v>
      </c>
      <c r="V338" s="58">
        <f ca="1">(T338/_Max_Stock_Gramos)</f>
        <v>1</v>
      </c>
      <c r="W338" s="58"/>
      <c r="X338" s="10">
        <f ca="1">IF((T337-O338)&lt;0,(T337-O338)*_Costo_Faltante,0)</f>
        <v>0</v>
      </c>
      <c r="Y338">
        <f ca="1">IF(B338=0,E338*_Costo_Frasco,0)</f>
        <v>-500</v>
      </c>
      <c r="Z338" s="11">
        <f t="shared" ref="Z338:Z401" ca="1" si="77">X338+Y338+Z337</f>
        <v>-46500</v>
      </c>
    </row>
    <row r="339" spans="1:26" x14ac:dyDescent="0.25">
      <c r="A339" s="30">
        <f t="shared" si="74"/>
        <v>323</v>
      </c>
      <c r="B339" s="10">
        <f>IF(B338=0,_Proxima_Compra,B338-1)</f>
        <v>1</v>
      </c>
      <c r="C339" s="3">
        <f t="shared" ca="1" si="67"/>
        <v>-1</v>
      </c>
      <c r="D339" s="3">
        <f ca="1">IF(D338&gt;0,D338-1,IF(C339&gt;0,LOOKUP(C339,$S$3:$S$5,$P$3:$P$5),-1))</f>
        <v>-1</v>
      </c>
      <c r="E339" s="25">
        <f t="shared" ca="1" si="68"/>
        <v>0</v>
      </c>
      <c r="F339" s="28">
        <f ca="1">E339*_GramosXFrasco</f>
        <v>0</v>
      </c>
      <c r="G339" s="38">
        <f t="shared" ca="1" si="69"/>
        <v>0.3590408458067893</v>
      </c>
      <c r="H339" s="36">
        <f t="shared" ca="1" si="70"/>
        <v>-1</v>
      </c>
      <c r="I339" s="36">
        <f t="shared" ca="1" si="71"/>
        <v>-1</v>
      </c>
      <c r="J339" s="36">
        <f t="shared" ca="1" si="65"/>
        <v>-1</v>
      </c>
      <c r="K339" s="37">
        <f ca="1">IF(J339&lt;&gt;-1,_Media_M + J339*_Sigma,-1)</f>
        <v>-1</v>
      </c>
      <c r="L339" s="3">
        <f t="shared" ca="1" si="72"/>
        <v>50</v>
      </c>
      <c r="M339" s="18">
        <f ca="1">IF(LOOKUP(G339,$H$3:$H$4,$E$3:$E$4)=1,50,_Media_M + J339*_Sigma)</f>
        <v>50</v>
      </c>
      <c r="N339" s="36">
        <f t="shared" ca="1" si="73"/>
        <v>47.062957316549245</v>
      </c>
      <c r="O339" s="35">
        <f t="shared" ca="1" si="66"/>
        <v>97.062957316549245</v>
      </c>
      <c r="P339" s="19">
        <f t="shared" ca="1" si="75"/>
        <v>97.062957316549245</v>
      </c>
      <c r="Q339" s="20">
        <f ca="1" xml:space="preserve"> P339*_Precio_cafe</f>
        <v>145.59443597482385</v>
      </c>
      <c r="R339" s="20">
        <f t="shared" ca="1" si="76"/>
        <v>46034.243967104856</v>
      </c>
      <c r="S339" s="20">
        <f ca="1">(1/A339)*((A339-1)*S338 +Q339)</f>
        <v>142.5208791551234</v>
      </c>
      <c r="T339" s="20">
        <f ca="1">IF((T338-P339+F339)&gt;_Max_Stock_Gramos,_Max_Stock_Gramos,T338-P339+F339)</f>
        <v>1602.9370426834507</v>
      </c>
      <c r="U339" s="20">
        <f ca="1">T339/_GramosXFrasco</f>
        <v>9.429041427549711</v>
      </c>
      <c r="V339" s="58">
        <f ca="1">(T339/_Max_Stock_Gramos)</f>
        <v>0.94290414275497103</v>
      </c>
      <c r="W339" s="58"/>
      <c r="X339" s="10">
        <f ca="1">IF((T338-O339)&lt;0,(T338-O339)*_Costo_Faltante,0)</f>
        <v>0</v>
      </c>
      <c r="Y339">
        <f>IF(B339=0,E339*_Costo_Frasco,0)</f>
        <v>0</v>
      </c>
      <c r="Z339" s="11">
        <f t="shared" ca="1" si="77"/>
        <v>-46500</v>
      </c>
    </row>
    <row r="340" spans="1:26" x14ac:dyDescent="0.25">
      <c r="A340" s="30">
        <f t="shared" si="74"/>
        <v>324</v>
      </c>
      <c r="B340" s="10">
        <f>IF(B339=0,_Proxima_Compra,B339-1)</f>
        <v>0</v>
      </c>
      <c r="C340" s="3">
        <f t="shared" ca="1" si="67"/>
        <v>0.24475461361044404</v>
      </c>
      <c r="D340" s="3">
        <f ca="1">IF(D339&gt;0,D339-1,IF(C340&gt;0,LOOKUP(C340,$S$3:$S$5,$P$3:$P$5),-1))</f>
        <v>0</v>
      </c>
      <c r="E340" s="25">
        <f t="shared" ca="1" si="68"/>
        <v>2</v>
      </c>
      <c r="F340" s="28">
        <f ca="1">E340*_GramosXFrasco</f>
        <v>340</v>
      </c>
      <c r="G340" s="38">
        <f t="shared" ca="1" si="69"/>
        <v>0.89480836203936109</v>
      </c>
      <c r="H340" s="36">
        <f t="shared" ca="1" si="70"/>
        <v>5.5504389740959059E-3</v>
      </c>
      <c r="I340" s="36">
        <f t="shared" ca="1" si="71"/>
        <v>0.92620669294540536</v>
      </c>
      <c r="J340" s="36">
        <f t="shared" ca="1" si="65"/>
        <v>6.2189605007503646E-2</v>
      </c>
      <c r="K340" s="37">
        <f ca="1">IF(J340&lt;&gt;-1,_Media_M + J340*_Sigma,-1)</f>
        <v>75.932844075112556</v>
      </c>
      <c r="L340" s="3">
        <f t="shared" ca="1" si="72"/>
        <v>-1</v>
      </c>
      <c r="M340" s="18">
        <f ca="1">IF(LOOKUP(G340,$H$3:$H$4,$E$3:$E$4)=1,50,_Media_M + J340*_Sigma)</f>
        <v>75.932844075112556</v>
      </c>
      <c r="N340" s="36">
        <f t="shared" ca="1" si="73"/>
        <v>115.31025464612038</v>
      </c>
      <c r="O340" s="35">
        <f t="shared" ca="1" si="66"/>
        <v>191.24309872123294</v>
      </c>
      <c r="P340" s="19">
        <f t="shared" ca="1" si="75"/>
        <v>191.24309872123294</v>
      </c>
      <c r="Q340" s="20">
        <f ca="1" xml:space="preserve"> P340*_Precio_cafe</f>
        <v>286.8646480818494</v>
      </c>
      <c r="R340" s="20">
        <f t="shared" ca="1" si="76"/>
        <v>46321.108615186706</v>
      </c>
      <c r="S340" s="20">
        <f ca="1">(1/A340)*((A340-1)*S339 +Q340)</f>
        <v>142.96638461477377</v>
      </c>
      <c r="T340" s="20">
        <f ca="1">IF((T339-P340+F340)&gt;_Max_Stock_Gramos,_Max_Stock_Gramos,T339-P340+F340)</f>
        <v>1700</v>
      </c>
      <c r="U340" s="20">
        <f ca="1">T340/_GramosXFrasco</f>
        <v>10</v>
      </c>
      <c r="V340" s="58">
        <f ca="1">(T340/_Max_Stock_Gramos)</f>
        <v>1</v>
      </c>
      <c r="W340" s="58"/>
      <c r="X340" s="10">
        <f ca="1">IF((T339-O340)&lt;0,(T339-O340)*_Costo_Faltante,0)</f>
        <v>0</v>
      </c>
      <c r="Y340">
        <f ca="1">IF(B340=0,E340*_Costo_Frasco,0)</f>
        <v>-500</v>
      </c>
      <c r="Z340" s="11">
        <f t="shared" ca="1" si="77"/>
        <v>-47000</v>
      </c>
    </row>
    <row r="341" spans="1:26" x14ac:dyDescent="0.25">
      <c r="A341" s="30">
        <f t="shared" si="74"/>
        <v>325</v>
      </c>
      <c r="B341" s="10">
        <f>IF(B340=0,_Proxima_Compra,B340-1)</f>
        <v>1</v>
      </c>
      <c r="C341" s="3">
        <f t="shared" ca="1" si="67"/>
        <v>-1</v>
      </c>
      <c r="D341" s="3">
        <f ca="1">IF(D340&gt;0,D340-1,IF(C341&gt;0,LOOKUP(C341,$S$3:$S$5,$P$3:$P$5),-1))</f>
        <v>-1</v>
      </c>
      <c r="E341" s="25">
        <f t="shared" ca="1" si="68"/>
        <v>0</v>
      </c>
      <c r="F341" s="28">
        <f ca="1">E341*_GramosXFrasco</f>
        <v>0</v>
      </c>
      <c r="G341" s="38">
        <f t="shared" ca="1" si="69"/>
        <v>0.12675283071042931</v>
      </c>
      <c r="H341" s="36">
        <f t="shared" ca="1" si="70"/>
        <v>-1</v>
      </c>
      <c r="I341" s="36">
        <f t="shared" ca="1" si="71"/>
        <v>-1</v>
      </c>
      <c r="J341" s="36">
        <f t="shared" ca="1" si="65"/>
        <v>-1</v>
      </c>
      <c r="K341" s="37">
        <f ca="1">IF(J341&lt;&gt;-1,_Media_M + J341*_Sigma,-1)</f>
        <v>-1</v>
      </c>
      <c r="L341" s="3">
        <f t="shared" ca="1" si="72"/>
        <v>50</v>
      </c>
      <c r="M341" s="18">
        <f ca="1">IF(LOOKUP(G341,$H$3:$H$4,$E$3:$E$4)=1,50,_Media_M + J341*_Sigma)</f>
        <v>50</v>
      </c>
      <c r="N341" s="36">
        <f t="shared" ca="1" si="73"/>
        <v>123.50531685220248</v>
      </c>
      <c r="O341" s="35">
        <f t="shared" ca="1" si="66"/>
        <v>173.5053168522025</v>
      </c>
      <c r="P341" s="19">
        <f t="shared" ca="1" si="75"/>
        <v>173.5053168522025</v>
      </c>
      <c r="Q341" s="20">
        <f ca="1" xml:space="preserve"> P341*_Precio_cafe</f>
        <v>260.25797527830377</v>
      </c>
      <c r="R341" s="20">
        <f t="shared" ca="1" si="76"/>
        <v>46581.366590465012</v>
      </c>
      <c r="S341" s="20">
        <f ca="1">(1/A341)*((A341-1)*S340 +Q341)</f>
        <v>143.32728181681543</v>
      </c>
      <c r="T341" s="20">
        <f ca="1">IF((T340-P341+F341)&gt;_Max_Stock_Gramos,_Max_Stock_Gramos,T340-P341+F341)</f>
        <v>1526.4946831477976</v>
      </c>
      <c r="U341" s="20">
        <f ca="1">T341/_GramosXFrasco</f>
        <v>8.9793804891046918</v>
      </c>
      <c r="V341" s="58">
        <f ca="1">(T341/_Max_Stock_Gramos)</f>
        <v>0.89793804891046913</v>
      </c>
      <c r="W341" s="58"/>
      <c r="X341" s="10">
        <f ca="1">IF((T340-O341)&lt;0,(T340-O341)*_Costo_Faltante,0)</f>
        <v>0</v>
      </c>
      <c r="Y341">
        <f>IF(B341=0,E341*_Costo_Frasco,0)</f>
        <v>0</v>
      </c>
      <c r="Z341" s="11">
        <f t="shared" ca="1" si="77"/>
        <v>-47000</v>
      </c>
    </row>
    <row r="342" spans="1:26" x14ac:dyDescent="0.25">
      <c r="A342" s="30">
        <f t="shared" si="74"/>
        <v>326</v>
      </c>
      <c r="B342" s="10">
        <f>IF(B341=0,_Proxima_Compra,B341-1)</f>
        <v>0</v>
      </c>
      <c r="C342" s="3">
        <f t="shared" ca="1" si="67"/>
        <v>0.84866997681301848</v>
      </c>
      <c r="D342" s="3">
        <f ca="1">IF(D341&gt;0,D341-1,IF(C342&gt;0,LOOKUP(C342,$S$3:$S$5,$P$3:$P$5),-1))</f>
        <v>2</v>
      </c>
      <c r="E342" s="25">
        <f t="shared" ca="1" si="68"/>
        <v>0</v>
      </c>
      <c r="F342" s="28">
        <f ca="1">E342*_GramosXFrasco</f>
        <v>0</v>
      </c>
      <c r="G342" s="38">
        <f t="shared" ca="1" si="69"/>
        <v>0.22488134699450935</v>
      </c>
      <c r="H342" s="36">
        <f t="shared" ca="1" si="70"/>
        <v>-1</v>
      </c>
      <c r="I342" s="36">
        <f t="shared" ca="1" si="71"/>
        <v>-1</v>
      </c>
      <c r="J342" s="36">
        <f t="shared" ca="1" si="65"/>
        <v>-1</v>
      </c>
      <c r="K342" s="37">
        <f ca="1">IF(J342&lt;&gt;-1,_Media_M + J342*_Sigma,-1)</f>
        <v>-1</v>
      </c>
      <c r="L342" s="3">
        <f t="shared" ca="1" si="72"/>
        <v>50</v>
      </c>
      <c r="M342" s="18">
        <f ca="1">IF(LOOKUP(G342,$H$3:$H$4,$E$3:$E$4)=1,50,_Media_M + J342*_Sigma)</f>
        <v>50</v>
      </c>
      <c r="N342" s="36">
        <f t="shared" ca="1" si="73"/>
        <v>37.030981814197396</v>
      </c>
      <c r="O342" s="35">
        <f t="shared" ca="1" si="66"/>
        <v>87.030981814197389</v>
      </c>
      <c r="P342" s="19">
        <f t="shared" ca="1" si="75"/>
        <v>87.030981814197389</v>
      </c>
      <c r="Q342" s="20">
        <f ca="1" xml:space="preserve"> P342*_Precio_cafe</f>
        <v>130.54647272129608</v>
      </c>
      <c r="R342" s="20">
        <f t="shared" ca="1" si="76"/>
        <v>46711.913063186308</v>
      </c>
      <c r="S342" s="20">
        <f ca="1">(1/A342)*((A342-1)*S341 +Q342)</f>
        <v>143.2880768809396</v>
      </c>
      <c r="T342" s="20">
        <f ca="1">IF((T341-P342+F342)&gt;_Max_Stock_Gramos,_Max_Stock_Gramos,T341-P342+F342)</f>
        <v>1439.4637013336001</v>
      </c>
      <c r="U342" s="20">
        <f ca="1">T342/_GramosXFrasco</f>
        <v>8.4674335372564702</v>
      </c>
      <c r="V342" s="58">
        <f ca="1">(T342/_Max_Stock_Gramos)</f>
        <v>0.84674335372564713</v>
      </c>
      <c r="W342" s="58"/>
      <c r="X342" s="10">
        <f ca="1">IF((T341-O342)&lt;0,(T341-O342)*_Costo_Faltante,0)</f>
        <v>0</v>
      </c>
      <c r="Y342">
        <f ca="1">IF(B342=0,E342*_Costo_Frasco,0)</f>
        <v>0</v>
      </c>
      <c r="Z342" s="11">
        <f t="shared" ca="1" si="77"/>
        <v>-47000</v>
      </c>
    </row>
    <row r="343" spans="1:26" x14ac:dyDescent="0.25">
      <c r="A343" s="30">
        <f t="shared" si="74"/>
        <v>327</v>
      </c>
      <c r="B343" s="10">
        <f>IF(B342=0,_Proxima_Compra,B342-1)</f>
        <v>1</v>
      </c>
      <c r="C343" s="3">
        <f t="shared" ca="1" si="67"/>
        <v>-1</v>
      </c>
      <c r="D343" s="3">
        <f ca="1">IF(D342&gt;0,D342-1,IF(C343&gt;0,LOOKUP(C343,$S$3:$S$5,$P$3:$P$5),-1))</f>
        <v>1</v>
      </c>
      <c r="E343" s="25">
        <f t="shared" ca="1" si="68"/>
        <v>0</v>
      </c>
      <c r="F343" s="28">
        <f ca="1">E343*_GramosXFrasco</f>
        <v>0</v>
      </c>
      <c r="G343" s="38">
        <f t="shared" ca="1" si="69"/>
        <v>0.61299408260594179</v>
      </c>
      <c r="H343" s="36">
        <f t="shared" ca="1" si="70"/>
        <v>0.54172105290535288</v>
      </c>
      <c r="I343" s="36">
        <f t="shared" ca="1" si="71"/>
        <v>0.60557422188420962</v>
      </c>
      <c r="J343" s="36">
        <f t="shared" ca="1" si="65"/>
        <v>-0.64867022402011743</v>
      </c>
      <c r="K343" s="37">
        <f ca="1">IF(J343&lt;&gt;-1,_Media_M + J343*_Sigma,-1)</f>
        <v>65.269946639698233</v>
      </c>
      <c r="L343" s="3">
        <f t="shared" ca="1" si="72"/>
        <v>-1</v>
      </c>
      <c r="M343" s="18">
        <f ca="1">IF(LOOKUP(G343,$H$3:$H$4,$E$3:$E$4)=1,50,_Media_M + J343*_Sigma)</f>
        <v>65.269946639698233</v>
      </c>
      <c r="N343" s="36">
        <f t="shared" ca="1" si="73"/>
        <v>34.853525382141456</v>
      </c>
      <c r="O343" s="35">
        <f t="shared" ca="1" si="66"/>
        <v>100.12347202183969</v>
      </c>
      <c r="P343" s="19">
        <f t="shared" ca="1" si="75"/>
        <v>100.12347202183969</v>
      </c>
      <c r="Q343" s="20">
        <f ca="1" xml:space="preserve"> P343*_Precio_cafe</f>
        <v>150.18520803275953</v>
      </c>
      <c r="R343" s="20">
        <f t="shared" ca="1" si="76"/>
        <v>46862.098271219067</v>
      </c>
      <c r="S343" s="20">
        <f ca="1">(1/A343)*((A343-1)*S342 +Q343)</f>
        <v>143.30916902513476</v>
      </c>
      <c r="T343" s="20">
        <f ca="1">IF((T342-P343+F343)&gt;_Max_Stock_Gramos,_Max_Stock_Gramos,T342-P343+F343)</f>
        <v>1339.3402293117604</v>
      </c>
      <c r="U343" s="20">
        <f ca="1">T343/_GramosXFrasco</f>
        <v>7.8784719371280021</v>
      </c>
      <c r="V343" s="58">
        <f ca="1">(T343/_Max_Stock_Gramos)</f>
        <v>0.78784719371280021</v>
      </c>
      <c r="W343" s="58"/>
      <c r="X343" s="10">
        <f ca="1">IF((T342-O343)&lt;0,(T342-O343)*_Costo_Faltante,0)</f>
        <v>0</v>
      </c>
      <c r="Y343">
        <f>IF(B343=0,E343*_Costo_Frasco,0)</f>
        <v>0</v>
      </c>
      <c r="Z343" s="11">
        <f t="shared" ca="1" si="77"/>
        <v>-47000</v>
      </c>
    </row>
    <row r="344" spans="1:26" x14ac:dyDescent="0.25">
      <c r="A344" s="30">
        <f t="shared" si="74"/>
        <v>328</v>
      </c>
      <c r="B344" s="10">
        <f>IF(B343=0,_Proxima_Compra,B343-1)</f>
        <v>0</v>
      </c>
      <c r="C344" s="3">
        <f t="shared" ca="1" si="67"/>
        <v>0.3222016493451022</v>
      </c>
      <c r="D344" s="3">
        <f ca="1">IF(D343&gt;0,D343-1,IF(C344&gt;0,LOOKUP(C344,$S$3:$S$5,$P$3:$P$5),-1))</f>
        <v>0</v>
      </c>
      <c r="E344" s="25">
        <f t="shared" ca="1" si="68"/>
        <v>2</v>
      </c>
      <c r="F344" s="28">
        <f ca="1">E344*_GramosXFrasco</f>
        <v>340</v>
      </c>
      <c r="G344" s="38">
        <f t="shared" ca="1" si="69"/>
        <v>0.7299932836916152</v>
      </c>
      <c r="H344" s="36">
        <f t="shared" ca="1" si="70"/>
        <v>0.2704203755401503</v>
      </c>
      <c r="I344" s="36">
        <f t="shared" ca="1" si="71"/>
        <v>0.34338425987332355</v>
      </c>
      <c r="J344" s="36">
        <f t="shared" ca="1" si="65"/>
        <v>-0.28973545040664139</v>
      </c>
      <c r="K344" s="37">
        <f ca="1">IF(J344&lt;&gt;-1,_Media_M + J344*_Sigma,-1)</f>
        <v>70.65396824390038</v>
      </c>
      <c r="L344" s="3">
        <f t="shared" ca="1" si="72"/>
        <v>-1</v>
      </c>
      <c r="M344" s="18">
        <f ca="1">IF(LOOKUP(G344,$H$3:$H$4,$E$3:$E$4)=1,50,_Media_M + J344*_Sigma)</f>
        <v>70.65396824390038</v>
      </c>
      <c r="N344" s="36">
        <f t="shared" ca="1" si="73"/>
        <v>15.069425783074808</v>
      </c>
      <c r="O344" s="35">
        <f t="shared" ca="1" si="66"/>
        <v>85.723394026975186</v>
      </c>
      <c r="P344" s="19">
        <f t="shared" ca="1" si="75"/>
        <v>85.723394026975186</v>
      </c>
      <c r="Q344" s="20">
        <f ca="1" xml:space="preserve"> P344*_Precio_cafe</f>
        <v>128.58509104046277</v>
      </c>
      <c r="R344" s="20">
        <f t="shared" ca="1" si="76"/>
        <v>46990.68336225953</v>
      </c>
      <c r="S344" s="20">
        <f ca="1">(1/A344)*((A344-1)*S343 +Q344)</f>
        <v>143.26427854347418</v>
      </c>
      <c r="T344" s="20">
        <f ca="1">IF((T343-P344+F344)&gt;_Max_Stock_Gramos,_Max_Stock_Gramos,T343-P344+F344)</f>
        <v>1593.6168352847851</v>
      </c>
      <c r="U344" s="20">
        <f ca="1">T344/_GramosXFrasco</f>
        <v>9.3742166781457943</v>
      </c>
      <c r="V344" s="58">
        <f ca="1">(T344/_Max_Stock_Gramos)</f>
        <v>0.93742166781457947</v>
      </c>
      <c r="W344" s="58"/>
      <c r="X344" s="10">
        <f ca="1">IF((T343-O344)&lt;0,(T343-O344)*_Costo_Faltante,0)</f>
        <v>0</v>
      </c>
      <c r="Y344">
        <f ca="1">IF(B344=0,E344*_Costo_Frasco,0)</f>
        <v>-500</v>
      </c>
      <c r="Z344" s="11">
        <f t="shared" ca="1" si="77"/>
        <v>-47500</v>
      </c>
    </row>
    <row r="345" spans="1:26" x14ac:dyDescent="0.25">
      <c r="A345" s="30">
        <f t="shared" si="74"/>
        <v>329</v>
      </c>
      <c r="B345" s="10">
        <f>IF(B344=0,_Proxima_Compra,B344-1)</f>
        <v>1</v>
      </c>
      <c r="C345" s="3">
        <f t="shared" ca="1" si="67"/>
        <v>-1</v>
      </c>
      <c r="D345" s="3">
        <f ca="1">IF(D344&gt;0,D344-1,IF(C345&gt;0,LOOKUP(C345,$S$3:$S$5,$P$3:$P$5),-1))</f>
        <v>-1</v>
      </c>
      <c r="E345" s="25">
        <f t="shared" ca="1" si="68"/>
        <v>0</v>
      </c>
      <c r="F345" s="28">
        <f ca="1">E345*_GramosXFrasco</f>
        <v>0</v>
      </c>
      <c r="G345" s="38">
        <f t="shared" ca="1" si="69"/>
        <v>0.51078663263597701</v>
      </c>
      <c r="H345" s="36">
        <f t="shared" ca="1" si="70"/>
        <v>0.65036438944848796</v>
      </c>
      <c r="I345" s="36">
        <f t="shared" ca="1" si="71"/>
        <v>0.7278001752149591</v>
      </c>
      <c r="J345" s="36">
        <f t="shared" ca="1" si="65"/>
        <v>-0.13283134691889559</v>
      </c>
      <c r="K345" s="37">
        <f ca="1">IF(J345&lt;&gt;-1,_Media_M + J345*_Sigma,-1)</f>
        <v>73.007529796216559</v>
      </c>
      <c r="L345" s="3">
        <f t="shared" ca="1" si="72"/>
        <v>-1</v>
      </c>
      <c r="M345" s="18">
        <f ca="1">IF(LOOKUP(G345,$H$3:$H$4,$E$3:$E$4)=1,50,_Media_M + J345*_Sigma)</f>
        <v>73.007529796216559</v>
      </c>
      <c r="N345" s="36">
        <f t="shared" ca="1" si="73"/>
        <v>15.492988806626299</v>
      </c>
      <c r="O345" s="35">
        <f t="shared" ca="1" si="66"/>
        <v>88.50051860284286</v>
      </c>
      <c r="P345" s="19">
        <f t="shared" ca="1" si="75"/>
        <v>88.50051860284286</v>
      </c>
      <c r="Q345" s="20">
        <f ca="1" xml:space="preserve"> P345*_Precio_cafe</f>
        <v>132.75077790426428</v>
      </c>
      <c r="R345" s="20">
        <f t="shared" ca="1" si="76"/>
        <v>47123.434140163794</v>
      </c>
      <c r="S345" s="20">
        <f ca="1">(1/A345)*((A345-1)*S344 +Q345)</f>
        <v>143.23232261447961</v>
      </c>
      <c r="T345" s="20">
        <f ca="1">IF((T344-P345+F345)&gt;_Max_Stock_Gramos,_Max_Stock_Gramos,T344-P345+F345)</f>
        <v>1505.1163166819422</v>
      </c>
      <c r="U345" s="20">
        <f ca="1">T345/_GramosXFrasco</f>
        <v>8.8536253922467179</v>
      </c>
      <c r="V345" s="58">
        <f ca="1">(T345/_Max_Stock_Gramos)</f>
        <v>0.8853625392246719</v>
      </c>
      <c r="W345" s="58"/>
      <c r="X345" s="10">
        <f ca="1">IF((T344-O345)&lt;0,(T344-O345)*_Costo_Faltante,0)</f>
        <v>0</v>
      </c>
      <c r="Y345">
        <f>IF(B345=0,E345*_Costo_Frasco,0)</f>
        <v>0</v>
      </c>
      <c r="Z345" s="11">
        <f t="shared" ca="1" si="77"/>
        <v>-47500</v>
      </c>
    </row>
    <row r="346" spans="1:26" x14ac:dyDescent="0.25">
      <c r="A346" s="30">
        <f t="shared" si="74"/>
        <v>330</v>
      </c>
      <c r="B346" s="10">
        <f>IF(B345=0,_Proxima_Compra,B345-1)</f>
        <v>0</v>
      </c>
      <c r="C346" s="3">
        <f t="shared" ca="1" si="67"/>
        <v>0.1303933196107302</v>
      </c>
      <c r="D346" s="3">
        <f ca="1">IF(D345&gt;0,D345-1,IF(C346&gt;0,LOOKUP(C346,$S$3:$S$5,$P$3:$P$5),-1))</f>
        <v>0</v>
      </c>
      <c r="E346" s="25">
        <f t="shared" ca="1" si="68"/>
        <v>2</v>
      </c>
      <c r="F346" s="28">
        <f ca="1">E346*_GramosXFrasco</f>
        <v>340</v>
      </c>
      <c r="G346" s="38">
        <f t="shared" ca="1" si="69"/>
        <v>0.82421996779084206</v>
      </c>
      <c r="H346" s="36">
        <f t="shared" ca="1" si="70"/>
        <v>0.6822671885000029</v>
      </c>
      <c r="I346" s="36">
        <f t="shared" ca="1" si="71"/>
        <v>0.59786107728872306</v>
      </c>
      <c r="J346" s="36">
        <f t="shared" ca="1" si="65"/>
        <v>-0.81515696532030568</v>
      </c>
      <c r="K346" s="37">
        <f ca="1">IF(J346&lt;&gt;-1,_Media_M + J346*_Sigma,-1)</f>
        <v>62.772645520195411</v>
      </c>
      <c r="L346" s="3">
        <f t="shared" ca="1" si="72"/>
        <v>-1</v>
      </c>
      <c r="M346" s="18">
        <f ca="1">IF(LOOKUP(G346,$H$3:$H$4,$E$3:$E$4)=1,50,_Media_M + J346*_Sigma)</f>
        <v>62.772645520195411</v>
      </c>
      <c r="N346" s="36">
        <f t="shared" ca="1" si="73"/>
        <v>39.880147820363185</v>
      </c>
      <c r="O346" s="35">
        <f t="shared" ca="1" si="66"/>
        <v>102.65279334055859</v>
      </c>
      <c r="P346" s="19">
        <f t="shared" ca="1" si="75"/>
        <v>102.65279334055859</v>
      </c>
      <c r="Q346" s="20">
        <f ca="1" xml:space="preserve"> P346*_Precio_cafe</f>
        <v>153.9791900108379</v>
      </c>
      <c r="R346" s="20">
        <f t="shared" ca="1" si="76"/>
        <v>47277.413330174633</v>
      </c>
      <c r="S346" s="20">
        <f ca="1">(1/A346)*((A346-1)*S345 +Q346)</f>
        <v>143.26488887931708</v>
      </c>
      <c r="T346" s="20">
        <f ca="1">IF((T345-P346+F346)&gt;_Max_Stock_Gramos,_Max_Stock_Gramos,T345-P346+F346)</f>
        <v>1700</v>
      </c>
      <c r="U346" s="20">
        <f ca="1">T346/_GramosXFrasco</f>
        <v>10</v>
      </c>
      <c r="V346" s="58">
        <f ca="1">(T346/_Max_Stock_Gramos)</f>
        <v>1</v>
      </c>
      <c r="W346" s="58"/>
      <c r="X346" s="10">
        <f ca="1">IF((T345-O346)&lt;0,(T345-O346)*_Costo_Faltante,0)</f>
        <v>0</v>
      </c>
      <c r="Y346">
        <f ca="1">IF(B346=0,E346*_Costo_Frasco,0)</f>
        <v>-500</v>
      </c>
      <c r="Z346" s="11">
        <f t="shared" ca="1" si="77"/>
        <v>-48000</v>
      </c>
    </row>
    <row r="347" spans="1:26" x14ac:dyDescent="0.25">
      <c r="A347" s="30">
        <f t="shared" si="74"/>
        <v>331</v>
      </c>
      <c r="B347" s="10">
        <f>IF(B346=0,_Proxima_Compra,B346-1)</f>
        <v>1</v>
      </c>
      <c r="C347" s="3">
        <f t="shared" ca="1" si="67"/>
        <v>-1</v>
      </c>
      <c r="D347" s="3">
        <f ca="1">IF(D346&gt;0,D346-1,IF(C347&gt;0,LOOKUP(C347,$S$3:$S$5,$P$3:$P$5),-1))</f>
        <v>-1</v>
      </c>
      <c r="E347" s="25">
        <f t="shared" ca="1" si="68"/>
        <v>0</v>
      </c>
      <c r="F347" s="28">
        <f ca="1">E347*_GramosXFrasco</f>
        <v>0</v>
      </c>
      <c r="G347" s="38">
        <f t="shared" ca="1" si="69"/>
        <v>0.21321634483007612</v>
      </c>
      <c r="H347" s="36">
        <f t="shared" ca="1" si="70"/>
        <v>-1</v>
      </c>
      <c r="I347" s="36">
        <f t="shared" ca="1" si="71"/>
        <v>-1</v>
      </c>
      <c r="J347" s="36">
        <f t="shared" ca="1" si="65"/>
        <v>-1</v>
      </c>
      <c r="K347" s="37">
        <f ca="1">IF(J347&lt;&gt;-1,_Media_M + J347*_Sigma,-1)</f>
        <v>-1</v>
      </c>
      <c r="L347" s="3">
        <f t="shared" ca="1" si="72"/>
        <v>50</v>
      </c>
      <c r="M347" s="18">
        <f ca="1">IF(LOOKUP(G347,$H$3:$H$4,$E$3:$E$4)=1,50,_Media_M + J347*_Sigma)</f>
        <v>50</v>
      </c>
      <c r="N347" s="36">
        <f t="shared" ca="1" si="73"/>
        <v>12.721059988620183</v>
      </c>
      <c r="O347" s="35">
        <f t="shared" ca="1" si="66"/>
        <v>62.721059988620183</v>
      </c>
      <c r="P347" s="19">
        <f t="shared" ca="1" si="75"/>
        <v>62.721059988620183</v>
      </c>
      <c r="Q347" s="20">
        <f ca="1" xml:space="preserve"> P347*_Precio_cafe</f>
        <v>94.081589982930268</v>
      </c>
      <c r="R347" s="20">
        <f t="shared" ca="1" si="76"/>
        <v>47371.494920157566</v>
      </c>
      <c r="S347" s="20">
        <f ca="1">(1/A347)*((A347-1)*S346 +Q347)</f>
        <v>143.1162988524398</v>
      </c>
      <c r="T347" s="20">
        <f ca="1">IF((T346-P347+F347)&gt;_Max_Stock_Gramos,_Max_Stock_Gramos,T346-P347+F347)</f>
        <v>1637.2789400113797</v>
      </c>
      <c r="U347" s="20">
        <f ca="1">T347/_GramosXFrasco</f>
        <v>9.631052588302234</v>
      </c>
      <c r="V347" s="58">
        <f ca="1">(T347/_Max_Stock_Gramos)</f>
        <v>0.96310525883022335</v>
      </c>
      <c r="W347" s="58"/>
      <c r="X347" s="10">
        <f ca="1">IF((T346-O347)&lt;0,(T346-O347)*_Costo_Faltante,0)</f>
        <v>0</v>
      </c>
      <c r="Y347">
        <f>IF(B347=0,E347*_Costo_Frasco,0)</f>
        <v>0</v>
      </c>
      <c r="Z347" s="11">
        <f t="shared" ca="1" si="77"/>
        <v>-48000</v>
      </c>
    </row>
    <row r="348" spans="1:26" x14ac:dyDescent="0.25">
      <c r="A348" s="30">
        <f t="shared" si="74"/>
        <v>332</v>
      </c>
      <c r="B348" s="10">
        <f>IF(B347=0,_Proxima_Compra,B347-1)</f>
        <v>0</v>
      </c>
      <c r="C348" s="3">
        <f t="shared" ca="1" si="67"/>
        <v>0.6036563947148802</v>
      </c>
      <c r="D348" s="3">
        <f ca="1">IF(D347&gt;0,D347-1,IF(C348&gt;0,LOOKUP(C348,$S$3:$S$5,$P$3:$P$5),-1))</f>
        <v>1</v>
      </c>
      <c r="E348" s="25">
        <f t="shared" ca="1" si="68"/>
        <v>0</v>
      </c>
      <c r="F348" s="28">
        <f ca="1">E348*_GramosXFrasco</f>
        <v>0</v>
      </c>
      <c r="G348" s="38">
        <f t="shared" ca="1" si="69"/>
        <v>0.93693332822205366</v>
      </c>
      <c r="H348" s="36">
        <f t="shared" ca="1" si="70"/>
        <v>0.31500008660328038</v>
      </c>
      <c r="I348" s="36">
        <f t="shared" ca="1" si="71"/>
        <v>0.4988026848614564</v>
      </c>
      <c r="J348" s="36">
        <f t="shared" ca="1" si="65"/>
        <v>-0.57323674781784395</v>
      </c>
      <c r="K348" s="37">
        <f ca="1">IF(J348&lt;&gt;-1,_Media_M + J348*_Sigma,-1)</f>
        <v>66.401448782732345</v>
      </c>
      <c r="L348" s="3">
        <f t="shared" ca="1" si="72"/>
        <v>-1</v>
      </c>
      <c r="M348" s="18">
        <f ca="1">IF(LOOKUP(G348,$H$3:$H$4,$E$3:$E$4)=1,50,_Media_M + J348*_Sigma)</f>
        <v>66.401448782732345</v>
      </c>
      <c r="N348" s="36">
        <f t="shared" ca="1" si="73"/>
        <v>46.380562641472444</v>
      </c>
      <c r="O348" s="35">
        <f t="shared" ca="1" si="66"/>
        <v>112.7820114242048</v>
      </c>
      <c r="P348" s="19">
        <f t="shared" ca="1" si="75"/>
        <v>112.7820114242048</v>
      </c>
      <c r="Q348" s="20">
        <f ca="1" xml:space="preserve"> P348*_Precio_cafe</f>
        <v>169.17301713630718</v>
      </c>
      <c r="R348" s="20">
        <f t="shared" ca="1" si="76"/>
        <v>47540.667937293874</v>
      </c>
      <c r="S348" s="20">
        <f ca="1">(1/A348)*((A348-1)*S347 +Q348)</f>
        <v>143.19478294365626</v>
      </c>
      <c r="T348" s="20">
        <f ca="1">IF((T347-P348+F348)&gt;_Max_Stock_Gramos,_Max_Stock_Gramos,T347-P348+F348)</f>
        <v>1524.496928587175</v>
      </c>
      <c r="U348" s="20">
        <f ca="1">T348/_GramosXFrasco</f>
        <v>8.9676289916892653</v>
      </c>
      <c r="V348" s="58">
        <f ca="1">(T348/_Max_Stock_Gramos)</f>
        <v>0.89676289916892649</v>
      </c>
      <c r="W348" s="58"/>
      <c r="X348" s="10">
        <f ca="1">IF((T347-O348)&lt;0,(T347-O348)*_Costo_Faltante,0)</f>
        <v>0</v>
      </c>
      <c r="Y348">
        <f ca="1">IF(B348=0,E348*_Costo_Frasco,0)</f>
        <v>0</v>
      </c>
      <c r="Z348" s="11">
        <f t="shared" ca="1" si="77"/>
        <v>-48000</v>
      </c>
    </row>
    <row r="349" spans="1:26" x14ac:dyDescent="0.25">
      <c r="A349" s="30">
        <f t="shared" si="74"/>
        <v>333</v>
      </c>
      <c r="B349" s="10">
        <f>IF(B348=0,_Proxima_Compra,B348-1)</f>
        <v>1</v>
      </c>
      <c r="C349" s="3">
        <f t="shared" ca="1" si="67"/>
        <v>-1</v>
      </c>
      <c r="D349" s="3">
        <f ca="1">IF(D348&gt;0,D348-1,IF(C349&gt;0,LOOKUP(C349,$S$3:$S$5,$P$3:$P$5),-1))</f>
        <v>0</v>
      </c>
      <c r="E349" s="25">
        <f t="shared" ca="1" si="68"/>
        <v>2</v>
      </c>
      <c r="F349" s="28">
        <f ca="1">E349*_GramosXFrasco</f>
        <v>340</v>
      </c>
      <c r="G349" s="38">
        <f t="shared" ca="1" si="69"/>
        <v>0.41159779178219358</v>
      </c>
      <c r="H349" s="36">
        <f t="shared" ca="1" si="70"/>
        <v>-1</v>
      </c>
      <c r="I349" s="36">
        <f t="shared" ca="1" si="71"/>
        <v>-1</v>
      </c>
      <c r="J349" s="36">
        <f t="shared" ca="1" si="65"/>
        <v>-1</v>
      </c>
      <c r="K349" s="37">
        <f ca="1">IF(J349&lt;&gt;-1,_Media_M + J349*_Sigma,-1)</f>
        <v>-1</v>
      </c>
      <c r="L349" s="3">
        <f t="shared" ca="1" si="72"/>
        <v>50</v>
      </c>
      <c r="M349" s="18">
        <f ca="1">IF(LOOKUP(G349,$H$3:$H$4,$E$3:$E$4)=1,50,_Media_M + J349*_Sigma)</f>
        <v>50</v>
      </c>
      <c r="N349" s="36">
        <f t="shared" ca="1" si="73"/>
        <v>26.004657989146121</v>
      </c>
      <c r="O349" s="35">
        <f t="shared" ca="1" si="66"/>
        <v>76.004657989146125</v>
      </c>
      <c r="P349" s="19">
        <f t="shared" ca="1" si="75"/>
        <v>76.004657989146125</v>
      </c>
      <c r="Q349" s="20">
        <f ca="1" xml:space="preserve"> P349*_Precio_cafe</f>
        <v>114.00698698371919</v>
      </c>
      <c r="R349" s="20">
        <f t="shared" ca="1" si="76"/>
        <v>47654.674924277591</v>
      </c>
      <c r="S349" s="20">
        <f ca="1">(1/A349)*((A349-1)*S348 +Q349)</f>
        <v>143.10713190473754</v>
      </c>
      <c r="T349" s="20">
        <f ca="1">IF((T348-P349+F349)&gt;_Max_Stock_Gramos,_Max_Stock_Gramos,T348-P349+F349)</f>
        <v>1700</v>
      </c>
      <c r="U349" s="20">
        <f ca="1">T349/_GramosXFrasco</f>
        <v>10</v>
      </c>
      <c r="V349" s="58">
        <f ca="1">(T349/_Max_Stock_Gramos)</f>
        <v>1</v>
      </c>
      <c r="W349" s="58"/>
      <c r="X349" s="10">
        <f ca="1">IF((T348-O349)&lt;0,(T348-O349)*_Costo_Faltante,0)</f>
        <v>0</v>
      </c>
      <c r="Y349">
        <f>IF(B349=0,E349*_Costo_Frasco,0)</f>
        <v>0</v>
      </c>
      <c r="Z349" s="11">
        <f t="shared" ca="1" si="77"/>
        <v>-48000</v>
      </c>
    </row>
    <row r="350" spans="1:26" x14ac:dyDescent="0.25">
      <c r="A350" s="30">
        <f t="shared" si="74"/>
        <v>334</v>
      </c>
      <c r="B350" s="10">
        <f>IF(B349=0,_Proxima_Compra,B349-1)</f>
        <v>0</v>
      </c>
      <c r="C350" s="3">
        <f t="shared" ca="1" si="67"/>
        <v>0.87160488715275442</v>
      </c>
      <c r="D350" s="3">
        <f ca="1">IF(D349&gt;0,D349-1,IF(C350&gt;0,LOOKUP(C350,$S$3:$S$5,$P$3:$P$5),-1))</f>
        <v>2</v>
      </c>
      <c r="E350" s="25">
        <f t="shared" ca="1" si="68"/>
        <v>0</v>
      </c>
      <c r="F350" s="28">
        <f ca="1">E350*_GramosXFrasco</f>
        <v>0</v>
      </c>
      <c r="G350" s="38">
        <f t="shared" ca="1" si="69"/>
        <v>0.15107760080337462</v>
      </c>
      <c r="H350" s="36">
        <f t="shared" ca="1" si="70"/>
        <v>-1</v>
      </c>
      <c r="I350" s="36">
        <f t="shared" ca="1" si="71"/>
        <v>-1</v>
      </c>
      <c r="J350" s="36">
        <f t="shared" ca="1" si="65"/>
        <v>-1</v>
      </c>
      <c r="K350" s="37">
        <f ca="1">IF(J350&lt;&gt;-1,_Media_M + J350*_Sigma,-1)</f>
        <v>-1</v>
      </c>
      <c r="L350" s="3">
        <f t="shared" ca="1" si="72"/>
        <v>50</v>
      </c>
      <c r="M350" s="18">
        <f ca="1">IF(LOOKUP(G350,$H$3:$H$4,$E$3:$E$4)=1,50,_Media_M + J350*_Sigma)</f>
        <v>50</v>
      </c>
      <c r="N350" s="36">
        <f t="shared" ca="1" si="73"/>
        <v>48.588136801400857</v>
      </c>
      <c r="O350" s="35">
        <f t="shared" ca="1" si="66"/>
        <v>98.58813680140085</v>
      </c>
      <c r="P350" s="19">
        <f t="shared" ca="1" si="75"/>
        <v>98.58813680140085</v>
      </c>
      <c r="Q350" s="20">
        <f ca="1" xml:space="preserve"> P350*_Precio_cafe</f>
        <v>147.88220520210126</v>
      </c>
      <c r="R350" s="20">
        <f t="shared" ca="1" si="76"/>
        <v>47802.55712947969</v>
      </c>
      <c r="S350" s="20">
        <f ca="1">(1/A350)*((A350-1)*S349 +Q350)</f>
        <v>143.12142853137635</v>
      </c>
      <c r="T350" s="20">
        <f ca="1">IF((T349-P350+F350)&gt;_Max_Stock_Gramos,_Max_Stock_Gramos,T349-P350+F350)</f>
        <v>1601.4118631985991</v>
      </c>
      <c r="U350" s="20">
        <f ca="1">T350/_GramosXFrasco</f>
        <v>9.4200697835211713</v>
      </c>
      <c r="V350" s="58">
        <f ca="1">(T350/_Max_Stock_Gramos)</f>
        <v>0.94200697835211711</v>
      </c>
      <c r="W350" s="58"/>
      <c r="X350" s="10">
        <f ca="1">IF((T349-O350)&lt;0,(T349-O350)*_Costo_Faltante,0)</f>
        <v>0</v>
      </c>
      <c r="Y350">
        <f ca="1">IF(B350=0,E350*_Costo_Frasco,0)</f>
        <v>0</v>
      </c>
      <c r="Z350" s="11">
        <f t="shared" ca="1" si="77"/>
        <v>-48000</v>
      </c>
    </row>
    <row r="351" spans="1:26" x14ac:dyDescent="0.25">
      <c r="A351" s="30">
        <f t="shared" si="74"/>
        <v>335</v>
      </c>
      <c r="B351" s="10">
        <f>IF(B350=0,_Proxima_Compra,B350-1)</f>
        <v>1</v>
      </c>
      <c r="C351" s="3">
        <f t="shared" ca="1" si="67"/>
        <v>-1</v>
      </c>
      <c r="D351" s="3">
        <f ca="1">IF(D350&gt;0,D350-1,IF(C351&gt;0,LOOKUP(C351,$S$3:$S$5,$P$3:$P$5),-1))</f>
        <v>1</v>
      </c>
      <c r="E351" s="25">
        <f t="shared" ca="1" si="68"/>
        <v>0</v>
      </c>
      <c r="F351" s="28">
        <f ca="1">E351*_GramosXFrasco</f>
        <v>0</v>
      </c>
      <c r="G351" s="38">
        <f t="shared" ca="1" si="69"/>
        <v>0.6716244879709371</v>
      </c>
      <c r="H351" s="36">
        <f t="shared" ca="1" si="70"/>
        <v>0.60416387728464571</v>
      </c>
      <c r="I351" s="36">
        <f t="shared" ca="1" si="71"/>
        <v>0.89130373832097831</v>
      </c>
      <c r="J351" s="36">
        <f t="shared" ca="1" si="65"/>
        <v>0.69596656881824126</v>
      </c>
      <c r="K351" s="37">
        <f ca="1">IF(J351&lt;&gt;-1,_Media_M + J351*_Sigma,-1)</f>
        <v>85.439498532273618</v>
      </c>
      <c r="L351" s="3">
        <f t="shared" ca="1" si="72"/>
        <v>-1</v>
      </c>
      <c r="M351" s="18">
        <f ca="1">IF(LOOKUP(G351,$H$3:$H$4,$E$3:$E$4)=1,50,_Media_M + J351*_Sigma)</f>
        <v>85.439498532273618</v>
      </c>
      <c r="N351" s="36">
        <f t="shared" ca="1" si="73"/>
        <v>6.1282735104667925</v>
      </c>
      <c r="O351" s="35">
        <f t="shared" ca="1" si="66"/>
        <v>91.567772042740415</v>
      </c>
      <c r="P351" s="19">
        <f t="shared" ca="1" si="75"/>
        <v>91.567772042740415</v>
      </c>
      <c r="Q351" s="20">
        <f ca="1" xml:space="preserve"> P351*_Precio_cafe</f>
        <v>137.35165806411061</v>
      </c>
      <c r="R351" s="20">
        <f t="shared" ca="1" si="76"/>
        <v>47939.908787543798</v>
      </c>
      <c r="S351" s="20">
        <f ca="1">(1/A351)*((A351-1)*S350 +Q351)</f>
        <v>143.10420533595169</v>
      </c>
      <c r="T351" s="20">
        <f ca="1">IF((T350-P351+F351)&gt;_Max_Stock_Gramos,_Max_Stock_Gramos,T350-P351+F351)</f>
        <v>1509.8440911558587</v>
      </c>
      <c r="U351" s="20">
        <f ca="1">T351/_GramosXFrasco</f>
        <v>8.8814358303285807</v>
      </c>
      <c r="V351" s="58">
        <f ca="1">(T351/_Max_Stock_Gramos)</f>
        <v>0.88814358303285801</v>
      </c>
      <c r="W351" s="58"/>
      <c r="X351" s="10">
        <f ca="1">IF((T350-O351)&lt;0,(T350-O351)*_Costo_Faltante,0)</f>
        <v>0</v>
      </c>
      <c r="Y351">
        <f>IF(B351=0,E351*_Costo_Frasco,0)</f>
        <v>0</v>
      </c>
      <c r="Z351" s="11">
        <f t="shared" ca="1" si="77"/>
        <v>-48000</v>
      </c>
    </row>
    <row r="352" spans="1:26" x14ac:dyDescent="0.25">
      <c r="A352" s="30">
        <f t="shared" si="74"/>
        <v>336</v>
      </c>
      <c r="B352" s="10">
        <f>IF(B351=0,_Proxima_Compra,B351-1)</f>
        <v>0</v>
      </c>
      <c r="C352" s="3">
        <f t="shared" ca="1" si="67"/>
        <v>4.1234275575821044E-3</v>
      </c>
      <c r="D352" s="3">
        <f ca="1">IF(D351&gt;0,D351-1,IF(C352&gt;0,LOOKUP(C352,$S$3:$S$5,$P$3:$P$5),-1))</f>
        <v>0</v>
      </c>
      <c r="E352" s="25">
        <f t="shared" ca="1" si="68"/>
        <v>2</v>
      </c>
      <c r="F352" s="28">
        <f ca="1">E352*_GramosXFrasco</f>
        <v>340</v>
      </c>
      <c r="G352" s="38">
        <f t="shared" ca="1" si="69"/>
        <v>0.20001359386732209</v>
      </c>
      <c r="H352" s="36">
        <f t="shared" ca="1" si="70"/>
        <v>-1</v>
      </c>
      <c r="I352" s="36">
        <f t="shared" ca="1" si="71"/>
        <v>-1</v>
      </c>
      <c r="J352" s="36">
        <f t="shared" ca="1" si="65"/>
        <v>-1</v>
      </c>
      <c r="K352" s="37">
        <f ca="1">IF(J352&lt;&gt;-1,_Media_M + J352*_Sigma,-1)</f>
        <v>-1</v>
      </c>
      <c r="L352" s="3">
        <f t="shared" ca="1" si="72"/>
        <v>50</v>
      </c>
      <c r="M352" s="18">
        <f ca="1">IF(LOOKUP(G352,$H$3:$H$4,$E$3:$E$4)=1,50,_Media_M + J352*_Sigma)</f>
        <v>50</v>
      </c>
      <c r="N352" s="36">
        <f t="shared" ca="1" si="73"/>
        <v>4.0929425665202137</v>
      </c>
      <c r="O352" s="35">
        <f t="shared" ca="1" si="66"/>
        <v>54.092942566520215</v>
      </c>
      <c r="P352" s="19">
        <f t="shared" ca="1" si="75"/>
        <v>54.092942566520215</v>
      </c>
      <c r="Q352" s="20">
        <f ca="1" xml:space="preserve"> P352*_Precio_cafe</f>
        <v>81.139413849780325</v>
      </c>
      <c r="R352" s="20">
        <f t="shared" ca="1" si="76"/>
        <v>48021.048201393576</v>
      </c>
      <c r="S352" s="20">
        <f ca="1">(1/A352)*((A352-1)*S351 +Q352)</f>
        <v>142.91978631367138</v>
      </c>
      <c r="T352" s="20">
        <f ca="1">IF((T351-P352+F352)&gt;_Max_Stock_Gramos,_Max_Stock_Gramos,T351-P352+F352)</f>
        <v>1700</v>
      </c>
      <c r="U352" s="20">
        <f ca="1">T352/_GramosXFrasco</f>
        <v>10</v>
      </c>
      <c r="V352" s="58">
        <f ca="1">(T352/_Max_Stock_Gramos)</f>
        <v>1</v>
      </c>
      <c r="W352" s="58"/>
      <c r="X352" s="10">
        <f ca="1">IF((T351-O352)&lt;0,(T351-O352)*_Costo_Faltante,0)</f>
        <v>0</v>
      </c>
      <c r="Y352">
        <f ca="1">IF(B352=0,E352*_Costo_Frasco,0)</f>
        <v>-500</v>
      </c>
      <c r="Z352" s="11">
        <f t="shared" ca="1" si="77"/>
        <v>-48500</v>
      </c>
    </row>
    <row r="353" spans="1:26" x14ac:dyDescent="0.25">
      <c r="A353" s="30">
        <f t="shared" si="74"/>
        <v>337</v>
      </c>
      <c r="B353" s="10">
        <f>IF(B352=0,_Proxima_Compra,B352-1)</f>
        <v>1</v>
      </c>
      <c r="C353" s="3">
        <f t="shared" ca="1" si="67"/>
        <v>-1</v>
      </c>
      <c r="D353" s="3">
        <f ca="1">IF(D352&gt;0,D352-1,IF(C353&gt;0,LOOKUP(C353,$S$3:$S$5,$P$3:$P$5),-1))</f>
        <v>-1</v>
      </c>
      <c r="E353" s="25">
        <f t="shared" ca="1" si="68"/>
        <v>0</v>
      </c>
      <c r="F353" s="28">
        <f ca="1">E353*_GramosXFrasco</f>
        <v>0</v>
      </c>
      <c r="G353" s="38">
        <f t="shared" ca="1" si="69"/>
        <v>0.48340563542771053</v>
      </c>
      <c r="H353" s="36">
        <f t="shared" ca="1" si="70"/>
        <v>-1</v>
      </c>
      <c r="I353" s="36">
        <f t="shared" ca="1" si="71"/>
        <v>-1</v>
      </c>
      <c r="J353" s="36">
        <f t="shared" ca="1" si="65"/>
        <v>-1</v>
      </c>
      <c r="K353" s="37">
        <f ca="1">IF(J353&lt;&gt;-1,_Media_M + J353*_Sigma,-1)</f>
        <v>-1</v>
      </c>
      <c r="L353" s="3">
        <f t="shared" ca="1" si="72"/>
        <v>50</v>
      </c>
      <c r="M353" s="18">
        <f ca="1">IF(LOOKUP(G353,$H$3:$H$4,$E$3:$E$4)=1,50,_Media_M + J353*_Sigma)</f>
        <v>50</v>
      </c>
      <c r="N353" s="36">
        <f t="shared" ca="1" si="73"/>
        <v>52.127851761192673</v>
      </c>
      <c r="O353" s="35">
        <f t="shared" ca="1" si="66"/>
        <v>102.12785176119267</v>
      </c>
      <c r="P353" s="19">
        <f t="shared" ca="1" si="75"/>
        <v>102.12785176119267</v>
      </c>
      <c r="Q353" s="20">
        <f ca="1" xml:space="preserve"> P353*_Precio_cafe</f>
        <v>153.191777641789</v>
      </c>
      <c r="R353" s="20">
        <f t="shared" ca="1" si="76"/>
        <v>48174.239979035367</v>
      </c>
      <c r="S353" s="20">
        <f ca="1">(1/A353)*((A353-1)*S352 +Q353)</f>
        <v>142.95026700010496</v>
      </c>
      <c r="T353" s="20">
        <f ca="1">IF((T352-P353+F353)&gt;_Max_Stock_Gramos,_Max_Stock_Gramos,T352-P353+F353)</f>
        <v>1597.8721482388073</v>
      </c>
      <c r="U353" s="20">
        <f ca="1">T353/_GramosXFrasco</f>
        <v>9.3992479308165144</v>
      </c>
      <c r="V353" s="58">
        <f ca="1">(T353/_Max_Stock_Gramos)</f>
        <v>0.93992479308165133</v>
      </c>
      <c r="W353" s="58"/>
      <c r="X353" s="10">
        <f ca="1">IF((T352-O353)&lt;0,(T352-O353)*_Costo_Faltante,0)</f>
        <v>0</v>
      </c>
      <c r="Y353">
        <f>IF(B353=0,E353*_Costo_Frasco,0)</f>
        <v>0</v>
      </c>
      <c r="Z353" s="11">
        <f t="shared" ca="1" si="77"/>
        <v>-48500</v>
      </c>
    </row>
    <row r="354" spans="1:26" x14ac:dyDescent="0.25">
      <c r="A354" s="30">
        <f t="shared" si="74"/>
        <v>338</v>
      </c>
      <c r="B354" s="10">
        <f>IF(B353=0,_Proxima_Compra,B353-1)</f>
        <v>0</v>
      </c>
      <c r="C354" s="3">
        <f t="shared" ca="1" si="67"/>
        <v>0.46217501662720639</v>
      </c>
      <c r="D354" s="3">
        <f ca="1">IF(D353&gt;0,D353-1,IF(C354&gt;0,LOOKUP(C354,$S$3:$S$5,$P$3:$P$5),-1))</f>
        <v>0</v>
      </c>
      <c r="E354" s="25">
        <f t="shared" ca="1" si="68"/>
        <v>2</v>
      </c>
      <c r="F354" s="28">
        <f ca="1">E354*_GramosXFrasco</f>
        <v>340</v>
      </c>
      <c r="G354" s="38">
        <f t="shared" ca="1" si="69"/>
        <v>0.71077871097697742</v>
      </c>
      <c r="H354" s="36">
        <f t="shared" ca="1" si="70"/>
        <v>0.87331060080464995</v>
      </c>
      <c r="I354" s="36">
        <f t="shared" ca="1" si="71"/>
        <v>0.75343480789790573</v>
      </c>
      <c r="J354" s="36">
        <f t="shared" ca="1" si="65"/>
        <v>2.8908309262395963E-2</v>
      </c>
      <c r="K354" s="37">
        <f ca="1">IF(J354&lt;&gt;-1,_Media_M + J354*_Sigma,-1)</f>
        <v>75.433624638935939</v>
      </c>
      <c r="L354" s="3">
        <f t="shared" ca="1" si="72"/>
        <v>-1</v>
      </c>
      <c r="M354" s="18">
        <f ca="1">IF(LOOKUP(G354,$H$3:$H$4,$E$3:$E$4)=1,50,_Media_M + J354*_Sigma)</f>
        <v>75.433624638935939</v>
      </c>
      <c r="N354" s="36">
        <f t="shared" ca="1" si="73"/>
        <v>15.189257784370598</v>
      </c>
      <c r="O354" s="35">
        <f t="shared" ca="1" si="66"/>
        <v>90.622882423306535</v>
      </c>
      <c r="P354" s="19">
        <f t="shared" ca="1" si="75"/>
        <v>90.622882423306535</v>
      </c>
      <c r="Q354" s="20">
        <f ca="1" xml:space="preserve"> P354*_Precio_cafe</f>
        <v>135.93432363495981</v>
      </c>
      <c r="R354" s="20">
        <f t="shared" ca="1" si="76"/>
        <v>48310.174302670326</v>
      </c>
      <c r="S354" s="20">
        <f ca="1">(1/A354)*((A354-1)*S353 +Q354)</f>
        <v>142.92950977121401</v>
      </c>
      <c r="T354" s="20">
        <f ca="1">IF((T353-P354+F354)&gt;_Max_Stock_Gramos,_Max_Stock_Gramos,T353-P354+F354)</f>
        <v>1700</v>
      </c>
      <c r="U354" s="20">
        <f ca="1">T354/_GramosXFrasco</f>
        <v>10</v>
      </c>
      <c r="V354" s="58">
        <f ca="1">(T354/_Max_Stock_Gramos)</f>
        <v>1</v>
      </c>
      <c r="W354" s="58"/>
      <c r="X354" s="10">
        <f ca="1">IF((T353-O354)&lt;0,(T353-O354)*_Costo_Faltante,0)</f>
        <v>0</v>
      </c>
      <c r="Y354">
        <f ca="1">IF(B354=0,E354*_Costo_Frasco,0)</f>
        <v>-500</v>
      </c>
      <c r="Z354" s="11">
        <f t="shared" ca="1" si="77"/>
        <v>-49000</v>
      </c>
    </row>
    <row r="355" spans="1:26" x14ac:dyDescent="0.25">
      <c r="A355" s="30">
        <f t="shared" si="74"/>
        <v>339</v>
      </c>
      <c r="B355" s="10">
        <f>IF(B354=0,_Proxima_Compra,B354-1)</f>
        <v>1</v>
      </c>
      <c r="C355" s="3">
        <f t="shared" ca="1" si="67"/>
        <v>-1</v>
      </c>
      <c r="D355" s="3">
        <f ca="1">IF(D354&gt;0,D354-1,IF(C355&gt;0,LOOKUP(C355,$S$3:$S$5,$P$3:$P$5),-1))</f>
        <v>-1</v>
      </c>
      <c r="E355" s="25">
        <f t="shared" ca="1" si="68"/>
        <v>0</v>
      </c>
      <c r="F355" s="28">
        <f ca="1">E355*_GramosXFrasco</f>
        <v>0</v>
      </c>
      <c r="G355" s="38">
        <f t="shared" ca="1" si="69"/>
        <v>7.993109047680047E-2</v>
      </c>
      <c r="H355" s="36">
        <f t="shared" ca="1" si="70"/>
        <v>-1</v>
      </c>
      <c r="I355" s="36">
        <f t="shared" ca="1" si="71"/>
        <v>-1</v>
      </c>
      <c r="J355" s="36">
        <f t="shared" ca="1" si="65"/>
        <v>-1</v>
      </c>
      <c r="K355" s="37">
        <f ca="1">IF(J355&lt;&gt;-1,_Media_M + J355*_Sigma,-1)</f>
        <v>-1</v>
      </c>
      <c r="L355" s="3">
        <f t="shared" ca="1" si="72"/>
        <v>50</v>
      </c>
      <c r="M355" s="18">
        <f ca="1">IF(LOOKUP(G355,$H$3:$H$4,$E$3:$E$4)=1,50,_Media_M + J355*_Sigma)</f>
        <v>50</v>
      </c>
      <c r="N355" s="36">
        <f t="shared" ca="1" si="73"/>
        <v>6.9332789602142091</v>
      </c>
      <c r="O355" s="35">
        <f t="shared" ca="1" si="66"/>
        <v>56.93327896021421</v>
      </c>
      <c r="P355" s="19">
        <f t="shared" ca="1" si="75"/>
        <v>56.93327896021421</v>
      </c>
      <c r="Q355" s="20">
        <f ca="1" xml:space="preserve"> P355*_Precio_cafe</f>
        <v>85.399918440321315</v>
      </c>
      <c r="R355" s="20">
        <f t="shared" ca="1" si="76"/>
        <v>48395.574221110648</v>
      </c>
      <c r="S355" s="20">
        <f ca="1">(1/A355)*((A355-1)*S354 +Q355)</f>
        <v>142.75980596197834</v>
      </c>
      <c r="T355" s="20">
        <f ca="1">IF((T354-P355+F355)&gt;_Max_Stock_Gramos,_Max_Stock_Gramos,T354-P355+F355)</f>
        <v>1643.0667210397858</v>
      </c>
      <c r="U355" s="20">
        <f ca="1">T355/_GramosXFrasco</f>
        <v>9.6650983590575628</v>
      </c>
      <c r="V355" s="58">
        <f ca="1">(T355/_Max_Stock_Gramos)</f>
        <v>0.96650983590575634</v>
      </c>
      <c r="W355" s="58"/>
      <c r="X355" s="10">
        <f ca="1">IF((T354-O355)&lt;0,(T354-O355)*_Costo_Faltante,0)</f>
        <v>0</v>
      </c>
      <c r="Y355">
        <f>IF(B355=0,E355*_Costo_Frasco,0)</f>
        <v>0</v>
      </c>
      <c r="Z355" s="11">
        <f t="shared" ca="1" si="77"/>
        <v>-49000</v>
      </c>
    </row>
    <row r="356" spans="1:26" x14ac:dyDescent="0.25">
      <c r="A356" s="30">
        <f t="shared" si="74"/>
        <v>340</v>
      </c>
      <c r="B356" s="10">
        <f>IF(B355=0,_Proxima_Compra,B355-1)</f>
        <v>0</v>
      </c>
      <c r="C356" s="3">
        <f t="shared" ca="1" si="67"/>
        <v>0.626254139126458</v>
      </c>
      <c r="D356" s="3">
        <f ca="1">IF(D355&gt;0,D355-1,IF(C356&gt;0,LOOKUP(C356,$S$3:$S$5,$P$3:$P$5),-1))</f>
        <v>1</v>
      </c>
      <c r="E356" s="25">
        <f t="shared" ca="1" si="68"/>
        <v>0</v>
      </c>
      <c r="F356" s="28">
        <f ca="1">E356*_GramosXFrasco</f>
        <v>0</v>
      </c>
      <c r="G356" s="38">
        <f t="shared" ca="1" si="69"/>
        <v>0.84720710546345934</v>
      </c>
      <c r="H356" s="36">
        <f t="shared" ca="1" si="70"/>
        <v>0.43284056350833966</v>
      </c>
      <c r="I356" s="36">
        <f t="shared" ca="1" si="71"/>
        <v>0.24720319741631858</v>
      </c>
      <c r="J356" s="36">
        <f t="shared" ref="J356:J419" ca="1" si="78">IF(I356&gt;0,SQRT(-2*LOG(1-H356)) * COS(2*PI()*I356),-1)</f>
        <v>1.2332808292983204E-2</v>
      </c>
      <c r="K356" s="37">
        <f ca="1">IF(J356&lt;&gt;-1,_Media_M + J356*_Sigma,-1)</f>
        <v>75.184992124394753</v>
      </c>
      <c r="L356" s="3">
        <f t="shared" ca="1" si="72"/>
        <v>-1</v>
      </c>
      <c r="M356" s="18">
        <f ca="1">IF(LOOKUP(G356,$H$3:$H$4,$E$3:$E$4)=1,50,_Media_M + J356*_Sigma)</f>
        <v>75.184992124394753</v>
      </c>
      <c r="N356" s="36">
        <f t="shared" ca="1" si="73"/>
        <v>30.180721933679287</v>
      </c>
      <c r="O356" s="35">
        <f t="shared" ref="O356:O419" ca="1" si="79">M356+N356</f>
        <v>105.36571405807405</v>
      </c>
      <c r="P356" s="19">
        <f t="shared" ca="1" si="75"/>
        <v>105.36571405807405</v>
      </c>
      <c r="Q356" s="20">
        <f ca="1" xml:space="preserve"> P356*_Precio_cafe</f>
        <v>158.04857108711107</v>
      </c>
      <c r="R356" s="20">
        <f t="shared" ca="1" si="76"/>
        <v>48553.622792197762</v>
      </c>
      <c r="S356" s="20">
        <f ca="1">(1/A356)*((A356-1)*S355 +Q356)</f>
        <v>142.80477291822874</v>
      </c>
      <c r="T356" s="20">
        <f ca="1">IF((T355-P356+F356)&gt;_Max_Stock_Gramos,_Max_Stock_Gramos,T355-P356+F356)</f>
        <v>1537.7010069817118</v>
      </c>
      <c r="U356" s="20">
        <f ca="1">T356/_GramosXFrasco</f>
        <v>9.0453000410688933</v>
      </c>
      <c r="V356" s="58">
        <f ca="1">(T356/_Max_Stock_Gramos)</f>
        <v>0.90453000410688933</v>
      </c>
      <c r="W356" s="58"/>
      <c r="X356" s="10">
        <f ca="1">IF((T355-O356)&lt;0,(T355-O356)*_Costo_Faltante,0)</f>
        <v>0</v>
      </c>
      <c r="Y356">
        <f ca="1">IF(B356=0,E356*_Costo_Frasco,0)</f>
        <v>0</v>
      </c>
      <c r="Z356" s="11">
        <f t="shared" ca="1" si="77"/>
        <v>-49000</v>
      </c>
    </row>
    <row r="357" spans="1:26" x14ac:dyDescent="0.25">
      <c r="A357" s="30">
        <f t="shared" si="74"/>
        <v>341</v>
      </c>
      <c r="B357" s="10">
        <f>IF(B356=0,_Proxima_Compra,B356-1)</f>
        <v>1</v>
      </c>
      <c r="C357" s="3">
        <f t="shared" ca="1" si="67"/>
        <v>-1</v>
      </c>
      <c r="D357" s="3">
        <f ca="1">IF(D356&gt;0,D356-1,IF(C357&gt;0,LOOKUP(C357,$S$3:$S$5,$P$3:$P$5),-1))</f>
        <v>0</v>
      </c>
      <c r="E357" s="25">
        <f t="shared" ca="1" si="68"/>
        <v>2</v>
      </c>
      <c r="F357" s="28">
        <f ca="1">E357*_GramosXFrasco</f>
        <v>340</v>
      </c>
      <c r="G357" s="38">
        <f t="shared" ca="1" si="69"/>
        <v>4.5071288002949017E-2</v>
      </c>
      <c r="H357" s="36">
        <f t="shared" ca="1" si="70"/>
        <v>-1</v>
      </c>
      <c r="I357" s="36">
        <f t="shared" ca="1" si="71"/>
        <v>-1</v>
      </c>
      <c r="J357" s="36">
        <f t="shared" ca="1" si="78"/>
        <v>-1</v>
      </c>
      <c r="K357" s="37">
        <f ca="1">IF(J357&lt;&gt;-1,_Media_M + J357*_Sigma,-1)</f>
        <v>-1</v>
      </c>
      <c r="L357" s="3">
        <f t="shared" ca="1" si="72"/>
        <v>50</v>
      </c>
      <c r="M357" s="18">
        <f ca="1">IF(LOOKUP(G357,$H$3:$H$4,$E$3:$E$4)=1,50,_Media_M + J357*_Sigma)</f>
        <v>50</v>
      </c>
      <c r="N357" s="36">
        <f t="shared" ca="1" si="73"/>
        <v>10.6000969341312</v>
      </c>
      <c r="O357" s="35">
        <f t="shared" ca="1" si="79"/>
        <v>60.600096934131201</v>
      </c>
      <c r="P357" s="19">
        <f t="shared" ca="1" si="75"/>
        <v>60.600096934131201</v>
      </c>
      <c r="Q357" s="20">
        <f ca="1" xml:space="preserve"> P357*_Precio_cafe</f>
        <v>90.900145401196795</v>
      </c>
      <c r="R357" s="20">
        <f t="shared" ca="1" si="76"/>
        <v>48644.522937598958</v>
      </c>
      <c r="S357" s="20">
        <f ca="1">(1/A357)*((A357-1)*S356 +Q357)</f>
        <v>142.65255993430782</v>
      </c>
      <c r="T357" s="20">
        <f ca="1">IF((T356-P357+F357)&gt;_Max_Stock_Gramos,_Max_Stock_Gramos,T356-P357+F357)</f>
        <v>1700</v>
      </c>
      <c r="U357" s="20">
        <f ca="1">T357/_GramosXFrasco</f>
        <v>10</v>
      </c>
      <c r="V357" s="58">
        <f ca="1">(T357/_Max_Stock_Gramos)</f>
        <v>1</v>
      </c>
      <c r="W357" s="58"/>
      <c r="X357" s="10">
        <f ca="1">IF((T356-O357)&lt;0,(T356-O357)*_Costo_Faltante,0)</f>
        <v>0</v>
      </c>
      <c r="Y357">
        <f>IF(B357=0,E357*_Costo_Frasco,0)</f>
        <v>0</v>
      </c>
      <c r="Z357" s="11">
        <f t="shared" ca="1" si="77"/>
        <v>-49000</v>
      </c>
    </row>
    <row r="358" spans="1:26" x14ac:dyDescent="0.25">
      <c r="A358" s="30">
        <f t="shared" si="74"/>
        <v>342</v>
      </c>
      <c r="B358" s="10">
        <f>IF(B357=0,_Proxima_Compra,B357-1)</f>
        <v>0</v>
      </c>
      <c r="C358" s="3">
        <f t="shared" ca="1" si="67"/>
        <v>0.20134804211112911</v>
      </c>
      <c r="D358" s="3">
        <f ca="1">IF(D357&gt;0,D357-1,IF(C358&gt;0,LOOKUP(C358,$S$3:$S$5,$P$3:$P$5),-1))</f>
        <v>0</v>
      </c>
      <c r="E358" s="25">
        <f t="shared" ca="1" si="68"/>
        <v>2</v>
      </c>
      <c r="F358" s="28">
        <f ca="1">E358*_GramosXFrasco</f>
        <v>340</v>
      </c>
      <c r="G358" s="38">
        <f t="shared" ca="1" si="69"/>
        <v>0.72958221631213105</v>
      </c>
      <c r="H358" s="36">
        <f t="shared" ca="1" si="70"/>
        <v>0.1723061642622602</v>
      </c>
      <c r="I358" s="36">
        <f t="shared" ca="1" si="71"/>
        <v>0.79092425543902523</v>
      </c>
      <c r="J358" s="36">
        <f t="shared" ca="1" si="78"/>
        <v>0.10306967636133055</v>
      </c>
      <c r="K358" s="37">
        <f ca="1">IF(J358&lt;&gt;-1,_Media_M + J358*_Sigma,-1)</f>
        <v>76.546045145419953</v>
      </c>
      <c r="L358" s="3">
        <f t="shared" ca="1" si="72"/>
        <v>-1</v>
      </c>
      <c r="M358" s="18">
        <f ca="1">IF(LOOKUP(G358,$H$3:$H$4,$E$3:$E$4)=1,50,_Media_M + J358*_Sigma)</f>
        <v>76.546045145419953</v>
      </c>
      <c r="N358" s="36">
        <f t="shared" ca="1" si="73"/>
        <v>93.356843789561097</v>
      </c>
      <c r="O358" s="35">
        <f t="shared" ca="1" si="79"/>
        <v>169.90288893498104</v>
      </c>
      <c r="P358" s="19">
        <f t="shared" ca="1" si="75"/>
        <v>169.90288893498104</v>
      </c>
      <c r="Q358" s="20">
        <f ca="1" xml:space="preserve"> P358*_Precio_cafe</f>
        <v>254.85433340247155</v>
      </c>
      <c r="R358" s="20">
        <f t="shared" ca="1" si="76"/>
        <v>48899.377271001431</v>
      </c>
      <c r="S358" s="20">
        <f ca="1">(1/A358)*((A358-1)*S357 +Q358)</f>
        <v>142.98063529532584</v>
      </c>
      <c r="T358" s="20">
        <f ca="1">IF((T357-P358+F358)&gt;_Max_Stock_Gramos,_Max_Stock_Gramos,T357-P358+F358)</f>
        <v>1700</v>
      </c>
      <c r="U358" s="20">
        <f ca="1">T358/_GramosXFrasco</f>
        <v>10</v>
      </c>
      <c r="V358" s="58">
        <f ca="1">(T358/_Max_Stock_Gramos)</f>
        <v>1</v>
      </c>
      <c r="W358" s="58"/>
      <c r="X358" s="10">
        <f ca="1">IF((T357-O358)&lt;0,(T357-O358)*_Costo_Faltante,0)</f>
        <v>0</v>
      </c>
      <c r="Y358">
        <f ca="1">IF(B358=0,E358*_Costo_Frasco,0)</f>
        <v>-500</v>
      </c>
      <c r="Z358" s="11">
        <f t="shared" ca="1" si="77"/>
        <v>-49500</v>
      </c>
    </row>
    <row r="359" spans="1:26" x14ac:dyDescent="0.25">
      <c r="A359" s="30">
        <f t="shared" si="74"/>
        <v>343</v>
      </c>
      <c r="B359" s="10">
        <f>IF(B358=0,_Proxima_Compra,B358-1)</f>
        <v>1</v>
      </c>
      <c r="C359" s="3">
        <f t="shared" ca="1" si="67"/>
        <v>-1</v>
      </c>
      <c r="D359" s="3">
        <f ca="1">IF(D358&gt;0,D358-1,IF(C359&gt;0,LOOKUP(C359,$S$3:$S$5,$P$3:$P$5),-1))</f>
        <v>-1</v>
      </c>
      <c r="E359" s="25">
        <f t="shared" ca="1" si="68"/>
        <v>0</v>
      </c>
      <c r="F359" s="28">
        <f ca="1">E359*_GramosXFrasco</f>
        <v>0</v>
      </c>
      <c r="G359" s="38">
        <f t="shared" ca="1" si="69"/>
        <v>6.6599569455987995E-2</v>
      </c>
      <c r="H359" s="36">
        <f t="shared" ca="1" si="70"/>
        <v>-1</v>
      </c>
      <c r="I359" s="36">
        <f t="shared" ca="1" si="71"/>
        <v>-1</v>
      </c>
      <c r="J359" s="36">
        <f t="shared" ca="1" si="78"/>
        <v>-1</v>
      </c>
      <c r="K359" s="37">
        <f ca="1">IF(J359&lt;&gt;-1,_Media_M + J359*_Sigma,-1)</f>
        <v>-1</v>
      </c>
      <c r="L359" s="3">
        <f t="shared" ca="1" si="72"/>
        <v>50</v>
      </c>
      <c r="M359" s="18">
        <f ca="1">IF(LOOKUP(G359,$H$3:$H$4,$E$3:$E$4)=1,50,_Media_M + J359*_Sigma)</f>
        <v>50</v>
      </c>
      <c r="N359" s="36">
        <f t="shared" ca="1" si="73"/>
        <v>17.879737927095281</v>
      </c>
      <c r="O359" s="35">
        <f t="shared" ca="1" si="79"/>
        <v>67.879737927095277</v>
      </c>
      <c r="P359" s="19">
        <f t="shared" ca="1" si="75"/>
        <v>67.879737927095277</v>
      </c>
      <c r="Q359" s="20">
        <f ca="1" xml:space="preserve"> P359*_Precio_cafe</f>
        <v>101.81960689064292</v>
      </c>
      <c r="R359" s="20">
        <f t="shared" ca="1" si="76"/>
        <v>49001.196877892071</v>
      </c>
      <c r="S359" s="20">
        <f ca="1">(1/A359)*((A359-1)*S358 +Q359)</f>
        <v>142.86063229706144</v>
      </c>
      <c r="T359" s="20">
        <f ca="1">IF((T358-P359+F359)&gt;_Max_Stock_Gramos,_Max_Stock_Gramos,T358-P359+F359)</f>
        <v>1632.1202620729048</v>
      </c>
      <c r="U359" s="20">
        <f ca="1">T359/_GramosXFrasco</f>
        <v>9.6007074239582639</v>
      </c>
      <c r="V359" s="58">
        <f ca="1">(T359/_Max_Stock_Gramos)</f>
        <v>0.96007074239582635</v>
      </c>
      <c r="W359" s="58"/>
      <c r="X359" s="10">
        <f ca="1">IF((T358-O359)&lt;0,(T358-O359)*_Costo_Faltante,0)</f>
        <v>0</v>
      </c>
      <c r="Y359">
        <f>IF(B359=0,E359*_Costo_Frasco,0)</f>
        <v>0</v>
      </c>
      <c r="Z359" s="11">
        <f t="shared" ca="1" si="77"/>
        <v>-49500</v>
      </c>
    </row>
    <row r="360" spans="1:26" x14ac:dyDescent="0.25">
      <c r="A360" s="30">
        <f t="shared" si="74"/>
        <v>344</v>
      </c>
      <c r="B360" s="10">
        <f>IF(B359=0,_Proxima_Compra,B359-1)</f>
        <v>0</v>
      </c>
      <c r="C360" s="3">
        <f t="shared" ca="1" si="67"/>
        <v>0.36011186231847381</v>
      </c>
      <c r="D360" s="3">
        <f ca="1">IF(D359&gt;0,D359-1,IF(C360&gt;0,LOOKUP(C360,$S$3:$S$5,$P$3:$P$5),-1))</f>
        <v>0</v>
      </c>
      <c r="E360" s="25">
        <f t="shared" ca="1" si="68"/>
        <v>2</v>
      </c>
      <c r="F360" s="28">
        <f ca="1">E360*_GramosXFrasco</f>
        <v>340</v>
      </c>
      <c r="G360" s="38">
        <f t="shared" ca="1" si="69"/>
        <v>0.95720771538013116</v>
      </c>
      <c r="H360" s="36">
        <f t="shared" ca="1" si="70"/>
        <v>0.2849700323789055</v>
      </c>
      <c r="I360" s="36">
        <f t="shared" ca="1" si="71"/>
        <v>0.80523781532090621</v>
      </c>
      <c r="J360" s="36">
        <f t="shared" ca="1" si="78"/>
        <v>0.1835991808761418</v>
      </c>
      <c r="K360" s="37">
        <f ca="1">IF(J360&lt;&gt;-1,_Media_M + J360*_Sigma,-1)</f>
        <v>77.753987713142124</v>
      </c>
      <c r="L360" s="3">
        <f t="shared" ca="1" si="72"/>
        <v>-1</v>
      </c>
      <c r="M360" s="18">
        <f ca="1">IF(LOOKUP(G360,$H$3:$H$4,$E$3:$E$4)=1,50,_Media_M + J360*_Sigma)</f>
        <v>77.753987713142124</v>
      </c>
      <c r="N360" s="36">
        <f t="shared" ca="1" si="73"/>
        <v>2.41859921337484</v>
      </c>
      <c r="O360" s="35">
        <f t="shared" ca="1" si="79"/>
        <v>80.172586926516971</v>
      </c>
      <c r="P360" s="19">
        <f t="shared" ca="1" si="75"/>
        <v>80.172586926516971</v>
      </c>
      <c r="Q360" s="20">
        <f ca="1" xml:space="preserve"> P360*_Precio_cafe</f>
        <v>120.25888038977546</v>
      </c>
      <c r="R360" s="20">
        <f t="shared" ca="1" si="76"/>
        <v>49121.455758281845</v>
      </c>
      <c r="S360" s="20">
        <f ca="1">(1/A360)*((A360-1)*S359 +Q360)</f>
        <v>142.79492952988912</v>
      </c>
      <c r="T360" s="20">
        <f ca="1">IF((T359-P360+F360)&gt;_Max_Stock_Gramos,_Max_Stock_Gramos,T359-P360+F360)</f>
        <v>1700</v>
      </c>
      <c r="U360" s="20">
        <f ca="1">T360/_GramosXFrasco</f>
        <v>10</v>
      </c>
      <c r="V360" s="58">
        <f ca="1">(T360/_Max_Stock_Gramos)</f>
        <v>1</v>
      </c>
      <c r="W360" s="58"/>
      <c r="X360" s="10">
        <f ca="1">IF((T359-O360)&lt;0,(T359-O360)*_Costo_Faltante,0)</f>
        <v>0</v>
      </c>
      <c r="Y360">
        <f ca="1">IF(B360=0,E360*_Costo_Frasco,0)</f>
        <v>-500</v>
      </c>
      <c r="Z360" s="11">
        <f t="shared" ca="1" si="77"/>
        <v>-50000</v>
      </c>
    </row>
    <row r="361" spans="1:26" x14ac:dyDescent="0.25">
      <c r="A361" s="30">
        <f t="shared" si="74"/>
        <v>345</v>
      </c>
      <c r="B361" s="10">
        <f>IF(B360=0,_Proxima_Compra,B360-1)</f>
        <v>1</v>
      </c>
      <c r="C361" s="3">
        <f t="shared" ca="1" si="67"/>
        <v>-1</v>
      </c>
      <c r="D361" s="3">
        <f ca="1">IF(D360&gt;0,D360-1,IF(C361&gt;0,LOOKUP(C361,$S$3:$S$5,$P$3:$P$5),-1))</f>
        <v>-1</v>
      </c>
      <c r="E361" s="25">
        <f t="shared" ca="1" si="68"/>
        <v>0</v>
      </c>
      <c r="F361" s="28">
        <f ca="1">E361*_GramosXFrasco</f>
        <v>0</v>
      </c>
      <c r="G361" s="38">
        <f t="shared" ca="1" si="69"/>
        <v>0.9960389993550306</v>
      </c>
      <c r="H361" s="36">
        <f t="shared" ca="1" si="70"/>
        <v>0.93310408153234681</v>
      </c>
      <c r="I361" s="36">
        <f t="shared" ca="1" si="71"/>
        <v>0.79316019779701163</v>
      </c>
      <c r="J361" s="36">
        <f t="shared" ca="1" si="78"/>
        <v>0.41056999930401189</v>
      </c>
      <c r="K361" s="37">
        <f ca="1">IF(J361&lt;&gt;-1,_Media_M + J361*_Sigma,-1)</f>
        <v>81.158549989560186</v>
      </c>
      <c r="L361" s="3">
        <f t="shared" ca="1" si="72"/>
        <v>-1</v>
      </c>
      <c r="M361" s="18">
        <f ca="1">IF(LOOKUP(G361,$H$3:$H$4,$E$3:$E$4)=1,50,_Media_M + J361*_Sigma)</f>
        <v>81.158549989560186</v>
      </c>
      <c r="N361" s="36">
        <f t="shared" ca="1" si="73"/>
        <v>18.074762071574241</v>
      </c>
      <c r="O361" s="35">
        <f t="shared" ca="1" si="79"/>
        <v>99.233312061134427</v>
      </c>
      <c r="P361" s="19">
        <f t="shared" ca="1" si="75"/>
        <v>99.233312061134427</v>
      </c>
      <c r="Q361" s="20">
        <f ca="1" xml:space="preserve"> P361*_Precio_cafe</f>
        <v>148.84996809170164</v>
      </c>
      <c r="R361" s="20">
        <f t="shared" ca="1" si="76"/>
        <v>49270.305726373546</v>
      </c>
      <c r="S361" s="20">
        <f ca="1">(1/A361)*((A361-1)*S360 +Q361)</f>
        <v>142.81248036630018</v>
      </c>
      <c r="T361" s="20">
        <f ca="1">IF((T360-P361+F361)&gt;_Max_Stock_Gramos,_Max_Stock_Gramos,T360-P361+F361)</f>
        <v>1600.7666879388655</v>
      </c>
      <c r="U361" s="20">
        <f ca="1">T361/_GramosXFrasco</f>
        <v>9.4162746349345028</v>
      </c>
      <c r="V361" s="58">
        <f ca="1">(T361/_Max_Stock_Gramos)</f>
        <v>0.94162746349345028</v>
      </c>
      <c r="W361" s="58"/>
      <c r="X361" s="10">
        <f ca="1">IF((T360-O361)&lt;0,(T360-O361)*_Costo_Faltante,0)</f>
        <v>0</v>
      </c>
      <c r="Y361">
        <f>IF(B361=0,E361*_Costo_Frasco,0)</f>
        <v>0</v>
      </c>
      <c r="Z361" s="11">
        <f t="shared" ca="1" si="77"/>
        <v>-50000</v>
      </c>
    </row>
    <row r="362" spans="1:26" x14ac:dyDescent="0.25">
      <c r="A362" s="30">
        <f t="shared" si="74"/>
        <v>346</v>
      </c>
      <c r="B362" s="10">
        <f>IF(B361=0,_Proxima_Compra,B361-1)</f>
        <v>0</v>
      </c>
      <c r="C362" s="3">
        <f t="shared" ca="1" si="67"/>
        <v>0.16093150579501492</v>
      </c>
      <c r="D362" s="3">
        <f ca="1">IF(D361&gt;0,D361-1,IF(C362&gt;0,LOOKUP(C362,$S$3:$S$5,$P$3:$P$5),-1))</f>
        <v>0</v>
      </c>
      <c r="E362" s="25">
        <f t="shared" ca="1" si="68"/>
        <v>2</v>
      </c>
      <c r="F362" s="28">
        <f ca="1">E362*_GramosXFrasco</f>
        <v>340</v>
      </c>
      <c r="G362" s="38">
        <f t="shared" ca="1" si="69"/>
        <v>0.78972430418057293</v>
      </c>
      <c r="H362" s="36">
        <f t="shared" ca="1" si="70"/>
        <v>0.83026279999712094</v>
      </c>
      <c r="I362" s="36">
        <f t="shared" ca="1" si="71"/>
        <v>8.5127046743268875E-2</v>
      </c>
      <c r="J362" s="36">
        <f t="shared" ca="1" si="78"/>
        <v>1.0678027282529725</v>
      </c>
      <c r="K362" s="37">
        <f ca="1">IF(J362&lt;&gt;-1,_Media_M + J362*_Sigma,-1)</f>
        <v>91.017040923794582</v>
      </c>
      <c r="L362" s="3">
        <f t="shared" ca="1" si="72"/>
        <v>-1</v>
      </c>
      <c r="M362" s="18">
        <f ca="1">IF(LOOKUP(G362,$H$3:$H$4,$E$3:$E$4)=1,50,_Media_M + J362*_Sigma)</f>
        <v>91.017040923794582</v>
      </c>
      <c r="N362" s="36">
        <f t="shared" ca="1" si="73"/>
        <v>0.41746680747629933</v>
      </c>
      <c r="O362" s="35">
        <f t="shared" ca="1" si="79"/>
        <v>91.434507731270884</v>
      </c>
      <c r="P362" s="19">
        <f t="shared" ca="1" si="75"/>
        <v>91.434507731270884</v>
      </c>
      <c r="Q362" s="20">
        <f ca="1" xml:space="preserve"> P362*_Precio_cafe</f>
        <v>137.15176159690634</v>
      </c>
      <c r="R362" s="20">
        <f t="shared" ca="1" si="76"/>
        <v>49407.457487970452</v>
      </c>
      <c r="S362" s="20">
        <f ca="1">(1/A362)*((A362-1)*S361 +Q362)</f>
        <v>142.7961199074291</v>
      </c>
      <c r="T362" s="20">
        <f ca="1">IF((T361-P362+F362)&gt;_Max_Stock_Gramos,_Max_Stock_Gramos,T361-P362+F362)</f>
        <v>1700</v>
      </c>
      <c r="U362" s="20">
        <f ca="1">T362/_GramosXFrasco</f>
        <v>10</v>
      </c>
      <c r="V362" s="58">
        <f ca="1">(T362/_Max_Stock_Gramos)</f>
        <v>1</v>
      </c>
      <c r="W362" s="58"/>
      <c r="X362" s="10">
        <f ca="1">IF((T361-O362)&lt;0,(T361-O362)*_Costo_Faltante,0)</f>
        <v>0</v>
      </c>
      <c r="Y362">
        <f ca="1">IF(B362=0,E362*_Costo_Frasco,0)</f>
        <v>-500</v>
      </c>
      <c r="Z362" s="11">
        <f t="shared" ca="1" si="77"/>
        <v>-50500</v>
      </c>
    </row>
    <row r="363" spans="1:26" x14ac:dyDescent="0.25">
      <c r="A363" s="30">
        <f t="shared" si="74"/>
        <v>347</v>
      </c>
      <c r="B363" s="10">
        <f>IF(B362=0,_Proxima_Compra,B362-1)</f>
        <v>1</v>
      </c>
      <c r="C363" s="3">
        <f t="shared" ca="1" si="67"/>
        <v>-1</v>
      </c>
      <c r="D363" s="3">
        <f ca="1">IF(D362&gt;0,D362-1,IF(C363&gt;0,LOOKUP(C363,$S$3:$S$5,$P$3:$P$5),-1))</f>
        <v>-1</v>
      </c>
      <c r="E363" s="25">
        <f t="shared" ca="1" si="68"/>
        <v>0</v>
      </c>
      <c r="F363" s="28">
        <f ca="1">E363*_GramosXFrasco</f>
        <v>0</v>
      </c>
      <c r="G363" s="38">
        <f t="shared" ca="1" si="69"/>
        <v>0.60248149807867935</v>
      </c>
      <c r="H363" s="36">
        <f t="shared" ca="1" si="70"/>
        <v>0.62561792554799678</v>
      </c>
      <c r="I363" s="36">
        <f t="shared" ca="1" si="71"/>
        <v>0.95084732310212106</v>
      </c>
      <c r="J363" s="36">
        <f t="shared" ca="1" si="78"/>
        <v>0.88007452336861447</v>
      </c>
      <c r="K363" s="37">
        <f ca="1">IF(J363&lt;&gt;-1,_Media_M + J363*_Sigma,-1)</f>
        <v>88.201117850529215</v>
      </c>
      <c r="L363" s="3">
        <f t="shared" ca="1" si="72"/>
        <v>-1</v>
      </c>
      <c r="M363" s="18">
        <f ca="1">IF(LOOKUP(G363,$H$3:$H$4,$E$3:$E$4)=1,50,_Media_M + J363*_Sigma)</f>
        <v>88.201117850529215</v>
      </c>
      <c r="N363" s="36">
        <f t="shared" ca="1" si="73"/>
        <v>5.9620665823956607</v>
      </c>
      <c r="O363" s="35">
        <f t="shared" ca="1" si="79"/>
        <v>94.163184432924879</v>
      </c>
      <c r="P363" s="19">
        <f t="shared" ca="1" si="75"/>
        <v>94.163184432924879</v>
      </c>
      <c r="Q363" s="20">
        <f ca="1" xml:space="preserve"> P363*_Precio_cafe</f>
        <v>141.24477664938732</v>
      </c>
      <c r="R363" s="20">
        <f t="shared" ca="1" si="76"/>
        <v>49548.702264619838</v>
      </c>
      <c r="S363" s="20">
        <f ca="1">(1/A363)*((A363-1)*S362 +Q363)</f>
        <v>142.79164917757882</v>
      </c>
      <c r="T363" s="20">
        <f ca="1">IF((T362-P363+F363)&gt;_Max_Stock_Gramos,_Max_Stock_Gramos,T362-P363+F363)</f>
        <v>1605.8368155670751</v>
      </c>
      <c r="U363" s="20">
        <f ca="1">T363/_GramosXFrasco</f>
        <v>9.4460989151004409</v>
      </c>
      <c r="V363" s="58">
        <f ca="1">(T363/_Max_Stock_Gramos)</f>
        <v>0.94460989151004415</v>
      </c>
      <c r="W363" s="58"/>
      <c r="X363" s="10">
        <f ca="1">IF((T362-O363)&lt;0,(T362-O363)*_Costo_Faltante,0)</f>
        <v>0</v>
      </c>
      <c r="Y363">
        <f>IF(B363=0,E363*_Costo_Frasco,0)</f>
        <v>0</v>
      </c>
      <c r="Z363" s="11">
        <f t="shared" ca="1" si="77"/>
        <v>-50500</v>
      </c>
    </row>
    <row r="364" spans="1:26" x14ac:dyDescent="0.25">
      <c r="A364" s="30">
        <f t="shared" si="74"/>
        <v>348</v>
      </c>
      <c r="B364" s="10">
        <f>IF(B363=0,_Proxima_Compra,B363-1)</f>
        <v>0</v>
      </c>
      <c r="C364" s="3">
        <f t="shared" ca="1" si="67"/>
        <v>0.97568140757506339</v>
      </c>
      <c r="D364" s="3">
        <f ca="1">IF(D363&gt;0,D363-1,IF(C364&gt;0,LOOKUP(C364,$S$3:$S$5,$P$3:$P$5),-1))</f>
        <v>2</v>
      </c>
      <c r="E364" s="25">
        <f t="shared" ca="1" si="68"/>
        <v>0</v>
      </c>
      <c r="F364" s="28">
        <f ca="1">E364*_GramosXFrasco</f>
        <v>0</v>
      </c>
      <c r="G364" s="38">
        <f t="shared" ca="1" si="69"/>
        <v>0.59669434546183131</v>
      </c>
      <c r="H364" s="36">
        <f t="shared" ca="1" si="70"/>
        <v>0.64836368387270005</v>
      </c>
      <c r="I364" s="36">
        <f t="shared" ca="1" si="71"/>
        <v>0.96341274787869113</v>
      </c>
      <c r="J364" s="36">
        <f t="shared" ca="1" si="78"/>
        <v>0.92772661762945408</v>
      </c>
      <c r="K364" s="37">
        <f ca="1">IF(J364&lt;&gt;-1,_Media_M + J364*_Sigma,-1)</f>
        <v>88.915899264441805</v>
      </c>
      <c r="L364" s="3">
        <f t="shared" ca="1" si="72"/>
        <v>-1</v>
      </c>
      <c r="M364" s="18">
        <f ca="1">IF(LOOKUP(G364,$H$3:$H$4,$E$3:$E$4)=1,50,_Media_M + J364*_Sigma)</f>
        <v>88.915899264441805</v>
      </c>
      <c r="N364" s="36">
        <f t="shared" ca="1" si="73"/>
        <v>7.7111819980020346</v>
      </c>
      <c r="O364" s="35">
        <f t="shared" ca="1" si="79"/>
        <v>96.627081262443838</v>
      </c>
      <c r="P364" s="19">
        <f t="shared" ca="1" si="75"/>
        <v>96.627081262443838</v>
      </c>
      <c r="Q364" s="20">
        <f ca="1" xml:space="preserve"> P364*_Precio_cafe</f>
        <v>144.94062189366576</v>
      </c>
      <c r="R364" s="20">
        <f t="shared" ca="1" si="76"/>
        <v>49693.642886513502</v>
      </c>
      <c r="S364" s="20">
        <f ca="1">(1/A364)*((A364-1)*S363 +Q364)</f>
        <v>142.79782438653308</v>
      </c>
      <c r="T364" s="20">
        <f ca="1">IF((T363-P364+F364)&gt;_Max_Stock_Gramos,_Max_Stock_Gramos,T363-P364+F364)</f>
        <v>1509.2097343046312</v>
      </c>
      <c r="U364" s="20">
        <f ca="1">T364/_GramosXFrasco</f>
        <v>8.8777043194390064</v>
      </c>
      <c r="V364" s="58">
        <f ca="1">(T364/_Max_Stock_Gramos)</f>
        <v>0.88777043194390071</v>
      </c>
      <c r="W364" s="58"/>
      <c r="X364" s="10">
        <f ca="1">IF((T363-O364)&lt;0,(T363-O364)*_Costo_Faltante,0)</f>
        <v>0</v>
      </c>
      <c r="Y364">
        <f ca="1">IF(B364=0,E364*_Costo_Frasco,0)</f>
        <v>0</v>
      </c>
      <c r="Z364" s="11">
        <f t="shared" ca="1" si="77"/>
        <v>-50500</v>
      </c>
    </row>
    <row r="365" spans="1:26" x14ac:dyDescent="0.25">
      <c r="A365" s="30">
        <f t="shared" si="74"/>
        <v>349</v>
      </c>
      <c r="B365" s="10">
        <f>IF(B364=0,_Proxima_Compra,B364-1)</f>
        <v>1</v>
      </c>
      <c r="C365" s="3">
        <f t="shared" ca="1" si="67"/>
        <v>-1</v>
      </c>
      <c r="D365" s="3">
        <f ca="1">IF(D364&gt;0,D364-1,IF(C365&gt;0,LOOKUP(C365,$S$3:$S$5,$P$3:$P$5),-1))</f>
        <v>1</v>
      </c>
      <c r="E365" s="25">
        <f t="shared" ca="1" si="68"/>
        <v>0</v>
      </c>
      <c r="F365" s="28">
        <f ca="1">E365*_GramosXFrasco</f>
        <v>0</v>
      </c>
      <c r="G365" s="38">
        <f t="shared" ca="1" si="69"/>
        <v>9.8470369125716273E-2</v>
      </c>
      <c r="H365" s="36">
        <f t="shared" ca="1" si="70"/>
        <v>-1</v>
      </c>
      <c r="I365" s="36">
        <f t="shared" ca="1" si="71"/>
        <v>-1</v>
      </c>
      <c r="J365" s="36">
        <f t="shared" ca="1" si="78"/>
        <v>-1</v>
      </c>
      <c r="K365" s="37">
        <f ca="1">IF(J365&lt;&gt;-1,_Media_M + J365*_Sigma,-1)</f>
        <v>-1</v>
      </c>
      <c r="L365" s="3">
        <f t="shared" ca="1" si="72"/>
        <v>50</v>
      </c>
      <c r="M365" s="18">
        <f ca="1">IF(LOOKUP(G365,$H$3:$H$4,$E$3:$E$4)=1,50,_Media_M + J365*_Sigma)</f>
        <v>50</v>
      </c>
      <c r="N365" s="36">
        <f t="shared" ca="1" si="73"/>
        <v>28.068107692019765</v>
      </c>
      <c r="O365" s="35">
        <f t="shared" ca="1" si="79"/>
        <v>78.068107692019765</v>
      </c>
      <c r="P365" s="19">
        <f t="shared" ca="1" si="75"/>
        <v>78.068107692019765</v>
      </c>
      <c r="Q365" s="20">
        <f ca="1" xml:space="preserve"> P365*_Precio_cafe</f>
        <v>117.10216153802965</v>
      </c>
      <c r="R365" s="20">
        <f t="shared" ca="1" si="76"/>
        <v>49810.745048051533</v>
      </c>
      <c r="S365" s="20">
        <f ca="1">(1/A365)*((A365-1)*S364 +Q365)</f>
        <v>142.72419784541989</v>
      </c>
      <c r="T365" s="20">
        <f ca="1">IF((T364-P365+F365)&gt;_Max_Stock_Gramos,_Max_Stock_Gramos,T364-P365+F365)</f>
        <v>1431.1416266126114</v>
      </c>
      <c r="U365" s="20">
        <f ca="1">T365/_GramosXFrasco</f>
        <v>8.4184801565447724</v>
      </c>
      <c r="V365" s="58">
        <f ca="1">(T365/_Max_Stock_Gramos)</f>
        <v>0.84184801565447731</v>
      </c>
      <c r="W365" s="58"/>
      <c r="X365" s="10">
        <f ca="1">IF((T364-O365)&lt;0,(T364-O365)*_Costo_Faltante,0)</f>
        <v>0</v>
      </c>
      <c r="Y365">
        <f>IF(B365=0,E365*_Costo_Frasco,0)</f>
        <v>0</v>
      </c>
      <c r="Z365" s="11">
        <f t="shared" ca="1" si="77"/>
        <v>-50500</v>
      </c>
    </row>
    <row r="366" spans="1:26" x14ac:dyDescent="0.25">
      <c r="A366" s="30">
        <f t="shared" si="74"/>
        <v>350</v>
      </c>
      <c r="B366" s="10">
        <f>IF(B365=0,_Proxima_Compra,B365-1)</f>
        <v>0</v>
      </c>
      <c r="C366" s="3">
        <f t="shared" ca="1" si="67"/>
        <v>0.55975873109471896</v>
      </c>
      <c r="D366" s="3">
        <f ca="1">IF(D365&gt;0,D365-1,IF(C366&gt;0,LOOKUP(C366,$S$3:$S$5,$P$3:$P$5),-1))</f>
        <v>0</v>
      </c>
      <c r="E366" s="25">
        <f t="shared" ca="1" si="68"/>
        <v>2</v>
      </c>
      <c r="F366" s="28">
        <f ca="1">E366*_GramosXFrasco</f>
        <v>340</v>
      </c>
      <c r="G366" s="38">
        <f t="shared" ca="1" si="69"/>
        <v>0.25679729902259074</v>
      </c>
      <c r="H366" s="36">
        <f t="shared" ca="1" si="70"/>
        <v>-1</v>
      </c>
      <c r="I366" s="36">
        <f t="shared" ca="1" si="71"/>
        <v>-1</v>
      </c>
      <c r="J366" s="36">
        <f t="shared" ca="1" si="78"/>
        <v>-1</v>
      </c>
      <c r="K366" s="37">
        <f ca="1">IF(J366&lt;&gt;-1,_Media_M + J366*_Sigma,-1)</f>
        <v>-1</v>
      </c>
      <c r="L366" s="3">
        <f t="shared" ca="1" si="72"/>
        <v>50</v>
      </c>
      <c r="M366" s="18">
        <f ca="1">IF(LOOKUP(G366,$H$3:$H$4,$E$3:$E$4)=1,50,_Media_M + J366*_Sigma)</f>
        <v>50</v>
      </c>
      <c r="N366" s="36">
        <f t="shared" ca="1" si="73"/>
        <v>2.8655018015571061</v>
      </c>
      <c r="O366" s="35">
        <f t="shared" ca="1" si="79"/>
        <v>52.865501801557109</v>
      </c>
      <c r="P366" s="19">
        <f t="shared" ca="1" si="75"/>
        <v>52.865501801557109</v>
      </c>
      <c r="Q366" s="20">
        <f ca="1" xml:space="preserve"> P366*_Precio_cafe</f>
        <v>79.29825270233566</v>
      </c>
      <c r="R366" s="20">
        <f t="shared" ca="1" si="76"/>
        <v>49890.043300753867</v>
      </c>
      <c r="S366" s="20">
        <f ca="1">(1/A366)*((A366-1)*S365 +Q366)</f>
        <v>142.54298085929679</v>
      </c>
      <c r="T366" s="20">
        <f ca="1">IF((T365-P366+F366)&gt;_Max_Stock_Gramos,_Max_Stock_Gramos,T365-P366+F366)</f>
        <v>1700</v>
      </c>
      <c r="U366" s="20">
        <f ca="1">T366/_GramosXFrasco</f>
        <v>10</v>
      </c>
      <c r="V366" s="58">
        <f ca="1">(T366/_Max_Stock_Gramos)</f>
        <v>1</v>
      </c>
      <c r="W366" s="58"/>
      <c r="X366" s="10">
        <f ca="1">IF((T365-O366)&lt;0,(T365-O366)*_Costo_Faltante,0)</f>
        <v>0</v>
      </c>
      <c r="Y366">
        <f ca="1">IF(B366=0,E366*_Costo_Frasco,0)</f>
        <v>-500</v>
      </c>
      <c r="Z366" s="11">
        <f t="shared" ca="1" si="77"/>
        <v>-51000</v>
      </c>
    </row>
    <row r="367" spans="1:26" x14ac:dyDescent="0.25">
      <c r="A367" s="30">
        <f t="shared" si="74"/>
        <v>351</v>
      </c>
      <c r="B367" s="10">
        <f>IF(B366=0,_Proxima_Compra,B366-1)</f>
        <v>1</v>
      </c>
      <c r="C367" s="3">
        <f t="shared" ca="1" si="67"/>
        <v>-1</v>
      </c>
      <c r="D367" s="3">
        <f ca="1">IF(D366&gt;0,D366-1,IF(C367&gt;0,LOOKUP(C367,$S$3:$S$5,$P$3:$P$5),-1))</f>
        <v>-1</v>
      </c>
      <c r="E367" s="25">
        <f t="shared" ca="1" si="68"/>
        <v>0</v>
      </c>
      <c r="F367" s="28">
        <f ca="1">E367*_GramosXFrasco</f>
        <v>0</v>
      </c>
      <c r="G367" s="38">
        <f t="shared" ca="1" si="69"/>
        <v>0.23845777528329237</v>
      </c>
      <c r="H367" s="36">
        <f t="shared" ca="1" si="70"/>
        <v>-1</v>
      </c>
      <c r="I367" s="36">
        <f t="shared" ca="1" si="71"/>
        <v>-1</v>
      </c>
      <c r="J367" s="36">
        <f t="shared" ca="1" si="78"/>
        <v>-1</v>
      </c>
      <c r="K367" s="37">
        <f ca="1">IF(J367&lt;&gt;-1,_Media_M + J367*_Sigma,-1)</f>
        <v>-1</v>
      </c>
      <c r="L367" s="3">
        <f t="shared" ca="1" si="72"/>
        <v>50</v>
      </c>
      <c r="M367" s="18">
        <f ca="1">IF(LOOKUP(G367,$H$3:$H$4,$E$3:$E$4)=1,50,_Media_M + J367*_Sigma)</f>
        <v>50</v>
      </c>
      <c r="N367" s="36">
        <f t="shared" ca="1" si="73"/>
        <v>3.5315802887455345</v>
      </c>
      <c r="O367" s="35">
        <f t="shared" ca="1" si="79"/>
        <v>53.531580288745538</v>
      </c>
      <c r="P367" s="19">
        <f t="shared" ca="1" si="75"/>
        <v>53.531580288745538</v>
      </c>
      <c r="Q367" s="20">
        <f ca="1" xml:space="preserve"> P367*_Precio_cafe</f>
        <v>80.297370433118303</v>
      </c>
      <c r="R367" s="20">
        <f t="shared" ca="1" si="76"/>
        <v>49970.340671186983</v>
      </c>
      <c r="S367" s="20">
        <f ca="1">(1/A367)*((A367-1)*S366 +Q367)</f>
        <v>142.36564293785469</v>
      </c>
      <c r="T367" s="20">
        <f ca="1">IF((T366-P367+F367)&gt;_Max_Stock_Gramos,_Max_Stock_Gramos,T366-P367+F367)</f>
        <v>1646.4684197112545</v>
      </c>
      <c r="U367" s="20">
        <f ca="1">T367/_GramosXFrasco</f>
        <v>9.6851083512426737</v>
      </c>
      <c r="V367" s="58">
        <f ca="1">(T367/_Max_Stock_Gramos)</f>
        <v>0.96851083512426728</v>
      </c>
      <c r="W367" s="58"/>
      <c r="X367" s="10">
        <f ca="1">IF((T366-O367)&lt;0,(T366-O367)*_Costo_Faltante,0)</f>
        <v>0</v>
      </c>
      <c r="Y367">
        <f>IF(B367=0,E367*_Costo_Frasco,0)</f>
        <v>0</v>
      </c>
      <c r="Z367" s="11">
        <f t="shared" ca="1" si="77"/>
        <v>-51000</v>
      </c>
    </row>
    <row r="368" spans="1:26" x14ac:dyDescent="0.25">
      <c r="A368" s="30">
        <f t="shared" si="74"/>
        <v>352</v>
      </c>
      <c r="B368" s="10">
        <f>IF(B367=0,_Proxima_Compra,B367-1)</f>
        <v>0</v>
      </c>
      <c r="C368" s="3">
        <f t="shared" ca="1" si="67"/>
        <v>0.48798540520723876</v>
      </c>
      <c r="D368" s="3">
        <f ca="1">IF(D367&gt;0,D367-1,IF(C368&gt;0,LOOKUP(C368,$S$3:$S$5,$P$3:$P$5),-1))</f>
        <v>0</v>
      </c>
      <c r="E368" s="25">
        <f t="shared" ca="1" si="68"/>
        <v>2</v>
      </c>
      <c r="F368" s="28">
        <f ca="1">E368*_GramosXFrasco</f>
        <v>340</v>
      </c>
      <c r="G368" s="38">
        <f t="shared" ca="1" si="69"/>
        <v>0.65554745194293174</v>
      </c>
      <c r="H368" s="36">
        <f t="shared" ca="1" si="70"/>
        <v>0.11398047866068872</v>
      </c>
      <c r="I368" s="36">
        <f t="shared" ca="1" si="71"/>
        <v>0.76392090675050928</v>
      </c>
      <c r="J368" s="36">
        <f t="shared" ca="1" si="78"/>
        <v>2.832191167793786E-2</v>
      </c>
      <c r="K368" s="37">
        <f ca="1">IF(J368&lt;&gt;-1,_Media_M + J368*_Sigma,-1)</f>
        <v>75.424828675169067</v>
      </c>
      <c r="L368" s="3">
        <f t="shared" ca="1" si="72"/>
        <v>-1</v>
      </c>
      <c r="M368" s="18">
        <f ca="1">IF(LOOKUP(G368,$H$3:$H$4,$E$3:$E$4)=1,50,_Media_M + J368*_Sigma)</f>
        <v>75.424828675169067</v>
      </c>
      <c r="N368" s="36">
        <f t="shared" ca="1" si="73"/>
        <v>43.331418487743399</v>
      </c>
      <c r="O368" s="35">
        <f t="shared" ca="1" si="79"/>
        <v>118.75624716291247</v>
      </c>
      <c r="P368" s="19">
        <f t="shared" ca="1" si="75"/>
        <v>118.75624716291247</v>
      </c>
      <c r="Q368" s="20">
        <f ca="1" xml:space="preserve"> P368*_Precio_cafe</f>
        <v>178.13437074436871</v>
      </c>
      <c r="R368" s="20">
        <f t="shared" ca="1" si="76"/>
        <v>50148.47504193135</v>
      </c>
      <c r="S368" s="20">
        <f ca="1">(1/A368)*((A368-1)*S367 +Q368)</f>
        <v>142.46725864185046</v>
      </c>
      <c r="T368" s="20">
        <f ca="1">IF((T367-P368+F368)&gt;_Max_Stock_Gramos,_Max_Stock_Gramos,T367-P368+F368)</f>
        <v>1700</v>
      </c>
      <c r="U368" s="20">
        <f ca="1">T368/_GramosXFrasco</f>
        <v>10</v>
      </c>
      <c r="V368" s="58">
        <f ca="1">(T368/_Max_Stock_Gramos)</f>
        <v>1</v>
      </c>
      <c r="W368" s="58"/>
      <c r="X368" s="10">
        <f ca="1">IF((T367-O368)&lt;0,(T367-O368)*_Costo_Faltante,0)</f>
        <v>0</v>
      </c>
      <c r="Y368">
        <f ca="1">IF(B368=0,E368*_Costo_Frasco,0)</f>
        <v>-500</v>
      </c>
      <c r="Z368" s="11">
        <f t="shared" ca="1" si="77"/>
        <v>-51500</v>
      </c>
    </row>
    <row r="369" spans="1:26" x14ac:dyDescent="0.25">
      <c r="A369" s="30">
        <f t="shared" si="74"/>
        <v>353</v>
      </c>
      <c r="B369" s="10">
        <f>IF(B368=0,_Proxima_Compra,B368-1)</f>
        <v>1</v>
      </c>
      <c r="C369" s="3">
        <f t="shared" ca="1" si="67"/>
        <v>-1</v>
      </c>
      <c r="D369" s="3">
        <f ca="1">IF(D368&gt;0,D368-1,IF(C369&gt;0,LOOKUP(C369,$S$3:$S$5,$P$3:$P$5),-1))</f>
        <v>-1</v>
      </c>
      <c r="E369" s="25">
        <f t="shared" ca="1" si="68"/>
        <v>0</v>
      </c>
      <c r="F369" s="28">
        <f ca="1">E369*_GramosXFrasco</f>
        <v>0</v>
      </c>
      <c r="G369" s="38">
        <f t="shared" ca="1" si="69"/>
        <v>0.54723105096760427</v>
      </c>
      <c r="H369" s="36">
        <f t="shared" ca="1" si="70"/>
        <v>0.50814528848644358</v>
      </c>
      <c r="I369" s="36">
        <f t="shared" ca="1" si="71"/>
        <v>0.1623022675916489</v>
      </c>
      <c r="J369" s="36">
        <f t="shared" ca="1" si="78"/>
        <v>0.41102640488395181</v>
      </c>
      <c r="K369" s="37">
        <f ca="1">IF(J369&lt;&gt;-1,_Media_M + J369*_Sigma,-1)</f>
        <v>81.165396073259274</v>
      </c>
      <c r="L369" s="3">
        <f t="shared" ca="1" si="72"/>
        <v>-1</v>
      </c>
      <c r="M369" s="18">
        <f ca="1">IF(LOOKUP(G369,$H$3:$H$4,$E$3:$E$4)=1,50,_Media_M + J369*_Sigma)</f>
        <v>81.165396073259274</v>
      </c>
      <c r="N369" s="36">
        <f t="shared" ca="1" si="73"/>
        <v>11.202243781151918</v>
      </c>
      <c r="O369" s="35">
        <f t="shared" ca="1" si="79"/>
        <v>92.367639854411195</v>
      </c>
      <c r="P369" s="19">
        <f t="shared" ca="1" si="75"/>
        <v>92.367639854411195</v>
      </c>
      <c r="Q369" s="20">
        <f ca="1" xml:space="preserve"> P369*_Precio_cafe</f>
        <v>138.55145978161678</v>
      </c>
      <c r="R369" s="20">
        <f t="shared" ca="1" si="76"/>
        <v>50287.026501712964</v>
      </c>
      <c r="S369" s="20">
        <f ca="1">(1/A369)*((A369-1)*S368 +Q369)</f>
        <v>142.45616572723225</v>
      </c>
      <c r="T369" s="20">
        <f ca="1">IF((T368-P369+F369)&gt;_Max_Stock_Gramos,_Max_Stock_Gramos,T368-P369+F369)</f>
        <v>1607.6323601455888</v>
      </c>
      <c r="U369" s="20">
        <f ca="1">T369/_GramosXFrasco</f>
        <v>9.456660942032876</v>
      </c>
      <c r="V369" s="58">
        <f ca="1">(T369/_Max_Stock_Gramos)</f>
        <v>0.94566609420328751</v>
      </c>
      <c r="W369" s="58"/>
      <c r="X369" s="10">
        <f ca="1">IF((T368-O369)&lt;0,(T368-O369)*_Costo_Faltante,0)</f>
        <v>0</v>
      </c>
      <c r="Y369">
        <f>IF(B369=0,E369*_Costo_Frasco,0)</f>
        <v>0</v>
      </c>
      <c r="Z369" s="11">
        <f t="shared" ca="1" si="77"/>
        <v>-51500</v>
      </c>
    </row>
    <row r="370" spans="1:26" x14ac:dyDescent="0.25">
      <c r="A370" s="30">
        <f t="shared" si="74"/>
        <v>354</v>
      </c>
      <c r="B370" s="10">
        <f>IF(B369=0,_Proxima_Compra,B369-1)</f>
        <v>0</v>
      </c>
      <c r="C370" s="3">
        <f t="shared" ca="1" si="67"/>
        <v>0.36665940688374365</v>
      </c>
      <c r="D370" s="3">
        <f ca="1">IF(D369&gt;0,D369-1,IF(C370&gt;0,LOOKUP(C370,$S$3:$S$5,$P$3:$P$5),-1))</f>
        <v>0</v>
      </c>
      <c r="E370" s="25">
        <f t="shared" ca="1" si="68"/>
        <v>2</v>
      </c>
      <c r="F370" s="28">
        <f ca="1">E370*_GramosXFrasco</f>
        <v>340</v>
      </c>
      <c r="G370" s="38">
        <f t="shared" ca="1" si="69"/>
        <v>0.51626807760150717</v>
      </c>
      <c r="H370" s="36">
        <f t="shared" ca="1" si="70"/>
        <v>0.86211690381303407</v>
      </c>
      <c r="I370" s="36">
        <f t="shared" ca="1" si="71"/>
        <v>0.6570727871650538</v>
      </c>
      <c r="J370" s="36">
        <f t="shared" ca="1" si="78"/>
        <v>-0.723181932919436</v>
      </c>
      <c r="K370" s="37">
        <f ca="1">IF(J370&lt;&gt;-1,_Media_M + J370*_Sigma,-1)</f>
        <v>64.152271006208466</v>
      </c>
      <c r="L370" s="3">
        <f t="shared" ca="1" si="72"/>
        <v>-1</v>
      </c>
      <c r="M370" s="18">
        <f ca="1">IF(LOOKUP(G370,$H$3:$H$4,$E$3:$E$4)=1,50,_Media_M + J370*_Sigma)</f>
        <v>64.152271006208466</v>
      </c>
      <c r="N370" s="36">
        <f t="shared" ca="1" si="73"/>
        <v>19.431165711149536</v>
      </c>
      <c r="O370" s="35">
        <f t="shared" ca="1" si="79"/>
        <v>83.583436717357998</v>
      </c>
      <c r="P370" s="19">
        <f t="shared" ca="1" si="75"/>
        <v>83.583436717357998</v>
      </c>
      <c r="Q370" s="20">
        <f ca="1" xml:space="preserve"> P370*_Precio_cafe</f>
        <v>125.375155076037</v>
      </c>
      <c r="R370" s="20">
        <f t="shared" ca="1" si="76"/>
        <v>50412.401656788999</v>
      </c>
      <c r="S370" s="20">
        <f ca="1">(1/A370)*((A370-1)*S369 +Q370)</f>
        <v>142.40791428471474</v>
      </c>
      <c r="T370" s="20">
        <f ca="1">IF((T369-P370+F370)&gt;_Max_Stock_Gramos,_Max_Stock_Gramos,T369-P370+F370)</f>
        <v>1700</v>
      </c>
      <c r="U370" s="20">
        <f ca="1">T370/_GramosXFrasco</f>
        <v>10</v>
      </c>
      <c r="V370" s="58">
        <f ca="1">(T370/_Max_Stock_Gramos)</f>
        <v>1</v>
      </c>
      <c r="W370" s="58"/>
      <c r="X370" s="10">
        <f ca="1">IF((T369-O370)&lt;0,(T369-O370)*_Costo_Faltante,0)</f>
        <v>0</v>
      </c>
      <c r="Y370">
        <f ca="1">IF(B370=0,E370*_Costo_Frasco,0)</f>
        <v>-500</v>
      </c>
      <c r="Z370" s="11">
        <f t="shared" ca="1" si="77"/>
        <v>-52000</v>
      </c>
    </row>
    <row r="371" spans="1:26" x14ac:dyDescent="0.25">
      <c r="A371" s="30">
        <f t="shared" si="74"/>
        <v>355</v>
      </c>
      <c r="B371" s="10">
        <f>IF(B370=0,_Proxima_Compra,B370-1)</f>
        <v>1</v>
      </c>
      <c r="C371" s="3">
        <f t="shared" ca="1" si="67"/>
        <v>-1</v>
      </c>
      <c r="D371" s="3">
        <f ca="1">IF(D370&gt;0,D370-1,IF(C371&gt;0,LOOKUP(C371,$S$3:$S$5,$P$3:$P$5),-1))</f>
        <v>-1</v>
      </c>
      <c r="E371" s="25">
        <f t="shared" ca="1" si="68"/>
        <v>0</v>
      </c>
      <c r="F371" s="28">
        <f ca="1">E371*_GramosXFrasco</f>
        <v>0</v>
      </c>
      <c r="G371" s="38">
        <f t="shared" ca="1" si="69"/>
        <v>0.22059483817221992</v>
      </c>
      <c r="H371" s="36">
        <f t="shared" ca="1" si="70"/>
        <v>-1</v>
      </c>
      <c r="I371" s="36">
        <f t="shared" ca="1" si="71"/>
        <v>-1</v>
      </c>
      <c r="J371" s="36">
        <f t="shared" ca="1" si="78"/>
        <v>-1</v>
      </c>
      <c r="K371" s="37">
        <f ca="1">IF(J371&lt;&gt;-1,_Media_M + J371*_Sigma,-1)</f>
        <v>-1</v>
      </c>
      <c r="L371" s="3">
        <f t="shared" ca="1" si="72"/>
        <v>50</v>
      </c>
      <c r="M371" s="18">
        <f ca="1">IF(LOOKUP(G371,$H$3:$H$4,$E$3:$E$4)=1,50,_Media_M + J371*_Sigma)</f>
        <v>50</v>
      </c>
      <c r="N371" s="36">
        <f t="shared" ca="1" si="73"/>
        <v>17.704904692718685</v>
      </c>
      <c r="O371" s="35">
        <f t="shared" ca="1" si="79"/>
        <v>67.704904692718685</v>
      </c>
      <c r="P371" s="19">
        <f t="shared" ca="1" si="75"/>
        <v>67.704904692718685</v>
      </c>
      <c r="Q371" s="20">
        <f ca="1" xml:space="preserve"> P371*_Precio_cafe</f>
        <v>101.55735703907803</v>
      </c>
      <c r="R371" s="20">
        <f t="shared" ca="1" si="76"/>
        <v>50513.959013828076</v>
      </c>
      <c r="S371" s="20">
        <f ca="1">(1/A371)*((A371-1)*S370 +Q371)</f>
        <v>142.29284229247349</v>
      </c>
      <c r="T371" s="20">
        <f ca="1">IF((T370-P371+F371)&gt;_Max_Stock_Gramos,_Max_Stock_Gramos,T370-P371+F371)</f>
        <v>1632.2950953072814</v>
      </c>
      <c r="U371" s="20">
        <f ca="1">T371/_GramosXFrasco</f>
        <v>9.6017358547487142</v>
      </c>
      <c r="V371" s="58">
        <f ca="1">(T371/_Max_Stock_Gramos)</f>
        <v>0.96017358547487142</v>
      </c>
      <c r="W371" s="58"/>
      <c r="X371" s="10">
        <f ca="1">IF((T370-O371)&lt;0,(T370-O371)*_Costo_Faltante,0)</f>
        <v>0</v>
      </c>
      <c r="Y371">
        <f>IF(B371=0,E371*_Costo_Frasco,0)</f>
        <v>0</v>
      </c>
      <c r="Z371" s="11">
        <f t="shared" ca="1" si="77"/>
        <v>-52000</v>
      </c>
    </row>
    <row r="372" spans="1:26" x14ac:dyDescent="0.25">
      <c r="A372" s="30">
        <f t="shared" si="74"/>
        <v>356</v>
      </c>
      <c r="B372" s="10">
        <f>IF(B371=0,_Proxima_Compra,B371-1)</f>
        <v>0</v>
      </c>
      <c r="C372" s="3">
        <f t="shared" ca="1" si="67"/>
        <v>0.43145894155817477</v>
      </c>
      <c r="D372" s="3">
        <f ca="1">IF(D371&gt;0,D371-1,IF(C372&gt;0,LOOKUP(C372,$S$3:$S$5,$P$3:$P$5),-1))</f>
        <v>0</v>
      </c>
      <c r="E372" s="25">
        <f t="shared" ca="1" si="68"/>
        <v>2</v>
      </c>
      <c r="F372" s="28">
        <f ca="1">E372*_GramosXFrasco</f>
        <v>340</v>
      </c>
      <c r="G372" s="38">
        <f t="shared" ca="1" si="69"/>
        <v>0.82976533946241371</v>
      </c>
      <c r="H372" s="36">
        <f t="shared" ca="1" si="70"/>
        <v>0.30439627021921956</v>
      </c>
      <c r="I372" s="36">
        <f t="shared" ca="1" si="71"/>
        <v>0.31822514799204071</v>
      </c>
      <c r="J372" s="36">
        <f t="shared" ca="1" si="78"/>
        <v>-0.23339233391466102</v>
      </c>
      <c r="K372" s="37">
        <f ca="1">IF(J372&lt;&gt;-1,_Media_M + J372*_Sigma,-1)</f>
        <v>71.499114991280081</v>
      </c>
      <c r="L372" s="3">
        <f t="shared" ca="1" si="72"/>
        <v>-1</v>
      </c>
      <c r="M372" s="18">
        <f ca="1">IF(LOOKUP(G372,$H$3:$H$4,$E$3:$E$4)=1,50,_Media_M + J372*_Sigma)</f>
        <v>71.499114991280081</v>
      </c>
      <c r="N372" s="36">
        <f t="shared" ca="1" si="73"/>
        <v>17.745316242838289</v>
      </c>
      <c r="O372" s="35">
        <f t="shared" ca="1" si="79"/>
        <v>89.244431234118366</v>
      </c>
      <c r="P372" s="19">
        <f t="shared" ca="1" si="75"/>
        <v>89.244431234118366</v>
      </c>
      <c r="Q372" s="20">
        <f ca="1" xml:space="preserve"> P372*_Precio_cafe</f>
        <v>133.86664685117756</v>
      </c>
      <c r="R372" s="20">
        <f t="shared" ca="1" si="76"/>
        <v>50647.825660679257</v>
      </c>
      <c r="S372" s="20">
        <f ca="1">(1/A372)*((A372-1)*S371 +Q372)</f>
        <v>142.26917320415527</v>
      </c>
      <c r="T372" s="20">
        <f ca="1">IF((T371-P372+F372)&gt;_Max_Stock_Gramos,_Max_Stock_Gramos,T371-P372+F372)</f>
        <v>1700</v>
      </c>
      <c r="U372" s="20">
        <f ca="1">T372/_GramosXFrasco</f>
        <v>10</v>
      </c>
      <c r="V372" s="58">
        <f ca="1">(T372/_Max_Stock_Gramos)</f>
        <v>1</v>
      </c>
      <c r="W372" s="58"/>
      <c r="X372" s="10">
        <f ca="1">IF((T371-O372)&lt;0,(T371-O372)*_Costo_Faltante,0)</f>
        <v>0</v>
      </c>
      <c r="Y372">
        <f ca="1">IF(B372=0,E372*_Costo_Frasco,0)</f>
        <v>-500</v>
      </c>
      <c r="Z372" s="11">
        <f t="shared" ca="1" si="77"/>
        <v>-52500</v>
      </c>
    </row>
    <row r="373" spans="1:26" x14ac:dyDescent="0.25">
      <c r="A373" s="30">
        <f t="shared" si="74"/>
        <v>357</v>
      </c>
      <c r="B373" s="10">
        <f>IF(B372=0,_Proxima_Compra,B372-1)</f>
        <v>1</v>
      </c>
      <c r="C373" s="3">
        <f t="shared" ca="1" si="67"/>
        <v>-1</v>
      </c>
      <c r="D373" s="3">
        <f ca="1">IF(D372&gt;0,D372-1,IF(C373&gt;0,LOOKUP(C373,$S$3:$S$5,$P$3:$P$5),-1))</f>
        <v>-1</v>
      </c>
      <c r="E373" s="25">
        <f t="shared" ca="1" si="68"/>
        <v>0</v>
      </c>
      <c r="F373" s="28">
        <f ca="1">E373*_GramosXFrasco</f>
        <v>0</v>
      </c>
      <c r="G373" s="38">
        <f t="shared" ca="1" si="69"/>
        <v>0.47940991690083656</v>
      </c>
      <c r="H373" s="36">
        <f t="shared" ca="1" si="70"/>
        <v>-1</v>
      </c>
      <c r="I373" s="36">
        <f t="shared" ca="1" si="71"/>
        <v>-1</v>
      </c>
      <c r="J373" s="36">
        <f t="shared" ca="1" si="78"/>
        <v>-1</v>
      </c>
      <c r="K373" s="37">
        <f ca="1">IF(J373&lt;&gt;-1,_Media_M + J373*_Sigma,-1)</f>
        <v>-1</v>
      </c>
      <c r="L373" s="3">
        <f t="shared" ca="1" si="72"/>
        <v>50</v>
      </c>
      <c r="M373" s="18">
        <f ca="1">IF(LOOKUP(G373,$H$3:$H$4,$E$3:$E$4)=1,50,_Media_M + J373*_Sigma)</f>
        <v>50</v>
      </c>
      <c r="N373" s="36">
        <f t="shared" ca="1" si="73"/>
        <v>22.595282889702101</v>
      </c>
      <c r="O373" s="35">
        <f t="shared" ca="1" si="79"/>
        <v>72.595282889702105</v>
      </c>
      <c r="P373" s="19">
        <f t="shared" ca="1" si="75"/>
        <v>72.595282889702105</v>
      </c>
      <c r="Q373" s="20">
        <f ca="1" xml:space="preserve"> P373*_Precio_cafe</f>
        <v>108.89292433455316</v>
      </c>
      <c r="R373" s="20">
        <f t="shared" ca="1" si="76"/>
        <v>50756.718585013812</v>
      </c>
      <c r="S373" s="20">
        <f ca="1">(1/A373)*((A373-1)*S372 +Q373)</f>
        <v>142.17568231096311</v>
      </c>
      <c r="T373" s="20">
        <f ca="1">IF((T372-P373+F373)&gt;_Max_Stock_Gramos,_Max_Stock_Gramos,T372-P373+F373)</f>
        <v>1627.404717110298</v>
      </c>
      <c r="U373" s="20">
        <f ca="1">T373/_GramosXFrasco</f>
        <v>9.5729689241782232</v>
      </c>
      <c r="V373" s="58">
        <f ca="1">(T373/_Max_Stock_Gramos)</f>
        <v>0.95729689241782234</v>
      </c>
      <c r="W373" s="58"/>
      <c r="X373" s="10">
        <f ca="1">IF((T372-O373)&lt;0,(T372-O373)*_Costo_Faltante,0)</f>
        <v>0</v>
      </c>
      <c r="Y373">
        <f>IF(B373=0,E373*_Costo_Frasco,0)</f>
        <v>0</v>
      </c>
      <c r="Z373" s="11">
        <f t="shared" ca="1" si="77"/>
        <v>-52500</v>
      </c>
    </row>
    <row r="374" spans="1:26" x14ac:dyDescent="0.25">
      <c r="A374" s="30">
        <f t="shared" si="74"/>
        <v>358</v>
      </c>
      <c r="B374" s="10">
        <f>IF(B373=0,_Proxima_Compra,B373-1)</f>
        <v>0</v>
      </c>
      <c r="C374" s="3">
        <f t="shared" ca="1" si="67"/>
        <v>0.78298106871373707</v>
      </c>
      <c r="D374" s="3">
        <f ca="1">IF(D373&gt;0,D373-1,IF(C374&gt;0,LOOKUP(C374,$S$3:$S$5,$P$3:$P$5),-1))</f>
        <v>2</v>
      </c>
      <c r="E374" s="25">
        <f t="shared" ca="1" si="68"/>
        <v>0</v>
      </c>
      <c r="F374" s="28">
        <f ca="1">E374*_GramosXFrasco</f>
        <v>0</v>
      </c>
      <c r="G374" s="38">
        <f t="shared" ca="1" si="69"/>
        <v>0.88090033734965245</v>
      </c>
      <c r="H374" s="36">
        <f t="shared" ca="1" si="70"/>
        <v>0.58226329379337438</v>
      </c>
      <c r="I374" s="36">
        <f t="shared" ca="1" si="71"/>
        <v>0.85166674227416772</v>
      </c>
      <c r="J374" s="36">
        <f t="shared" ca="1" si="78"/>
        <v>0.51915943120418839</v>
      </c>
      <c r="K374" s="37">
        <f ca="1">IF(J374&lt;&gt;-1,_Media_M + J374*_Sigma,-1)</f>
        <v>82.787391468062822</v>
      </c>
      <c r="L374" s="3">
        <f t="shared" ca="1" si="72"/>
        <v>-1</v>
      </c>
      <c r="M374" s="18">
        <f ca="1">IF(LOOKUP(G374,$H$3:$H$4,$E$3:$E$4)=1,50,_Media_M + J374*_Sigma)</f>
        <v>82.787391468062822</v>
      </c>
      <c r="N374" s="36">
        <f t="shared" ca="1" si="73"/>
        <v>41.133862256093067</v>
      </c>
      <c r="O374" s="35">
        <f t="shared" ca="1" si="79"/>
        <v>123.92125372415589</v>
      </c>
      <c r="P374" s="19">
        <f t="shared" ca="1" si="75"/>
        <v>123.92125372415589</v>
      </c>
      <c r="Q374" s="20">
        <f ca="1" xml:space="preserve"> P374*_Precio_cafe</f>
        <v>185.88188058623382</v>
      </c>
      <c r="R374" s="20">
        <f t="shared" ca="1" si="76"/>
        <v>50942.600465600044</v>
      </c>
      <c r="S374" s="20">
        <f ca="1">(1/A374)*((A374-1)*S373 +Q374)</f>
        <v>142.29776666368733</v>
      </c>
      <c r="T374" s="20">
        <f ca="1">IF((T373-P374+F374)&gt;_Max_Stock_Gramos,_Max_Stock_Gramos,T373-P374+F374)</f>
        <v>1503.4834633861421</v>
      </c>
      <c r="U374" s="20">
        <f ca="1">T374/_GramosXFrasco</f>
        <v>8.84402037285966</v>
      </c>
      <c r="V374" s="58">
        <f ca="1">(T374/_Max_Stock_Gramos)</f>
        <v>0.884402037285966</v>
      </c>
      <c r="W374" s="58"/>
      <c r="X374" s="10">
        <f ca="1">IF((T373-O374)&lt;0,(T373-O374)*_Costo_Faltante,0)</f>
        <v>0</v>
      </c>
      <c r="Y374">
        <f ca="1">IF(B374=0,E374*_Costo_Frasco,0)</f>
        <v>0</v>
      </c>
      <c r="Z374" s="11">
        <f t="shared" ca="1" si="77"/>
        <v>-52500</v>
      </c>
    </row>
    <row r="375" spans="1:26" x14ac:dyDescent="0.25">
      <c r="A375" s="30">
        <f t="shared" si="74"/>
        <v>359</v>
      </c>
      <c r="B375" s="10">
        <f>IF(B374=0,_Proxima_Compra,B374-1)</f>
        <v>1</v>
      </c>
      <c r="C375" s="3">
        <f t="shared" ca="1" si="67"/>
        <v>-1</v>
      </c>
      <c r="D375" s="3">
        <f ca="1">IF(D374&gt;0,D374-1,IF(C375&gt;0,LOOKUP(C375,$S$3:$S$5,$P$3:$P$5),-1))</f>
        <v>1</v>
      </c>
      <c r="E375" s="25">
        <f t="shared" ca="1" si="68"/>
        <v>0</v>
      </c>
      <c r="F375" s="28">
        <f ca="1">E375*_GramosXFrasco</f>
        <v>0</v>
      </c>
      <c r="G375" s="38">
        <f t="shared" ca="1" si="69"/>
        <v>0.38422213463399046</v>
      </c>
      <c r="H375" s="36">
        <f t="shared" ca="1" si="70"/>
        <v>-1</v>
      </c>
      <c r="I375" s="36">
        <f t="shared" ca="1" si="71"/>
        <v>-1</v>
      </c>
      <c r="J375" s="36">
        <f t="shared" ca="1" si="78"/>
        <v>-1</v>
      </c>
      <c r="K375" s="37">
        <f ca="1">IF(J375&lt;&gt;-1,_Media_M + J375*_Sigma,-1)</f>
        <v>-1</v>
      </c>
      <c r="L375" s="3">
        <f t="shared" ca="1" si="72"/>
        <v>50</v>
      </c>
      <c r="M375" s="18">
        <f ca="1">IF(LOOKUP(G375,$H$3:$H$4,$E$3:$E$4)=1,50,_Media_M + J375*_Sigma)</f>
        <v>50</v>
      </c>
      <c r="N375" s="36">
        <f t="shared" ca="1" si="73"/>
        <v>19.795631615744117</v>
      </c>
      <c r="O375" s="35">
        <f t="shared" ca="1" si="79"/>
        <v>69.795631615744114</v>
      </c>
      <c r="P375" s="19">
        <f t="shared" ca="1" si="75"/>
        <v>69.795631615744114</v>
      </c>
      <c r="Q375" s="20">
        <f ca="1" xml:space="preserve"> P375*_Precio_cafe</f>
        <v>104.69344742361616</v>
      </c>
      <c r="R375" s="20">
        <f t="shared" ca="1" si="76"/>
        <v>51047.293913023663</v>
      </c>
      <c r="S375" s="20">
        <f ca="1">(1/A375)*((A375-1)*S374 +Q375)</f>
        <v>142.19301925633337</v>
      </c>
      <c r="T375" s="20">
        <f ca="1">IF((T374-P375+F375)&gt;_Max_Stock_Gramos,_Max_Stock_Gramos,T374-P375+F375)</f>
        <v>1433.6878317703981</v>
      </c>
      <c r="U375" s="20">
        <f ca="1">T375/_GramosXFrasco</f>
        <v>8.4334578339435176</v>
      </c>
      <c r="V375" s="58">
        <f ca="1">(T375/_Max_Stock_Gramos)</f>
        <v>0.84334578339435184</v>
      </c>
      <c r="W375" s="58"/>
      <c r="X375" s="10">
        <f ca="1">IF((T374-O375)&lt;0,(T374-O375)*_Costo_Faltante,0)</f>
        <v>0</v>
      </c>
      <c r="Y375">
        <f>IF(B375=0,E375*_Costo_Frasco,0)</f>
        <v>0</v>
      </c>
      <c r="Z375" s="11">
        <f t="shared" ca="1" si="77"/>
        <v>-52500</v>
      </c>
    </row>
    <row r="376" spans="1:26" x14ac:dyDescent="0.25">
      <c r="A376" s="30">
        <f t="shared" si="74"/>
        <v>360</v>
      </c>
      <c r="B376" s="10">
        <f>IF(B375=0,_Proxima_Compra,B375-1)</f>
        <v>0</v>
      </c>
      <c r="C376" s="3">
        <f t="shared" ca="1" si="67"/>
        <v>3.5095549452278219E-2</v>
      </c>
      <c r="D376" s="3">
        <f ca="1">IF(D375&gt;0,D375-1,IF(C376&gt;0,LOOKUP(C376,$S$3:$S$5,$P$3:$P$5),-1))</f>
        <v>0</v>
      </c>
      <c r="E376" s="25">
        <f t="shared" ca="1" si="68"/>
        <v>2</v>
      </c>
      <c r="F376" s="28">
        <f ca="1">E376*_GramosXFrasco</f>
        <v>340</v>
      </c>
      <c r="G376" s="38">
        <f t="shared" ca="1" si="69"/>
        <v>0.12357362698709162</v>
      </c>
      <c r="H376" s="36">
        <f t="shared" ca="1" si="70"/>
        <v>-1</v>
      </c>
      <c r="I376" s="36">
        <f t="shared" ca="1" si="71"/>
        <v>-1</v>
      </c>
      <c r="J376" s="36">
        <f t="shared" ca="1" si="78"/>
        <v>-1</v>
      </c>
      <c r="K376" s="37">
        <f ca="1">IF(J376&lt;&gt;-1,_Media_M + J376*_Sigma,-1)</f>
        <v>-1</v>
      </c>
      <c r="L376" s="3">
        <f t="shared" ca="1" si="72"/>
        <v>50</v>
      </c>
      <c r="M376" s="18">
        <f ca="1">IF(LOOKUP(G376,$H$3:$H$4,$E$3:$E$4)=1,50,_Media_M + J376*_Sigma)</f>
        <v>50</v>
      </c>
      <c r="N376" s="36">
        <f t="shared" ca="1" si="73"/>
        <v>36.4314057622625</v>
      </c>
      <c r="O376" s="35">
        <f t="shared" ca="1" si="79"/>
        <v>86.4314057622625</v>
      </c>
      <c r="P376" s="19">
        <f t="shared" ca="1" si="75"/>
        <v>86.4314057622625</v>
      </c>
      <c r="Q376" s="20">
        <f ca="1" xml:space="preserve"> P376*_Precio_cafe</f>
        <v>129.64710864339375</v>
      </c>
      <c r="R376" s="20">
        <f t="shared" ca="1" si="76"/>
        <v>51176.941021667059</v>
      </c>
      <c r="S376" s="20">
        <f ca="1">(1/A376)*((A376-1)*S375 +Q376)</f>
        <v>142.15816950463076</v>
      </c>
      <c r="T376" s="20">
        <f ca="1">IF((T375-P376+F376)&gt;_Max_Stock_Gramos,_Max_Stock_Gramos,T375-P376+F376)</f>
        <v>1687.2564260081356</v>
      </c>
      <c r="U376" s="20">
        <f ca="1">T376/_GramosXFrasco</f>
        <v>9.925037800047857</v>
      </c>
      <c r="V376" s="58">
        <f ca="1">(T376/_Max_Stock_Gramos)</f>
        <v>0.99250378000478567</v>
      </c>
      <c r="W376" s="58"/>
      <c r="X376" s="10">
        <f ca="1">IF((T375-O376)&lt;0,(T375-O376)*_Costo_Faltante,0)</f>
        <v>0</v>
      </c>
      <c r="Y376">
        <f ca="1">IF(B376=0,E376*_Costo_Frasco,0)</f>
        <v>-500</v>
      </c>
      <c r="Z376" s="11">
        <f t="shared" ca="1" si="77"/>
        <v>-53000</v>
      </c>
    </row>
    <row r="377" spans="1:26" x14ac:dyDescent="0.25">
      <c r="A377" s="30">
        <f t="shared" si="74"/>
        <v>361</v>
      </c>
      <c r="B377" s="10">
        <f>IF(B376=0,_Proxima_Compra,B376-1)</f>
        <v>1</v>
      </c>
      <c r="C377" s="3">
        <f t="shared" ca="1" si="67"/>
        <v>-1</v>
      </c>
      <c r="D377" s="3">
        <f ca="1">IF(D376&gt;0,D376-1,IF(C377&gt;0,LOOKUP(C377,$S$3:$S$5,$P$3:$P$5),-1))</f>
        <v>-1</v>
      </c>
      <c r="E377" s="25">
        <f t="shared" ca="1" si="68"/>
        <v>0</v>
      </c>
      <c r="F377" s="28">
        <f ca="1">E377*_GramosXFrasco</f>
        <v>0</v>
      </c>
      <c r="G377" s="38">
        <f t="shared" ca="1" si="69"/>
        <v>0.15992129699715785</v>
      </c>
      <c r="H377" s="36">
        <f t="shared" ca="1" si="70"/>
        <v>-1</v>
      </c>
      <c r="I377" s="36">
        <f t="shared" ca="1" si="71"/>
        <v>-1</v>
      </c>
      <c r="J377" s="36">
        <f t="shared" ca="1" si="78"/>
        <v>-1</v>
      </c>
      <c r="K377" s="37">
        <f ca="1">IF(J377&lt;&gt;-1,_Media_M + J377*_Sigma,-1)</f>
        <v>-1</v>
      </c>
      <c r="L377" s="3">
        <f t="shared" ca="1" si="72"/>
        <v>50</v>
      </c>
      <c r="M377" s="18">
        <f ca="1">IF(LOOKUP(G377,$H$3:$H$4,$E$3:$E$4)=1,50,_Media_M + J377*_Sigma)</f>
        <v>50</v>
      </c>
      <c r="N377" s="36">
        <f t="shared" ca="1" si="73"/>
        <v>0.24040288543151891</v>
      </c>
      <c r="O377" s="35">
        <f t="shared" ca="1" si="79"/>
        <v>50.240402885431521</v>
      </c>
      <c r="P377" s="19">
        <f t="shared" ca="1" si="75"/>
        <v>50.240402885431521</v>
      </c>
      <c r="Q377" s="20">
        <f ca="1" xml:space="preserve"> P377*_Precio_cafe</f>
        <v>75.360604328147275</v>
      </c>
      <c r="R377" s="20">
        <f t="shared" ca="1" si="76"/>
        <v>51252.301625995206</v>
      </c>
      <c r="S377" s="20">
        <f ca="1">(1/A377)*((A377-1)*S376 +Q377)</f>
        <v>141.97313469804772</v>
      </c>
      <c r="T377" s="20">
        <f ca="1">IF((T376-P377+F377)&gt;_Max_Stock_Gramos,_Max_Stock_Gramos,T376-P377+F377)</f>
        <v>1637.0160231227042</v>
      </c>
      <c r="U377" s="20">
        <f ca="1">T377/_GramosXFrasco</f>
        <v>9.6295060183688488</v>
      </c>
      <c r="V377" s="58">
        <f ca="1">(T377/_Max_Stock_Gramos)</f>
        <v>0.96295060183688475</v>
      </c>
      <c r="W377" s="58"/>
      <c r="X377" s="10">
        <f ca="1">IF((T376-O377)&lt;0,(T376-O377)*_Costo_Faltante,0)</f>
        <v>0</v>
      </c>
      <c r="Y377">
        <f>IF(B377=0,E377*_Costo_Frasco,0)</f>
        <v>0</v>
      </c>
      <c r="Z377" s="11">
        <f t="shared" ca="1" si="77"/>
        <v>-53000</v>
      </c>
    </row>
    <row r="378" spans="1:26" x14ac:dyDescent="0.25">
      <c r="A378" s="30">
        <f t="shared" si="74"/>
        <v>362</v>
      </c>
      <c r="B378" s="10">
        <f>IF(B377=0,_Proxima_Compra,B377-1)</f>
        <v>0</v>
      </c>
      <c r="C378" s="3">
        <f t="shared" ca="1" si="67"/>
        <v>0.65775699616808492</v>
      </c>
      <c r="D378" s="3">
        <f ca="1">IF(D377&gt;0,D377-1,IF(C378&gt;0,LOOKUP(C378,$S$3:$S$5,$P$3:$P$5),-1))</f>
        <v>1</v>
      </c>
      <c r="E378" s="25">
        <f t="shared" ca="1" si="68"/>
        <v>0</v>
      </c>
      <c r="F378" s="28">
        <f ca="1">E378*_GramosXFrasco</f>
        <v>0</v>
      </c>
      <c r="G378" s="38">
        <f t="shared" ca="1" si="69"/>
        <v>0.62285743258053849</v>
      </c>
      <c r="H378" s="36">
        <f t="shared" ca="1" si="70"/>
        <v>0.37910940375033431</v>
      </c>
      <c r="I378" s="36">
        <f t="shared" ca="1" si="71"/>
        <v>0.52607755789165334</v>
      </c>
      <c r="J378" s="36">
        <f t="shared" ca="1" si="78"/>
        <v>-0.63478748006640351</v>
      </c>
      <c r="K378" s="37">
        <f ca="1">IF(J378&lt;&gt;-1,_Media_M + J378*_Sigma,-1)</f>
        <v>65.478187799003948</v>
      </c>
      <c r="L378" s="3">
        <f t="shared" ca="1" si="72"/>
        <v>-1</v>
      </c>
      <c r="M378" s="18">
        <f ca="1">IF(LOOKUP(G378,$H$3:$H$4,$E$3:$E$4)=1,50,_Media_M + J378*_Sigma)</f>
        <v>65.478187799003948</v>
      </c>
      <c r="N378" s="36">
        <f t="shared" ca="1" si="73"/>
        <v>0.91625211323637634</v>
      </c>
      <c r="O378" s="35">
        <f t="shared" ca="1" si="79"/>
        <v>66.39443991224033</v>
      </c>
      <c r="P378" s="19">
        <f t="shared" ca="1" si="75"/>
        <v>66.39443991224033</v>
      </c>
      <c r="Q378" s="20">
        <f ca="1" xml:space="preserve"> P378*_Precio_cafe</f>
        <v>99.591659868360495</v>
      </c>
      <c r="R378" s="20">
        <f t="shared" ca="1" si="76"/>
        <v>51351.893285863567</v>
      </c>
      <c r="S378" s="20">
        <f ca="1">(1/A378)*((A378-1)*S377 +Q378)</f>
        <v>141.85605880072814</v>
      </c>
      <c r="T378" s="20">
        <f ca="1">IF((T377-P378+F378)&gt;_Max_Stock_Gramos,_Max_Stock_Gramos,T377-P378+F378)</f>
        <v>1570.6215832104638</v>
      </c>
      <c r="U378" s="20">
        <f ca="1">T378/_GramosXFrasco</f>
        <v>9.2389504894733161</v>
      </c>
      <c r="V378" s="58">
        <f ca="1">(T378/_Max_Stock_Gramos)</f>
        <v>0.92389504894733165</v>
      </c>
      <c r="W378" s="58"/>
      <c r="X378" s="10">
        <f ca="1">IF((T377-O378)&lt;0,(T377-O378)*_Costo_Faltante,0)</f>
        <v>0</v>
      </c>
      <c r="Y378">
        <f ca="1">IF(B378=0,E378*_Costo_Frasco,0)</f>
        <v>0</v>
      </c>
      <c r="Z378" s="11">
        <f t="shared" ca="1" si="77"/>
        <v>-53000</v>
      </c>
    </row>
    <row r="379" spans="1:26" x14ac:dyDescent="0.25">
      <c r="A379" s="30">
        <f t="shared" si="74"/>
        <v>363</v>
      </c>
      <c r="B379" s="10">
        <f>IF(B378=0,_Proxima_Compra,B378-1)</f>
        <v>1</v>
      </c>
      <c r="C379" s="3">
        <f t="shared" ca="1" si="67"/>
        <v>-1</v>
      </c>
      <c r="D379" s="3">
        <f ca="1">IF(D378&gt;0,D378-1,IF(C379&gt;0,LOOKUP(C379,$S$3:$S$5,$P$3:$P$5),-1))</f>
        <v>0</v>
      </c>
      <c r="E379" s="25">
        <f t="shared" ca="1" si="68"/>
        <v>2</v>
      </c>
      <c r="F379" s="28">
        <f ca="1">E379*_GramosXFrasco</f>
        <v>340</v>
      </c>
      <c r="G379" s="38">
        <f t="shared" ca="1" si="69"/>
        <v>0.31794204827928096</v>
      </c>
      <c r="H379" s="36">
        <f t="shared" ca="1" si="70"/>
        <v>-1</v>
      </c>
      <c r="I379" s="36">
        <f t="shared" ca="1" si="71"/>
        <v>-1</v>
      </c>
      <c r="J379" s="36">
        <f t="shared" ca="1" si="78"/>
        <v>-1</v>
      </c>
      <c r="K379" s="37">
        <f ca="1">IF(J379&lt;&gt;-1,_Media_M + J379*_Sigma,-1)</f>
        <v>-1</v>
      </c>
      <c r="L379" s="3">
        <f t="shared" ca="1" si="72"/>
        <v>50</v>
      </c>
      <c r="M379" s="18">
        <f ca="1">IF(LOOKUP(G379,$H$3:$H$4,$E$3:$E$4)=1,50,_Media_M + J379*_Sigma)</f>
        <v>50</v>
      </c>
      <c r="N379" s="36">
        <f t="shared" ca="1" si="73"/>
        <v>6.4822916313927825</v>
      </c>
      <c r="O379" s="35">
        <f t="shared" ca="1" si="79"/>
        <v>56.482291631392783</v>
      </c>
      <c r="P379" s="19">
        <f t="shared" ca="1" si="75"/>
        <v>56.482291631392783</v>
      </c>
      <c r="Q379" s="20">
        <f ca="1" xml:space="preserve"> P379*_Precio_cafe</f>
        <v>84.723437447089168</v>
      </c>
      <c r="R379" s="20">
        <f t="shared" ca="1" si="76"/>
        <v>51436.616723310653</v>
      </c>
      <c r="S379" s="20">
        <f ca="1">(1/A379)*((A379-1)*S378 +Q379)</f>
        <v>141.69866865925803</v>
      </c>
      <c r="T379" s="20">
        <f ca="1">IF((T378-P379+F379)&gt;_Max_Stock_Gramos,_Max_Stock_Gramos,T378-P379+F379)</f>
        <v>1700</v>
      </c>
      <c r="U379" s="20">
        <f ca="1">T379/_GramosXFrasco</f>
        <v>10</v>
      </c>
      <c r="V379" s="58">
        <f ca="1">(T379/_Max_Stock_Gramos)</f>
        <v>1</v>
      </c>
      <c r="W379" s="58"/>
      <c r="X379" s="10">
        <f ca="1">IF((T378-O379)&lt;0,(T378-O379)*_Costo_Faltante,0)</f>
        <v>0</v>
      </c>
      <c r="Y379">
        <f>IF(B379=0,E379*_Costo_Frasco,0)</f>
        <v>0</v>
      </c>
      <c r="Z379" s="11">
        <f t="shared" ca="1" si="77"/>
        <v>-53000</v>
      </c>
    </row>
    <row r="380" spans="1:26" x14ac:dyDescent="0.25">
      <c r="A380" s="30">
        <f t="shared" si="74"/>
        <v>364</v>
      </c>
      <c r="B380" s="10">
        <f>IF(B379=0,_Proxima_Compra,B379-1)</f>
        <v>0</v>
      </c>
      <c r="C380" s="3">
        <f t="shared" ca="1" si="67"/>
        <v>0.39897789207097378</v>
      </c>
      <c r="D380" s="3">
        <f ca="1">IF(D379&gt;0,D379-1,IF(C380&gt;0,LOOKUP(C380,$S$3:$S$5,$P$3:$P$5),-1))</f>
        <v>0</v>
      </c>
      <c r="E380" s="25">
        <f t="shared" ca="1" si="68"/>
        <v>2</v>
      </c>
      <c r="F380" s="28">
        <f ca="1">E380*_GramosXFrasco</f>
        <v>340</v>
      </c>
      <c r="G380" s="38">
        <f t="shared" ca="1" si="69"/>
        <v>0.14137907497407998</v>
      </c>
      <c r="H380" s="36">
        <f t="shared" ca="1" si="70"/>
        <v>-1</v>
      </c>
      <c r="I380" s="36">
        <f t="shared" ca="1" si="71"/>
        <v>-1</v>
      </c>
      <c r="J380" s="36">
        <f t="shared" ca="1" si="78"/>
        <v>-1</v>
      </c>
      <c r="K380" s="37">
        <f ca="1">IF(J380&lt;&gt;-1,_Media_M + J380*_Sigma,-1)</f>
        <v>-1</v>
      </c>
      <c r="L380" s="3">
        <f t="shared" ca="1" si="72"/>
        <v>50</v>
      </c>
      <c r="M380" s="18">
        <f ca="1">IF(LOOKUP(G380,$H$3:$H$4,$E$3:$E$4)=1,50,_Media_M + J380*_Sigma)</f>
        <v>50</v>
      </c>
      <c r="N380" s="36">
        <f t="shared" ca="1" si="73"/>
        <v>49.189365621716533</v>
      </c>
      <c r="O380" s="35">
        <f t="shared" ca="1" si="79"/>
        <v>99.189365621716533</v>
      </c>
      <c r="P380" s="19">
        <f t="shared" ca="1" si="75"/>
        <v>99.189365621716533</v>
      </c>
      <c r="Q380" s="20">
        <f ca="1" xml:space="preserve"> P380*_Precio_cafe</f>
        <v>148.78404843257479</v>
      </c>
      <c r="R380" s="20">
        <f t="shared" ca="1" si="76"/>
        <v>51585.400771743225</v>
      </c>
      <c r="S380" s="20">
        <f ca="1">(1/A380)*((A380-1)*S379 +Q380)</f>
        <v>141.71813398830562</v>
      </c>
      <c r="T380" s="20">
        <f ca="1">IF((T379-P380+F380)&gt;_Max_Stock_Gramos,_Max_Stock_Gramos,T379-P380+F380)</f>
        <v>1700</v>
      </c>
      <c r="U380" s="20">
        <f ca="1">T380/_GramosXFrasco</f>
        <v>10</v>
      </c>
      <c r="V380" s="58">
        <f ca="1">(T380/_Max_Stock_Gramos)</f>
        <v>1</v>
      </c>
      <c r="W380" s="58"/>
      <c r="X380" s="10">
        <f ca="1">IF((T379-O380)&lt;0,(T379-O380)*_Costo_Faltante,0)</f>
        <v>0</v>
      </c>
      <c r="Y380">
        <f ca="1">IF(B380=0,E380*_Costo_Frasco,0)</f>
        <v>-500</v>
      </c>
      <c r="Z380" s="11">
        <f t="shared" ca="1" si="77"/>
        <v>-53500</v>
      </c>
    </row>
    <row r="381" spans="1:26" x14ac:dyDescent="0.25">
      <c r="A381" s="30">
        <f t="shared" si="74"/>
        <v>365</v>
      </c>
      <c r="B381" s="10">
        <f>IF(B380=0,_Proxima_Compra,B380-1)</f>
        <v>1</v>
      </c>
      <c r="C381" s="3">
        <f t="shared" ca="1" si="67"/>
        <v>-1</v>
      </c>
      <c r="D381" s="3">
        <f ca="1">IF(D380&gt;0,D380-1,IF(C381&gt;0,LOOKUP(C381,$S$3:$S$5,$P$3:$P$5),-1))</f>
        <v>-1</v>
      </c>
      <c r="E381" s="25">
        <f t="shared" ca="1" si="68"/>
        <v>0</v>
      </c>
      <c r="F381" s="28">
        <f ca="1">E381*_GramosXFrasco</f>
        <v>0</v>
      </c>
      <c r="G381" s="38">
        <f t="shared" ca="1" si="69"/>
        <v>0.52481916269712581</v>
      </c>
      <c r="H381" s="36">
        <f t="shared" ca="1" si="70"/>
        <v>0.93499629144637331</v>
      </c>
      <c r="I381" s="36">
        <f t="shared" ca="1" si="71"/>
        <v>0.16211723632955877</v>
      </c>
      <c r="J381" s="36">
        <f t="shared" ca="1" si="78"/>
        <v>0.80823304673749874</v>
      </c>
      <c r="K381" s="37">
        <f ca="1">IF(J381&lt;&gt;-1,_Media_M + J381*_Sigma,-1)</f>
        <v>87.123495701062481</v>
      </c>
      <c r="L381" s="3">
        <f t="shared" ca="1" si="72"/>
        <v>-1</v>
      </c>
      <c r="M381" s="18">
        <f ca="1">IF(LOOKUP(G381,$H$3:$H$4,$E$3:$E$4)=1,50,_Media_M + J381*_Sigma)</f>
        <v>87.123495701062481</v>
      </c>
      <c r="N381" s="36">
        <f t="shared" ca="1" si="73"/>
        <v>20.199344599497771</v>
      </c>
      <c r="O381" s="35">
        <f t="shared" ca="1" si="79"/>
        <v>107.32284030056024</v>
      </c>
      <c r="P381" s="19">
        <f t="shared" ca="1" si="75"/>
        <v>107.32284030056024</v>
      </c>
      <c r="Q381" s="20">
        <f ca="1" xml:space="preserve"> P381*_Precio_cafe</f>
        <v>160.98426045084037</v>
      </c>
      <c r="R381" s="20">
        <f t="shared" ca="1" si="76"/>
        <v>51746.385032194063</v>
      </c>
      <c r="S381" s="20">
        <f ca="1">(1/A381)*((A381-1)*S380 +Q381)</f>
        <v>141.77091789642216</v>
      </c>
      <c r="T381" s="20">
        <f ca="1">IF((T380-P381+F381)&gt;_Max_Stock_Gramos,_Max_Stock_Gramos,T380-P381+F381)</f>
        <v>1592.6771596994397</v>
      </c>
      <c r="U381" s="20">
        <f ca="1">T381/_GramosXFrasco</f>
        <v>9.3686891747025864</v>
      </c>
      <c r="V381" s="58">
        <f ca="1">(T381/_Max_Stock_Gramos)</f>
        <v>0.93686891747025869</v>
      </c>
      <c r="W381" s="58"/>
      <c r="X381" s="10">
        <f ca="1">IF((T380-O381)&lt;0,(T380-O381)*_Costo_Faltante,0)</f>
        <v>0</v>
      </c>
      <c r="Y381">
        <f>IF(B381=0,E381*_Costo_Frasco,0)</f>
        <v>0</v>
      </c>
      <c r="Z381" s="11">
        <f t="shared" ca="1" si="77"/>
        <v>-53500</v>
      </c>
    </row>
    <row r="382" spans="1:26" x14ac:dyDescent="0.25">
      <c r="A382" s="30">
        <f t="shared" si="74"/>
        <v>366</v>
      </c>
      <c r="B382" s="10">
        <f>IF(B381=0,_Proxima_Compra,B381-1)</f>
        <v>0</v>
      </c>
      <c r="C382" s="3">
        <f t="shared" ca="1" si="67"/>
        <v>0.29469058902057987</v>
      </c>
      <c r="D382" s="3">
        <f ca="1">IF(D381&gt;0,D381-1,IF(C382&gt;0,LOOKUP(C382,$S$3:$S$5,$P$3:$P$5),-1))</f>
        <v>0</v>
      </c>
      <c r="E382" s="25">
        <f t="shared" ca="1" si="68"/>
        <v>2</v>
      </c>
      <c r="F382" s="28">
        <f ca="1">E382*_GramosXFrasco</f>
        <v>340</v>
      </c>
      <c r="G382" s="38">
        <f t="shared" ca="1" si="69"/>
        <v>0.61458756904148193</v>
      </c>
      <c r="H382" s="36">
        <f t="shared" ca="1" si="70"/>
        <v>0.305997139573153</v>
      </c>
      <c r="I382" s="36">
        <f t="shared" ca="1" si="71"/>
        <v>0.98738494144222189</v>
      </c>
      <c r="J382" s="36">
        <f t="shared" ca="1" si="78"/>
        <v>0.56150541198566528</v>
      </c>
      <c r="K382" s="37">
        <f ca="1">IF(J382&lt;&gt;-1,_Media_M + J382*_Sigma,-1)</f>
        <v>83.422581179784984</v>
      </c>
      <c r="L382" s="3">
        <f t="shared" ca="1" si="72"/>
        <v>-1</v>
      </c>
      <c r="M382" s="18">
        <f ca="1">IF(LOOKUP(G382,$H$3:$H$4,$E$3:$E$4)=1,50,_Media_M + J382*_Sigma)</f>
        <v>83.422581179784984</v>
      </c>
      <c r="N382" s="36">
        <f t="shared" ca="1" si="73"/>
        <v>26.204257951011911</v>
      </c>
      <c r="O382" s="35">
        <f t="shared" ca="1" si="79"/>
        <v>109.6268391307969</v>
      </c>
      <c r="P382" s="19">
        <f t="shared" ca="1" si="75"/>
        <v>109.6268391307969</v>
      </c>
      <c r="Q382" s="20">
        <f ca="1" xml:space="preserve"> P382*_Precio_cafe</f>
        <v>164.44025869619534</v>
      </c>
      <c r="R382" s="20">
        <f t="shared" ca="1" si="76"/>
        <v>51910.825290890258</v>
      </c>
      <c r="S382" s="20">
        <f ca="1">(1/A382)*((A382-1)*S381 +Q382)</f>
        <v>141.83285598603902</v>
      </c>
      <c r="T382" s="20">
        <f ca="1">IF((T381-P382+F382)&gt;_Max_Stock_Gramos,_Max_Stock_Gramos,T381-P382+F382)</f>
        <v>1700</v>
      </c>
      <c r="U382" s="20">
        <f ca="1">T382/_GramosXFrasco</f>
        <v>10</v>
      </c>
      <c r="V382" s="58">
        <f ca="1">(T382/_Max_Stock_Gramos)</f>
        <v>1</v>
      </c>
      <c r="W382" s="58"/>
      <c r="X382" s="10">
        <f ca="1">IF((T381-O382)&lt;0,(T381-O382)*_Costo_Faltante,0)</f>
        <v>0</v>
      </c>
      <c r="Y382">
        <f ca="1">IF(B382=0,E382*_Costo_Frasco,0)</f>
        <v>-500</v>
      </c>
      <c r="Z382" s="11">
        <f t="shared" ca="1" si="77"/>
        <v>-54000</v>
      </c>
    </row>
    <row r="383" spans="1:26" x14ac:dyDescent="0.25">
      <c r="A383" s="30">
        <f t="shared" si="74"/>
        <v>367</v>
      </c>
      <c r="B383" s="10">
        <f>IF(B382=0,_Proxima_Compra,B382-1)</f>
        <v>1</v>
      </c>
      <c r="C383" s="3">
        <f t="shared" ca="1" si="67"/>
        <v>-1</v>
      </c>
      <c r="D383" s="3">
        <f ca="1">IF(D382&gt;0,D382-1,IF(C383&gt;0,LOOKUP(C383,$S$3:$S$5,$P$3:$P$5),-1))</f>
        <v>-1</v>
      </c>
      <c r="E383" s="25">
        <f t="shared" ca="1" si="68"/>
        <v>0</v>
      </c>
      <c r="F383" s="28">
        <f ca="1">E383*_GramosXFrasco</f>
        <v>0</v>
      </c>
      <c r="G383" s="38">
        <f t="shared" ca="1" si="69"/>
        <v>0.52613290857143113</v>
      </c>
      <c r="H383" s="36">
        <f t="shared" ca="1" si="70"/>
        <v>0.36663100693121664</v>
      </c>
      <c r="I383" s="36">
        <f t="shared" ca="1" si="71"/>
        <v>0.78679602296593354</v>
      </c>
      <c r="J383" s="36">
        <f t="shared" ca="1" si="78"/>
        <v>0.14432066696263396</v>
      </c>
      <c r="K383" s="37">
        <f ca="1">IF(J383&lt;&gt;-1,_Media_M + J383*_Sigma,-1)</f>
        <v>77.164810004439516</v>
      </c>
      <c r="L383" s="3">
        <f t="shared" ca="1" si="72"/>
        <v>-1</v>
      </c>
      <c r="M383" s="18">
        <f ca="1">IF(LOOKUP(G383,$H$3:$H$4,$E$3:$E$4)=1,50,_Media_M + J383*_Sigma)</f>
        <v>77.164810004439516</v>
      </c>
      <c r="N383" s="36">
        <f t="shared" ca="1" si="73"/>
        <v>8.0472210562249114</v>
      </c>
      <c r="O383" s="35">
        <f t="shared" ca="1" si="79"/>
        <v>85.21203106066443</v>
      </c>
      <c r="P383" s="19">
        <f t="shared" ca="1" si="75"/>
        <v>85.21203106066443</v>
      </c>
      <c r="Q383" s="20">
        <f ca="1" xml:space="preserve"> P383*_Precio_cafe</f>
        <v>127.81804659099664</v>
      </c>
      <c r="R383" s="20">
        <f t="shared" ca="1" si="76"/>
        <v>52038.643337481255</v>
      </c>
      <c r="S383" s="20">
        <f ca="1">(1/A383)*((A383-1)*S382 +Q383)</f>
        <v>141.79466849449938</v>
      </c>
      <c r="T383" s="20">
        <f ca="1">IF((T382-P383+F383)&gt;_Max_Stock_Gramos,_Max_Stock_Gramos,T382-P383+F383)</f>
        <v>1614.7879689393355</v>
      </c>
      <c r="U383" s="20">
        <f ca="1">T383/_GramosXFrasco</f>
        <v>9.4987527584666793</v>
      </c>
      <c r="V383" s="58">
        <f ca="1">(T383/_Max_Stock_Gramos)</f>
        <v>0.94987527584666798</v>
      </c>
      <c r="W383" s="58"/>
      <c r="X383" s="10">
        <f ca="1">IF((T382-O383)&lt;0,(T382-O383)*_Costo_Faltante,0)</f>
        <v>0</v>
      </c>
      <c r="Y383">
        <f>IF(B383=0,E383*_Costo_Frasco,0)</f>
        <v>0</v>
      </c>
      <c r="Z383" s="11">
        <f t="shared" ca="1" si="77"/>
        <v>-54000</v>
      </c>
    </row>
    <row r="384" spans="1:26" x14ac:dyDescent="0.25">
      <c r="A384" s="30">
        <f t="shared" si="74"/>
        <v>368</v>
      </c>
      <c r="B384" s="10">
        <f>IF(B383=0,_Proxima_Compra,B383-1)</f>
        <v>0</v>
      </c>
      <c r="C384" s="3">
        <f t="shared" ca="1" si="67"/>
        <v>0.12653643420245053</v>
      </c>
      <c r="D384" s="3">
        <f ca="1">IF(D383&gt;0,D383-1,IF(C384&gt;0,LOOKUP(C384,$S$3:$S$5,$P$3:$P$5),-1))</f>
        <v>0</v>
      </c>
      <c r="E384" s="25">
        <f t="shared" ca="1" si="68"/>
        <v>2</v>
      </c>
      <c r="F384" s="28">
        <f ca="1">E384*_GramosXFrasco</f>
        <v>340</v>
      </c>
      <c r="G384" s="38">
        <f t="shared" ca="1" si="69"/>
        <v>0.41806116176872421</v>
      </c>
      <c r="H384" s="36">
        <f t="shared" ca="1" si="70"/>
        <v>-1</v>
      </c>
      <c r="I384" s="36">
        <f t="shared" ca="1" si="71"/>
        <v>-1</v>
      </c>
      <c r="J384" s="36">
        <f t="shared" ca="1" si="78"/>
        <v>-1</v>
      </c>
      <c r="K384" s="37">
        <f ca="1">IF(J384&lt;&gt;-1,_Media_M + J384*_Sigma,-1)</f>
        <v>-1</v>
      </c>
      <c r="L384" s="3">
        <f t="shared" ca="1" si="72"/>
        <v>50</v>
      </c>
      <c r="M384" s="18">
        <f ca="1">IF(LOOKUP(G384,$H$3:$H$4,$E$3:$E$4)=1,50,_Media_M + J384*_Sigma)</f>
        <v>50</v>
      </c>
      <c r="N384" s="36">
        <f t="shared" ca="1" si="73"/>
        <v>31.30805747179943</v>
      </c>
      <c r="O384" s="35">
        <f t="shared" ca="1" si="79"/>
        <v>81.30805747179943</v>
      </c>
      <c r="P384" s="19">
        <f t="shared" ca="1" si="75"/>
        <v>81.30805747179943</v>
      </c>
      <c r="Q384" s="20">
        <f ca="1" xml:space="preserve"> P384*_Precio_cafe</f>
        <v>121.96208620769914</v>
      </c>
      <c r="R384" s="20">
        <f t="shared" ca="1" si="76"/>
        <v>52160.605423688954</v>
      </c>
      <c r="S384" s="20">
        <f ca="1">(1/A384)*((A384-1)*S383 +Q384)</f>
        <v>141.74077560785045</v>
      </c>
      <c r="T384" s="20">
        <f ca="1">IF((T383-P384+F384)&gt;_Max_Stock_Gramos,_Max_Stock_Gramos,T383-P384+F384)</f>
        <v>1700</v>
      </c>
      <c r="U384" s="20">
        <f ca="1">T384/_GramosXFrasco</f>
        <v>10</v>
      </c>
      <c r="V384" s="58">
        <f ca="1">(T384/_Max_Stock_Gramos)</f>
        <v>1</v>
      </c>
      <c r="W384" s="58"/>
      <c r="X384" s="10">
        <f ca="1">IF((T383-O384)&lt;0,(T383-O384)*_Costo_Faltante,0)</f>
        <v>0</v>
      </c>
      <c r="Y384">
        <f ca="1">IF(B384=0,E384*_Costo_Frasco,0)</f>
        <v>-500</v>
      </c>
      <c r="Z384" s="11">
        <f t="shared" ca="1" si="77"/>
        <v>-54500</v>
      </c>
    </row>
    <row r="385" spans="1:26" x14ac:dyDescent="0.25">
      <c r="A385" s="30">
        <f t="shared" si="74"/>
        <v>369</v>
      </c>
      <c r="B385" s="10">
        <f>IF(B384=0,_Proxima_Compra,B384-1)</f>
        <v>1</v>
      </c>
      <c r="C385" s="3">
        <f t="shared" ca="1" si="67"/>
        <v>-1</v>
      </c>
      <c r="D385" s="3">
        <f ca="1">IF(D384&gt;0,D384-1,IF(C385&gt;0,LOOKUP(C385,$S$3:$S$5,$P$3:$P$5),-1))</f>
        <v>-1</v>
      </c>
      <c r="E385" s="25">
        <f t="shared" ca="1" si="68"/>
        <v>0</v>
      </c>
      <c r="F385" s="28">
        <f ca="1">E385*_GramosXFrasco</f>
        <v>0</v>
      </c>
      <c r="G385" s="38">
        <f t="shared" ca="1" si="69"/>
        <v>0.26816649108512947</v>
      </c>
      <c r="H385" s="36">
        <f t="shared" ca="1" si="70"/>
        <v>-1</v>
      </c>
      <c r="I385" s="36">
        <f t="shared" ca="1" si="71"/>
        <v>-1</v>
      </c>
      <c r="J385" s="36">
        <f t="shared" ca="1" si="78"/>
        <v>-1</v>
      </c>
      <c r="K385" s="37">
        <f ca="1">IF(J385&lt;&gt;-1,_Media_M + J385*_Sigma,-1)</f>
        <v>-1</v>
      </c>
      <c r="L385" s="3">
        <f t="shared" ca="1" si="72"/>
        <v>50</v>
      </c>
      <c r="M385" s="18">
        <f ca="1">IF(LOOKUP(G385,$H$3:$H$4,$E$3:$E$4)=1,50,_Media_M + J385*_Sigma)</f>
        <v>50</v>
      </c>
      <c r="N385" s="36">
        <f t="shared" ca="1" si="73"/>
        <v>6.4901447650989503</v>
      </c>
      <c r="O385" s="35">
        <f t="shared" ca="1" si="79"/>
        <v>56.490144765098947</v>
      </c>
      <c r="P385" s="19">
        <f t="shared" ca="1" si="75"/>
        <v>56.490144765098947</v>
      </c>
      <c r="Q385" s="20">
        <f ca="1" xml:space="preserve"> P385*_Precio_cafe</f>
        <v>84.735217147648427</v>
      </c>
      <c r="R385" s="20">
        <f t="shared" ca="1" si="76"/>
        <v>52245.340640836599</v>
      </c>
      <c r="S385" s="20">
        <f ca="1">(1/A385)*((A385-1)*S384 +Q385)</f>
        <v>141.58628899955721</v>
      </c>
      <c r="T385" s="20">
        <f ca="1">IF((T384-P385+F385)&gt;_Max_Stock_Gramos,_Max_Stock_Gramos,T384-P385+F385)</f>
        <v>1643.5098552349011</v>
      </c>
      <c r="U385" s="20">
        <f ca="1">T385/_GramosXFrasco</f>
        <v>9.6677050307935364</v>
      </c>
      <c r="V385" s="58">
        <f ca="1">(T385/_Max_Stock_Gramos)</f>
        <v>0.96677050307935364</v>
      </c>
      <c r="W385" s="58"/>
      <c r="X385" s="10">
        <f ca="1">IF((T384-O385)&lt;0,(T384-O385)*_Costo_Faltante,0)</f>
        <v>0</v>
      </c>
      <c r="Y385">
        <f>IF(B385=0,E385*_Costo_Frasco,0)</f>
        <v>0</v>
      </c>
      <c r="Z385" s="11">
        <f t="shared" ca="1" si="77"/>
        <v>-54500</v>
      </c>
    </row>
    <row r="386" spans="1:26" x14ac:dyDescent="0.25">
      <c r="A386" s="30">
        <f t="shared" si="74"/>
        <v>370</v>
      </c>
      <c r="B386" s="10">
        <f>IF(B385=0,_Proxima_Compra,B385-1)</f>
        <v>0</v>
      </c>
      <c r="C386" s="3">
        <f t="shared" ca="1" si="67"/>
        <v>0.68087669052142064</v>
      </c>
      <c r="D386" s="3">
        <f ca="1">IF(D385&gt;0,D385-1,IF(C386&gt;0,LOOKUP(C386,$S$3:$S$5,$P$3:$P$5),-1))</f>
        <v>1</v>
      </c>
      <c r="E386" s="25">
        <f t="shared" ca="1" si="68"/>
        <v>0</v>
      </c>
      <c r="F386" s="28">
        <f ca="1">E386*_GramosXFrasco</f>
        <v>0</v>
      </c>
      <c r="G386" s="38">
        <f t="shared" ca="1" si="69"/>
        <v>0.27683610536651637</v>
      </c>
      <c r="H386" s="36">
        <f t="shared" ca="1" si="70"/>
        <v>-1</v>
      </c>
      <c r="I386" s="36">
        <f t="shared" ca="1" si="71"/>
        <v>-1</v>
      </c>
      <c r="J386" s="36">
        <f t="shared" ca="1" si="78"/>
        <v>-1</v>
      </c>
      <c r="K386" s="37">
        <f ca="1">IF(J386&lt;&gt;-1,_Media_M + J386*_Sigma,-1)</f>
        <v>-1</v>
      </c>
      <c r="L386" s="3">
        <f t="shared" ca="1" si="72"/>
        <v>50</v>
      </c>
      <c r="M386" s="18">
        <f ca="1">IF(LOOKUP(G386,$H$3:$H$4,$E$3:$E$4)=1,50,_Media_M + J386*_Sigma)</f>
        <v>50</v>
      </c>
      <c r="N386" s="36">
        <f t="shared" ca="1" si="73"/>
        <v>16.012680308374094</v>
      </c>
      <c r="O386" s="35">
        <f t="shared" ca="1" si="79"/>
        <v>66.012680308374087</v>
      </c>
      <c r="P386" s="19">
        <f t="shared" ca="1" si="75"/>
        <v>66.012680308374087</v>
      </c>
      <c r="Q386" s="20">
        <f ca="1" xml:space="preserve"> P386*_Precio_cafe</f>
        <v>99.01902046256113</v>
      </c>
      <c r="R386" s="20">
        <f t="shared" ca="1" si="76"/>
        <v>52344.359661299161</v>
      </c>
      <c r="S386" s="20">
        <f ca="1">(1/A386)*((A386-1)*S385 +Q386)</f>
        <v>141.47124232783563</v>
      </c>
      <c r="T386" s="20">
        <f ca="1">IF((T385-P386+F386)&gt;_Max_Stock_Gramos,_Max_Stock_Gramos,T385-P386+F386)</f>
        <v>1577.4971749265271</v>
      </c>
      <c r="U386" s="20">
        <f ca="1">T386/_GramosXFrasco</f>
        <v>9.27939514662663</v>
      </c>
      <c r="V386" s="58">
        <f ca="1">(T386/_Max_Stock_Gramos)</f>
        <v>0.927939514662663</v>
      </c>
      <c r="W386" s="58"/>
      <c r="X386" s="10">
        <f ca="1">IF((T385-O386)&lt;0,(T385-O386)*_Costo_Faltante,0)</f>
        <v>0</v>
      </c>
      <c r="Y386">
        <f ca="1">IF(B386=0,E386*_Costo_Frasco,0)</f>
        <v>0</v>
      </c>
      <c r="Z386" s="11">
        <f t="shared" ca="1" si="77"/>
        <v>-54500</v>
      </c>
    </row>
    <row r="387" spans="1:26" x14ac:dyDescent="0.25">
      <c r="A387" s="30">
        <f t="shared" si="74"/>
        <v>371</v>
      </c>
      <c r="B387" s="10">
        <f>IF(B386=0,_Proxima_Compra,B386-1)</f>
        <v>1</v>
      </c>
      <c r="C387" s="3">
        <f t="shared" ca="1" si="67"/>
        <v>-1</v>
      </c>
      <c r="D387" s="3">
        <f ca="1">IF(D386&gt;0,D386-1,IF(C387&gt;0,LOOKUP(C387,$S$3:$S$5,$P$3:$P$5),-1))</f>
        <v>0</v>
      </c>
      <c r="E387" s="25">
        <f t="shared" ca="1" si="68"/>
        <v>2</v>
      </c>
      <c r="F387" s="28">
        <f ca="1">E387*_GramosXFrasco</f>
        <v>340</v>
      </c>
      <c r="G387" s="38">
        <f t="shared" ca="1" si="69"/>
        <v>0.97117574079236912</v>
      </c>
      <c r="H387" s="36">
        <f t="shared" ca="1" si="70"/>
        <v>0.88073186997493647</v>
      </c>
      <c r="I387" s="36">
        <f t="shared" ca="1" si="71"/>
        <v>0.62104690798816509</v>
      </c>
      <c r="J387" s="36">
        <f t="shared" ca="1" si="78"/>
        <v>-0.98454624874964158</v>
      </c>
      <c r="K387" s="37">
        <f ca="1">IF(J387&lt;&gt;-1,_Media_M + J387*_Sigma,-1)</f>
        <v>60.231806268755378</v>
      </c>
      <c r="L387" s="3">
        <f t="shared" ca="1" si="72"/>
        <v>-1</v>
      </c>
      <c r="M387" s="18">
        <f ca="1">IF(LOOKUP(G387,$H$3:$H$4,$E$3:$E$4)=1,50,_Media_M + J387*_Sigma)</f>
        <v>60.231806268755378</v>
      </c>
      <c r="N387" s="36">
        <f t="shared" ca="1" si="73"/>
        <v>97.395426707326209</v>
      </c>
      <c r="O387" s="35">
        <f t="shared" ca="1" si="79"/>
        <v>157.62723297608159</v>
      </c>
      <c r="P387" s="19">
        <f t="shared" ca="1" si="75"/>
        <v>157.62723297608159</v>
      </c>
      <c r="Q387" s="20">
        <f ca="1" xml:space="preserve"> P387*_Precio_cafe</f>
        <v>236.44084946412238</v>
      </c>
      <c r="R387" s="20">
        <f t="shared" ca="1" si="76"/>
        <v>52580.800510763285</v>
      </c>
      <c r="S387" s="20">
        <f ca="1">(1/A387)*((A387-1)*S386 +Q387)</f>
        <v>141.72722509639706</v>
      </c>
      <c r="T387" s="20">
        <f ca="1">IF((T386-P387+F387)&gt;_Max_Stock_Gramos,_Max_Stock_Gramos,T386-P387+F387)</f>
        <v>1700</v>
      </c>
      <c r="U387" s="20">
        <f ca="1">T387/_GramosXFrasco</f>
        <v>10</v>
      </c>
      <c r="V387" s="58">
        <f ca="1">(T387/_Max_Stock_Gramos)</f>
        <v>1</v>
      </c>
      <c r="W387" s="58"/>
      <c r="X387" s="10">
        <f ca="1">IF((T386-O387)&lt;0,(T386-O387)*_Costo_Faltante,0)</f>
        <v>0</v>
      </c>
      <c r="Y387">
        <f>IF(B387=0,E387*_Costo_Frasco,0)</f>
        <v>0</v>
      </c>
      <c r="Z387" s="11">
        <f t="shared" ca="1" si="77"/>
        <v>-54500</v>
      </c>
    </row>
    <row r="388" spans="1:26" x14ac:dyDescent="0.25">
      <c r="A388" s="30">
        <f t="shared" si="74"/>
        <v>372</v>
      </c>
      <c r="B388" s="10">
        <f>IF(B387=0,_Proxima_Compra,B387-1)</f>
        <v>0</v>
      </c>
      <c r="C388" s="3">
        <f t="shared" ca="1" si="67"/>
        <v>0.48399240204224692</v>
      </c>
      <c r="D388" s="3">
        <f ca="1">IF(D387&gt;0,D387-1,IF(C388&gt;0,LOOKUP(C388,$S$3:$S$5,$P$3:$P$5),-1))</f>
        <v>0</v>
      </c>
      <c r="E388" s="25">
        <f t="shared" ca="1" si="68"/>
        <v>2</v>
      </c>
      <c r="F388" s="28">
        <f ca="1">E388*_GramosXFrasco</f>
        <v>340</v>
      </c>
      <c r="G388" s="38">
        <f t="shared" ca="1" si="69"/>
        <v>0.6411820998022717</v>
      </c>
      <c r="H388" s="36">
        <f t="shared" ca="1" si="70"/>
        <v>0.36569536958004911</v>
      </c>
      <c r="I388" s="36">
        <f t="shared" ca="1" si="71"/>
        <v>3.003209554255748E-2</v>
      </c>
      <c r="J388" s="36">
        <f t="shared" ca="1" si="78"/>
        <v>0.61765000647056945</v>
      </c>
      <c r="K388" s="37">
        <f ca="1">IF(J388&lt;&gt;-1,_Media_M + J388*_Sigma,-1)</f>
        <v>84.264750097058538</v>
      </c>
      <c r="L388" s="3">
        <f t="shared" ca="1" si="72"/>
        <v>-1</v>
      </c>
      <c r="M388" s="18">
        <f ca="1">IF(LOOKUP(G388,$H$3:$H$4,$E$3:$E$4)=1,50,_Media_M + J388*_Sigma)</f>
        <v>84.264750097058538</v>
      </c>
      <c r="N388" s="36">
        <f t="shared" ca="1" si="73"/>
        <v>9.8758476157983477</v>
      </c>
      <c r="O388" s="35">
        <f t="shared" ca="1" si="79"/>
        <v>94.140597712856888</v>
      </c>
      <c r="P388" s="19">
        <f t="shared" ca="1" si="75"/>
        <v>94.140597712856888</v>
      </c>
      <c r="Q388" s="20">
        <f ca="1" xml:space="preserve"> P388*_Precio_cafe</f>
        <v>141.21089656928532</v>
      </c>
      <c r="R388" s="20">
        <f t="shared" ca="1" si="76"/>
        <v>52722.011407332568</v>
      </c>
      <c r="S388" s="20">
        <f ca="1">(1/A388)*((A388-1)*S387 +Q388)</f>
        <v>141.72583711648548</v>
      </c>
      <c r="T388" s="20">
        <f ca="1">IF((T387-P388+F388)&gt;_Max_Stock_Gramos,_Max_Stock_Gramos,T387-P388+F388)</f>
        <v>1700</v>
      </c>
      <c r="U388" s="20">
        <f ca="1">T388/_GramosXFrasco</f>
        <v>10</v>
      </c>
      <c r="V388" s="58">
        <f ca="1">(T388/_Max_Stock_Gramos)</f>
        <v>1</v>
      </c>
      <c r="W388" s="58"/>
      <c r="X388" s="10">
        <f ca="1">IF((T387-O388)&lt;0,(T387-O388)*_Costo_Faltante,0)</f>
        <v>0</v>
      </c>
      <c r="Y388">
        <f ca="1">IF(B388=0,E388*_Costo_Frasco,0)</f>
        <v>-500</v>
      </c>
      <c r="Z388" s="11">
        <f t="shared" ca="1" si="77"/>
        <v>-55000</v>
      </c>
    </row>
    <row r="389" spans="1:26" x14ac:dyDescent="0.25">
      <c r="A389" s="30">
        <f t="shared" si="74"/>
        <v>373</v>
      </c>
      <c r="B389" s="10">
        <f>IF(B388=0,_Proxima_Compra,B388-1)</f>
        <v>1</v>
      </c>
      <c r="C389" s="3">
        <f t="shared" ca="1" si="67"/>
        <v>-1</v>
      </c>
      <c r="D389" s="3">
        <f ca="1">IF(D388&gt;0,D388-1,IF(C389&gt;0,LOOKUP(C389,$S$3:$S$5,$P$3:$P$5),-1))</f>
        <v>-1</v>
      </c>
      <c r="E389" s="25">
        <f t="shared" ca="1" si="68"/>
        <v>0</v>
      </c>
      <c r="F389" s="28">
        <f ca="1">E389*_GramosXFrasco</f>
        <v>0</v>
      </c>
      <c r="G389" s="38">
        <f t="shared" ca="1" si="69"/>
        <v>0.61531282441100588</v>
      </c>
      <c r="H389" s="36">
        <f t="shared" ca="1" si="70"/>
        <v>0.86063623968028857</v>
      </c>
      <c r="I389" s="36">
        <f t="shared" ca="1" si="71"/>
        <v>8.3712869845765092E-2</v>
      </c>
      <c r="J389" s="36">
        <f t="shared" ca="1" si="78"/>
        <v>1.1314748530717891</v>
      </c>
      <c r="K389" s="37">
        <f ca="1">IF(J389&lt;&gt;-1,_Media_M + J389*_Sigma,-1)</f>
        <v>91.972122796076832</v>
      </c>
      <c r="L389" s="3">
        <f t="shared" ca="1" si="72"/>
        <v>-1</v>
      </c>
      <c r="M389" s="18">
        <f ca="1">IF(LOOKUP(G389,$H$3:$H$4,$E$3:$E$4)=1,50,_Media_M + J389*_Sigma)</f>
        <v>91.972122796076832</v>
      </c>
      <c r="N389" s="36">
        <f t="shared" ca="1" si="73"/>
        <v>24.994472338245409</v>
      </c>
      <c r="O389" s="35">
        <f t="shared" ca="1" si="79"/>
        <v>116.96659513432223</v>
      </c>
      <c r="P389" s="19">
        <f t="shared" ca="1" si="75"/>
        <v>116.96659513432223</v>
      </c>
      <c r="Q389" s="20">
        <f ca="1" xml:space="preserve"> P389*_Precio_cafe</f>
        <v>175.44989270148335</v>
      </c>
      <c r="R389" s="20">
        <f t="shared" ca="1" si="76"/>
        <v>52897.461300034054</v>
      </c>
      <c r="S389" s="20">
        <f ca="1">(1/A389)*((A389-1)*S388 +Q389)</f>
        <v>141.81625013413964</v>
      </c>
      <c r="T389" s="20">
        <f ca="1">IF((T388-P389+F389)&gt;_Max_Stock_Gramos,_Max_Stock_Gramos,T388-P389+F389)</f>
        <v>1583.0334048656778</v>
      </c>
      <c r="U389" s="20">
        <f ca="1">T389/_GramosXFrasco</f>
        <v>9.3119612050922225</v>
      </c>
      <c r="V389" s="58">
        <f ca="1">(T389/_Max_Stock_Gramos)</f>
        <v>0.93119612050922218</v>
      </c>
      <c r="W389" s="58"/>
      <c r="X389" s="10">
        <f ca="1">IF((T388-O389)&lt;0,(T388-O389)*_Costo_Faltante,0)</f>
        <v>0</v>
      </c>
      <c r="Y389">
        <f>IF(B389=0,E389*_Costo_Frasco,0)</f>
        <v>0</v>
      </c>
      <c r="Z389" s="11">
        <f t="shared" ca="1" si="77"/>
        <v>-55000</v>
      </c>
    </row>
    <row r="390" spans="1:26" x14ac:dyDescent="0.25">
      <c r="A390" s="30">
        <f t="shared" si="74"/>
        <v>374</v>
      </c>
      <c r="B390" s="10">
        <f>IF(B389=0,_Proxima_Compra,B389-1)</f>
        <v>0</v>
      </c>
      <c r="C390" s="3">
        <f t="shared" ca="1" si="67"/>
        <v>0.50014532887547125</v>
      </c>
      <c r="D390" s="3">
        <f ca="1">IF(D389&gt;0,D389-1,IF(C390&gt;0,LOOKUP(C390,$S$3:$S$5,$P$3:$P$5),-1))</f>
        <v>1</v>
      </c>
      <c r="E390" s="25">
        <f t="shared" ca="1" si="68"/>
        <v>0</v>
      </c>
      <c r="F390" s="28">
        <f ca="1">E390*_GramosXFrasco</f>
        <v>0</v>
      </c>
      <c r="G390" s="38">
        <f t="shared" ca="1" si="69"/>
        <v>0.41721826464880252</v>
      </c>
      <c r="H390" s="36">
        <f t="shared" ca="1" si="70"/>
        <v>-1</v>
      </c>
      <c r="I390" s="36">
        <f t="shared" ca="1" si="71"/>
        <v>-1</v>
      </c>
      <c r="J390" s="36">
        <f t="shared" ca="1" si="78"/>
        <v>-1</v>
      </c>
      <c r="K390" s="37">
        <f ca="1">IF(J390&lt;&gt;-1,_Media_M + J390*_Sigma,-1)</f>
        <v>-1</v>
      </c>
      <c r="L390" s="3">
        <f t="shared" ca="1" si="72"/>
        <v>50</v>
      </c>
      <c r="M390" s="18">
        <f ca="1">IF(LOOKUP(G390,$H$3:$H$4,$E$3:$E$4)=1,50,_Media_M + J390*_Sigma)</f>
        <v>50</v>
      </c>
      <c r="N390" s="36">
        <f t="shared" ca="1" si="73"/>
        <v>2.6789684207882347</v>
      </c>
      <c r="O390" s="35">
        <f t="shared" ca="1" si="79"/>
        <v>52.678968420788237</v>
      </c>
      <c r="P390" s="19">
        <f t="shared" ca="1" si="75"/>
        <v>52.678968420788237</v>
      </c>
      <c r="Q390" s="20">
        <f ca="1" xml:space="preserve"> P390*_Precio_cafe</f>
        <v>79.018452631182356</v>
      </c>
      <c r="R390" s="20">
        <f t="shared" ca="1" si="76"/>
        <v>52976.47975266524</v>
      </c>
      <c r="S390" s="20">
        <f ca="1">(1/A390)*((A390-1)*S389 +Q390)</f>
        <v>141.6483415846665</v>
      </c>
      <c r="T390" s="20">
        <f ca="1">IF((T389-P390+F390)&gt;_Max_Stock_Gramos,_Max_Stock_Gramos,T389-P390+F390)</f>
        <v>1530.3544364448894</v>
      </c>
      <c r="U390" s="20">
        <f ca="1">T390/_GramosXFrasco</f>
        <v>9.0020849202640552</v>
      </c>
      <c r="V390" s="58">
        <f ca="1">(T390/_Max_Stock_Gramos)</f>
        <v>0.90020849202640552</v>
      </c>
      <c r="W390" s="58"/>
      <c r="X390" s="10">
        <f ca="1">IF((T389-O390)&lt;0,(T389-O390)*_Costo_Faltante,0)</f>
        <v>0</v>
      </c>
      <c r="Y390">
        <f ca="1">IF(B390=0,E390*_Costo_Frasco,0)</f>
        <v>0</v>
      </c>
      <c r="Z390" s="11">
        <f t="shared" ca="1" si="77"/>
        <v>-55000</v>
      </c>
    </row>
    <row r="391" spans="1:26" x14ac:dyDescent="0.25">
      <c r="A391" s="30">
        <f t="shared" si="74"/>
        <v>375</v>
      </c>
      <c r="B391" s="10">
        <f>IF(B390=0,_Proxima_Compra,B390-1)</f>
        <v>1</v>
      </c>
      <c r="C391" s="3">
        <f t="shared" ca="1" si="67"/>
        <v>-1</v>
      </c>
      <c r="D391" s="3">
        <f ca="1">IF(D390&gt;0,D390-1,IF(C391&gt;0,LOOKUP(C391,$S$3:$S$5,$P$3:$P$5),-1))</f>
        <v>0</v>
      </c>
      <c r="E391" s="25">
        <f t="shared" ca="1" si="68"/>
        <v>2</v>
      </c>
      <c r="F391" s="28">
        <f ca="1">E391*_GramosXFrasco</f>
        <v>340</v>
      </c>
      <c r="G391" s="38">
        <f t="shared" ca="1" si="69"/>
        <v>0.49200118670723947</v>
      </c>
      <c r="H391" s="36">
        <f t="shared" ca="1" si="70"/>
        <v>-1</v>
      </c>
      <c r="I391" s="36">
        <f t="shared" ca="1" si="71"/>
        <v>-1</v>
      </c>
      <c r="J391" s="36">
        <f t="shared" ca="1" si="78"/>
        <v>-1</v>
      </c>
      <c r="K391" s="37">
        <f ca="1">IF(J391&lt;&gt;-1,_Media_M + J391*_Sigma,-1)</f>
        <v>-1</v>
      </c>
      <c r="L391" s="3">
        <f t="shared" ca="1" si="72"/>
        <v>50</v>
      </c>
      <c r="M391" s="18">
        <f ca="1">IF(LOOKUP(G391,$H$3:$H$4,$E$3:$E$4)=1,50,_Media_M + J391*_Sigma)</f>
        <v>50</v>
      </c>
      <c r="N391" s="36">
        <f t="shared" ca="1" si="73"/>
        <v>31.6551392022842</v>
      </c>
      <c r="O391" s="35">
        <f t="shared" ca="1" si="79"/>
        <v>81.655139202284204</v>
      </c>
      <c r="P391" s="19">
        <f t="shared" ca="1" si="75"/>
        <v>81.655139202284204</v>
      </c>
      <c r="Q391" s="20">
        <f ca="1" xml:space="preserve"> P391*_Precio_cafe</f>
        <v>122.48270880342631</v>
      </c>
      <c r="R391" s="20">
        <f t="shared" ca="1" si="76"/>
        <v>53098.962461468669</v>
      </c>
      <c r="S391" s="20">
        <f ca="1">(1/A391)*((A391-1)*S390 +Q391)</f>
        <v>141.59723323058319</v>
      </c>
      <c r="T391" s="20">
        <f ca="1">IF((T390-P391+F391)&gt;_Max_Stock_Gramos,_Max_Stock_Gramos,T390-P391+F391)</f>
        <v>1700</v>
      </c>
      <c r="U391" s="20">
        <f ca="1">T391/_GramosXFrasco</f>
        <v>10</v>
      </c>
      <c r="V391" s="58">
        <f ca="1">(T391/_Max_Stock_Gramos)</f>
        <v>1</v>
      </c>
      <c r="W391" s="58"/>
      <c r="X391" s="10">
        <f ca="1">IF((T390-O391)&lt;0,(T390-O391)*_Costo_Faltante,0)</f>
        <v>0</v>
      </c>
      <c r="Y391">
        <f>IF(B391=0,E391*_Costo_Frasco,0)</f>
        <v>0</v>
      </c>
      <c r="Z391" s="11">
        <f t="shared" ca="1" si="77"/>
        <v>-55000</v>
      </c>
    </row>
    <row r="392" spans="1:26" x14ac:dyDescent="0.25">
      <c r="A392" s="30">
        <f t="shared" si="74"/>
        <v>376</v>
      </c>
      <c r="B392" s="10">
        <f>IF(B391=0,_Proxima_Compra,B391-1)</f>
        <v>0</v>
      </c>
      <c r="C392" s="3">
        <f t="shared" ca="1" si="67"/>
        <v>0.39704896889871821</v>
      </c>
      <c r="D392" s="3">
        <f ca="1">IF(D391&gt;0,D391-1,IF(C392&gt;0,LOOKUP(C392,$S$3:$S$5,$P$3:$P$5),-1))</f>
        <v>0</v>
      </c>
      <c r="E392" s="25">
        <f t="shared" ca="1" si="68"/>
        <v>2</v>
      </c>
      <c r="F392" s="28">
        <f ca="1">E392*_GramosXFrasco</f>
        <v>340</v>
      </c>
      <c r="G392" s="38">
        <f t="shared" ca="1" si="69"/>
        <v>4.1702152030314688E-2</v>
      </c>
      <c r="H392" s="36">
        <f t="shared" ca="1" si="70"/>
        <v>-1</v>
      </c>
      <c r="I392" s="36">
        <f t="shared" ca="1" si="71"/>
        <v>-1</v>
      </c>
      <c r="J392" s="36">
        <f t="shared" ca="1" si="78"/>
        <v>-1</v>
      </c>
      <c r="K392" s="37">
        <f ca="1">IF(J392&lt;&gt;-1,_Media_M + J392*_Sigma,-1)</f>
        <v>-1</v>
      </c>
      <c r="L392" s="3">
        <f t="shared" ca="1" si="72"/>
        <v>50</v>
      </c>
      <c r="M392" s="18">
        <f ca="1">IF(LOOKUP(G392,$H$3:$H$4,$E$3:$E$4)=1,50,_Media_M + J392*_Sigma)</f>
        <v>50</v>
      </c>
      <c r="N392" s="36">
        <f t="shared" ca="1" si="73"/>
        <v>18.340543770145644</v>
      </c>
      <c r="O392" s="35">
        <f t="shared" ca="1" si="79"/>
        <v>68.340543770145644</v>
      </c>
      <c r="P392" s="19">
        <f t="shared" ca="1" si="75"/>
        <v>68.340543770145644</v>
      </c>
      <c r="Q392" s="20">
        <f ca="1" xml:space="preserve"> P392*_Precio_cafe</f>
        <v>102.51081565521847</v>
      </c>
      <c r="R392" s="20">
        <f t="shared" ca="1" si="76"/>
        <v>53201.473277123885</v>
      </c>
      <c r="S392" s="20">
        <f ca="1">(1/A392)*((A392-1)*S391 +Q392)</f>
        <v>141.49327999235084</v>
      </c>
      <c r="T392" s="20">
        <f ca="1">IF((T391-P392+F392)&gt;_Max_Stock_Gramos,_Max_Stock_Gramos,T391-P392+F392)</f>
        <v>1700</v>
      </c>
      <c r="U392" s="20">
        <f ca="1">T392/_GramosXFrasco</f>
        <v>10</v>
      </c>
      <c r="V392" s="58">
        <f ca="1">(T392/_Max_Stock_Gramos)</f>
        <v>1</v>
      </c>
      <c r="W392" s="58"/>
      <c r="X392" s="10">
        <f ca="1">IF((T391-O392)&lt;0,(T391-O392)*_Costo_Faltante,0)</f>
        <v>0</v>
      </c>
      <c r="Y392">
        <f ca="1">IF(B392=0,E392*_Costo_Frasco,0)</f>
        <v>-500</v>
      </c>
      <c r="Z392" s="11">
        <f t="shared" ca="1" si="77"/>
        <v>-55500</v>
      </c>
    </row>
    <row r="393" spans="1:26" x14ac:dyDescent="0.25">
      <c r="A393" s="30">
        <f t="shared" si="74"/>
        <v>377</v>
      </c>
      <c r="B393" s="10">
        <f>IF(B392=0,_Proxima_Compra,B392-1)</f>
        <v>1</v>
      </c>
      <c r="C393" s="3">
        <f t="shared" ca="1" si="67"/>
        <v>-1</v>
      </c>
      <c r="D393" s="3">
        <f ca="1">IF(D392&gt;0,D392-1,IF(C393&gt;0,LOOKUP(C393,$S$3:$S$5,$P$3:$P$5),-1))</f>
        <v>-1</v>
      </c>
      <c r="E393" s="25">
        <f t="shared" ca="1" si="68"/>
        <v>0</v>
      </c>
      <c r="F393" s="28">
        <f ca="1">E393*_GramosXFrasco</f>
        <v>0</v>
      </c>
      <c r="G393" s="38">
        <f t="shared" ca="1" si="69"/>
        <v>0.20653615379415058</v>
      </c>
      <c r="H393" s="36">
        <f t="shared" ca="1" si="70"/>
        <v>-1</v>
      </c>
      <c r="I393" s="36">
        <f t="shared" ca="1" si="71"/>
        <v>-1</v>
      </c>
      <c r="J393" s="36">
        <f t="shared" ca="1" si="78"/>
        <v>-1</v>
      </c>
      <c r="K393" s="37">
        <f ca="1">IF(J393&lt;&gt;-1,_Media_M + J393*_Sigma,-1)</f>
        <v>-1</v>
      </c>
      <c r="L393" s="3">
        <f t="shared" ca="1" si="72"/>
        <v>50</v>
      </c>
      <c r="M393" s="18">
        <f ca="1">IF(LOOKUP(G393,$H$3:$H$4,$E$3:$E$4)=1,50,_Media_M + J393*_Sigma)</f>
        <v>50</v>
      </c>
      <c r="N393" s="36">
        <f t="shared" ca="1" si="73"/>
        <v>0.89780889723544866</v>
      </c>
      <c r="O393" s="35">
        <f t="shared" ca="1" si="79"/>
        <v>50.89780889723545</v>
      </c>
      <c r="P393" s="19">
        <f t="shared" ca="1" si="75"/>
        <v>50.89780889723545</v>
      </c>
      <c r="Q393" s="20">
        <f ca="1" xml:space="preserve"> P393*_Precio_cafe</f>
        <v>76.346713345853175</v>
      </c>
      <c r="R393" s="20">
        <f t="shared" ca="1" si="76"/>
        <v>53277.819990469739</v>
      </c>
      <c r="S393" s="20">
        <f ca="1">(1/A393)*((A393-1)*S392 +Q393)</f>
        <v>141.32047742830176</v>
      </c>
      <c r="T393" s="20">
        <f ca="1">IF((T392-P393+F393)&gt;_Max_Stock_Gramos,_Max_Stock_Gramos,T392-P393+F393)</f>
        <v>1649.1021911027647</v>
      </c>
      <c r="U393" s="20">
        <f ca="1">T393/_GramosXFrasco</f>
        <v>9.7006011241339092</v>
      </c>
      <c r="V393" s="58">
        <f ca="1">(T393/_Max_Stock_Gramos)</f>
        <v>0.97006011241339096</v>
      </c>
      <c r="W393" s="58"/>
      <c r="X393" s="10">
        <f ca="1">IF((T392-O393)&lt;0,(T392-O393)*_Costo_Faltante,0)</f>
        <v>0</v>
      </c>
      <c r="Y393">
        <f>IF(B393=0,E393*_Costo_Frasco,0)</f>
        <v>0</v>
      </c>
      <c r="Z393" s="11">
        <f t="shared" ca="1" si="77"/>
        <v>-55500</v>
      </c>
    </row>
    <row r="394" spans="1:26" x14ac:dyDescent="0.25">
      <c r="A394" s="30">
        <f t="shared" si="74"/>
        <v>378</v>
      </c>
      <c r="B394" s="10">
        <f>IF(B393=0,_Proxima_Compra,B393-1)</f>
        <v>0</v>
      </c>
      <c r="C394" s="3">
        <f t="shared" ca="1" si="67"/>
        <v>0.7521319620461635</v>
      </c>
      <c r="D394" s="3">
        <f ca="1">IF(D393&gt;0,D393-1,IF(C394&gt;0,LOOKUP(C394,$S$3:$S$5,$P$3:$P$5),-1))</f>
        <v>2</v>
      </c>
      <c r="E394" s="25">
        <f t="shared" ca="1" si="68"/>
        <v>0</v>
      </c>
      <c r="F394" s="28">
        <f ca="1">E394*_GramosXFrasco</f>
        <v>0</v>
      </c>
      <c r="G394" s="38">
        <f t="shared" ca="1" si="69"/>
        <v>0.87148323942989536</v>
      </c>
      <c r="H394" s="36">
        <f t="shared" ca="1" si="70"/>
        <v>1.2145849348201843E-3</v>
      </c>
      <c r="I394" s="36">
        <f t="shared" ca="1" si="71"/>
        <v>0.17597771321439115</v>
      </c>
      <c r="J394" s="36">
        <f t="shared" ca="1" si="78"/>
        <v>1.4572148797215412E-2</v>
      </c>
      <c r="K394" s="37">
        <f ca="1">IF(J394&lt;&gt;-1,_Media_M + J394*_Sigma,-1)</f>
        <v>75.218582231958237</v>
      </c>
      <c r="L394" s="3">
        <f t="shared" ca="1" si="72"/>
        <v>-1</v>
      </c>
      <c r="M394" s="18">
        <f ca="1">IF(LOOKUP(G394,$H$3:$H$4,$E$3:$E$4)=1,50,_Media_M + J394*_Sigma)</f>
        <v>75.218582231958237</v>
      </c>
      <c r="N394" s="36">
        <f t="shared" ca="1" si="73"/>
        <v>14.39203696949939</v>
      </c>
      <c r="O394" s="35">
        <f t="shared" ca="1" si="79"/>
        <v>89.610619201457624</v>
      </c>
      <c r="P394" s="19">
        <f t="shared" ca="1" si="75"/>
        <v>89.610619201457624</v>
      </c>
      <c r="Q394" s="20">
        <f ca="1" xml:space="preserve"> P394*_Precio_cafe</f>
        <v>134.41592880218644</v>
      </c>
      <c r="R394" s="20">
        <f t="shared" ca="1" si="76"/>
        <v>53412.235919271923</v>
      </c>
      <c r="S394" s="20">
        <f ca="1">(1/A394)*((A394-1)*S393 +Q394)</f>
        <v>141.30221142664536</v>
      </c>
      <c r="T394" s="20">
        <f ca="1">IF((T393-P394+F394)&gt;_Max_Stock_Gramos,_Max_Stock_Gramos,T393-P394+F394)</f>
        <v>1559.491571901307</v>
      </c>
      <c r="U394" s="20">
        <f ca="1">T394/_GramosXFrasco</f>
        <v>9.1734798347135698</v>
      </c>
      <c r="V394" s="58">
        <f ca="1">(T394/_Max_Stock_Gramos)</f>
        <v>0.91734798347135704</v>
      </c>
      <c r="W394" s="58"/>
      <c r="X394" s="10">
        <f ca="1">IF((T393-O394)&lt;0,(T393-O394)*_Costo_Faltante,0)</f>
        <v>0</v>
      </c>
      <c r="Y394">
        <f ca="1">IF(B394=0,E394*_Costo_Frasco,0)</f>
        <v>0</v>
      </c>
      <c r="Z394" s="11">
        <f t="shared" ca="1" si="77"/>
        <v>-55500</v>
      </c>
    </row>
    <row r="395" spans="1:26" x14ac:dyDescent="0.25">
      <c r="A395" s="30">
        <f t="shared" si="74"/>
        <v>379</v>
      </c>
      <c r="B395" s="10">
        <f>IF(B394=0,_Proxima_Compra,B394-1)</f>
        <v>1</v>
      </c>
      <c r="C395" s="3">
        <f t="shared" ca="1" si="67"/>
        <v>-1</v>
      </c>
      <c r="D395" s="3">
        <f ca="1">IF(D394&gt;0,D394-1,IF(C395&gt;0,LOOKUP(C395,$S$3:$S$5,$P$3:$P$5),-1))</f>
        <v>1</v>
      </c>
      <c r="E395" s="25">
        <f t="shared" ca="1" si="68"/>
        <v>0</v>
      </c>
      <c r="F395" s="28">
        <f ca="1">E395*_GramosXFrasco</f>
        <v>0</v>
      </c>
      <c r="G395" s="38">
        <f t="shared" ca="1" si="69"/>
        <v>0.67335436556673323</v>
      </c>
      <c r="H395" s="36">
        <f t="shared" ca="1" si="70"/>
        <v>0.46049482511968276</v>
      </c>
      <c r="I395" s="36">
        <f t="shared" ca="1" si="71"/>
        <v>0.83579598112742837</v>
      </c>
      <c r="J395" s="36">
        <f t="shared" ca="1" si="78"/>
        <v>0.37582955873066121</v>
      </c>
      <c r="K395" s="37">
        <f ca="1">IF(J395&lt;&gt;-1,_Media_M + J395*_Sigma,-1)</f>
        <v>80.637443380959922</v>
      </c>
      <c r="L395" s="3">
        <f t="shared" ca="1" si="72"/>
        <v>-1</v>
      </c>
      <c r="M395" s="18">
        <f ca="1">IF(LOOKUP(G395,$H$3:$H$4,$E$3:$E$4)=1,50,_Media_M + J395*_Sigma)</f>
        <v>80.637443380959922</v>
      </c>
      <c r="N395" s="36">
        <f t="shared" ca="1" si="73"/>
        <v>10.244296295949129</v>
      </c>
      <c r="O395" s="35">
        <f t="shared" ca="1" si="79"/>
        <v>90.881739676909049</v>
      </c>
      <c r="P395" s="19">
        <f t="shared" ca="1" si="75"/>
        <v>90.881739676909049</v>
      </c>
      <c r="Q395" s="20">
        <f ca="1" xml:space="preserve"> P395*_Precio_cafe</f>
        <v>136.32260951536358</v>
      </c>
      <c r="R395" s="20">
        <f t="shared" ca="1" si="76"/>
        <v>53548.558528787289</v>
      </c>
      <c r="S395" s="20">
        <f ca="1">(1/A395)*((A395-1)*S394 +Q395)</f>
        <v>141.28907263532273</v>
      </c>
      <c r="T395" s="20">
        <f ca="1">IF((T394-P395+F395)&gt;_Max_Stock_Gramos,_Max_Stock_Gramos,T394-P395+F395)</f>
        <v>1468.6098322243979</v>
      </c>
      <c r="U395" s="20">
        <f ca="1">T395/_GramosXFrasco</f>
        <v>8.6388813660258705</v>
      </c>
      <c r="V395" s="58">
        <f ca="1">(T395/_Max_Stock_Gramos)</f>
        <v>0.86388813660258701</v>
      </c>
      <c r="W395" s="58"/>
      <c r="X395" s="10">
        <f ca="1">IF((T394-O395)&lt;0,(T394-O395)*_Costo_Faltante,0)</f>
        <v>0</v>
      </c>
      <c r="Y395">
        <f>IF(B395=0,E395*_Costo_Frasco,0)</f>
        <v>0</v>
      </c>
      <c r="Z395" s="11">
        <f t="shared" ca="1" si="77"/>
        <v>-55500</v>
      </c>
    </row>
    <row r="396" spans="1:26" x14ac:dyDescent="0.25">
      <c r="A396" s="30">
        <f t="shared" si="74"/>
        <v>380</v>
      </c>
      <c r="B396" s="10">
        <f>IF(B395=0,_Proxima_Compra,B395-1)</f>
        <v>0</v>
      </c>
      <c r="C396" s="3">
        <f t="shared" ca="1" si="67"/>
        <v>0.39367832156816085</v>
      </c>
      <c r="D396" s="3">
        <f ca="1">IF(D395&gt;0,D395-1,IF(C396&gt;0,LOOKUP(C396,$S$3:$S$5,$P$3:$P$5),-1))</f>
        <v>0</v>
      </c>
      <c r="E396" s="25">
        <f t="shared" ca="1" si="68"/>
        <v>2</v>
      </c>
      <c r="F396" s="28">
        <f ca="1">E396*_GramosXFrasco</f>
        <v>340</v>
      </c>
      <c r="G396" s="38">
        <f t="shared" ca="1" si="69"/>
        <v>0.31584767491463106</v>
      </c>
      <c r="H396" s="36">
        <f t="shared" ca="1" si="70"/>
        <v>-1</v>
      </c>
      <c r="I396" s="36">
        <f t="shared" ca="1" si="71"/>
        <v>-1</v>
      </c>
      <c r="J396" s="36">
        <f t="shared" ca="1" si="78"/>
        <v>-1</v>
      </c>
      <c r="K396" s="37">
        <f ca="1">IF(J396&lt;&gt;-1,_Media_M + J396*_Sigma,-1)</f>
        <v>-1</v>
      </c>
      <c r="L396" s="3">
        <f t="shared" ca="1" si="72"/>
        <v>50</v>
      </c>
      <c r="M396" s="18">
        <f ca="1">IF(LOOKUP(G396,$H$3:$H$4,$E$3:$E$4)=1,50,_Media_M + J396*_Sigma)</f>
        <v>50</v>
      </c>
      <c r="N396" s="36">
        <f t="shared" ca="1" si="73"/>
        <v>42.487724966385713</v>
      </c>
      <c r="O396" s="35">
        <f t="shared" ca="1" si="79"/>
        <v>92.487724966385713</v>
      </c>
      <c r="P396" s="19">
        <f t="shared" ca="1" si="75"/>
        <v>92.487724966385713</v>
      </c>
      <c r="Q396" s="20">
        <f ca="1" xml:space="preserve"> P396*_Precio_cafe</f>
        <v>138.73158744957857</v>
      </c>
      <c r="R396" s="20">
        <f t="shared" ca="1" si="76"/>
        <v>53687.290116236865</v>
      </c>
      <c r="S396" s="20">
        <f ca="1">(1/A396)*((A396-1)*S395 +Q396)</f>
        <v>141.2823424111497</v>
      </c>
      <c r="T396" s="20">
        <f ca="1">IF((T395-P396+F396)&gt;_Max_Stock_Gramos,_Max_Stock_Gramos,T395-P396+F396)</f>
        <v>1700</v>
      </c>
      <c r="U396" s="20">
        <f ca="1">T396/_GramosXFrasco</f>
        <v>10</v>
      </c>
      <c r="V396" s="58">
        <f ca="1">(T396/_Max_Stock_Gramos)</f>
        <v>1</v>
      </c>
      <c r="W396" s="58"/>
      <c r="X396" s="10">
        <f ca="1">IF((T395-O396)&lt;0,(T395-O396)*_Costo_Faltante,0)</f>
        <v>0</v>
      </c>
      <c r="Y396">
        <f ca="1">IF(B396=0,E396*_Costo_Frasco,0)</f>
        <v>-500</v>
      </c>
      <c r="Z396" s="11">
        <f t="shared" ca="1" si="77"/>
        <v>-56000</v>
      </c>
    </row>
    <row r="397" spans="1:26" x14ac:dyDescent="0.25">
      <c r="A397" s="30">
        <f t="shared" si="74"/>
        <v>381</v>
      </c>
      <c r="B397" s="10">
        <f>IF(B396=0,_Proxima_Compra,B396-1)</f>
        <v>1</v>
      </c>
      <c r="C397" s="3">
        <f t="shared" ca="1" si="67"/>
        <v>-1</v>
      </c>
      <c r="D397" s="3">
        <f ca="1">IF(D396&gt;0,D396-1,IF(C397&gt;0,LOOKUP(C397,$S$3:$S$5,$P$3:$P$5),-1))</f>
        <v>-1</v>
      </c>
      <c r="E397" s="25">
        <f t="shared" ca="1" si="68"/>
        <v>0</v>
      </c>
      <c r="F397" s="28">
        <f ca="1">E397*_GramosXFrasco</f>
        <v>0</v>
      </c>
      <c r="G397" s="38">
        <f t="shared" ca="1" si="69"/>
        <v>0.36475063964272114</v>
      </c>
      <c r="H397" s="36">
        <f t="shared" ca="1" si="70"/>
        <v>-1</v>
      </c>
      <c r="I397" s="36">
        <f t="shared" ca="1" si="71"/>
        <v>-1</v>
      </c>
      <c r="J397" s="36">
        <f t="shared" ca="1" si="78"/>
        <v>-1</v>
      </c>
      <c r="K397" s="37">
        <f ca="1">IF(J397&lt;&gt;-1,_Media_M + J397*_Sigma,-1)</f>
        <v>-1</v>
      </c>
      <c r="L397" s="3">
        <f t="shared" ca="1" si="72"/>
        <v>50</v>
      </c>
      <c r="M397" s="18">
        <f ca="1">IF(LOOKUP(G397,$H$3:$H$4,$E$3:$E$4)=1,50,_Media_M + J397*_Sigma)</f>
        <v>50</v>
      </c>
      <c r="N397" s="36">
        <f t="shared" ca="1" si="73"/>
        <v>7.7843505868468572</v>
      </c>
      <c r="O397" s="35">
        <f t="shared" ca="1" si="79"/>
        <v>57.784350586846855</v>
      </c>
      <c r="P397" s="19">
        <f t="shared" ca="1" si="75"/>
        <v>57.784350586846855</v>
      </c>
      <c r="Q397" s="20">
        <f ca="1" xml:space="preserve"> P397*_Precio_cafe</f>
        <v>86.676525880270276</v>
      </c>
      <c r="R397" s="20">
        <f t="shared" ca="1" si="76"/>
        <v>53773.966642117135</v>
      </c>
      <c r="S397" s="20">
        <f ca="1">(1/A397)*((A397-1)*S396 +Q397)</f>
        <v>141.13902005805028</v>
      </c>
      <c r="T397" s="20">
        <f ca="1">IF((T396-P397+F397)&gt;_Max_Stock_Gramos,_Max_Stock_Gramos,T396-P397+F397)</f>
        <v>1642.2156494131532</v>
      </c>
      <c r="U397" s="20">
        <f ca="1">T397/_GramosXFrasco</f>
        <v>9.6600920553714893</v>
      </c>
      <c r="V397" s="58">
        <f ca="1">(T397/_Max_Stock_Gramos)</f>
        <v>0.96600920553714897</v>
      </c>
      <c r="W397" s="58"/>
      <c r="X397" s="10">
        <f ca="1">IF((T396-O397)&lt;0,(T396-O397)*_Costo_Faltante,0)</f>
        <v>0</v>
      </c>
      <c r="Y397">
        <f>IF(B397=0,E397*_Costo_Frasco,0)</f>
        <v>0</v>
      </c>
      <c r="Z397" s="11">
        <f t="shared" ca="1" si="77"/>
        <v>-56000</v>
      </c>
    </row>
    <row r="398" spans="1:26" x14ac:dyDescent="0.25">
      <c r="A398" s="30">
        <f t="shared" si="74"/>
        <v>382</v>
      </c>
      <c r="B398" s="10">
        <f>IF(B397=0,_Proxima_Compra,B397-1)</f>
        <v>0</v>
      </c>
      <c r="C398" s="3">
        <f t="shared" ca="1" si="67"/>
        <v>0.90358650756896597</v>
      </c>
      <c r="D398" s="3">
        <f ca="1">IF(D397&gt;0,D397-1,IF(C398&gt;0,LOOKUP(C398,$S$3:$S$5,$P$3:$P$5),-1))</f>
        <v>2</v>
      </c>
      <c r="E398" s="25">
        <f t="shared" ca="1" si="68"/>
        <v>0</v>
      </c>
      <c r="F398" s="28">
        <f ca="1">E398*_GramosXFrasco</f>
        <v>0</v>
      </c>
      <c r="G398" s="38">
        <f t="shared" ca="1" si="69"/>
        <v>0.76041222858581581</v>
      </c>
      <c r="H398" s="36">
        <f t="shared" ca="1" si="70"/>
        <v>0.56649889905231776</v>
      </c>
      <c r="I398" s="36">
        <f t="shared" ca="1" si="71"/>
        <v>1.8635417824904299E-2</v>
      </c>
      <c r="J398" s="36">
        <f t="shared" ca="1" si="78"/>
        <v>0.84623356989531329</v>
      </c>
      <c r="K398" s="37">
        <f ca="1">IF(J398&lt;&gt;-1,_Media_M + J398*_Sigma,-1)</f>
        <v>87.693503548429703</v>
      </c>
      <c r="L398" s="3">
        <f t="shared" ca="1" si="72"/>
        <v>-1</v>
      </c>
      <c r="M398" s="18">
        <f ca="1">IF(LOOKUP(G398,$H$3:$H$4,$E$3:$E$4)=1,50,_Media_M + J398*_Sigma)</f>
        <v>87.693503548429703</v>
      </c>
      <c r="N398" s="36">
        <f t="shared" ca="1" si="73"/>
        <v>3.5558343837469772</v>
      </c>
      <c r="O398" s="35">
        <f t="shared" ca="1" si="79"/>
        <v>91.249337932176687</v>
      </c>
      <c r="P398" s="19">
        <f t="shared" ca="1" si="75"/>
        <v>91.249337932176687</v>
      </c>
      <c r="Q398" s="20">
        <f ca="1" xml:space="preserve"> P398*_Precio_cafe</f>
        <v>136.87400689826504</v>
      </c>
      <c r="R398" s="20">
        <f t="shared" ca="1" si="76"/>
        <v>53910.840649015401</v>
      </c>
      <c r="S398" s="20">
        <f ca="1">(1/A398)*((A398-1)*S397 +Q398)</f>
        <v>141.12785510213462</v>
      </c>
      <c r="T398" s="20">
        <f ca="1">IF((T397-P398+F398)&gt;_Max_Stock_Gramos,_Max_Stock_Gramos,T397-P398+F398)</f>
        <v>1550.9663114809764</v>
      </c>
      <c r="U398" s="20">
        <f ca="1">T398/_GramosXFrasco</f>
        <v>9.1233312440057439</v>
      </c>
      <c r="V398" s="58">
        <f ca="1">(T398/_Max_Stock_Gramos)</f>
        <v>0.91233312440057435</v>
      </c>
      <c r="W398" s="58"/>
      <c r="X398" s="10">
        <f ca="1">IF((T397-O398)&lt;0,(T397-O398)*_Costo_Faltante,0)</f>
        <v>0</v>
      </c>
      <c r="Y398">
        <f ca="1">IF(B398=0,E398*_Costo_Frasco,0)</f>
        <v>0</v>
      </c>
      <c r="Z398" s="11">
        <f t="shared" ca="1" si="77"/>
        <v>-56000</v>
      </c>
    </row>
    <row r="399" spans="1:26" x14ac:dyDescent="0.25">
      <c r="A399" s="30">
        <f t="shared" si="74"/>
        <v>383</v>
      </c>
      <c r="B399" s="10">
        <f>IF(B398=0,_Proxima_Compra,B398-1)</f>
        <v>1</v>
      </c>
      <c r="C399" s="3">
        <f t="shared" ca="1" si="67"/>
        <v>-1</v>
      </c>
      <c r="D399" s="3">
        <f ca="1">IF(D398&gt;0,D398-1,IF(C399&gt;0,LOOKUP(C399,$S$3:$S$5,$P$3:$P$5),-1))</f>
        <v>1</v>
      </c>
      <c r="E399" s="25">
        <f t="shared" ca="1" si="68"/>
        <v>0</v>
      </c>
      <c r="F399" s="28">
        <f ca="1">E399*_GramosXFrasco</f>
        <v>0</v>
      </c>
      <c r="G399" s="38">
        <f t="shared" ca="1" si="69"/>
        <v>0.86383807395053613</v>
      </c>
      <c r="H399" s="36">
        <f t="shared" ca="1" si="70"/>
        <v>0.34544400443253187</v>
      </c>
      <c r="I399" s="36">
        <f t="shared" ca="1" si="71"/>
        <v>1.3492921571727434E-2</v>
      </c>
      <c r="J399" s="36">
        <f t="shared" ca="1" si="78"/>
        <v>0.60453866273345847</v>
      </c>
      <c r="K399" s="37">
        <f ca="1">IF(J399&lt;&gt;-1,_Media_M + J399*_Sigma,-1)</f>
        <v>84.068079941001884</v>
      </c>
      <c r="L399" s="3">
        <f t="shared" ca="1" si="72"/>
        <v>-1</v>
      </c>
      <c r="M399" s="18">
        <f ca="1">IF(LOOKUP(G399,$H$3:$H$4,$E$3:$E$4)=1,50,_Media_M + J399*_Sigma)</f>
        <v>84.068079941001884</v>
      </c>
      <c r="N399" s="36">
        <f t="shared" ca="1" si="73"/>
        <v>23.169621634861489</v>
      </c>
      <c r="O399" s="35">
        <f t="shared" ca="1" si="79"/>
        <v>107.23770157586337</v>
      </c>
      <c r="P399" s="19">
        <f t="shared" ca="1" si="75"/>
        <v>107.23770157586337</v>
      </c>
      <c r="Q399" s="20">
        <f ca="1" xml:space="preserve"> P399*_Precio_cafe</f>
        <v>160.85655236379506</v>
      </c>
      <c r="R399" s="20">
        <f t="shared" ca="1" si="76"/>
        <v>54071.697201379196</v>
      </c>
      <c r="S399" s="20">
        <f ca="1">(1/A399)*((A399-1)*S398 +Q399)</f>
        <v>141.17936606104234</v>
      </c>
      <c r="T399" s="20">
        <f ca="1">IF((T398-P399+F399)&gt;_Max_Stock_Gramos,_Max_Stock_Gramos,T398-P399+F399)</f>
        <v>1443.728609905113</v>
      </c>
      <c r="U399" s="20">
        <f ca="1">T399/_GramosXFrasco</f>
        <v>8.4925212347359587</v>
      </c>
      <c r="V399" s="58">
        <f ca="1">(T399/_Max_Stock_Gramos)</f>
        <v>0.84925212347359591</v>
      </c>
      <c r="W399" s="58"/>
      <c r="X399" s="10">
        <f ca="1">IF((T398-O399)&lt;0,(T398-O399)*_Costo_Faltante,0)</f>
        <v>0</v>
      </c>
      <c r="Y399">
        <f>IF(B399=0,E399*_Costo_Frasco,0)</f>
        <v>0</v>
      </c>
      <c r="Z399" s="11">
        <f t="shared" ca="1" si="77"/>
        <v>-56000</v>
      </c>
    </row>
    <row r="400" spans="1:26" x14ac:dyDescent="0.25">
      <c r="A400" s="30">
        <f t="shared" si="74"/>
        <v>384</v>
      </c>
      <c r="B400" s="10">
        <f>IF(B399=0,_Proxima_Compra,B399-1)</f>
        <v>0</v>
      </c>
      <c r="C400" s="3">
        <f t="shared" ca="1" si="67"/>
        <v>6.2249317895256118E-2</v>
      </c>
      <c r="D400" s="3">
        <f ca="1">IF(D399&gt;0,D399-1,IF(C400&gt;0,LOOKUP(C400,$S$3:$S$5,$P$3:$P$5),-1))</f>
        <v>0</v>
      </c>
      <c r="E400" s="25">
        <f t="shared" ca="1" si="68"/>
        <v>2</v>
      </c>
      <c r="F400" s="28">
        <f ca="1">E400*_GramosXFrasco</f>
        <v>340</v>
      </c>
      <c r="G400" s="38">
        <f t="shared" ca="1" si="69"/>
        <v>5.1569190996853087E-2</v>
      </c>
      <c r="H400" s="36">
        <f t="shared" ca="1" si="70"/>
        <v>-1</v>
      </c>
      <c r="I400" s="36">
        <f t="shared" ca="1" si="71"/>
        <v>-1</v>
      </c>
      <c r="J400" s="36">
        <f t="shared" ca="1" si="78"/>
        <v>-1</v>
      </c>
      <c r="K400" s="37">
        <f ca="1">IF(J400&lt;&gt;-1,_Media_M + J400*_Sigma,-1)</f>
        <v>-1</v>
      </c>
      <c r="L400" s="3">
        <f t="shared" ca="1" si="72"/>
        <v>50</v>
      </c>
      <c r="M400" s="18">
        <f ca="1">IF(LOOKUP(G400,$H$3:$H$4,$E$3:$E$4)=1,50,_Media_M + J400*_Sigma)</f>
        <v>50</v>
      </c>
      <c r="N400" s="36">
        <f t="shared" ca="1" si="73"/>
        <v>25.552530101480482</v>
      </c>
      <c r="O400" s="35">
        <f t="shared" ca="1" si="79"/>
        <v>75.552530101480485</v>
      </c>
      <c r="P400" s="19">
        <f t="shared" ca="1" si="75"/>
        <v>75.552530101480485</v>
      </c>
      <c r="Q400" s="20">
        <f ca="1" xml:space="preserve"> P400*_Precio_cafe</f>
        <v>113.32879515222072</v>
      </c>
      <c r="R400" s="20">
        <f t="shared" ca="1" si="76"/>
        <v>54185.025996531418</v>
      </c>
      <c r="S400" s="20">
        <f ca="1">(1/A400)*((A400-1)*S399 +Q400)</f>
        <v>141.10683853263396</v>
      </c>
      <c r="T400" s="20">
        <f ca="1">IF((T399-P400+F400)&gt;_Max_Stock_Gramos,_Max_Stock_Gramos,T399-P400+F400)</f>
        <v>1700</v>
      </c>
      <c r="U400" s="20">
        <f ca="1">T400/_GramosXFrasco</f>
        <v>10</v>
      </c>
      <c r="V400" s="58">
        <f ca="1">(T400/_Max_Stock_Gramos)</f>
        <v>1</v>
      </c>
      <c r="W400" s="58"/>
      <c r="X400" s="10">
        <f ca="1">IF((T399-O400)&lt;0,(T399-O400)*_Costo_Faltante,0)</f>
        <v>0</v>
      </c>
      <c r="Y400">
        <f ca="1">IF(B400=0,E400*_Costo_Frasco,0)</f>
        <v>-500</v>
      </c>
      <c r="Z400" s="11">
        <f t="shared" ca="1" si="77"/>
        <v>-56500</v>
      </c>
    </row>
    <row r="401" spans="1:26" x14ac:dyDescent="0.25">
      <c r="A401" s="30">
        <f t="shared" si="74"/>
        <v>385</v>
      </c>
      <c r="B401" s="10">
        <f>IF(B400=0,_Proxima_Compra,B400-1)</f>
        <v>1</v>
      </c>
      <c r="C401" s="3">
        <f t="shared" ref="C401:C464" ca="1" si="80">IF(B401=0,RAND(),-1)</f>
        <v>-1</v>
      </c>
      <c r="D401" s="3">
        <f ca="1">IF(D400&gt;0,D400-1,IF(C401&gt;0,LOOKUP(C401,$S$3:$S$5,$P$3:$P$5),-1))</f>
        <v>-1</v>
      </c>
      <c r="E401" s="25">
        <f t="shared" ref="E401:E464" ca="1" si="81">IF(D401=0,2,)</f>
        <v>0</v>
      </c>
      <c r="F401" s="28">
        <f ca="1">E401*_GramosXFrasco</f>
        <v>0</v>
      </c>
      <c r="G401" s="38">
        <f t="shared" ref="G401:G464" ca="1" si="82">RAND()</f>
        <v>0.79897750121385802</v>
      </c>
      <c r="H401" s="36">
        <f t="shared" ref="H401:H464" ca="1" si="83">IF(G401&gt;0.5,RAND(),-1)</f>
        <v>0.92399917646450969</v>
      </c>
      <c r="I401" s="36">
        <f t="shared" ref="I401:I464" ca="1" si="84">IF(G401&gt;0.5,RAND(),-1)</f>
        <v>0.43426304999617094</v>
      </c>
      <c r="J401" s="36">
        <f t="shared" ca="1" si="78"/>
        <v>-1.3703014831097797</v>
      </c>
      <c r="K401" s="37">
        <f ca="1">IF(J401&lt;&gt;-1,_Media_M + J401*_Sigma,-1)</f>
        <v>54.445477753353302</v>
      </c>
      <c r="L401" s="3">
        <f t="shared" ref="L401:L464" ca="1" si="85">IF(K401=-1,50,-1)</f>
        <v>-1</v>
      </c>
      <c r="M401" s="18">
        <f ca="1">IF(LOOKUP(G401,$H$3:$H$4,$E$3:$E$4)=1,50,_Media_M + J401*_Sigma)</f>
        <v>54.445477753353302</v>
      </c>
      <c r="N401" s="36">
        <f t="shared" ref="N401:N464" ca="1" si="86">(-1/(1/70)*(LOG(1-RAND())))</f>
        <v>24.695026194364694</v>
      </c>
      <c r="O401" s="35">
        <f t="shared" ca="1" si="79"/>
        <v>79.140503947718003</v>
      </c>
      <c r="P401" s="19">
        <f t="shared" ca="1" si="75"/>
        <v>79.140503947718003</v>
      </c>
      <c r="Q401" s="20">
        <f ca="1" xml:space="preserve"> P401*_Precio_cafe</f>
        <v>118.710755921577</v>
      </c>
      <c r="R401" s="20">
        <f t="shared" ca="1" si="76"/>
        <v>54303.736752452998</v>
      </c>
      <c r="S401" s="20">
        <f ca="1">(1/A401)*((A401-1)*S400 +Q401)</f>
        <v>141.04866688948837</v>
      </c>
      <c r="T401" s="20">
        <f ca="1">IF((T400-P401+F401)&gt;_Max_Stock_Gramos,_Max_Stock_Gramos,T400-P401+F401)</f>
        <v>1620.8594960522819</v>
      </c>
      <c r="U401" s="20">
        <f ca="1">T401/_GramosXFrasco</f>
        <v>9.534467623836953</v>
      </c>
      <c r="V401" s="58">
        <f ca="1">(T401/_Max_Stock_Gramos)</f>
        <v>0.95344676238369519</v>
      </c>
      <c r="W401" s="58"/>
      <c r="X401" s="10">
        <f ca="1">IF((T400-O401)&lt;0,(T400-O401)*_Costo_Faltante,0)</f>
        <v>0</v>
      </c>
      <c r="Y401">
        <f>IF(B401=0,E401*_Costo_Frasco,0)</f>
        <v>0</v>
      </c>
      <c r="Z401" s="11">
        <f t="shared" ca="1" si="77"/>
        <v>-56500</v>
      </c>
    </row>
    <row r="402" spans="1:26" x14ac:dyDescent="0.25">
      <c r="A402" s="30">
        <f t="shared" ref="A402:A465" si="87">A401+1</f>
        <v>386</v>
      </c>
      <c r="B402" s="10">
        <f>IF(B401=0,_Proxima_Compra,B401-1)</f>
        <v>0</v>
      </c>
      <c r="C402" s="3">
        <f t="shared" ca="1" si="80"/>
        <v>0.95133855772009168</v>
      </c>
      <c r="D402" s="3">
        <f ca="1">IF(D401&gt;0,D401-1,IF(C402&gt;0,LOOKUP(C402,$S$3:$S$5,$P$3:$P$5),-1))</f>
        <v>2</v>
      </c>
      <c r="E402" s="25">
        <f t="shared" ca="1" si="81"/>
        <v>0</v>
      </c>
      <c r="F402" s="28">
        <f ca="1">E402*_GramosXFrasco</f>
        <v>0</v>
      </c>
      <c r="G402" s="38">
        <f t="shared" ca="1" si="82"/>
        <v>0.86433960372829999</v>
      </c>
      <c r="H402" s="36">
        <f t="shared" ca="1" si="83"/>
        <v>0.26217734559184391</v>
      </c>
      <c r="I402" s="36">
        <f t="shared" ca="1" si="84"/>
        <v>0.40972957326715254</v>
      </c>
      <c r="J402" s="36">
        <f t="shared" ca="1" si="78"/>
        <v>-0.43343392958483384</v>
      </c>
      <c r="K402" s="37">
        <f ca="1">IF(J402&lt;&gt;-1,_Media_M + J402*_Sigma,-1)</f>
        <v>68.498491056227493</v>
      </c>
      <c r="L402" s="3">
        <f t="shared" ca="1" si="85"/>
        <v>-1</v>
      </c>
      <c r="M402" s="18">
        <f ca="1">IF(LOOKUP(G402,$H$3:$H$4,$E$3:$E$4)=1,50,_Media_M + J402*_Sigma)</f>
        <v>68.498491056227493</v>
      </c>
      <c r="N402" s="36">
        <f t="shared" ca="1" si="86"/>
        <v>43.216605453759378</v>
      </c>
      <c r="O402" s="35">
        <f t="shared" ca="1" si="79"/>
        <v>111.71509650998686</v>
      </c>
      <c r="P402" s="19">
        <f t="shared" ref="P402:P465" ca="1" si="88">IF(O402&lt;T401,O402,T401)</f>
        <v>111.71509650998686</v>
      </c>
      <c r="Q402" s="20">
        <f ca="1" xml:space="preserve"> P402*_Precio_cafe</f>
        <v>167.57264476498028</v>
      </c>
      <c r="R402" s="20">
        <f t="shared" ref="R402:R465" ca="1" si="89">Q402+R401</f>
        <v>54471.309397217978</v>
      </c>
      <c r="S402" s="20">
        <f ca="1">(1/A402)*((A402-1)*S401 +Q402)</f>
        <v>141.11738185807775</v>
      </c>
      <c r="T402" s="20">
        <f ca="1">IF((T401-P402+F402)&gt;_Max_Stock_Gramos,_Max_Stock_Gramos,T401-P402+F402)</f>
        <v>1509.1443995422951</v>
      </c>
      <c r="U402" s="20">
        <f ca="1">T402/_GramosXFrasco</f>
        <v>8.8773199973076178</v>
      </c>
      <c r="V402" s="58">
        <f ca="1">(T402/_Max_Stock_Gramos)</f>
        <v>0.88773199973076178</v>
      </c>
      <c r="W402" s="58"/>
      <c r="X402" s="10">
        <f ca="1">IF((T401-O402)&lt;0,(T401-O402)*_Costo_Faltante,0)</f>
        <v>0</v>
      </c>
      <c r="Y402">
        <f ca="1">IF(B402=0,E402*_Costo_Frasco,0)</f>
        <v>0</v>
      </c>
      <c r="Z402" s="11">
        <f t="shared" ref="Z402:Z465" ca="1" si="90">X402+Y402+Z401</f>
        <v>-56500</v>
      </c>
    </row>
    <row r="403" spans="1:26" x14ac:dyDescent="0.25">
      <c r="A403" s="30">
        <f t="shared" si="87"/>
        <v>387</v>
      </c>
      <c r="B403" s="10">
        <f>IF(B402=0,_Proxima_Compra,B402-1)</f>
        <v>1</v>
      </c>
      <c r="C403" s="3">
        <f t="shared" ca="1" si="80"/>
        <v>-1</v>
      </c>
      <c r="D403" s="3">
        <f ca="1">IF(D402&gt;0,D402-1,IF(C403&gt;0,LOOKUP(C403,$S$3:$S$5,$P$3:$P$5),-1))</f>
        <v>1</v>
      </c>
      <c r="E403" s="25">
        <f t="shared" ca="1" si="81"/>
        <v>0</v>
      </c>
      <c r="F403" s="28">
        <f ca="1">E403*_GramosXFrasco</f>
        <v>0</v>
      </c>
      <c r="G403" s="38">
        <f t="shared" ca="1" si="82"/>
        <v>0.77870035686011441</v>
      </c>
      <c r="H403" s="36">
        <f t="shared" ca="1" si="83"/>
        <v>5.0303274411817034E-3</v>
      </c>
      <c r="I403" s="36">
        <f t="shared" ca="1" si="84"/>
        <v>2.4617835266682597E-3</v>
      </c>
      <c r="J403" s="36">
        <f t="shared" ca="1" si="78"/>
        <v>6.6176018620626442E-2</v>
      </c>
      <c r="K403" s="37">
        <f ca="1">IF(J403&lt;&gt;-1,_Media_M + J403*_Sigma,-1)</f>
        <v>75.992640279309398</v>
      </c>
      <c r="L403" s="3">
        <f t="shared" ca="1" si="85"/>
        <v>-1</v>
      </c>
      <c r="M403" s="18">
        <f ca="1">IF(LOOKUP(G403,$H$3:$H$4,$E$3:$E$4)=1,50,_Media_M + J403*_Sigma)</f>
        <v>75.992640279309398</v>
      </c>
      <c r="N403" s="36">
        <f t="shared" ca="1" si="86"/>
        <v>16.681865242698574</v>
      </c>
      <c r="O403" s="35">
        <f t="shared" ca="1" si="79"/>
        <v>92.674505522007976</v>
      </c>
      <c r="P403" s="19">
        <f t="shared" ca="1" si="88"/>
        <v>92.674505522007976</v>
      </c>
      <c r="Q403" s="20">
        <f ca="1" xml:space="preserve"> P403*_Precio_cafe</f>
        <v>139.01175828301197</v>
      </c>
      <c r="R403" s="20">
        <f t="shared" ca="1" si="89"/>
        <v>54610.321155500991</v>
      </c>
      <c r="S403" s="20">
        <f ca="1">(1/A403)*((A403-1)*S402 +Q403)</f>
        <v>141.11194097028689</v>
      </c>
      <c r="T403" s="20">
        <f ca="1">IF((T402-P403+F403)&gt;_Max_Stock_Gramos,_Max_Stock_Gramos,T402-P403+F403)</f>
        <v>1416.469894020287</v>
      </c>
      <c r="U403" s="20">
        <f ca="1">T403/_GramosXFrasco</f>
        <v>8.3321758471781582</v>
      </c>
      <c r="V403" s="58">
        <f ca="1">(T403/_Max_Stock_Gramos)</f>
        <v>0.83321758471781593</v>
      </c>
      <c r="W403" s="58"/>
      <c r="X403" s="10">
        <f ca="1">IF((T402-O403)&lt;0,(T402-O403)*_Costo_Faltante,0)</f>
        <v>0</v>
      </c>
      <c r="Y403">
        <f>IF(B403=0,E403*_Costo_Frasco,0)</f>
        <v>0</v>
      </c>
      <c r="Z403" s="11">
        <f t="shared" ca="1" si="90"/>
        <v>-56500</v>
      </c>
    </row>
    <row r="404" spans="1:26" x14ac:dyDescent="0.25">
      <c r="A404" s="30">
        <f t="shared" si="87"/>
        <v>388</v>
      </c>
      <c r="B404" s="10">
        <f>IF(B403=0,_Proxima_Compra,B403-1)</f>
        <v>0</v>
      </c>
      <c r="C404" s="3">
        <f t="shared" ca="1" si="80"/>
        <v>0.79792954979769326</v>
      </c>
      <c r="D404" s="3">
        <f ca="1">IF(D403&gt;0,D403-1,IF(C404&gt;0,LOOKUP(C404,$S$3:$S$5,$P$3:$P$5),-1))</f>
        <v>0</v>
      </c>
      <c r="E404" s="25">
        <f t="shared" ca="1" si="81"/>
        <v>2</v>
      </c>
      <c r="F404" s="28">
        <f ca="1">E404*_GramosXFrasco</f>
        <v>340</v>
      </c>
      <c r="G404" s="38">
        <f t="shared" ca="1" si="82"/>
        <v>0.25055607801280866</v>
      </c>
      <c r="H404" s="36">
        <f t="shared" ca="1" si="83"/>
        <v>-1</v>
      </c>
      <c r="I404" s="36">
        <f t="shared" ca="1" si="84"/>
        <v>-1</v>
      </c>
      <c r="J404" s="36">
        <f t="shared" ca="1" si="78"/>
        <v>-1</v>
      </c>
      <c r="K404" s="37">
        <f ca="1">IF(J404&lt;&gt;-1,_Media_M + J404*_Sigma,-1)</f>
        <v>-1</v>
      </c>
      <c r="L404" s="3">
        <f t="shared" ca="1" si="85"/>
        <v>50</v>
      </c>
      <c r="M404" s="18">
        <f ca="1">IF(LOOKUP(G404,$H$3:$H$4,$E$3:$E$4)=1,50,_Media_M + J404*_Sigma)</f>
        <v>50</v>
      </c>
      <c r="N404" s="36">
        <f t="shared" ca="1" si="86"/>
        <v>19.204038536500171</v>
      </c>
      <c r="O404" s="35">
        <f t="shared" ca="1" si="79"/>
        <v>69.204038536500178</v>
      </c>
      <c r="P404" s="19">
        <f t="shared" ca="1" si="88"/>
        <v>69.204038536500178</v>
      </c>
      <c r="Q404" s="20">
        <f ca="1" xml:space="preserve"> P404*_Precio_cafe</f>
        <v>103.80605780475027</v>
      </c>
      <c r="R404" s="20">
        <f t="shared" ca="1" si="89"/>
        <v>54714.127213305743</v>
      </c>
      <c r="S404" s="20">
        <f ca="1">(1/A404)*((A404-1)*S403 +Q404)</f>
        <v>141.01579178687055</v>
      </c>
      <c r="T404" s="20">
        <f ca="1">IF((T403-P404+F404)&gt;_Max_Stock_Gramos,_Max_Stock_Gramos,T403-P404+F404)</f>
        <v>1687.2658554837869</v>
      </c>
      <c r="U404" s="20">
        <f ca="1">T404/_GramosXFrasco</f>
        <v>9.9250932675516879</v>
      </c>
      <c r="V404" s="58">
        <f ca="1">(T404/_Max_Stock_Gramos)</f>
        <v>0.99250932675516879</v>
      </c>
      <c r="W404" s="58"/>
      <c r="X404" s="10">
        <f ca="1">IF((T403-O404)&lt;0,(T403-O404)*_Costo_Faltante,0)</f>
        <v>0</v>
      </c>
      <c r="Y404">
        <f ca="1">IF(B404=0,E404*_Costo_Frasco,0)</f>
        <v>-500</v>
      </c>
      <c r="Z404" s="11">
        <f t="shared" ca="1" si="90"/>
        <v>-57000</v>
      </c>
    </row>
    <row r="405" spans="1:26" x14ac:dyDescent="0.25">
      <c r="A405" s="30">
        <f t="shared" si="87"/>
        <v>389</v>
      </c>
      <c r="B405" s="10">
        <f>IF(B404=0,_Proxima_Compra,B404-1)</f>
        <v>1</v>
      </c>
      <c r="C405" s="3">
        <f t="shared" ca="1" si="80"/>
        <v>-1</v>
      </c>
      <c r="D405" s="3">
        <f ca="1">IF(D404&gt;0,D404-1,IF(C405&gt;0,LOOKUP(C405,$S$3:$S$5,$P$3:$P$5),-1))</f>
        <v>-1</v>
      </c>
      <c r="E405" s="25">
        <f t="shared" ca="1" si="81"/>
        <v>0</v>
      </c>
      <c r="F405" s="28">
        <f ca="1">E405*_GramosXFrasco</f>
        <v>0</v>
      </c>
      <c r="G405" s="38">
        <f t="shared" ca="1" si="82"/>
        <v>0.1693473124752447</v>
      </c>
      <c r="H405" s="36">
        <f t="shared" ca="1" si="83"/>
        <v>-1</v>
      </c>
      <c r="I405" s="36">
        <f t="shared" ca="1" si="84"/>
        <v>-1</v>
      </c>
      <c r="J405" s="36">
        <f t="shared" ca="1" si="78"/>
        <v>-1</v>
      </c>
      <c r="K405" s="37">
        <f ca="1">IF(J405&lt;&gt;-1,_Media_M + J405*_Sigma,-1)</f>
        <v>-1</v>
      </c>
      <c r="L405" s="3">
        <f t="shared" ca="1" si="85"/>
        <v>50</v>
      </c>
      <c r="M405" s="18">
        <f ca="1">IF(LOOKUP(G405,$H$3:$H$4,$E$3:$E$4)=1,50,_Media_M + J405*_Sigma)</f>
        <v>50</v>
      </c>
      <c r="N405" s="36">
        <f t="shared" ca="1" si="86"/>
        <v>8.9807348728773846</v>
      </c>
      <c r="O405" s="35">
        <f t="shared" ca="1" si="79"/>
        <v>58.980734872877385</v>
      </c>
      <c r="P405" s="19">
        <f t="shared" ca="1" si="88"/>
        <v>58.980734872877385</v>
      </c>
      <c r="Q405" s="20">
        <f ca="1" xml:space="preserve"> P405*_Precio_cafe</f>
        <v>88.47110230931608</v>
      </c>
      <c r="R405" s="20">
        <f t="shared" ca="1" si="89"/>
        <v>54802.598315615061</v>
      </c>
      <c r="S405" s="20">
        <f ca="1">(1/A405)*((A405-1)*S404 +Q405)</f>
        <v>140.88071546430612</v>
      </c>
      <c r="T405" s="20">
        <f ca="1">IF((T404-P405+F405)&gt;_Max_Stock_Gramos,_Max_Stock_Gramos,T404-P405+F405)</f>
        <v>1628.2851206109096</v>
      </c>
      <c r="U405" s="20">
        <f ca="1">T405/_GramosXFrasco</f>
        <v>9.578147768299468</v>
      </c>
      <c r="V405" s="58">
        <f ca="1">(T405/_Max_Stock_Gramos)</f>
        <v>0.95781477682994687</v>
      </c>
      <c r="W405" s="58"/>
      <c r="X405" s="10">
        <f ca="1">IF((T404-O405)&lt;0,(T404-O405)*_Costo_Faltante,0)</f>
        <v>0</v>
      </c>
      <c r="Y405">
        <f>IF(B405=0,E405*_Costo_Frasco,0)</f>
        <v>0</v>
      </c>
      <c r="Z405" s="11">
        <f t="shared" ca="1" si="90"/>
        <v>-57000</v>
      </c>
    </row>
    <row r="406" spans="1:26" x14ac:dyDescent="0.25">
      <c r="A406" s="30">
        <f t="shared" si="87"/>
        <v>390</v>
      </c>
      <c r="B406" s="10">
        <f>IF(B405=0,_Proxima_Compra,B405-1)</f>
        <v>0</v>
      </c>
      <c r="C406" s="3">
        <f t="shared" ca="1" si="80"/>
        <v>0.93640502461968067</v>
      </c>
      <c r="D406" s="3">
        <f ca="1">IF(D405&gt;0,D405-1,IF(C406&gt;0,LOOKUP(C406,$S$3:$S$5,$P$3:$P$5),-1))</f>
        <v>2</v>
      </c>
      <c r="E406" s="25">
        <f t="shared" ca="1" si="81"/>
        <v>0</v>
      </c>
      <c r="F406" s="28">
        <f ca="1">E406*_GramosXFrasco</f>
        <v>0</v>
      </c>
      <c r="G406" s="38">
        <f t="shared" ca="1" si="82"/>
        <v>0.88264610338897898</v>
      </c>
      <c r="H406" s="36">
        <f t="shared" ca="1" si="83"/>
        <v>0.39605184409782834</v>
      </c>
      <c r="I406" s="36">
        <f t="shared" ca="1" si="84"/>
        <v>0.77651272421889461</v>
      </c>
      <c r="J406" s="36">
        <f t="shared" ca="1" si="78"/>
        <v>0.10973902999618945</v>
      </c>
      <c r="K406" s="37">
        <f ca="1">IF(J406&lt;&gt;-1,_Media_M + J406*_Sigma,-1)</f>
        <v>76.646085449942845</v>
      </c>
      <c r="L406" s="3">
        <f t="shared" ca="1" si="85"/>
        <v>-1</v>
      </c>
      <c r="M406" s="18">
        <f ca="1">IF(LOOKUP(G406,$H$3:$H$4,$E$3:$E$4)=1,50,_Media_M + J406*_Sigma)</f>
        <v>76.646085449942845</v>
      </c>
      <c r="N406" s="36">
        <f t="shared" ca="1" si="86"/>
        <v>2.1368121608255111</v>
      </c>
      <c r="O406" s="35">
        <f t="shared" ca="1" si="79"/>
        <v>78.782897610768359</v>
      </c>
      <c r="P406" s="19">
        <f t="shared" ca="1" si="88"/>
        <v>78.782897610768359</v>
      </c>
      <c r="Q406" s="20">
        <f ca="1" xml:space="preserve"> P406*_Precio_cafe</f>
        <v>118.17434641615253</v>
      </c>
      <c r="R406" s="20">
        <f t="shared" ca="1" si="89"/>
        <v>54920.772662031217</v>
      </c>
      <c r="S406" s="20">
        <f ca="1">(1/A406)*((A406-1)*S405 +Q406)</f>
        <v>140.82249400520831</v>
      </c>
      <c r="T406" s="20">
        <f ca="1">IF((T405-P406+F406)&gt;_Max_Stock_Gramos,_Max_Stock_Gramos,T405-P406+F406)</f>
        <v>1549.5022230001414</v>
      </c>
      <c r="U406" s="20">
        <f ca="1">T406/_GramosXFrasco</f>
        <v>9.1147189588243602</v>
      </c>
      <c r="V406" s="58">
        <f ca="1">(T406/_Max_Stock_Gramos)</f>
        <v>0.91147189588243616</v>
      </c>
      <c r="W406" s="58"/>
      <c r="X406" s="10">
        <f ca="1">IF((T405-O406)&lt;0,(T405-O406)*_Costo_Faltante,0)</f>
        <v>0</v>
      </c>
      <c r="Y406">
        <f ca="1">IF(B406=0,E406*_Costo_Frasco,0)</f>
        <v>0</v>
      </c>
      <c r="Z406" s="11">
        <f t="shared" ca="1" si="90"/>
        <v>-57000</v>
      </c>
    </row>
    <row r="407" spans="1:26" x14ac:dyDescent="0.25">
      <c r="A407" s="30">
        <f t="shared" si="87"/>
        <v>391</v>
      </c>
      <c r="B407" s="10">
        <f>IF(B406=0,_Proxima_Compra,B406-1)</f>
        <v>1</v>
      </c>
      <c r="C407" s="3">
        <f t="shared" ca="1" si="80"/>
        <v>-1</v>
      </c>
      <c r="D407" s="3">
        <f ca="1">IF(D406&gt;0,D406-1,IF(C407&gt;0,LOOKUP(C407,$S$3:$S$5,$P$3:$P$5),-1))</f>
        <v>1</v>
      </c>
      <c r="E407" s="25">
        <f t="shared" ca="1" si="81"/>
        <v>0</v>
      </c>
      <c r="F407" s="28">
        <f ca="1">E407*_GramosXFrasco</f>
        <v>0</v>
      </c>
      <c r="G407" s="38">
        <f t="shared" ca="1" si="82"/>
        <v>0.92705500847193556</v>
      </c>
      <c r="H407" s="36">
        <f t="shared" ca="1" si="83"/>
        <v>0.15315853619985931</v>
      </c>
      <c r="I407" s="36">
        <f t="shared" ca="1" si="84"/>
        <v>0.28420380316529037</v>
      </c>
      <c r="J407" s="36">
        <f t="shared" ca="1" si="78"/>
        <v>-8.1036990260995354E-2</v>
      </c>
      <c r="K407" s="37">
        <f ca="1">IF(J407&lt;&gt;-1,_Media_M + J407*_Sigma,-1)</f>
        <v>73.784445146085076</v>
      </c>
      <c r="L407" s="3">
        <f t="shared" ca="1" si="85"/>
        <v>-1</v>
      </c>
      <c r="M407" s="18">
        <f ca="1">IF(LOOKUP(G407,$H$3:$H$4,$E$3:$E$4)=1,50,_Media_M + J407*_Sigma)</f>
        <v>73.784445146085076</v>
      </c>
      <c r="N407" s="36">
        <f t="shared" ca="1" si="86"/>
        <v>1.5891485095314357</v>
      </c>
      <c r="O407" s="35">
        <f t="shared" ca="1" si="79"/>
        <v>75.373593655616517</v>
      </c>
      <c r="P407" s="19">
        <f t="shared" ca="1" si="88"/>
        <v>75.373593655616517</v>
      </c>
      <c r="Q407" s="20">
        <f ca="1" xml:space="preserve"> P407*_Precio_cafe</f>
        <v>113.06039048342478</v>
      </c>
      <c r="R407" s="20">
        <f t="shared" ca="1" si="89"/>
        <v>55033.833052514645</v>
      </c>
      <c r="S407" s="20">
        <f ca="1">(1/A407)*((A407-1)*S406 +Q407)</f>
        <v>140.75149118290196</v>
      </c>
      <c r="T407" s="20">
        <f ca="1">IF((T406-P407+F407)&gt;_Max_Stock_Gramos,_Max_Stock_Gramos,T406-P407+F407)</f>
        <v>1474.1286293445248</v>
      </c>
      <c r="U407" s="20">
        <f ca="1">T407/_GramosXFrasco</f>
        <v>8.6713448784972051</v>
      </c>
      <c r="V407" s="58">
        <f ca="1">(T407/_Max_Stock_Gramos)</f>
        <v>0.86713448784972047</v>
      </c>
      <c r="W407" s="58"/>
      <c r="X407" s="10">
        <f ca="1">IF((T406-O407)&lt;0,(T406-O407)*_Costo_Faltante,0)</f>
        <v>0</v>
      </c>
      <c r="Y407">
        <f>IF(B407=0,E407*_Costo_Frasco,0)</f>
        <v>0</v>
      </c>
      <c r="Z407" s="11">
        <f t="shared" ca="1" si="90"/>
        <v>-57000</v>
      </c>
    </row>
    <row r="408" spans="1:26" x14ac:dyDescent="0.25">
      <c r="A408" s="30">
        <f t="shared" si="87"/>
        <v>392</v>
      </c>
      <c r="B408" s="10">
        <f>IF(B407=0,_Proxima_Compra,B407-1)</f>
        <v>0</v>
      </c>
      <c r="C408" s="3">
        <f t="shared" ca="1" si="80"/>
        <v>0.23083926265373267</v>
      </c>
      <c r="D408" s="3">
        <f ca="1">IF(D407&gt;0,D407-1,IF(C408&gt;0,LOOKUP(C408,$S$3:$S$5,$P$3:$P$5),-1))</f>
        <v>0</v>
      </c>
      <c r="E408" s="25">
        <f t="shared" ca="1" si="81"/>
        <v>2</v>
      </c>
      <c r="F408" s="28">
        <f ca="1">E408*_GramosXFrasco</f>
        <v>340</v>
      </c>
      <c r="G408" s="38">
        <f t="shared" ca="1" si="82"/>
        <v>0.14760363347733951</v>
      </c>
      <c r="H408" s="36">
        <f t="shared" ca="1" si="83"/>
        <v>-1</v>
      </c>
      <c r="I408" s="36">
        <f t="shared" ca="1" si="84"/>
        <v>-1</v>
      </c>
      <c r="J408" s="36">
        <f t="shared" ca="1" si="78"/>
        <v>-1</v>
      </c>
      <c r="K408" s="37">
        <f ca="1">IF(J408&lt;&gt;-1,_Media_M + J408*_Sigma,-1)</f>
        <v>-1</v>
      </c>
      <c r="L408" s="3">
        <f t="shared" ca="1" si="85"/>
        <v>50</v>
      </c>
      <c r="M408" s="18">
        <f ca="1">IF(LOOKUP(G408,$H$3:$H$4,$E$3:$E$4)=1,50,_Media_M + J408*_Sigma)</f>
        <v>50</v>
      </c>
      <c r="N408" s="36">
        <f t="shared" ca="1" si="86"/>
        <v>6.7867311133427224</v>
      </c>
      <c r="O408" s="35">
        <f t="shared" ca="1" si="79"/>
        <v>56.786731113342725</v>
      </c>
      <c r="P408" s="19">
        <f t="shared" ca="1" si="88"/>
        <v>56.786731113342725</v>
      </c>
      <c r="Q408" s="20">
        <f ca="1" xml:space="preserve"> P408*_Precio_cafe</f>
        <v>85.18009667001408</v>
      </c>
      <c r="R408" s="20">
        <f t="shared" ca="1" si="89"/>
        <v>55119.013149184662</v>
      </c>
      <c r="S408" s="20">
        <f ca="1">(1/A408)*((A408-1)*S407 +Q408)</f>
        <v>140.60972742138949</v>
      </c>
      <c r="T408" s="20">
        <f ca="1">IF((T407-P408+F408)&gt;_Max_Stock_Gramos,_Max_Stock_Gramos,T407-P408+F408)</f>
        <v>1700</v>
      </c>
      <c r="U408" s="20">
        <f ca="1">T408/_GramosXFrasco</f>
        <v>10</v>
      </c>
      <c r="V408" s="58">
        <f ca="1">(T408/_Max_Stock_Gramos)</f>
        <v>1</v>
      </c>
      <c r="W408" s="58"/>
      <c r="X408" s="10">
        <f ca="1">IF((T407-O408)&lt;0,(T407-O408)*_Costo_Faltante,0)</f>
        <v>0</v>
      </c>
      <c r="Y408">
        <f ca="1">IF(B408=0,E408*_Costo_Frasco,0)</f>
        <v>-500</v>
      </c>
      <c r="Z408" s="11">
        <f t="shared" ca="1" si="90"/>
        <v>-57500</v>
      </c>
    </row>
    <row r="409" spans="1:26" x14ac:dyDescent="0.25">
      <c r="A409" s="30">
        <f t="shared" si="87"/>
        <v>393</v>
      </c>
      <c r="B409" s="10">
        <f>IF(B408=0,_Proxima_Compra,B408-1)</f>
        <v>1</v>
      </c>
      <c r="C409" s="3">
        <f t="shared" ca="1" si="80"/>
        <v>-1</v>
      </c>
      <c r="D409" s="3">
        <f ca="1">IF(D408&gt;0,D408-1,IF(C409&gt;0,LOOKUP(C409,$S$3:$S$5,$P$3:$P$5),-1))</f>
        <v>-1</v>
      </c>
      <c r="E409" s="25">
        <f t="shared" ca="1" si="81"/>
        <v>0</v>
      </c>
      <c r="F409" s="28">
        <f ca="1">E409*_GramosXFrasco</f>
        <v>0</v>
      </c>
      <c r="G409" s="38">
        <f t="shared" ca="1" si="82"/>
        <v>6.7602563857118714E-2</v>
      </c>
      <c r="H409" s="36">
        <f t="shared" ca="1" si="83"/>
        <v>-1</v>
      </c>
      <c r="I409" s="36">
        <f t="shared" ca="1" si="84"/>
        <v>-1</v>
      </c>
      <c r="J409" s="36">
        <f t="shared" ca="1" si="78"/>
        <v>-1</v>
      </c>
      <c r="K409" s="37">
        <f ca="1">IF(J409&lt;&gt;-1,_Media_M + J409*_Sigma,-1)</f>
        <v>-1</v>
      </c>
      <c r="L409" s="3">
        <f t="shared" ca="1" si="85"/>
        <v>50</v>
      </c>
      <c r="M409" s="18">
        <f ca="1">IF(LOOKUP(G409,$H$3:$H$4,$E$3:$E$4)=1,50,_Media_M + J409*_Sigma)</f>
        <v>50</v>
      </c>
      <c r="N409" s="36">
        <f t="shared" ca="1" si="86"/>
        <v>47.477486727029671</v>
      </c>
      <c r="O409" s="35">
        <f t="shared" ca="1" si="79"/>
        <v>97.477486727029671</v>
      </c>
      <c r="P409" s="19">
        <f t="shared" ca="1" si="88"/>
        <v>97.477486727029671</v>
      </c>
      <c r="Q409" s="20">
        <f ca="1" xml:space="preserve"> P409*_Precio_cafe</f>
        <v>146.21623009054451</v>
      </c>
      <c r="R409" s="20">
        <f t="shared" ca="1" si="89"/>
        <v>55265.22937927521</v>
      </c>
      <c r="S409" s="20">
        <f ca="1">(1/A409)*((A409-1)*S408 +Q409)</f>
        <v>140.62399333148915</v>
      </c>
      <c r="T409" s="20">
        <f ca="1">IF((T408-P409+F409)&gt;_Max_Stock_Gramos,_Max_Stock_Gramos,T408-P409+F409)</f>
        <v>1602.5225132729704</v>
      </c>
      <c r="U409" s="20">
        <f ca="1">T409/_GramosXFrasco</f>
        <v>9.4266030192527666</v>
      </c>
      <c r="V409" s="58">
        <f ca="1">(T409/_Max_Stock_Gramos)</f>
        <v>0.94266030192527672</v>
      </c>
      <c r="W409" s="58"/>
      <c r="X409" s="10">
        <f ca="1">IF((T408-O409)&lt;0,(T408-O409)*_Costo_Faltante,0)</f>
        <v>0</v>
      </c>
      <c r="Y409">
        <f>IF(B409=0,E409*_Costo_Frasco,0)</f>
        <v>0</v>
      </c>
      <c r="Z409" s="11">
        <f t="shared" ca="1" si="90"/>
        <v>-57500</v>
      </c>
    </row>
    <row r="410" spans="1:26" x14ac:dyDescent="0.25">
      <c r="A410" s="30">
        <f t="shared" si="87"/>
        <v>394</v>
      </c>
      <c r="B410" s="10">
        <f>IF(B409=0,_Proxima_Compra,B409-1)</f>
        <v>0</v>
      </c>
      <c r="C410" s="3">
        <f t="shared" ca="1" si="80"/>
        <v>0.89533629518356961</v>
      </c>
      <c r="D410" s="3">
        <f ca="1">IF(D409&gt;0,D409-1,IF(C410&gt;0,LOOKUP(C410,$S$3:$S$5,$P$3:$P$5),-1))</f>
        <v>2</v>
      </c>
      <c r="E410" s="25">
        <f t="shared" ca="1" si="81"/>
        <v>0</v>
      </c>
      <c r="F410" s="28">
        <f ca="1">E410*_GramosXFrasco</f>
        <v>0</v>
      </c>
      <c r="G410" s="38">
        <f t="shared" ca="1" si="82"/>
        <v>0.88331440819173679</v>
      </c>
      <c r="H410" s="36">
        <f t="shared" ca="1" si="83"/>
        <v>0.65180877874102394</v>
      </c>
      <c r="I410" s="36">
        <f t="shared" ca="1" si="84"/>
        <v>0.55440288236982826</v>
      </c>
      <c r="J410" s="36">
        <f t="shared" ca="1" si="78"/>
        <v>-0.90188643246749856</v>
      </c>
      <c r="K410" s="37">
        <f ca="1">IF(J410&lt;&gt;-1,_Media_M + J410*_Sigma,-1)</f>
        <v>61.471703512987524</v>
      </c>
      <c r="L410" s="3">
        <f t="shared" ca="1" si="85"/>
        <v>-1</v>
      </c>
      <c r="M410" s="18">
        <f ca="1">IF(LOOKUP(G410,$H$3:$H$4,$E$3:$E$4)=1,50,_Media_M + J410*_Sigma)</f>
        <v>61.471703512987524</v>
      </c>
      <c r="N410" s="36">
        <f t="shared" ca="1" si="86"/>
        <v>34.157596296722318</v>
      </c>
      <c r="O410" s="35">
        <f t="shared" ca="1" si="79"/>
        <v>95.629299809709835</v>
      </c>
      <c r="P410" s="19">
        <f t="shared" ca="1" si="88"/>
        <v>95.629299809709835</v>
      </c>
      <c r="Q410" s="20">
        <f ca="1" xml:space="preserve"> P410*_Precio_cafe</f>
        <v>143.44394971456475</v>
      </c>
      <c r="R410" s="20">
        <f t="shared" ca="1" si="89"/>
        <v>55408.673328989775</v>
      </c>
      <c r="S410" s="20">
        <f ca="1">(1/A410)*((A410-1)*S409 +Q410)</f>
        <v>140.63115058119237</v>
      </c>
      <c r="T410" s="20">
        <f ca="1">IF((T409-P410+F410)&gt;_Max_Stock_Gramos,_Max_Stock_Gramos,T409-P410+F410)</f>
        <v>1506.8932134632605</v>
      </c>
      <c r="U410" s="20">
        <f ca="1">T410/_GramosXFrasco</f>
        <v>8.8640777262544734</v>
      </c>
      <c r="V410" s="58">
        <f ca="1">(T410/_Max_Stock_Gramos)</f>
        <v>0.88640777262544734</v>
      </c>
      <c r="W410" s="58"/>
      <c r="X410" s="10">
        <f ca="1">IF((T409-O410)&lt;0,(T409-O410)*_Costo_Faltante,0)</f>
        <v>0</v>
      </c>
      <c r="Y410">
        <f ca="1">IF(B410=0,E410*_Costo_Frasco,0)</f>
        <v>0</v>
      </c>
      <c r="Z410" s="11">
        <f t="shared" ca="1" si="90"/>
        <v>-57500</v>
      </c>
    </row>
    <row r="411" spans="1:26" x14ac:dyDescent="0.25">
      <c r="A411" s="30">
        <f t="shared" si="87"/>
        <v>395</v>
      </c>
      <c r="B411" s="10">
        <f>IF(B410=0,_Proxima_Compra,B410-1)</f>
        <v>1</v>
      </c>
      <c r="C411" s="3">
        <f t="shared" ca="1" si="80"/>
        <v>-1</v>
      </c>
      <c r="D411" s="3">
        <f ca="1">IF(D410&gt;0,D410-1,IF(C411&gt;0,LOOKUP(C411,$S$3:$S$5,$P$3:$P$5),-1))</f>
        <v>1</v>
      </c>
      <c r="E411" s="25">
        <f t="shared" ca="1" si="81"/>
        <v>0</v>
      </c>
      <c r="F411" s="28">
        <f ca="1">E411*_GramosXFrasco</f>
        <v>0</v>
      </c>
      <c r="G411" s="38">
        <f t="shared" ca="1" si="82"/>
        <v>0.28149057629686691</v>
      </c>
      <c r="H411" s="36">
        <f t="shared" ca="1" si="83"/>
        <v>-1</v>
      </c>
      <c r="I411" s="36">
        <f t="shared" ca="1" si="84"/>
        <v>-1</v>
      </c>
      <c r="J411" s="36">
        <f t="shared" ca="1" si="78"/>
        <v>-1</v>
      </c>
      <c r="K411" s="37">
        <f ca="1">IF(J411&lt;&gt;-1,_Media_M + J411*_Sigma,-1)</f>
        <v>-1</v>
      </c>
      <c r="L411" s="3">
        <f t="shared" ca="1" si="85"/>
        <v>50</v>
      </c>
      <c r="M411" s="18">
        <f ca="1">IF(LOOKUP(G411,$H$3:$H$4,$E$3:$E$4)=1,50,_Media_M + J411*_Sigma)</f>
        <v>50</v>
      </c>
      <c r="N411" s="36">
        <f t="shared" ca="1" si="86"/>
        <v>53.065529051472502</v>
      </c>
      <c r="O411" s="35">
        <f t="shared" ca="1" si="79"/>
        <v>103.06552905147251</v>
      </c>
      <c r="P411" s="19">
        <f t="shared" ca="1" si="88"/>
        <v>103.06552905147251</v>
      </c>
      <c r="Q411" s="20">
        <f ca="1" xml:space="preserve"> P411*_Precio_cafe</f>
        <v>154.59829357720878</v>
      </c>
      <c r="R411" s="20">
        <f t="shared" ca="1" si="89"/>
        <v>55563.271622566986</v>
      </c>
      <c r="S411" s="20">
        <f ca="1">(1/A411)*((A411-1)*S410 +Q411)</f>
        <v>140.6665104368785</v>
      </c>
      <c r="T411" s="20">
        <f ca="1">IF((T410-P411+F411)&gt;_Max_Stock_Gramos,_Max_Stock_Gramos,T410-P411+F411)</f>
        <v>1403.8276844117879</v>
      </c>
      <c r="U411" s="20">
        <f ca="1">T411/_GramosXFrasco</f>
        <v>8.257809908304635</v>
      </c>
      <c r="V411" s="58">
        <f ca="1">(T411/_Max_Stock_Gramos)</f>
        <v>0.82578099083046352</v>
      </c>
      <c r="W411" s="58"/>
      <c r="X411" s="10">
        <f ca="1">IF((T410-O411)&lt;0,(T410-O411)*_Costo_Faltante,0)</f>
        <v>0</v>
      </c>
      <c r="Y411">
        <f>IF(B411=0,E411*_Costo_Frasco,0)</f>
        <v>0</v>
      </c>
      <c r="Z411" s="11">
        <f t="shared" ca="1" si="90"/>
        <v>-57500</v>
      </c>
    </row>
    <row r="412" spans="1:26" x14ac:dyDescent="0.25">
      <c r="A412" s="30">
        <f t="shared" si="87"/>
        <v>396</v>
      </c>
      <c r="B412" s="10">
        <f>IF(B411=0,_Proxima_Compra,B411-1)</f>
        <v>0</v>
      </c>
      <c r="C412" s="3">
        <f t="shared" ca="1" si="80"/>
        <v>0.54460929270932024</v>
      </c>
      <c r="D412" s="3">
        <f ca="1">IF(D411&gt;0,D411-1,IF(C412&gt;0,LOOKUP(C412,$S$3:$S$5,$P$3:$P$5),-1))</f>
        <v>0</v>
      </c>
      <c r="E412" s="25">
        <f t="shared" ca="1" si="81"/>
        <v>2</v>
      </c>
      <c r="F412" s="28">
        <f ca="1">E412*_GramosXFrasco</f>
        <v>340</v>
      </c>
      <c r="G412" s="38">
        <f t="shared" ca="1" si="82"/>
        <v>0.11727018361311481</v>
      </c>
      <c r="H412" s="36">
        <f t="shared" ca="1" si="83"/>
        <v>-1</v>
      </c>
      <c r="I412" s="36">
        <f t="shared" ca="1" si="84"/>
        <v>-1</v>
      </c>
      <c r="J412" s="36">
        <f t="shared" ca="1" si="78"/>
        <v>-1</v>
      </c>
      <c r="K412" s="37">
        <f ca="1">IF(J412&lt;&gt;-1,_Media_M + J412*_Sigma,-1)</f>
        <v>-1</v>
      </c>
      <c r="L412" s="3">
        <f t="shared" ca="1" si="85"/>
        <v>50</v>
      </c>
      <c r="M412" s="18">
        <f ca="1">IF(LOOKUP(G412,$H$3:$H$4,$E$3:$E$4)=1,50,_Media_M + J412*_Sigma)</f>
        <v>50</v>
      </c>
      <c r="N412" s="36">
        <f t="shared" ca="1" si="86"/>
        <v>12.970931384076833</v>
      </c>
      <c r="O412" s="35">
        <f t="shared" ca="1" si="79"/>
        <v>62.970931384076835</v>
      </c>
      <c r="P412" s="19">
        <f t="shared" ca="1" si="88"/>
        <v>62.970931384076835</v>
      </c>
      <c r="Q412" s="20">
        <f ca="1" xml:space="preserve"> P412*_Precio_cafe</f>
        <v>94.456397076115252</v>
      </c>
      <c r="R412" s="20">
        <f t="shared" ca="1" si="89"/>
        <v>55657.728019643102</v>
      </c>
      <c r="S412" s="20">
        <f ca="1">(1/A412)*((A412-1)*S411 +Q412)</f>
        <v>140.54981823142205</v>
      </c>
      <c r="T412" s="20">
        <f ca="1">IF((T411-P412+F412)&gt;_Max_Stock_Gramos,_Max_Stock_Gramos,T411-P412+F412)</f>
        <v>1680.856753027711</v>
      </c>
      <c r="U412" s="20">
        <f ca="1">T412/_GramosXFrasco</f>
        <v>9.8873926648688872</v>
      </c>
      <c r="V412" s="58">
        <f ca="1">(T412/_Max_Stock_Gramos)</f>
        <v>0.98873926648688881</v>
      </c>
      <c r="W412" s="58"/>
      <c r="X412" s="10">
        <f ca="1">IF((T411-O412)&lt;0,(T411-O412)*_Costo_Faltante,0)</f>
        <v>0</v>
      </c>
      <c r="Y412">
        <f ca="1">IF(B412=0,E412*_Costo_Frasco,0)</f>
        <v>-500</v>
      </c>
      <c r="Z412" s="11">
        <f t="shared" ca="1" si="90"/>
        <v>-58000</v>
      </c>
    </row>
    <row r="413" spans="1:26" x14ac:dyDescent="0.25">
      <c r="A413" s="30">
        <f t="shared" si="87"/>
        <v>397</v>
      </c>
      <c r="B413" s="10">
        <f>IF(B412=0,_Proxima_Compra,B412-1)</f>
        <v>1</v>
      </c>
      <c r="C413" s="3">
        <f t="shared" ca="1" si="80"/>
        <v>-1</v>
      </c>
      <c r="D413" s="3">
        <f ca="1">IF(D412&gt;0,D412-1,IF(C413&gt;0,LOOKUP(C413,$S$3:$S$5,$P$3:$P$5),-1))</f>
        <v>-1</v>
      </c>
      <c r="E413" s="25">
        <f t="shared" ca="1" si="81"/>
        <v>0</v>
      </c>
      <c r="F413" s="28">
        <f ca="1">E413*_GramosXFrasco</f>
        <v>0</v>
      </c>
      <c r="G413" s="38">
        <f t="shared" ca="1" si="82"/>
        <v>3.349396038684116E-3</v>
      </c>
      <c r="H413" s="36">
        <f t="shared" ca="1" si="83"/>
        <v>-1</v>
      </c>
      <c r="I413" s="36">
        <f t="shared" ca="1" si="84"/>
        <v>-1</v>
      </c>
      <c r="J413" s="36">
        <f t="shared" ca="1" si="78"/>
        <v>-1</v>
      </c>
      <c r="K413" s="37">
        <f ca="1">IF(J413&lt;&gt;-1,_Media_M + J413*_Sigma,-1)</f>
        <v>-1</v>
      </c>
      <c r="L413" s="3">
        <f t="shared" ca="1" si="85"/>
        <v>50</v>
      </c>
      <c r="M413" s="18">
        <f ca="1">IF(LOOKUP(G413,$H$3:$H$4,$E$3:$E$4)=1,50,_Media_M + J413*_Sigma)</f>
        <v>50</v>
      </c>
      <c r="N413" s="36">
        <f t="shared" ca="1" si="86"/>
        <v>4.6160292392802562</v>
      </c>
      <c r="O413" s="35">
        <f t="shared" ca="1" si="79"/>
        <v>54.616029239280259</v>
      </c>
      <c r="P413" s="19">
        <f t="shared" ca="1" si="88"/>
        <v>54.616029239280259</v>
      </c>
      <c r="Q413" s="20">
        <f ca="1" xml:space="preserve"> P413*_Precio_cafe</f>
        <v>81.924043858920385</v>
      </c>
      <c r="R413" s="20">
        <f t="shared" ca="1" si="89"/>
        <v>55739.652063502021</v>
      </c>
      <c r="S413" s="20">
        <f ca="1">(1/A413)*((A413-1)*S412 +Q413)</f>
        <v>140.40214625567268</v>
      </c>
      <c r="T413" s="20">
        <f ca="1">IF((T412-P413+F413)&gt;_Max_Stock_Gramos,_Max_Stock_Gramos,T412-P413+F413)</f>
        <v>1626.2407237884306</v>
      </c>
      <c r="U413" s="20">
        <f ca="1">T413/_GramosXFrasco</f>
        <v>9.5661219046378267</v>
      </c>
      <c r="V413" s="58">
        <f ca="1">(T413/_Max_Stock_Gramos)</f>
        <v>0.95661219046378276</v>
      </c>
      <c r="W413" s="58"/>
      <c r="X413" s="10">
        <f ca="1">IF((T412-O413)&lt;0,(T412-O413)*_Costo_Faltante,0)</f>
        <v>0</v>
      </c>
      <c r="Y413">
        <f>IF(B413=0,E413*_Costo_Frasco,0)</f>
        <v>0</v>
      </c>
      <c r="Z413" s="11">
        <f t="shared" ca="1" si="90"/>
        <v>-58000</v>
      </c>
    </row>
    <row r="414" spans="1:26" x14ac:dyDescent="0.25">
      <c r="A414" s="30">
        <f t="shared" si="87"/>
        <v>398</v>
      </c>
      <c r="B414" s="10">
        <f>IF(B413=0,_Proxima_Compra,B413-1)</f>
        <v>0</v>
      </c>
      <c r="C414" s="3">
        <f t="shared" ca="1" si="80"/>
        <v>0.84679298745646403</v>
      </c>
      <c r="D414" s="3">
        <f ca="1">IF(D413&gt;0,D413-1,IF(C414&gt;0,LOOKUP(C414,$S$3:$S$5,$P$3:$P$5),-1))</f>
        <v>2</v>
      </c>
      <c r="E414" s="25">
        <f t="shared" ca="1" si="81"/>
        <v>0</v>
      </c>
      <c r="F414" s="28">
        <f ca="1">E414*_GramosXFrasco</f>
        <v>0</v>
      </c>
      <c r="G414" s="38">
        <f t="shared" ca="1" si="82"/>
        <v>0.77800283850586305</v>
      </c>
      <c r="H414" s="36">
        <f t="shared" ca="1" si="83"/>
        <v>0.42716528013715582</v>
      </c>
      <c r="I414" s="36">
        <f t="shared" ca="1" si="84"/>
        <v>0.39198289894186988</v>
      </c>
      <c r="J414" s="36">
        <f t="shared" ca="1" si="78"/>
        <v>-0.54149732283561347</v>
      </c>
      <c r="K414" s="37">
        <f ca="1">IF(J414&lt;&gt;-1,_Media_M + J414*_Sigma,-1)</f>
        <v>66.877540157465802</v>
      </c>
      <c r="L414" s="3">
        <f t="shared" ca="1" si="85"/>
        <v>-1</v>
      </c>
      <c r="M414" s="18">
        <f ca="1">IF(LOOKUP(G414,$H$3:$H$4,$E$3:$E$4)=1,50,_Media_M + J414*_Sigma)</f>
        <v>66.877540157465802</v>
      </c>
      <c r="N414" s="36">
        <f t="shared" ca="1" si="86"/>
        <v>2.4157939522740466</v>
      </c>
      <c r="O414" s="35">
        <f t="shared" ca="1" si="79"/>
        <v>69.293334109739845</v>
      </c>
      <c r="P414" s="19">
        <f t="shared" ca="1" si="88"/>
        <v>69.293334109739845</v>
      </c>
      <c r="Q414" s="20">
        <f ca="1" xml:space="preserve"> P414*_Precio_cafe</f>
        <v>103.94000116460977</v>
      </c>
      <c r="R414" s="20">
        <f t="shared" ca="1" si="89"/>
        <v>55843.592064666627</v>
      </c>
      <c r="S414" s="20">
        <f ca="1">(1/A414)*((A414-1)*S413 +Q414)</f>
        <v>140.31053282579563</v>
      </c>
      <c r="T414" s="20">
        <f ca="1">IF((T413-P414+F414)&gt;_Max_Stock_Gramos,_Max_Stock_Gramos,T413-P414+F414)</f>
        <v>1556.9473896786908</v>
      </c>
      <c r="U414" s="20">
        <f ca="1">T414/_GramosXFrasco</f>
        <v>9.1585140569334751</v>
      </c>
      <c r="V414" s="58">
        <f ca="1">(T414/_Max_Stock_Gramos)</f>
        <v>0.91585140569334755</v>
      </c>
      <c r="W414" s="58"/>
      <c r="X414" s="10">
        <f ca="1">IF((T413-O414)&lt;0,(T413-O414)*_Costo_Faltante,0)</f>
        <v>0</v>
      </c>
      <c r="Y414">
        <f ca="1">IF(B414=0,E414*_Costo_Frasco,0)</f>
        <v>0</v>
      </c>
      <c r="Z414" s="11">
        <f t="shared" ca="1" si="90"/>
        <v>-58000</v>
      </c>
    </row>
    <row r="415" spans="1:26" x14ac:dyDescent="0.25">
      <c r="A415" s="30">
        <f t="shared" si="87"/>
        <v>399</v>
      </c>
      <c r="B415" s="10">
        <f>IF(B414=0,_Proxima_Compra,B414-1)</f>
        <v>1</v>
      </c>
      <c r="C415" s="3">
        <f t="shared" ca="1" si="80"/>
        <v>-1</v>
      </c>
      <c r="D415" s="3">
        <f ca="1">IF(D414&gt;0,D414-1,IF(C415&gt;0,LOOKUP(C415,$S$3:$S$5,$P$3:$P$5),-1))</f>
        <v>1</v>
      </c>
      <c r="E415" s="25">
        <f t="shared" ca="1" si="81"/>
        <v>0</v>
      </c>
      <c r="F415" s="28">
        <f ca="1">E415*_GramosXFrasco</f>
        <v>0</v>
      </c>
      <c r="G415" s="38">
        <f t="shared" ca="1" si="82"/>
        <v>0.66447087128832782</v>
      </c>
      <c r="H415" s="36">
        <f t="shared" ca="1" si="83"/>
        <v>0.88923570098012661</v>
      </c>
      <c r="I415" s="36">
        <f t="shared" ca="1" si="84"/>
        <v>0.32035587906071883</v>
      </c>
      <c r="J415" s="36">
        <f t="shared" ca="1" si="78"/>
        <v>-0.59141915064634942</v>
      </c>
      <c r="K415" s="37">
        <f ca="1">IF(J415&lt;&gt;-1,_Media_M + J415*_Sigma,-1)</f>
        <v>66.128712740304763</v>
      </c>
      <c r="L415" s="3">
        <f t="shared" ca="1" si="85"/>
        <v>-1</v>
      </c>
      <c r="M415" s="18">
        <f ca="1">IF(LOOKUP(G415,$H$3:$H$4,$E$3:$E$4)=1,50,_Media_M + J415*_Sigma)</f>
        <v>66.128712740304763</v>
      </c>
      <c r="N415" s="36">
        <f t="shared" ca="1" si="86"/>
        <v>9.9082017498306474</v>
      </c>
      <c r="O415" s="35">
        <f t="shared" ca="1" si="79"/>
        <v>76.036914490135416</v>
      </c>
      <c r="P415" s="19">
        <f t="shared" ca="1" si="88"/>
        <v>76.036914490135416</v>
      </c>
      <c r="Q415" s="20">
        <f ca="1" xml:space="preserve"> P415*_Precio_cafe</f>
        <v>114.05537173520312</v>
      </c>
      <c r="R415" s="20">
        <f t="shared" ca="1" si="89"/>
        <v>55957.647436401829</v>
      </c>
      <c r="S415" s="20">
        <f ca="1">(1/A415)*((A415-1)*S414 +Q415)</f>
        <v>140.24473041704726</v>
      </c>
      <c r="T415" s="20">
        <f ca="1">IF((T414-P415+F415)&gt;_Max_Stock_Gramos,_Max_Stock_Gramos,T414-P415+F415)</f>
        <v>1480.9104751885554</v>
      </c>
      <c r="U415" s="20">
        <f ca="1">T415/_GramosXFrasco</f>
        <v>8.7112380893444445</v>
      </c>
      <c r="V415" s="58">
        <f ca="1">(T415/_Max_Stock_Gramos)</f>
        <v>0.87112380893444441</v>
      </c>
      <c r="W415" s="58"/>
      <c r="X415" s="10">
        <f ca="1">IF((T414-O415)&lt;0,(T414-O415)*_Costo_Faltante,0)</f>
        <v>0</v>
      </c>
      <c r="Y415">
        <f>IF(B415=0,E415*_Costo_Frasco,0)</f>
        <v>0</v>
      </c>
      <c r="Z415" s="11">
        <f t="shared" ca="1" si="90"/>
        <v>-58000</v>
      </c>
    </row>
    <row r="416" spans="1:26" x14ac:dyDescent="0.25">
      <c r="A416" s="30">
        <f t="shared" si="87"/>
        <v>400</v>
      </c>
      <c r="B416" s="10">
        <f>IF(B415=0,_Proxima_Compra,B415-1)</f>
        <v>0</v>
      </c>
      <c r="C416" s="3">
        <f t="shared" ca="1" si="80"/>
        <v>0.67426815138307494</v>
      </c>
      <c r="D416" s="3">
        <f ca="1">IF(D415&gt;0,D415-1,IF(C416&gt;0,LOOKUP(C416,$S$3:$S$5,$P$3:$P$5),-1))</f>
        <v>0</v>
      </c>
      <c r="E416" s="25">
        <f t="shared" ca="1" si="81"/>
        <v>2</v>
      </c>
      <c r="F416" s="28">
        <f ca="1">E416*_GramosXFrasco</f>
        <v>340</v>
      </c>
      <c r="G416" s="38">
        <f t="shared" ca="1" si="82"/>
        <v>0.78467523574536602</v>
      </c>
      <c r="H416" s="36">
        <f t="shared" ca="1" si="83"/>
        <v>0.80390503711139882</v>
      </c>
      <c r="I416" s="36">
        <f t="shared" ca="1" si="84"/>
        <v>2.109582483716399E-2</v>
      </c>
      <c r="J416" s="36">
        <f t="shared" ca="1" si="78"/>
        <v>1.1791313505098395</v>
      </c>
      <c r="K416" s="37">
        <f ca="1">IF(J416&lt;&gt;-1,_Media_M + J416*_Sigma,-1)</f>
        <v>92.686970257647602</v>
      </c>
      <c r="L416" s="3">
        <f t="shared" ca="1" si="85"/>
        <v>-1</v>
      </c>
      <c r="M416" s="18">
        <f ca="1">IF(LOOKUP(G416,$H$3:$H$4,$E$3:$E$4)=1,50,_Media_M + J416*_Sigma)</f>
        <v>92.686970257647602</v>
      </c>
      <c r="N416" s="36">
        <f t="shared" ca="1" si="86"/>
        <v>20.878278061922035</v>
      </c>
      <c r="O416" s="35">
        <f t="shared" ca="1" si="79"/>
        <v>113.56524831956963</v>
      </c>
      <c r="P416" s="19">
        <f t="shared" ca="1" si="88"/>
        <v>113.56524831956963</v>
      </c>
      <c r="Q416" s="20">
        <f ca="1" xml:space="preserve"> P416*_Precio_cafe</f>
        <v>170.34787247935446</v>
      </c>
      <c r="R416" s="20">
        <f t="shared" ca="1" si="89"/>
        <v>56127.995308881182</v>
      </c>
      <c r="S416" s="20">
        <f ca="1">(1/A416)*((A416-1)*S415 +Q416)</f>
        <v>140.31998827220303</v>
      </c>
      <c r="T416" s="20">
        <f ca="1">IF((T415-P416+F416)&gt;_Max_Stock_Gramos,_Max_Stock_Gramos,T415-P416+F416)</f>
        <v>1700</v>
      </c>
      <c r="U416" s="20">
        <f ca="1">T416/_GramosXFrasco</f>
        <v>10</v>
      </c>
      <c r="V416" s="58">
        <f ca="1">(T416/_Max_Stock_Gramos)</f>
        <v>1</v>
      </c>
      <c r="W416" s="58"/>
      <c r="X416" s="10">
        <f ca="1">IF((T415-O416)&lt;0,(T415-O416)*_Costo_Faltante,0)</f>
        <v>0</v>
      </c>
      <c r="Y416">
        <f ca="1">IF(B416=0,E416*_Costo_Frasco,0)</f>
        <v>-500</v>
      </c>
      <c r="Z416" s="11">
        <f t="shared" ca="1" si="90"/>
        <v>-58500</v>
      </c>
    </row>
    <row r="417" spans="1:26" x14ac:dyDescent="0.25">
      <c r="A417" s="30">
        <f t="shared" si="87"/>
        <v>401</v>
      </c>
      <c r="B417" s="10">
        <f>IF(B416=0,_Proxima_Compra,B416-1)</f>
        <v>1</v>
      </c>
      <c r="C417" s="3">
        <f t="shared" ca="1" si="80"/>
        <v>-1</v>
      </c>
      <c r="D417" s="3">
        <f ca="1">IF(D416&gt;0,D416-1,IF(C417&gt;0,LOOKUP(C417,$S$3:$S$5,$P$3:$P$5),-1))</f>
        <v>-1</v>
      </c>
      <c r="E417" s="25">
        <f t="shared" ca="1" si="81"/>
        <v>0</v>
      </c>
      <c r="F417" s="28">
        <f ca="1">E417*_GramosXFrasco</f>
        <v>0</v>
      </c>
      <c r="G417" s="38">
        <f t="shared" ca="1" si="82"/>
        <v>0.86494966081868396</v>
      </c>
      <c r="H417" s="36">
        <f t="shared" ca="1" si="83"/>
        <v>0.80190419865544038</v>
      </c>
      <c r="I417" s="36">
        <f t="shared" ca="1" si="84"/>
        <v>0.31712924743751769</v>
      </c>
      <c r="J417" s="36">
        <f t="shared" ca="1" si="78"/>
        <v>-0.48547687234591247</v>
      </c>
      <c r="K417" s="37">
        <f ca="1">IF(J417&lt;&gt;-1,_Media_M + J417*_Sigma,-1)</f>
        <v>67.717846914811318</v>
      </c>
      <c r="L417" s="3">
        <f t="shared" ca="1" si="85"/>
        <v>-1</v>
      </c>
      <c r="M417" s="18">
        <f ca="1">IF(LOOKUP(G417,$H$3:$H$4,$E$3:$E$4)=1,50,_Media_M + J417*_Sigma)</f>
        <v>67.717846914811318</v>
      </c>
      <c r="N417" s="36">
        <f t="shared" ca="1" si="86"/>
        <v>54.417248294103622</v>
      </c>
      <c r="O417" s="35">
        <f t="shared" ca="1" si="79"/>
        <v>122.13509520891495</v>
      </c>
      <c r="P417" s="19">
        <f t="shared" ca="1" si="88"/>
        <v>122.13509520891495</v>
      </c>
      <c r="Q417" s="20">
        <f ca="1" xml:space="preserve"> P417*_Precio_cafe</f>
        <v>183.20264281337242</v>
      </c>
      <c r="R417" s="20">
        <f t="shared" ca="1" si="89"/>
        <v>56311.197951694558</v>
      </c>
      <c r="S417" s="20">
        <f ca="1">(1/A417)*((A417-1)*S416 +Q417)</f>
        <v>140.42692756033563</v>
      </c>
      <c r="T417" s="20">
        <f ca="1">IF((T416-P417+F417)&gt;_Max_Stock_Gramos,_Max_Stock_Gramos,T416-P417+F417)</f>
        <v>1577.8649047910851</v>
      </c>
      <c r="U417" s="20">
        <f ca="1">T417/_GramosXFrasco</f>
        <v>9.2815582634769704</v>
      </c>
      <c r="V417" s="58">
        <f ca="1">(T417/_Max_Stock_Gramos)</f>
        <v>0.92815582634769711</v>
      </c>
      <c r="W417" s="58"/>
      <c r="X417" s="10">
        <f ca="1">IF((T416-O417)&lt;0,(T416-O417)*_Costo_Faltante,0)</f>
        <v>0</v>
      </c>
      <c r="Y417">
        <f>IF(B417=0,E417*_Costo_Frasco,0)</f>
        <v>0</v>
      </c>
      <c r="Z417" s="11">
        <f t="shared" ca="1" si="90"/>
        <v>-58500</v>
      </c>
    </row>
    <row r="418" spans="1:26" x14ac:dyDescent="0.25">
      <c r="A418" s="30">
        <f t="shared" si="87"/>
        <v>402</v>
      </c>
      <c r="B418" s="10">
        <f>IF(B417=0,_Proxima_Compra,B417-1)</f>
        <v>0</v>
      </c>
      <c r="C418" s="3">
        <f t="shared" ca="1" si="80"/>
        <v>0.59787607725411285</v>
      </c>
      <c r="D418" s="3">
        <f ca="1">IF(D417&gt;0,D417-1,IF(C418&gt;0,LOOKUP(C418,$S$3:$S$5,$P$3:$P$5),-1))</f>
        <v>1</v>
      </c>
      <c r="E418" s="25">
        <f t="shared" ca="1" si="81"/>
        <v>0</v>
      </c>
      <c r="F418" s="28">
        <f ca="1">E418*_GramosXFrasco</f>
        <v>0</v>
      </c>
      <c r="G418" s="38">
        <f t="shared" ca="1" si="82"/>
        <v>0.48220787573160029</v>
      </c>
      <c r="H418" s="36">
        <f t="shared" ca="1" si="83"/>
        <v>-1</v>
      </c>
      <c r="I418" s="36">
        <f t="shared" ca="1" si="84"/>
        <v>-1</v>
      </c>
      <c r="J418" s="36">
        <f t="shared" ca="1" si="78"/>
        <v>-1</v>
      </c>
      <c r="K418" s="37">
        <f ca="1">IF(J418&lt;&gt;-1,_Media_M + J418*_Sigma,-1)</f>
        <v>-1</v>
      </c>
      <c r="L418" s="3">
        <f t="shared" ca="1" si="85"/>
        <v>50</v>
      </c>
      <c r="M418" s="18">
        <f ca="1">IF(LOOKUP(G418,$H$3:$H$4,$E$3:$E$4)=1,50,_Media_M + J418*_Sigma)</f>
        <v>50</v>
      </c>
      <c r="N418" s="36">
        <f t="shared" ca="1" si="86"/>
        <v>44.699496658841042</v>
      </c>
      <c r="O418" s="35">
        <f t="shared" ca="1" si="79"/>
        <v>94.699496658841042</v>
      </c>
      <c r="P418" s="19">
        <f t="shared" ca="1" si="88"/>
        <v>94.699496658841042</v>
      </c>
      <c r="Q418" s="20">
        <f ca="1" xml:space="preserve"> P418*_Precio_cafe</f>
        <v>142.04924498826156</v>
      </c>
      <c r="R418" s="20">
        <f t="shared" ca="1" si="89"/>
        <v>56453.247196682816</v>
      </c>
      <c r="S418" s="20">
        <f ca="1">(1/A418)*((A418-1)*S417 +Q418)</f>
        <v>140.43096317582797</v>
      </c>
      <c r="T418" s="20">
        <f ca="1">IF((T417-P418+F418)&gt;_Max_Stock_Gramos,_Max_Stock_Gramos,T417-P418+F418)</f>
        <v>1483.165408132244</v>
      </c>
      <c r="U418" s="20">
        <f ca="1">T418/_GramosXFrasco</f>
        <v>8.7245024007779062</v>
      </c>
      <c r="V418" s="58">
        <f ca="1">(T418/_Max_Stock_Gramos)</f>
        <v>0.8724502400777906</v>
      </c>
      <c r="W418" s="58"/>
      <c r="X418" s="10">
        <f ca="1">IF((T417-O418)&lt;0,(T417-O418)*_Costo_Faltante,0)</f>
        <v>0</v>
      </c>
      <c r="Y418">
        <f ca="1">IF(B418=0,E418*_Costo_Frasco,0)</f>
        <v>0</v>
      </c>
      <c r="Z418" s="11">
        <f t="shared" ca="1" si="90"/>
        <v>-58500</v>
      </c>
    </row>
    <row r="419" spans="1:26" x14ac:dyDescent="0.25">
      <c r="A419" s="30">
        <f t="shared" si="87"/>
        <v>403</v>
      </c>
      <c r="B419" s="10">
        <f>IF(B418=0,_Proxima_Compra,B418-1)</f>
        <v>1</v>
      </c>
      <c r="C419" s="3">
        <f t="shared" ca="1" si="80"/>
        <v>-1</v>
      </c>
      <c r="D419" s="3">
        <f ca="1">IF(D418&gt;0,D418-1,IF(C419&gt;0,LOOKUP(C419,$S$3:$S$5,$P$3:$P$5),-1))</f>
        <v>0</v>
      </c>
      <c r="E419" s="25">
        <f t="shared" ca="1" si="81"/>
        <v>2</v>
      </c>
      <c r="F419" s="28">
        <f ca="1">E419*_GramosXFrasco</f>
        <v>340</v>
      </c>
      <c r="G419" s="38">
        <f t="shared" ca="1" si="82"/>
        <v>0.92949692332888301</v>
      </c>
      <c r="H419" s="36">
        <f t="shared" ca="1" si="83"/>
        <v>0.3356956682436486</v>
      </c>
      <c r="I419" s="36">
        <f t="shared" ca="1" si="84"/>
        <v>0.29780302764087452</v>
      </c>
      <c r="J419" s="36">
        <f t="shared" ca="1" si="78"/>
        <v>-0.1763446899912022</v>
      </c>
      <c r="K419" s="37">
        <f ca="1">IF(J419&lt;&gt;-1,_Media_M + J419*_Sigma,-1)</f>
        <v>72.354829650131961</v>
      </c>
      <c r="L419" s="3">
        <f t="shared" ca="1" si="85"/>
        <v>-1</v>
      </c>
      <c r="M419" s="18">
        <f ca="1">IF(LOOKUP(G419,$H$3:$H$4,$E$3:$E$4)=1,50,_Media_M + J419*_Sigma)</f>
        <v>72.354829650131961</v>
      </c>
      <c r="N419" s="36">
        <f t="shared" ca="1" si="86"/>
        <v>34.679855524909975</v>
      </c>
      <c r="O419" s="35">
        <f t="shared" ca="1" si="79"/>
        <v>107.03468517504194</v>
      </c>
      <c r="P419" s="19">
        <f t="shared" ca="1" si="88"/>
        <v>107.03468517504194</v>
      </c>
      <c r="Q419" s="20">
        <f ca="1" xml:space="preserve"> P419*_Precio_cafe</f>
        <v>160.55202776256291</v>
      </c>
      <c r="R419" s="20">
        <f t="shared" ca="1" si="89"/>
        <v>56613.799224445378</v>
      </c>
      <c r="S419" s="20">
        <f ca="1">(1/A419)*((A419-1)*S418 +Q419)</f>
        <v>140.48089137579507</v>
      </c>
      <c r="T419" s="20">
        <f ca="1">IF((T418-P419+F419)&gt;_Max_Stock_Gramos,_Max_Stock_Gramos,T418-P419+F419)</f>
        <v>1700</v>
      </c>
      <c r="U419" s="20">
        <f ca="1">T419/_GramosXFrasco</f>
        <v>10</v>
      </c>
      <c r="V419" s="58">
        <f ca="1">(T419/_Max_Stock_Gramos)</f>
        <v>1</v>
      </c>
      <c r="W419" s="58"/>
      <c r="X419" s="10">
        <f ca="1">IF((T418-O419)&lt;0,(T418-O419)*_Costo_Faltante,0)</f>
        <v>0</v>
      </c>
      <c r="Y419">
        <f>IF(B419=0,E419*_Costo_Frasco,0)</f>
        <v>0</v>
      </c>
      <c r="Z419" s="11">
        <f t="shared" ca="1" si="90"/>
        <v>-58500</v>
      </c>
    </row>
    <row r="420" spans="1:26" x14ac:dyDescent="0.25">
      <c r="A420" s="30">
        <f t="shared" si="87"/>
        <v>404</v>
      </c>
      <c r="B420" s="10">
        <f>IF(B419=0,_Proxima_Compra,B419-1)</f>
        <v>0</v>
      </c>
      <c r="C420" s="3">
        <f t="shared" ca="1" si="80"/>
        <v>0.2766456273675284</v>
      </c>
      <c r="D420" s="3">
        <f ca="1">IF(D419&gt;0,D419-1,IF(C420&gt;0,LOOKUP(C420,$S$3:$S$5,$P$3:$P$5),-1))</f>
        <v>0</v>
      </c>
      <c r="E420" s="25">
        <f t="shared" ca="1" si="81"/>
        <v>2</v>
      </c>
      <c r="F420" s="28">
        <f ca="1">E420*_GramosXFrasco</f>
        <v>340</v>
      </c>
      <c r="G420" s="38">
        <f t="shared" ca="1" si="82"/>
        <v>0.80478762155109984</v>
      </c>
      <c r="H420" s="36">
        <f t="shared" ca="1" si="83"/>
        <v>0.58888424484652568</v>
      </c>
      <c r="I420" s="36">
        <f t="shared" ca="1" si="84"/>
        <v>0.94640765353137368</v>
      </c>
      <c r="J420" s="36">
        <f t="shared" ref="J420:J483" ca="1" si="91">IF(I420&gt;0,SQRT(-2*LOG(1-H420)) * COS(2*PI()*I420),-1)</f>
        <v>0.82932961171017994</v>
      </c>
      <c r="K420" s="37">
        <f ca="1">IF(J420&lt;&gt;-1,_Media_M + J420*_Sigma,-1)</f>
        <v>87.439944175652698</v>
      </c>
      <c r="L420" s="3">
        <f t="shared" ca="1" si="85"/>
        <v>-1</v>
      </c>
      <c r="M420" s="18">
        <f ca="1">IF(LOOKUP(G420,$H$3:$H$4,$E$3:$E$4)=1,50,_Media_M + J420*_Sigma)</f>
        <v>87.439944175652698</v>
      </c>
      <c r="N420" s="36">
        <f t="shared" ca="1" si="86"/>
        <v>16.686291478439649</v>
      </c>
      <c r="O420" s="35">
        <f t="shared" ref="O420:O483" ca="1" si="92">M420+N420</f>
        <v>104.12623565409234</v>
      </c>
      <c r="P420" s="19">
        <f t="shared" ca="1" si="88"/>
        <v>104.12623565409234</v>
      </c>
      <c r="Q420" s="20">
        <f ca="1" xml:space="preserve"> P420*_Precio_cafe</f>
        <v>156.18935348113851</v>
      </c>
      <c r="R420" s="20">
        <f t="shared" ca="1" si="89"/>
        <v>56769.988577926517</v>
      </c>
      <c r="S420" s="20">
        <f ca="1">(1/A420)*((A420-1)*S419 +Q420)</f>
        <v>140.51977370773901</v>
      </c>
      <c r="T420" s="20">
        <f ca="1">IF((T419-P420+F420)&gt;_Max_Stock_Gramos,_Max_Stock_Gramos,T419-P420+F420)</f>
        <v>1700</v>
      </c>
      <c r="U420" s="20">
        <f ca="1">T420/_GramosXFrasco</f>
        <v>10</v>
      </c>
      <c r="V420" s="58">
        <f ca="1">(T420/_Max_Stock_Gramos)</f>
        <v>1</v>
      </c>
      <c r="W420" s="58"/>
      <c r="X420" s="10">
        <f ca="1">IF((T419-O420)&lt;0,(T419-O420)*_Costo_Faltante,0)</f>
        <v>0</v>
      </c>
      <c r="Y420">
        <f ca="1">IF(B420=0,E420*_Costo_Frasco,0)</f>
        <v>-500</v>
      </c>
      <c r="Z420" s="11">
        <f t="shared" ca="1" si="90"/>
        <v>-59000</v>
      </c>
    </row>
    <row r="421" spans="1:26" x14ac:dyDescent="0.25">
      <c r="A421" s="30">
        <f t="shared" si="87"/>
        <v>405</v>
      </c>
      <c r="B421" s="10">
        <f>IF(B420=0,_Proxima_Compra,B420-1)</f>
        <v>1</v>
      </c>
      <c r="C421" s="3">
        <f t="shared" ca="1" si="80"/>
        <v>-1</v>
      </c>
      <c r="D421" s="3">
        <f ca="1">IF(D420&gt;0,D420-1,IF(C421&gt;0,LOOKUP(C421,$S$3:$S$5,$P$3:$P$5),-1))</f>
        <v>-1</v>
      </c>
      <c r="E421" s="25">
        <f t="shared" ca="1" si="81"/>
        <v>0</v>
      </c>
      <c r="F421" s="28">
        <f ca="1">E421*_GramosXFrasco</f>
        <v>0</v>
      </c>
      <c r="G421" s="38">
        <f t="shared" ca="1" si="82"/>
        <v>0.9090431523242003</v>
      </c>
      <c r="H421" s="36">
        <f t="shared" ca="1" si="83"/>
        <v>0.87534810428493703</v>
      </c>
      <c r="I421" s="36">
        <f t="shared" ca="1" si="84"/>
        <v>0.16000054995181368</v>
      </c>
      <c r="J421" s="36">
        <f t="shared" ca="1" si="91"/>
        <v>0.72059889718354408</v>
      </c>
      <c r="K421" s="37">
        <f ca="1">IF(J421&lt;&gt;-1,_Media_M + J421*_Sigma,-1)</f>
        <v>85.808983457753158</v>
      </c>
      <c r="L421" s="3">
        <f t="shared" ca="1" si="85"/>
        <v>-1</v>
      </c>
      <c r="M421" s="18">
        <f ca="1">IF(LOOKUP(G421,$H$3:$H$4,$E$3:$E$4)=1,50,_Media_M + J421*_Sigma)</f>
        <v>85.808983457753158</v>
      </c>
      <c r="N421" s="36">
        <f t="shared" ca="1" si="86"/>
        <v>25.71256738039985</v>
      </c>
      <c r="O421" s="35">
        <f t="shared" ca="1" si="92"/>
        <v>111.521550838153</v>
      </c>
      <c r="P421" s="19">
        <f t="shared" ca="1" si="88"/>
        <v>111.521550838153</v>
      </c>
      <c r="Q421" s="20">
        <f ca="1" xml:space="preserve"> P421*_Precio_cafe</f>
        <v>167.2823262572295</v>
      </c>
      <c r="R421" s="20">
        <f t="shared" ca="1" si="89"/>
        <v>56937.270904183744</v>
      </c>
      <c r="S421" s="20">
        <f ca="1">(1/A421)*((A421-1)*S420 +Q421)</f>
        <v>140.58585408440442</v>
      </c>
      <c r="T421" s="20">
        <f ca="1">IF((T420-P421+F421)&gt;_Max_Stock_Gramos,_Max_Stock_Gramos,T420-P421+F421)</f>
        <v>1588.478449161847</v>
      </c>
      <c r="U421" s="20">
        <f ca="1">T421/_GramosXFrasco</f>
        <v>9.3439908774226303</v>
      </c>
      <c r="V421" s="58">
        <f ca="1">(T421/_Max_Stock_Gramos)</f>
        <v>0.93439908774226299</v>
      </c>
      <c r="W421" s="58"/>
      <c r="X421" s="10">
        <f ca="1">IF((T420-O421)&lt;0,(T420-O421)*_Costo_Faltante,0)</f>
        <v>0</v>
      </c>
      <c r="Y421">
        <f>IF(B421=0,E421*_Costo_Frasco,0)</f>
        <v>0</v>
      </c>
      <c r="Z421" s="11">
        <f t="shared" ca="1" si="90"/>
        <v>-59000</v>
      </c>
    </row>
    <row r="422" spans="1:26" x14ac:dyDescent="0.25">
      <c r="A422" s="30">
        <f t="shared" si="87"/>
        <v>406</v>
      </c>
      <c r="B422" s="10">
        <f>IF(B421=0,_Proxima_Compra,B421-1)</f>
        <v>0</v>
      </c>
      <c r="C422" s="3">
        <f t="shared" ca="1" si="80"/>
        <v>0.79512351915259438</v>
      </c>
      <c r="D422" s="3">
        <f ca="1">IF(D421&gt;0,D421-1,IF(C422&gt;0,LOOKUP(C422,$S$3:$S$5,$P$3:$P$5),-1))</f>
        <v>2</v>
      </c>
      <c r="E422" s="25">
        <f t="shared" ca="1" si="81"/>
        <v>0</v>
      </c>
      <c r="F422" s="28">
        <f ca="1">E422*_GramosXFrasco</f>
        <v>0</v>
      </c>
      <c r="G422" s="38">
        <f t="shared" ca="1" si="82"/>
        <v>0.63603802502055118</v>
      </c>
      <c r="H422" s="36">
        <f t="shared" ca="1" si="83"/>
        <v>0.20748081186011857</v>
      </c>
      <c r="I422" s="36">
        <f t="shared" ca="1" si="84"/>
        <v>0.37589779759408937</v>
      </c>
      <c r="J422" s="36">
        <f t="shared" ca="1" si="91"/>
        <v>-0.31957716945894893</v>
      </c>
      <c r="K422" s="37">
        <f ca="1">IF(J422&lt;&gt;-1,_Media_M + J422*_Sigma,-1)</f>
        <v>70.20634245811577</v>
      </c>
      <c r="L422" s="3">
        <f t="shared" ca="1" si="85"/>
        <v>-1</v>
      </c>
      <c r="M422" s="18">
        <f ca="1">IF(LOOKUP(G422,$H$3:$H$4,$E$3:$E$4)=1,50,_Media_M + J422*_Sigma)</f>
        <v>70.20634245811577</v>
      </c>
      <c r="N422" s="36">
        <f t="shared" ca="1" si="86"/>
        <v>2.721189691818926</v>
      </c>
      <c r="O422" s="35">
        <f t="shared" ca="1" si="92"/>
        <v>72.927532149934692</v>
      </c>
      <c r="P422" s="19">
        <f t="shared" ca="1" si="88"/>
        <v>72.927532149934692</v>
      </c>
      <c r="Q422" s="20">
        <f ca="1" xml:space="preserve"> P422*_Precio_cafe</f>
        <v>109.39129822490204</v>
      </c>
      <c r="R422" s="20">
        <f t="shared" ca="1" si="89"/>
        <v>57046.662202408646</v>
      </c>
      <c r="S422" s="20">
        <f ca="1">(1/A422)*((A422-1)*S421 +Q422)</f>
        <v>140.50902020297707</v>
      </c>
      <c r="T422" s="20">
        <f ca="1">IF((T421-P422+F422)&gt;_Max_Stock_Gramos,_Max_Stock_Gramos,T421-P422+F422)</f>
        <v>1515.5509170119124</v>
      </c>
      <c r="U422" s="20">
        <f ca="1">T422/_GramosXFrasco</f>
        <v>8.9150053941877196</v>
      </c>
      <c r="V422" s="58">
        <f ca="1">(T422/_Max_Stock_Gramos)</f>
        <v>0.89150053941877194</v>
      </c>
      <c r="W422" s="58"/>
      <c r="X422" s="10">
        <f ca="1">IF((T421-O422)&lt;0,(T421-O422)*_Costo_Faltante,0)</f>
        <v>0</v>
      </c>
      <c r="Y422">
        <f ca="1">IF(B422=0,E422*_Costo_Frasco,0)</f>
        <v>0</v>
      </c>
      <c r="Z422" s="11">
        <f t="shared" ca="1" si="90"/>
        <v>-59000</v>
      </c>
    </row>
    <row r="423" spans="1:26" x14ac:dyDescent="0.25">
      <c r="A423" s="30">
        <f t="shared" si="87"/>
        <v>407</v>
      </c>
      <c r="B423" s="10">
        <f>IF(B422=0,_Proxima_Compra,B422-1)</f>
        <v>1</v>
      </c>
      <c r="C423" s="3">
        <f t="shared" ca="1" si="80"/>
        <v>-1</v>
      </c>
      <c r="D423" s="3">
        <f ca="1">IF(D422&gt;0,D422-1,IF(C423&gt;0,LOOKUP(C423,$S$3:$S$5,$P$3:$P$5),-1))</f>
        <v>1</v>
      </c>
      <c r="E423" s="25">
        <f t="shared" ca="1" si="81"/>
        <v>0</v>
      </c>
      <c r="F423" s="28">
        <f ca="1">E423*_GramosXFrasco</f>
        <v>0</v>
      </c>
      <c r="G423" s="38">
        <f t="shared" ca="1" si="82"/>
        <v>0.85241693871894497</v>
      </c>
      <c r="H423" s="36">
        <f t="shared" ca="1" si="83"/>
        <v>0.34270503340222636</v>
      </c>
      <c r="I423" s="36">
        <f t="shared" ca="1" si="84"/>
        <v>0.21953721279600669</v>
      </c>
      <c r="J423" s="36">
        <f t="shared" ca="1" si="91"/>
        <v>0.11484999967615972</v>
      </c>
      <c r="K423" s="37">
        <f ca="1">IF(J423&lt;&gt;-1,_Media_M + J423*_Sigma,-1)</f>
        <v>76.722749995142394</v>
      </c>
      <c r="L423" s="3">
        <f t="shared" ca="1" si="85"/>
        <v>-1</v>
      </c>
      <c r="M423" s="18">
        <f ca="1">IF(LOOKUP(G423,$H$3:$H$4,$E$3:$E$4)=1,50,_Media_M + J423*_Sigma)</f>
        <v>76.722749995142394</v>
      </c>
      <c r="N423" s="36">
        <f t="shared" ca="1" si="86"/>
        <v>13.137187863902318</v>
      </c>
      <c r="O423" s="35">
        <f t="shared" ca="1" si="92"/>
        <v>89.859937859044706</v>
      </c>
      <c r="P423" s="19">
        <f t="shared" ca="1" si="88"/>
        <v>89.859937859044706</v>
      </c>
      <c r="Q423" s="20">
        <f ca="1" xml:space="preserve"> P423*_Precio_cafe</f>
        <v>134.78990678856707</v>
      </c>
      <c r="R423" s="20">
        <f t="shared" ca="1" si="89"/>
        <v>57181.452109197213</v>
      </c>
      <c r="S423" s="20">
        <f ca="1">(1/A423)*((A423-1)*S422 +Q423)</f>
        <v>140.49496832726598</v>
      </c>
      <c r="T423" s="20">
        <f ca="1">IF((T422-P423+F423)&gt;_Max_Stock_Gramos,_Max_Stock_Gramos,T422-P423+F423)</f>
        <v>1425.6909791528676</v>
      </c>
      <c r="U423" s="20">
        <f ca="1">T423/_GramosXFrasco</f>
        <v>8.3864175244286336</v>
      </c>
      <c r="V423" s="58">
        <f ca="1">(T423/_Max_Stock_Gramos)</f>
        <v>0.83864175244286332</v>
      </c>
      <c r="W423" s="58"/>
      <c r="X423" s="10">
        <f ca="1">IF((T422-O423)&lt;0,(T422-O423)*_Costo_Faltante,0)</f>
        <v>0</v>
      </c>
      <c r="Y423">
        <f>IF(B423=0,E423*_Costo_Frasco,0)</f>
        <v>0</v>
      </c>
      <c r="Z423" s="11">
        <f t="shared" ca="1" si="90"/>
        <v>-59000</v>
      </c>
    </row>
    <row r="424" spans="1:26" x14ac:dyDescent="0.25">
      <c r="A424" s="30">
        <f t="shared" si="87"/>
        <v>408</v>
      </c>
      <c r="B424" s="10">
        <f>IF(B423=0,_Proxima_Compra,B423-1)</f>
        <v>0</v>
      </c>
      <c r="C424" s="3">
        <f t="shared" ca="1" si="80"/>
        <v>0.69913619569654006</v>
      </c>
      <c r="D424" s="3">
        <f ca="1">IF(D423&gt;0,D423-1,IF(C424&gt;0,LOOKUP(C424,$S$3:$S$5,$P$3:$P$5),-1))</f>
        <v>0</v>
      </c>
      <c r="E424" s="25">
        <f t="shared" ca="1" si="81"/>
        <v>2</v>
      </c>
      <c r="F424" s="28">
        <f ca="1">E424*_GramosXFrasco</f>
        <v>340</v>
      </c>
      <c r="G424" s="38">
        <f t="shared" ca="1" si="82"/>
        <v>0.78976439372975127</v>
      </c>
      <c r="H424" s="36">
        <f t="shared" ca="1" si="83"/>
        <v>0.96275674386496823</v>
      </c>
      <c r="I424" s="36">
        <f t="shared" ca="1" si="84"/>
        <v>0.76854284116166238</v>
      </c>
      <c r="J424" s="36">
        <f t="shared" ca="1" si="91"/>
        <v>0.19651560597322926</v>
      </c>
      <c r="K424" s="37">
        <f ca="1">IF(J424&lt;&gt;-1,_Media_M + J424*_Sigma,-1)</f>
        <v>77.947734089598441</v>
      </c>
      <c r="L424" s="3">
        <f t="shared" ca="1" si="85"/>
        <v>-1</v>
      </c>
      <c r="M424" s="18">
        <f ca="1">IF(LOOKUP(G424,$H$3:$H$4,$E$3:$E$4)=1,50,_Media_M + J424*_Sigma)</f>
        <v>77.947734089598441</v>
      </c>
      <c r="N424" s="36">
        <f t="shared" ca="1" si="86"/>
        <v>2.2750714850873797</v>
      </c>
      <c r="O424" s="35">
        <f t="shared" ca="1" si="92"/>
        <v>80.222805574685822</v>
      </c>
      <c r="P424" s="19">
        <f t="shared" ca="1" si="88"/>
        <v>80.222805574685822</v>
      </c>
      <c r="Q424" s="20">
        <f ca="1" xml:space="preserve"> P424*_Precio_cafe</f>
        <v>120.33420836202873</v>
      </c>
      <c r="R424" s="20">
        <f t="shared" ca="1" si="89"/>
        <v>57301.786317559243</v>
      </c>
      <c r="S424" s="20">
        <f ca="1">(1/A424)*((A424-1)*S423 +Q424)</f>
        <v>140.44555469990021</v>
      </c>
      <c r="T424" s="20">
        <f ca="1">IF((T423-P424+F424)&gt;_Max_Stock_Gramos,_Max_Stock_Gramos,T423-P424+F424)</f>
        <v>1685.4681735781819</v>
      </c>
      <c r="U424" s="20">
        <f ca="1">T424/_GramosXFrasco</f>
        <v>9.9145186681069521</v>
      </c>
      <c r="V424" s="58">
        <f ca="1">(T424/_Max_Stock_Gramos)</f>
        <v>0.99145186681069519</v>
      </c>
      <c r="W424" s="58"/>
      <c r="X424" s="10">
        <f ca="1">IF((T423-O424)&lt;0,(T423-O424)*_Costo_Faltante,0)</f>
        <v>0</v>
      </c>
      <c r="Y424">
        <f ca="1">IF(B424=0,E424*_Costo_Frasco,0)</f>
        <v>-500</v>
      </c>
      <c r="Z424" s="11">
        <f t="shared" ca="1" si="90"/>
        <v>-59500</v>
      </c>
    </row>
    <row r="425" spans="1:26" x14ac:dyDescent="0.25">
      <c r="A425" s="30">
        <f t="shared" si="87"/>
        <v>409</v>
      </c>
      <c r="B425" s="10">
        <f>IF(B424=0,_Proxima_Compra,B424-1)</f>
        <v>1</v>
      </c>
      <c r="C425" s="3">
        <f t="shared" ca="1" si="80"/>
        <v>-1</v>
      </c>
      <c r="D425" s="3">
        <f ca="1">IF(D424&gt;0,D424-1,IF(C425&gt;0,LOOKUP(C425,$S$3:$S$5,$P$3:$P$5),-1))</f>
        <v>-1</v>
      </c>
      <c r="E425" s="25">
        <f t="shared" ca="1" si="81"/>
        <v>0</v>
      </c>
      <c r="F425" s="28">
        <f ca="1">E425*_GramosXFrasco</f>
        <v>0</v>
      </c>
      <c r="G425" s="38">
        <f t="shared" ca="1" si="82"/>
        <v>0.11036414510500159</v>
      </c>
      <c r="H425" s="36">
        <f t="shared" ca="1" si="83"/>
        <v>-1</v>
      </c>
      <c r="I425" s="36">
        <f t="shared" ca="1" si="84"/>
        <v>-1</v>
      </c>
      <c r="J425" s="36">
        <f t="shared" ca="1" si="91"/>
        <v>-1</v>
      </c>
      <c r="K425" s="37">
        <f ca="1">IF(J425&lt;&gt;-1,_Media_M + J425*_Sigma,-1)</f>
        <v>-1</v>
      </c>
      <c r="L425" s="3">
        <f t="shared" ca="1" si="85"/>
        <v>50</v>
      </c>
      <c r="M425" s="18">
        <f ca="1">IF(LOOKUP(G425,$H$3:$H$4,$E$3:$E$4)=1,50,_Media_M + J425*_Sigma)</f>
        <v>50</v>
      </c>
      <c r="N425" s="36">
        <f t="shared" ca="1" si="86"/>
        <v>23.954404668217812</v>
      </c>
      <c r="O425" s="35">
        <f t="shared" ca="1" si="92"/>
        <v>73.954404668217819</v>
      </c>
      <c r="P425" s="19">
        <f t="shared" ca="1" si="88"/>
        <v>73.954404668217819</v>
      </c>
      <c r="Q425" s="20">
        <f ca="1" xml:space="preserve"> P425*_Precio_cafe</f>
        <v>110.93160700232673</v>
      </c>
      <c r="R425" s="20">
        <f t="shared" ca="1" si="89"/>
        <v>57412.71792456157</v>
      </c>
      <c r="S425" s="20">
        <f ca="1">(1/A425)*((A425-1)*S424 +Q425)</f>
        <v>140.37339345858584</v>
      </c>
      <c r="T425" s="20">
        <f ca="1">IF((T424-P425+F425)&gt;_Max_Stock_Gramos,_Max_Stock_Gramos,T424-P425+F425)</f>
        <v>1611.513768909964</v>
      </c>
      <c r="U425" s="20">
        <f ca="1">T425/_GramosXFrasco</f>
        <v>9.4794927582939064</v>
      </c>
      <c r="V425" s="58">
        <f ca="1">(T425/_Max_Stock_Gramos)</f>
        <v>0.94794927582939059</v>
      </c>
      <c r="W425" s="58"/>
      <c r="X425" s="10">
        <f ca="1">IF((T424-O425)&lt;0,(T424-O425)*_Costo_Faltante,0)</f>
        <v>0</v>
      </c>
      <c r="Y425">
        <f>IF(B425=0,E425*_Costo_Frasco,0)</f>
        <v>0</v>
      </c>
      <c r="Z425" s="11">
        <f t="shared" ca="1" si="90"/>
        <v>-59500</v>
      </c>
    </row>
    <row r="426" spans="1:26" x14ac:dyDescent="0.25">
      <c r="A426" s="30">
        <f t="shared" si="87"/>
        <v>410</v>
      </c>
      <c r="B426" s="10">
        <f>IF(B425=0,_Proxima_Compra,B425-1)</f>
        <v>0</v>
      </c>
      <c r="C426" s="3">
        <f t="shared" ca="1" si="80"/>
        <v>0.89384393367028037</v>
      </c>
      <c r="D426" s="3">
        <f ca="1">IF(D425&gt;0,D425-1,IF(C426&gt;0,LOOKUP(C426,$S$3:$S$5,$P$3:$P$5),-1))</f>
        <v>2</v>
      </c>
      <c r="E426" s="25">
        <f t="shared" ca="1" si="81"/>
        <v>0</v>
      </c>
      <c r="F426" s="28">
        <f ca="1">E426*_GramosXFrasco</f>
        <v>0</v>
      </c>
      <c r="G426" s="38">
        <f t="shared" ca="1" si="82"/>
        <v>0.11427798312161264</v>
      </c>
      <c r="H426" s="36">
        <f t="shared" ca="1" si="83"/>
        <v>-1</v>
      </c>
      <c r="I426" s="36">
        <f t="shared" ca="1" si="84"/>
        <v>-1</v>
      </c>
      <c r="J426" s="36">
        <f t="shared" ca="1" si="91"/>
        <v>-1</v>
      </c>
      <c r="K426" s="37">
        <f ca="1">IF(J426&lt;&gt;-1,_Media_M + J426*_Sigma,-1)</f>
        <v>-1</v>
      </c>
      <c r="L426" s="3">
        <f t="shared" ca="1" si="85"/>
        <v>50</v>
      </c>
      <c r="M426" s="18">
        <f ca="1">IF(LOOKUP(G426,$H$3:$H$4,$E$3:$E$4)=1,50,_Media_M + J426*_Sigma)</f>
        <v>50</v>
      </c>
      <c r="N426" s="36">
        <f t="shared" ca="1" si="86"/>
        <v>21.857951109792829</v>
      </c>
      <c r="O426" s="35">
        <f t="shared" ca="1" si="92"/>
        <v>71.857951109792822</v>
      </c>
      <c r="P426" s="19">
        <f t="shared" ca="1" si="88"/>
        <v>71.857951109792822</v>
      </c>
      <c r="Q426" s="20">
        <f ca="1" xml:space="preserve"> P426*_Precio_cafe</f>
        <v>107.78692666468923</v>
      </c>
      <c r="R426" s="20">
        <f t="shared" ca="1" si="89"/>
        <v>57520.504851226258</v>
      </c>
      <c r="S426" s="20">
        <f ca="1">(1/A426)*((A426-1)*S425 +Q426)</f>
        <v>140.29391427128365</v>
      </c>
      <c r="T426" s="20">
        <f ca="1">IF((T425-P426+F426)&gt;_Max_Stock_Gramos,_Max_Stock_Gramos,T425-P426+F426)</f>
        <v>1539.6558178001712</v>
      </c>
      <c r="U426" s="20">
        <f ca="1">T426/_GramosXFrasco</f>
        <v>9.0567989282363008</v>
      </c>
      <c r="V426" s="58">
        <f ca="1">(T426/_Max_Stock_Gramos)</f>
        <v>0.90567989282363015</v>
      </c>
      <c r="W426" s="58"/>
      <c r="X426" s="10">
        <f ca="1">IF((T425-O426)&lt;0,(T425-O426)*_Costo_Faltante,0)</f>
        <v>0</v>
      </c>
      <c r="Y426">
        <f ca="1">IF(B426=0,E426*_Costo_Frasco,0)</f>
        <v>0</v>
      </c>
      <c r="Z426" s="11">
        <f t="shared" ca="1" si="90"/>
        <v>-59500</v>
      </c>
    </row>
    <row r="427" spans="1:26" x14ac:dyDescent="0.25">
      <c r="A427" s="30">
        <f t="shared" si="87"/>
        <v>411</v>
      </c>
      <c r="B427" s="10">
        <f>IF(B426=0,_Proxima_Compra,B426-1)</f>
        <v>1</v>
      </c>
      <c r="C427" s="3">
        <f t="shared" ca="1" si="80"/>
        <v>-1</v>
      </c>
      <c r="D427" s="3">
        <f ca="1">IF(D426&gt;0,D426-1,IF(C427&gt;0,LOOKUP(C427,$S$3:$S$5,$P$3:$P$5),-1))</f>
        <v>1</v>
      </c>
      <c r="E427" s="25">
        <f t="shared" ca="1" si="81"/>
        <v>0</v>
      </c>
      <c r="F427" s="28">
        <f ca="1">E427*_GramosXFrasco</f>
        <v>0</v>
      </c>
      <c r="G427" s="38">
        <f t="shared" ca="1" si="82"/>
        <v>0.40121633799495948</v>
      </c>
      <c r="H427" s="36">
        <f t="shared" ca="1" si="83"/>
        <v>-1</v>
      </c>
      <c r="I427" s="36">
        <f t="shared" ca="1" si="84"/>
        <v>-1</v>
      </c>
      <c r="J427" s="36">
        <f t="shared" ca="1" si="91"/>
        <v>-1</v>
      </c>
      <c r="K427" s="37">
        <f ca="1">IF(J427&lt;&gt;-1,_Media_M + J427*_Sigma,-1)</f>
        <v>-1</v>
      </c>
      <c r="L427" s="3">
        <f t="shared" ca="1" si="85"/>
        <v>50</v>
      </c>
      <c r="M427" s="18">
        <f ca="1">IF(LOOKUP(G427,$H$3:$H$4,$E$3:$E$4)=1,50,_Media_M + J427*_Sigma)</f>
        <v>50</v>
      </c>
      <c r="N427" s="36">
        <f t="shared" ca="1" si="86"/>
        <v>3.2245593352533044</v>
      </c>
      <c r="O427" s="35">
        <f t="shared" ca="1" si="92"/>
        <v>53.224559335253304</v>
      </c>
      <c r="P427" s="19">
        <f t="shared" ca="1" si="88"/>
        <v>53.224559335253304</v>
      </c>
      <c r="Q427" s="20">
        <f ca="1" xml:space="preserve"> P427*_Precio_cafe</f>
        <v>79.836839002879955</v>
      </c>
      <c r="R427" s="20">
        <f t="shared" ca="1" si="89"/>
        <v>57600.341690229136</v>
      </c>
      <c r="S427" s="20">
        <f ca="1">(1/A427)*((A427-1)*S426 +Q427)</f>
        <v>140.14681676454788</v>
      </c>
      <c r="T427" s="20">
        <f ca="1">IF((T426-P427+F427)&gt;_Max_Stock_Gramos,_Max_Stock_Gramos,T426-P427+F427)</f>
        <v>1486.4312584649178</v>
      </c>
      <c r="U427" s="20">
        <f ca="1">T427/_GramosXFrasco</f>
        <v>8.7437132850877521</v>
      </c>
      <c r="V427" s="58">
        <f ca="1">(T427/_Max_Stock_Gramos)</f>
        <v>0.87437132850877519</v>
      </c>
      <c r="W427" s="58"/>
      <c r="X427" s="10">
        <f ca="1">IF((T426-O427)&lt;0,(T426-O427)*_Costo_Faltante,0)</f>
        <v>0</v>
      </c>
      <c r="Y427">
        <f>IF(B427=0,E427*_Costo_Frasco,0)</f>
        <v>0</v>
      </c>
      <c r="Z427" s="11">
        <f t="shared" ca="1" si="90"/>
        <v>-59500</v>
      </c>
    </row>
    <row r="428" spans="1:26" x14ac:dyDescent="0.25">
      <c r="A428" s="30">
        <f t="shared" si="87"/>
        <v>412</v>
      </c>
      <c r="B428" s="10">
        <f>IF(B427=0,_Proxima_Compra,B427-1)</f>
        <v>0</v>
      </c>
      <c r="C428" s="3">
        <f t="shared" ca="1" si="80"/>
        <v>0.39503304486987545</v>
      </c>
      <c r="D428" s="3">
        <f ca="1">IF(D427&gt;0,D427-1,IF(C428&gt;0,LOOKUP(C428,$S$3:$S$5,$P$3:$P$5),-1))</f>
        <v>0</v>
      </c>
      <c r="E428" s="25">
        <f t="shared" ca="1" si="81"/>
        <v>2</v>
      </c>
      <c r="F428" s="28">
        <f ca="1">E428*_GramosXFrasco</f>
        <v>340</v>
      </c>
      <c r="G428" s="38">
        <f t="shared" ca="1" si="82"/>
        <v>0.63229231945780051</v>
      </c>
      <c r="H428" s="36">
        <f t="shared" ca="1" si="83"/>
        <v>0.98324370344951195</v>
      </c>
      <c r="I428" s="36">
        <f t="shared" ca="1" si="84"/>
        <v>0.34152202508898977</v>
      </c>
      <c r="J428" s="36">
        <f t="shared" ca="1" si="91"/>
        <v>-1.0249793069534856</v>
      </c>
      <c r="K428" s="37">
        <f ca="1">IF(J428&lt;&gt;-1,_Media_M + J428*_Sigma,-1)</f>
        <v>59.625310395697717</v>
      </c>
      <c r="L428" s="3">
        <f t="shared" ca="1" si="85"/>
        <v>-1</v>
      </c>
      <c r="M428" s="18">
        <f ca="1">IF(LOOKUP(G428,$H$3:$H$4,$E$3:$E$4)=1,50,_Media_M + J428*_Sigma)</f>
        <v>59.625310395697717</v>
      </c>
      <c r="N428" s="36">
        <f t="shared" ca="1" si="86"/>
        <v>5.8836838753313518</v>
      </c>
      <c r="O428" s="35">
        <f t="shared" ca="1" si="92"/>
        <v>65.508994271029067</v>
      </c>
      <c r="P428" s="19">
        <f t="shared" ca="1" si="88"/>
        <v>65.508994271029067</v>
      </c>
      <c r="Q428" s="20">
        <f ca="1" xml:space="preserve"> P428*_Precio_cafe</f>
        <v>98.263491406543608</v>
      </c>
      <c r="R428" s="20">
        <f t="shared" ca="1" si="89"/>
        <v>57698.605181635678</v>
      </c>
      <c r="S428" s="20">
        <f ca="1">(1/A428)*((A428-1)*S427 +Q428)</f>
        <v>140.04515820785369</v>
      </c>
      <c r="T428" s="20">
        <f ca="1">IF((T427-P428+F428)&gt;_Max_Stock_Gramos,_Max_Stock_Gramos,T427-P428+F428)</f>
        <v>1700</v>
      </c>
      <c r="U428" s="20">
        <f ca="1">T428/_GramosXFrasco</f>
        <v>10</v>
      </c>
      <c r="V428" s="58">
        <f ca="1">(T428/_Max_Stock_Gramos)</f>
        <v>1</v>
      </c>
      <c r="W428" s="58"/>
      <c r="X428" s="10">
        <f ca="1">IF((T427-O428)&lt;0,(T427-O428)*_Costo_Faltante,0)</f>
        <v>0</v>
      </c>
      <c r="Y428">
        <f ca="1">IF(B428=0,E428*_Costo_Frasco,0)</f>
        <v>-500</v>
      </c>
      <c r="Z428" s="11">
        <f t="shared" ca="1" si="90"/>
        <v>-60000</v>
      </c>
    </row>
    <row r="429" spans="1:26" x14ac:dyDescent="0.25">
      <c r="A429" s="30">
        <f t="shared" si="87"/>
        <v>413</v>
      </c>
      <c r="B429" s="10">
        <f>IF(B428=0,_Proxima_Compra,B428-1)</f>
        <v>1</v>
      </c>
      <c r="C429" s="3">
        <f t="shared" ca="1" si="80"/>
        <v>-1</v>
      </c>
      <c r="D429" s="3">
        <f ca="1">IF(D428&gt;0,D428-1,IF(C429&gt;0,LOOKUP(C429,$S$3:$S$5,$P$3:$P$5),-1))</f>
        <v>-1</v>
      </c>
      <c r="E429" s="25">
        <f t="shared" ca="1" si="81"/>
        <v>0</v>
      </c>
      <c r="F429" s="28">
        <f ca="1">E429*_GramosXFrasco</f>
        <v>0</v>
      </c>
      <c r="G429" s="38">
        <f t="shared" ca="1" si="82"/>
        <v>0.24790481399407815</v>
      </c>
      <c r="H429" s="36">
        <f t="shared" ca="1" si="83"/>
        <v>-1</v>
      </c>
      <c r="I429" s="36">
        <f t="shared" ca="1" si="84"/>
        <v>-1</v>
      </c>
      <c r="J429" s="36">
        <f t="shared" ca="1" si="91"/>
        <v>-1</v>
      </c>
      <c r="K429" s="37">
        <f ca="1">IF(J429&lt;&gt;-1,_Media_M + J429*_Sigma,-1)</f>
        <v>-1</v>
      </c>
      <c r="L429" s="3">
        <f t="shared" ca="1" si="85"/>
        <v>50</v>
      </c>
      <c r="M429" s="18">
        <f ca="1">IF(LOOKUP(G429,$H$3:$H$4,$E$3:$E$4)=1,50,_Media_M + J429*_Sigma)</f>
        <v>50</v>
      </c>
      <c r="N429" s="36">
        <f t="shared" ca="1" si="86"/>
        <v>0.90551474381700992</v>
      </c>
      <c r="O429" s="35">
        <f t="shared" ca="1" si="92"/>
        <v>50.905514743817008</v>
      </c>
      <c r="P429" s="19">
        <f t="shared" ca="1" si="88"/>
        <v>50.905514743817008</v>
      </c>
      <c r="Q429" s="20">
        <f ca="1" xml:space="preserve"> P429*_Precio_cafe</f>
        <v>76.358272115725512</v>
      </c>
      <c r="R429" s="20">
        <f t="shared" ca="1" si="89"/>
        <v>57774.963453751407</v>
      </c>
      <c r="S429" s="20">
        <f ca="1">(1/A429)*((A429-1)*S428 +Q429)</f>
        <v>139.89095267252168</v>
      </c>
      <c r="T429" s="20">
        <f ca="1">IF((T428-P429+F429)&gt;_Max_Stock_Gramos,_Max_Stock_Gramos,T428-P429+F429)</f>
        <v>1649.0944852561829</v>
      </c>
      <c r="U429" s="20">
        <f ca="1">T429/_GramosXFrasco</f>
        <v>9.7005557956246058</v>
      </c>
      <c r="V429" s="58">
        <f ca="1">(T429/_Max_Stock_Gramos)</f>
        <v>0.97005557956246058</v>
      </c>
      <c r="W429" s="58"/>
      <c r="X429" s="10">
        <f ca="1">IF((T428-O429)&lt;0,(T428-O429)*_Costo_Faltante,0)</f>
        <v>0</v>
      </c>
      <c r="Y429">
        <f>IF(B429=0,E429*_Costo_Frasco,0)</f>
        <v>0</v>
      </c>
      <c r="Z429" s="11">
        <f t="shared" ca="1" si="90"/>
        <v>-60000</v>
      </c>
    </row>
    <row r="430" spans="1:26" x14ac:dyDescent="0.25">
      <c r="A430" s="30">
        <f t="shared" si="87"/>
        <v>414</v>
      </c>
      <c r="B430" s="10">
        <f>IF(B429=0,_Proxima_Compra,B429-1)</f>
        <v>0</v>
      </c>
      <c r="C430" s="3">
        <f t="shared" ca="1" si="80"/>
        <v>0.17282697075578568</v>
      </c>
      <c r="D430" s="3">
        <f ca="1">IF(D429&gt;0,D429-1,IF(C430&gt;0,LOOKUP(C430,$S$3:$S$5,$P$3:$P$5),-1))</f>
        <v>0</v>
      </c>
      <c r="E430" s="25">
        <f t="shared" ca="1" si="81"/>
        <v>2</v>
      </c>
      <c r="F430" s="28">
        <f ca="1">E430*_GramosXFrasco</f>
        <v>340</v>
      </c>
      <c r="G430" s="38">
        <f t="shared" ca="1" si="82"/>
        <v>6.9357264793130868E-2</v>
      </c>
      <c r="H430" s="36">
        <f t="shared" ca="1" si="83"/>
        <v>-1</v>
      </c>
      <c r="I430" s="36">
        <f t="shared" ca="1" si="84"/>
        <v>-1</v>
      </c>
      <c r="J430" s="36">
        <f t="shared" ca="1" si="91"/>
        <v>-1</v>
      </c>
      <c r="K430" s="37">
        <f ca="1">IF(J430&lt;&gt;-1,_Media_M + J430*_Sigma,-1)</f>
        <v>-1</v>
      </c>
      <c r="L430" s="3">
        <f t="shared" ca="1" si="85"/>
        <v>50</v>
      </c>
      <c r="M430" s="18">
        <f ca="1">IF(LOOKUP(G430,$H$3:$H$4,$E$3:$E$4)=1,50,_Media_M + J430*_Sigma)</f>
        <v>50</v>
      </c>
      <c r="N430" s="36">
        <f t="shared" ca="1" si="86"/>
        <v>11.094153596513433</v>
      </c>
      <c r="O430" s="35">
        <f t="shared" ca="1" si="92"/>
        <v>61.094153596513436</v>
      </c>
      <c r="P430" s="19">
        <f t="shared" ca="1" si="88"/>
        <v>61.094153596513436</v>
      </c>
      <c r="Q430" s="20">
        <f ca="1" xml:space="preserve"> P430*_Precio_cafe</f>
        <v>91.641230394770162</v>
      </c>
      <c r="R430" s="20">
        <f t="shared" ca="1" si="89"/>
        <v>57866.604684146179</v>
      </c>
      <c r="S430" s="20">
        <f ca="1">(1/A430)*((A430-1)*S429 +Q430)</f>
        <v>139.77440744962854</v>
      </c>
      <c r="T430" s="20">
        <f ca="1">IF((T429-P430+F430)&gt;_Max_Stock_Gramos,_Max_Stock_Gramos,T429-P430+F430)</f>
        <v>1700</v>
      </c>
      <c r="U430" s="20">
        <f ca="1">T430/_GramosXFrasco</f>
        <v>10</v>
      </c>
      <c r="V430" s="58">
        <f ca="1">(T430/_Max_Stock_Gramos)</f>
        <v>1</v>
      </c>
      <c r="W430" s="58"/>
      <c r="X430" s="10">
        <f ca="1">IF((T429-O430)&lt;0,(T429-O430)*_Costo_Faltante,0)</f>
        <v>0</v>
      </c>
      <c r="Y430">
        <f ca="1">IF(B430=0,E430*_Costo_Frasco,0)</f>
        <v>-500</v>
      </c>
      <c r="Z430" s="11">
        <f t="shared" ca="1" si="90"/>
        <v>-60500</v>
      </c>
    </row>
    <row r="431" spans="1:26" x14ac:dyDescent="0.25">
      <c r="A431" s="30">
        <f t="shared" si="87"/>
        <v>415</v>
      </c>
      <c r="B431" s="10">
        <f>IF(B430=0,_Proxima_Compra,B430-1)</f>
        <v>1</v>
      </c>
      <c r="C431" s="3">
        <f t="shared" ca="1" si="80"/>
        <v>-1</v>
      </c>
      <c r="D431" s="3">
        <f ca="1">IF(D430&gt;0,D430-1,IF(C431&gt;0,LOOKUP(C431,$S$3:$S$5,$P$3:$P$5),-1))</f>
        <v>-1</v>
      </c>
      <c r="E431" s="25">
        <f t="shared" ca="1" si="81"/>
        <v>0</v>
      </c>
      <c r="F431" s="28">
        <f ca="1">E431*_GramosXFrasco</f>
        <v>0</v>
      </c>
      <c r="G431" s="38">
        <f t="shared" ca="1" si="82"/>
        <v>0.28637958263983154</v>
      </c>
      <c r="H431" s="36">
        <f t="shared" ca="1" si="83"/>
        <v>-1</v>
      </c>
      <c r="I431" s="36">
        <f t="shared" ca="1" si="84"/>
        <v>-1</v>
      </c>
      <c r="J431" s="36">
        <f t="shared" ca="1" si="91"/>
        <v>-1</v>
      </c>
      <c r="K431" s="37">
        <f ca="1">IF(J431&lt;&gt;-1,_Media_M + J431*_Sigma,-1)</f>
        <v>-1</v>
      </c>
      <c r="L431" s="3">
        <f t="shared" ca="1" si="85"/>
        <v>50</v>
      </c>
      <c r="M431" s="18">
        <f ca="1">IF(LOOKUP(G431,$H$3:$H$4,$E$3:$E$4)=1,50,_Media_M + J431*_Sigma)</f>
        <v>50</v>
      </c>
      <c r="N431" s="36">
        <f t="shared" ca="1" si="86"/>
        <v>13.906052232902567</v>
      </c>
      <c r="O431" s="35">
        <f t="shared" ca="1" si="92"/>
        <v>63.906052232902567</v>
      </c>
      <c r="P431" s="19">
        <f t="shared" ca="1" si="88"/>
        <v>63.906052232902567</v>
      </c>
      <c r="Q431" s="20">
        <f ca="1" xml:space="preserve"> P431*_Precio_cafe</f>
        <v>95.859078349353851</v>
      </c>
      <c r="R431" s="20">
        <f t="shared" ca="1" si="89"/>
        <v>57962.463762495536</v>
      </c>
      <c r="S431" s="20">
        <f ca="1">(1/A431)*((A431-1)*S430 +Q431)</f>
        <v>139.66858737950741</v>
      </c>
      <c r="T431" s="20">
        <f ca="1">IF((T430-P431+F431)&gt;_Max_Stock_Gramos,_Max_Stock_Gramos,T430-P431+F431)</f>
        <v>1636.0939477670975</v>
      </c>
      <c r="U431" s="20">
        <f ca="1">T431/_GramosXFrasco</f>
        <v>9.6240820456888088</v>
      </c>
      <c r="V431" s="58">
        <f ca="1">(T431/_Max_Stock_Gramos)</f>
        <v>0.96240820456888088</v>
      </c>
      <c r="W431" s="58"/>
      <c r="X431" s="10">
        <f ca="1">IF((T430-O431)&lt;0,(T430-O431)*_Costo_Faltante,0)</f>
        <v>0</v>
      </c>
      <c r="Y431">
        <f>IF(B431=0,E431*_Costo_Frasco,0)</f>
        <v>0</v>
      </c>
      <c r="Z431" s="11">
        <f t="shared" ca="1" si="90"/>
        <v>-60500</v>
      </c>
    </row>
    <row r="432" spans="1:26" x14ac:dyDescent="0.25">
      <c r="A432" s="30">
        <f t="shared" si="87"/>
        <v>416</v>
      </c>
      <c r="B432" s="10">
        <f>IF(B431=0,_Proxima_Compra,B431-1)</f>
        <v>0</v>
      </c>
      <c r="C432" s="3">
        <f t="shared" ca="1" si="80"/>
        <v>0.22483572253278994</v>
      </c>
      <c r="D432" s="3">
        <f ca="1">IF(D431&gt;0,D431-1,IF(C432&gt;0,LOOKUP(C432,$S$3:$S$5,$P$3:$P$5),-1))</f>
        <v>0</v>
      </c>
      <c r="E432" s="25">
        <f t="shared" ca="1" si="81"/>
        <v>2</v>
      </c>
      <c r="F432" s="28">
        <f ca="1">E432*_GramosXFrasco</f>
        <v>340</v>
      </c>
      <c r="G432" s="38">
        <f t="shared" ca="1" si="82"/>
        <v>0.66388395985837845</v>
      </c>
      <c r="H432" s="36">
        <f t="shared" ca="1" si="83"/>
        <v>0.67448313303617335</v>
      </c>
      <c r="I432" s="36">
        <f t="shared" ca="1" si="84"/>
        <v>0.88942438931431433</v>
      </c>
      <c r="J432" s="36">
        <f t="shared" ca="1" si="91"/>
        <v>0.75848236158646787</v>
      </c>
      <c r="K432" s="37">
        <f ca="1">IF(J432&lt;&gt;-1,_Media_M + J432*_Sigma,-1)</f>
        <v>86.377235423797018</v>
      </c>
      <c r="L432" s="3">
        <f t="shared" ca="1" si="85"/>
        <v>-1</v>
      </c>
      <c r="M432" s="18">
        <f ca="1">IF(LOOKUP(G432,$H$3:$H$4,$E$3:$E$4)=1,50,_Media_M + J432*_Sigma)</f>
        <v>86.377235423797018</v>
      </c>
      <c r="N432" s="36">
        <f t="shared" ca="1" si="86"/>
        <v>7.5980405259186767</v>
      </c>
      <c r="O432" s="35">
        <f t="shared" ca="1" si="92"/>
        <v>93.975275949715694</v>
      </c>
      <c r="P432" s="19">
        <f t="shared" ca="1" si="88"/>
        <v>93.975275949715694</v>
      </c>
      <c r="Q432" s="20">
        <f ca="1" xml:space="preserve"> P432*_Precio_cafe</f>
        <v>140.96291392457354</v>
      </c>
      <c r="R432" s="20">
        <f t="shared" ca="1" si="89"/>
        <v>58103.426676420109</v>
      </c>
      <c r="S432" s="20">
        <f ca="1">(1/A432)*((A432-1)*S431 +Q432)</f>
        <v>139.67169874139461</v>
      </c>
      <c r="T432" s="20">
        <f ca="1">IF((T431-P432+F432)&gt;_Max_Stock_Gramos,_Max_Stock_Gramos,T431-P432+F432)</f>
        <v>1700</v>
      </c>
      <c r="U432" s="20">
        <f ca="1">T432/_GramosXFrasco</f>
        <v>10</v>
      </c>
      <c r="V432" s="58">
        <f ca="1">(T432/_Max_Stock_Gramos)</f>
        <v>1</v>
      </c>
      <c r="W432" s="58"/>
      <c r="X432" s="10">
        <f ca="1">IF((T431-O432)&lt;0,(T431-O432)*_Costo_Faltante,0)</f>
        <v>0</v>
      </c>
      <c r="Y432">
        <f ca="1">IF(B432=0,E432*_Costo_Frasco,0)</f>
        <v>-500</v>
      </c>
      <c r="Z432" s="11">
        <f t="shared" ca="1" si="90"/>
        <v>-61000</v>
      </c>
    </row>
    <row r="433" spans="1:26" x14ac:dyDescent="0.25">
      <c r="A433" s="30">
        <f t="shared" si="87"/>
        <v>417</v>
      </c>
      <c r="B433" s="10">
        <f>IF(B432=0,_Proxima_Compra,B432-1)</f>
        <v>1</v>
      </c>
      <c r="C433" s="3">
        <f t="shared" ca="1" si="80"/>
        <v>-1</v>
      </c>
      <c r="D433" s="3">
        <f ca="1">IF(D432&gt;0,D432-1,IF(C433&gt;0,LOOKUP(C433,$S$3:$S$5,$P$3:$P$5),-1))</f>
        <v>-1</v>
      </c>
      <c r="E433" s="25">
        <f t="shared" ca="1" si="81"/>
        <v>0</v>
      </c>
      <c r="F433" s="28">
        <f ca="1">E433*_GramosXFrasco</f>
        <v>0</v>
      </c>
      <c r="G433" s="38">
        <f t="shared" ca="1" si="82"/>
        <v>0.22935315080644425</v>
      </c>
      <c r="H433" s="36">
        <f t="shared" ca="1" si="83"/>
        <v>-1</v>
      </c>
      <c r="I433" s="36">
        <f t="shared" ca="1" si="84"/>
        <v>-1</v>
      </c>
      <c r="J433" s="36">
        <f t="shared" ca="1" si="91"/>
        <v>-1</v>
      </c>
      <c r="K433" s="37">
        <f ca="1">IF(J433&lt;&gt;-1,_Media_M + J433*_Sigma,-1)</f>
        <v>-1</v>
      </c>
      <c r="L433" s="3">
        <f t="shared" ca="1" si="85"/>
        <v>50</v>
      </c>
      <c r="M433" s="18">
        <f ca="1">IF(LOOKUP(G433,$H$3:$H$4,$E$3:$E$4)=1,50,_Media_M + J433*_Sigma)</f>
        <v>50</v>
      </c>
      <c r="N433" s="36">
        <f t="shared" ca="1" si="86"/>
        <v>16.476970361459319</v>
      </c>
      <c r="O433" s="35">
        <f t="shared" ca="1" si="92"/>
        <v>66.476970361459323</v>
      </c>
      <c r="P433" s="19">
        <f t="shared" ca="1" si="88"/>
        <v>66.476970361459323</v>
      </c>
      <c r="Q433" s="20">
        <f ca="1" xml:space="preserve"> P433*_Precio_cafe</f>
        <v>99.715455542188977</v>
      </c>
      <c r="R433" s="20">
        <f t="shared" ca="1" si="89"/>
        <v>58203.142131962297</v>
      </c>
      <c r="S433" s="20">
        <f ca="1">(1/A433)*((A433-1)*S432 +Q433)</f>
        <v>139.57588041237972</v>
      </c>
      <c r="T433" s="20">
        <f ca="1">IF((T432-P433+F433)&gt;_Max_Stock_Gramos,_Max_Stock_Gramos,T432-P433+F433)</f>
        <v>1633.5230296385407</v>
      </c>
      <c r="U433" s="20">
        <f ca="1">T433/_GramosXFrasco</f>
        <v>9.6089589978737688</v>
      </c>
      <c r="V433" s="58">
        <f ca="1">(T433/_Max_Stock_Gramos)</f>
        <v>0.96089589978737688</v>
      </c>
      <c r="W433" s="58"/>
      <c r="X433" s="10">
        <f ca="1">IF((T432-O433)&lt;0,(T432-O433)*_Costo_Faltante,0)</f>
        <v>0</v>
      </c>
      <c r="Y433">
        <f>IF(B433=0,E433*_Costo_Frasco,0)</f>
        <v>0</v>
      </c>
      <c r="Z433" s="11">
        <f t="shared" ca="1" si="90"/>
        <v>-61000</v>
      </c>
    </row>
    <row r="434" spans="1:26" x14ac:dyDescent="0.25">
      <c r="A434" s="30">
        <f t="shared" si="87"/>
        <v>418</v>
      </c>
      <c r="B434" s="10">
        <f>IF(B433=0,_Proxima_Compra,B433-1)</f>
        <v>0</v>
      </c>
      <c r="C434" s="3">
        <f t="shared" ca="1" si="80"/>
        <v>0.54359019906937023</v>
      </c>
      <c r="D434" s="3">
        <f ca="1">IF(D433&gt;0,D433-1,IF(C434&gt;0,LOOKUP(C434,$S$3:$S$5,$P$3:$P$5),-1))</f>
        <v>1</v>
      </c>
      <c r="E434" s="25">
        <f t="shared" ca="1" si="81"/>
        <v>0</v>
      </c>
      <c r="F434" s="28">
        <f ca="1">E434*_GramosXFrasco</f>
        <v>0</v>
      </c>
      <c r="G434" s="38">
        <f t="shared" ca="1" si="82"/>
        <v>0.42696087742323863</v>
      </c>
      <c r="H434" s="36">
        <f t="shared" ca="1" si="83"/>
        <v>-1</v>
      </c>
      <c r="I434" s="36">
        <f t="shared" ca="1" si="84"/>
        <v>-1</v>
      </c>
      <c r="J434" s="36">
        <f t="shared" ca="1" si="91"/>
        <v>-1</v>
      </c>
      <c r="K434" s="37">
        <f ca="1">IF(J434&lt;&gt;-1,_Media_M + J434*_Sigma,-1)</f>
        <v>-1</v>
      </c>
      <c r="L434" s="3">
        <f t="shared" ca="1" si="85"/>
        <v>50</v>
      </c>
      <c r="M434" s="18">
        <f ca="1">IF(LOOKUP(G434,$H$3:$H$4,$E$3:$E$4)=1,50,_Media_M + J434*_Sigma)</f>
        <v>50</v>
      </c>
      <c r="N434" s="36">
        <f t="shared" ca="1" si="86"/>
        <v>36.168204649627263</v>
      </c>
      <c r="O434" s="35">
        <f t="shared" ca="1" si="92"/>
        <v>86.168204649627256</v>
      </c>
      <c r="P434" s="19">
        <f t="shared" ca="1" si="88"/>
        <v>86.168204649627256</v>
      </c>
      <c r="Q434" s="20">
        <f ca="1" xml:space="preserve"> P434*_Precio_cafe</f>
        <v>129.2523069744409</v>
      </c>
      <c r="R434" s="20">
        <f t="shared" ca="1" si="89"/>
        <v>58332.394438936739</v>
      </c>
      <c r="S434" s="20">
        <f ca="1">(1/A434)*((A434-1)*S433 +Q434)</f>
        <v>139.55118286826982</v>
      </c>
      <c r="T434" s="20">
        <f ca="1">IF((T433-P434+F434)&gt;_Max_Stock_Gramos,_Max_Stock_Gramos,T433-P434+F434)</f>
        <v>1547.3548249889134</v>
      </c>
      <c r="U434" s="20">
        <f ca="1">T434/_GramosXFrasco</f>
        <v>9.1020872058171367</v>
      </c>
      <c r="V434" s="58">
        <f ca="1">(T434/_Max_Stock_Gramos)</f>
        <v>0.91020872058171376</v>
      </c>
      <c r="W434" s="58"/>
      <c r="X434" s="10">
        <f ca="1">IF((T433-O434)&lt;0,(T433-O434)*_Costo_Faltante,0)</f>
        <v>0</v>
      </c>
      <c r="Y434">
        <f ca="1">IF(B434=0,E434*_Costo_Frasco,0)</f>
        <v>0</v>
      </c>
      <c r="Z434" s="11">
        <f t="shared" ca="1" si="90"/>
        <v>-61000</v>
      </c>
    </row>
    <row r="435" spans="1:26" x14ac:dyDescent="0.25">
      <c r="A435" s="30">
        <f t="shared" si="87"/>
        <v>419</v>
      </c>
      <c r="B435" s="10">
        <f>IF(B434=0,_Proxima_Compra,B434-1)</f>
        <v>1</v>
      </c>
      <c r="C435" s="3">
        <f t="shared" ca="1" si="80"/>
        <v>-1</v>
      </c>
      <c r="D435" s="3">
        <f ca="1">IF(D434&gt;0,D434-1,IF(C435&gt;0,LOOKUP(C435,$S$3:$S$5,$P$3:$P$5),-1))</f>
        <v>0</v>
      </c>
      <c r="E435" s="25">
        <f t="shared" ca="1" si="81"/>
        <v>2</v>
      </c>
      <c r="F435" s="28">
        <f ca="1">E435*_GramosXFrasco</f>
        <v>340</v>
      </c>
      <c r="G435" s="38">
        <f t="shared" ca="1" si="82"/>
        <v>0.34498679847245173</v>
      </c>
      <c r="H435" s="36">
        <f t="shared" ca="1" si="83"/>
        <v>-1</v>
      </c>
      <c r="I435" s="36">
        <f t="shared" ca="1" si="84"/>
        <v>-1</v>
      </c>
      <c r="J435" s="36">
        <f t="shared" ca="1" si="91"/>
        <v>-1</v>
      </c>
      <c r="K435" s="37">
        <f ca="1">IF(J435&lt;&gt;-1,_Media_M + J435*_Sigma,-1)</f>
        <v>-1</v>
      </c>
      <c r="L435" s="3">
        <f t="shared" ca="1" si="85"/>
        <v>50</v>
      </c>
      <c r="M435" s="18">
        <f ca="1">IF(LOOKUP(G435,$H$3:$H$4,$E$3:$E$4)=1,50,_Media_M + J435*_Sigma)</f>
        <v>50</v>
      </c>
      <c r="N435" s="36">
        <f t="shared" ca="1" si="86"/>
        <v>1.2938148821485487</v>
      </c>
      <c r="O435" s="35">
        <f t="shared" ca="1" si="92"/>
        <v>51.293814882148546</v>
      </c>
      <c r="P435" s="19">
        <f t="shared" ca="1" si="88"/>
        <v>51.293814882148546</v>
      </c>
      <c r="Q435" s="20">
        <f ca="1" xml:space="preserve"> P435*_Precio_cafe</f>
        <v>76.940722323222815</v>
      </c>
      <c r="R435" s="20">
        <f t="shared" ca="1" si="89"/>
        <v>58409.335161259958</v>
      </c>
      <c r="S435" s="20">
        <f ca="1">(1/A435)*((A435-1)*S434 +Q435)</f>
        <v>139.40175456147972</v>
      </c>
      <c r="T435" s="20">
        <f ca="1">IF((T434-P435+F435)&gt;_Max_Stock_Gramos,_Max_Stock_Gramos,T434-P435+F435)</f>
        <v>1700</v>
      </c>
      <c r="U435" s="20">
        <f ca="1">T435/_GramosXFrasco</f>
        <v>10</v>
      </c>
      <c r="V435" s="58">
        <f ca="1">(T435/_Max_Stock_Gramos)</f>
        <v>1</v>
      </c>
      <c r="W435" s="58"/>
      <c r="X435" s="10">
        <f ca="1">IF((T434-O435)&lt;0,(T434-O435)*_Costo_Faltante,0)</f>
        <v>0</v>
      </c>
      <c r="Y435">
        <f>IF(B435=0,E435*_Costo_Frasco,0)</f>
        <v>0</v>
      </c>
      <c r="Z435" s="11">
        <f t="shared" ca="1" si="90"/>
        <v>-61000</v>
      </c>
    </row>
    <row r="436" spans="1:26" x14ac:dyDescent="0.25">
      <c r="A436" s="30">
        <f t="shared" si="87"/>
        <v>420</v>
      </c>
      <c r="B436" s="10">
        <f>IF(B435=0,_Proxima_Compra,B435-1)</f>
        <v>0</v>
      </c>
      <c r="C436" s="3">
        <f t="shared" ca="1" si="80"/>
        <v>0.2394315239635092</v>
      </c>
      <c r="D436" s="3">
        <f ca="1">IF(D435&gt;0,D435-1,IF(C436&gt;0,LOOKUP(C436,$S$3:$S$5,$P$3:$P$5),-1))</f>
        <v>0</v>
      </c>
      <c r="E436" s="25">
        <f t="shared" ca="1" si="81"/>
        <v>2</v>
      </c>
      <c r="F436" s="28">
        <f ca="1">E436*_GramosXFrasco</f>
        <v>340</v>
      </c>
      <c r="G436" s="38">
        <f t="shared" ca="1" si="82"/>
        <v>0.48917464864691507</v>
      </c>
      <c r="H436" s="36">
        <f t="shared" ca="1" si="83"/>
        <v>-1</v>
      </c>
      <c r="I436" s="36">
        <f t="shared" ca="1" si="84"/>
        <v>-1</v>
      </c>
      <c r="J436" s="36">
        <f t="shared" ca="1" si="91"/>
        <v>-1</v>
      </c>
      <c r="K436" s="37">
        <f ca="1">IF(J436&lt;&gt;-1,_Media_M + J436*_Sigma,-1)</f>
        <v>-1</v>
      </c>
      <c r="L436" s="3">
        <f t="shared" ca="1" si="85"/>
        <v>50</v>
      </c>
      <c r="M436" s="18">
        <f ca="1">IF(LOOKUP(G436,$H$3:$H$4,$E$3:$E$4)=1,50,_Media_M + J436*_Sigma)</f>
        <v>50</v>
      </c>
      <c r="N436" s="36">
        <f t="shared" ca="1" si="86"/>
        <v>11.345441286829852</v>
      </c>
      <c r="O436" s="35">
        <f t="shared" ca="1" si="92"/>
        <v>61.345441286829853</v>
      </c>
      <c r="P436" s="19">
        <f t="shared" ca="1" si="88"/>
        <v>61.345441286829853</v>
      </c>
      <c r="Q436" s="20">
        <f ca="1" xml:space="preserve"> P436*_Precio_cafe</f>
        <v>92.018161930244787</v>
      </c>
      <c r="R436" s="20">
        <f t="shared" ca="1" si="89"/>
        <v>58501.353323190204</v>
      </c>
      <c r="S436" s="20">
        <f ca="1">(1/A436)*((A436-1)*S435 +Q436)</f>
        <v>139.28893648378633</v>
      </c>
      <c r="T436" s="20">
        <f ca="1">IF((T435-P436+F436)&gt;_Max_Stock_Gramos,_Max_Stock_Gramos,T435-P436+F436)</f>
        <v>1700</v>
      </c>
      <c r="U436" s="20">
        <f ca="1">T436/_GramosXFrasco</f>
        <v>10</v>
      </c>
      <c r="V436" s="58">
        <f ca="1">(T436/_Max_Stock_Gramos)</f>
        <v>1</v>
      </c>
      <c r="W436" s="58"/>
      <c r="X436" s="10">
        <f ca="1">IF((T435-O436)&lt;0,(T435-O436)*_Costo_Faltante,0)</f>
        <v>0</v>
      </c>
      <c r="Y436">
        <f ca="1">IF(B436=0,E436*_Costo_Frasco,0)</f>
        <v>-500</v>
      </c>
      <c r="Z436" s="11">
        <f t="shared" ca="1" si="90"/>
        <v>-61500</v>
      </c>
    </row>
    <row r="437" spans="1:26" x14ac:dyDescent="0.25">
      <c r="A437" s="30">
        <f t="shared" si="87"/>
        <v>421</v>
      </c>
      <c r="B437" s="10">
        <f>IF(B436=0,_Proxima_Compra,B436-1)</f>
        <v>1</v>
      </c>
      <c r="C437" s="3">
        <f t="shared" ca="1" si="80"/>
        <v>-1</v>
      </c>
      <c r="D437" s="3">
        <f ca="1">IF(D436&gt;0,D436-1,IF(C437&gt;0,LOOKUP(C437,$S$3:$S$5,$P$3:$P$5),-1))</f>
        <v>-1</v>
      </c>
      <c r="E437" s="25">
        <f t="shared" ca="1" si="81"/>
        <v>0</v>
      </c>
      <c r="F437" s="28">
        <f ca="1">E437*_GramosXFrasco</f>
        <v>0</v>
      </c>
      <c r="G437" s="38">
        <f t="shared" ca="1" si="82"/>
        <v>0.42072692575488002</v>
      </c>
      <c r="H437" s="36">
        <f t="shared" ca="1" si="83"/>
        <v>-1</v>
      </c>
      <c r="I437" s="36">
        <f t="shared" ca="1" si="84"/>
        <v>-1</v>
      </c>
      <c r="J437" s="36">
        <f t="shared" ca="1" si="91"/>
        <v>-1</v>
      </c>
      <c r="K437" s="37">
        <f ca="1">IF(J437&lt;&gt;-1,_Media_M + J437*_Sigma,-1)</f>
        <v>-1</v>
      </c>
      <c r="L437" s="3">
        <f t="shared" ca="1" si="85"/>
        <v>50</v>
      </c>
      <c r="M437" s="18">
        <f ca="1">IF(LOOKUP(G437,$H$3:$H$4,$E$3:$E$4)=1,50,_Media_M + J437*_Sigma)</f>
        <v>50</v>
      </c>
      <c r="N437" s="36">
        <f t="shared" ca="1" si="86"/>
        <v>3.4267668224065178</v>
      </c>
      <c r="O437" s="35">
        <f t="shared" ca="1" si="92"/>
        <v>53.42676682240652</v>
      </c>
      <c r="P437" s="19">
        <f t="shared" ca="1" si="88"/>
        <v>53.42676682240652</v>
      </c>
      <c r="Q437" s="20">
        <f ca="1" xml:space="preserve"> P437*_Precio_cafe</f>
        <v>80.140150233609774</v>
      </c>
      <c r="R437" s="20">
        <f t="shared" ca="1" si="89"/>
        <v>58581.493473423812</v>
      </c>
      <c r="S437" s="20">
        <f ca="1">(1/A437)*((A437-1)*S436 +Q437)</f>
        <v>139.14844055445101</v>
      </c>
      <c r="T437" s="20">
        <f ca="1">IF((T436-P437+F437)&gt;_Max_Stock_Gramos,_Max_Stock_Gramos,T436-P437+F437)</f>
        <v>1646.5732331775935</v>
      </c>
      <c r="U437" s="20">
        <f ca="1">T437/_GramosXFrasco</f>
        <v>9.6857249010446669</v>
      </c>
      <c r="V437" s="58">
        <f ca="1">(T437/_Max_Stock_Gramos)</f>
        <v>0.96857249010446678</v>
      </c>
      <c r="W437" s="58"/>
      <c r="X437" s="10">
        <f ca="1">IF((T436-O437)&lt;0,(T436-O437)*_Costo_Faltante,0)</f>
        <v>0</v>
      </c>
      <c r="Y437">
        <f>IF(B437=0,E437*_Costo_Frasco,0)</f>
        <v>0</v>
      </c>
      <c r="Z437" s="11">
        <f t="shared" ca="1" si="90"/>
        <v>-61500</v>
      </c>
    </row>
    <row r="438" spans="1:26" x14ac:dyDescent="0.25">
      <c r="A438" s="30">
        <f t="shared" si="87"/>
        <v>422</v>
      </c>
      <c r="B438" s="10">
        <f>IF(B437=0,_Proxima_Compra,B437-1)</f>
        <v>0</v>
      </c>
      <c r="C438" s="3">
        <f t="shared" ca="1" si="80"/>
        <v>0.12277925865831341</v>
      </c>
      <c r="D438" s="3">
        <f ca="1">IF(D437&gt;0,D437-1,IF(C438&gt;0,LOOKUP(C438,$S$3:$S$5,$P$3:$P$5),-1))</f>
        <v>0</v>
      </c>
      <c r="E438" s="25">
        <f t="shared" ca="1" si="81"/>
        <v>2</v>
      </c>
      <c r="F438" s="28">
        <f ca="1">E438*_GramosXFrasco</f>
        <v>340</v>
      </c>
      <c r="G438" s="38">
        <f t="shared" ca="1" si="82"/>
        <v>0.34694197905462476</v>
      </c>
      <c r="H438" s="36">
        <f t="shared" ca="1" si="83"/>
        <v>-1</v>
      </c>
      <c r="I438" s="36">
        <f t="shared" ca="1" si="84"/>
        <v>-1</v>
      </c>
      <c r="J438" s="36">
        <f t="shared" ca="1" si="91"/>
        <v>-1</v>
      </c>
      <c r="K438" s="37">
        <f ca="1">IF(J438&lt;&gt;-1,_Media_M + J438*_Sigma,-1)</f>
        <v>-1</v>
      </c>
      <c r="L438" s="3">
        <f t="shared" ca="1" si="85"/>
        <v>50</v>
      </c>
      <c r="M438" s="18">
        <f ca="1">IF(LOOKUP(G438,$H$3:$H$4,$E$3:$E$4)=1,50,_Media_M + J438*_Sigma)</f>
        <v>50</v>
      </c>
      <c r="N438" s="36">
        <f t="shared" ca="1" si="86"/>
        <v>6.8395407476927366</v>
      </c>
      <c r="O438" s="35">
        <f t="shared" ca="1" si="92"/>
        <v>56.839540747692737</v>
      </c>
      <c r="P438" s="19">
        <f t="shared" ca="1" si="88"/>
        <v>56.839540747692737</v>
      </c>
      <c r="Q438" s="20">
        <f ca="1" xml:space="preserve"> P438*_Precio_cafe</f>
        <v>85.259311121539099</v>
      </c>
      <c r="R438" s="20">
        <f t="shared" ca="1" si="89"/>
        <v>58666.752784545351</v>
      </c>
      <c r="S438" s="20">
        <f ca="1">(1/A438)*((A438-1)*S437 +Q438)</f>
        <v>139.02074119560527</v>
      </c>
      <c r="T438" s="20">
        <f ca="1">IF((T437-P438+F438)&gt;_Max_Stock_Gramos,_Max_Stock_Gramos,T437-P438+F438)</f>
        <v>1700</v>
      </c>
      <c r="U438" s="20">
        <f ca="1">T438/_GramosXFrasco</f>
        <v>10</v>
      </c>
      <c r="V438" s="58">
        <f ca="1">(T438/_Max_Stock_Gramos)</f>
        <v>1</v>
      </c>
      <c r="W438" s="58"/>
      <c r="X438" s="10">
        <f ca="1">IF((T437-O438)&lt;0,(T437-O438)*_Costo_Faltante,0)</f>
        <v>0</v>
      </c>
      <c r="Y438">
        <f ca="1">IF(B438=0,E438*_Costo_Frasco,0)</f>
        <v>-500</v>
      </c>
      <c r="Z438" s="11">
        <f t="shared" ca="1" si="90"/>
        <v>-62000</v>
      </c>
    </row>
    <row r="439" spans="1:26" x14ac:dyDescent="0.25">
      <c r="A439" s="30">
        <f t="shared" si="87"/>
        <v>423</v>
      </c>
      <c r="B439" s="10">
        <f>IF(B438=0,_Proxima_Compra,B438-1)</f>
        <v>1</v>
      </c>
      <c r="C439" s="3">
        <f t="shared" ca="1" si="80"/>
        <v>-1</v>
      </c>
      <c r="D439" s="3">
        <f ca="1">IF(D438&gt;0,D438-1,IF(C439&gt;0,LOOKUP(C439,$S$3:$S$5,$P$3:$P$5),-1))</f>
        <v>-1</v>
      </c>
      <c r="E439" s="25">
        <f t="shared" ca="1" si="81"/>
        <v>0</v>
      </c>
      <c r="F439" s="28">
        <f ca="1">E439*_GramosXFrasco</f>
        <v>0</v>
      </c>
      <c r="G439" s="38">
        <f t="shared" ca="1" si="82"/>
        <v>0.59587988292447924</v>
      </c>
      <c r="H439" s="36">
        <f t="shared" ca="1" si="83"/>
        <v>0.93170071072608185</v>
      </c>
      <c r="I439" s="36">
        <f t="shared" ca="1" si="84"/>
        <v>0.84355599224258249</v>
      </c>
      <c r="J439" s="36">
        <f t="shared" ca="1" si="91"/>
        <v>0.8467054829584757</v>
      </c>
      <c r="K439" s="37">
        <f ca="1">IF(J439&lt;&gt;-1,_Media_M + J439*_Sigma,-1)</f>
        <v>87.700582244377131</v>
      </c>
      <c r="L439" s="3">
        <f t="shared" ca="1" si="85"/>
        <v>-1</v>
      </c>
      <c r="M439" s="18">
        <f ca="1">IF(LOOKUP(G439,$H$3:$H$4,$E$3:$E$4)=1,50,_Media_M + J439*_Sigma)</f>
        <v>87.700582244377131</v>
      </c>
      <c r="N439" s="36">
        <f t="shared" ca="1" si="86"/>
        <v>63.188191796273351</v>
      </c>
      <c r="O439" s="35">
        <f t="shared" ca="1" si="92"/>
        <v>150.88877404065047</v>
      </c>
      <c r="P439" s="19">
        <f t="shared" ca="1" si="88"/>
        <v>150.88877404065047</v>
      </c>
      <c r="Q439" s="20">
        <f ca="1" xml:space="preserve"> P439*_Precio_cafe</f>
        <v>226.33316106097573</v>
      </c>
      <c r="R439" s="20">
        <f t="shared" ca="1" si="89"/>
        <v>58893.085945606326</v>
      </c>
      <c r="S439" s="20">
        <f ca="1">(1/A439)*((A439-1)*S438 +Q439)</f>
        <v>139.22715353571252</v>
      </c>
      <c r="T439" s="20">
        <f ca="1">IF((T438-P439+F439)&gt;_Max_Stock_Gramos,_Max_Stock_Gramos,T438-P439+F439)</f>
        <v>1549.1112259593494</v>
      </c>
      <c r="U439" s="20">
        <f ca="1">T439/_GramosXFrasco</f>
        <v>9.1124189762314671</v>
      </c>
      <c r="V439" s="58">
        <f ca="1">(T439/_Max_Stock_Gramos)</f>
        <v>0.91124189762314678</v>
      </c>
      <c r="W439" s="58"/>
      <c r="X439" s="10">
        <f ca="1">IF((T438-O439)&lt;0,(T438-O439)*_Costo_Faltante,0)</f>
        <v>0</v>
      </c>
      <c r="Y439">
        <f>IF(B439=0,E439*_Costo_Frasco,0)</f>
        <v>0</v>
      </c>
      <c r="Z439" s="11">
        <f t="shared" ca="1" si="90"/>
        <v>-62000</v>
      </c>
    </row>
    <row r="440" spans="1:26" x14ac:dyDescent="0.25">
      <c r="A440" s="30">
        <f t="shared" si="87"/>
        <v>424</v>
      </c>
      <c r="B440" s="10">
        <f>IF(B439=0,_Proxima_Compra,B439-1)</f>
        <v>0</v>
      </c>
      <c r="C440" s="3">
        <f t="shared" ca="1" si="80"/>
        <v>0.23286731942116423</v>
      </c>
      <c r="D440" s="3">
        <f ca="1">IF(D439&gt;0,D439-1,IF(C440&gt;0,LOOKUP(C440,$S$3:$S$5,$P$3:$P$5),-1))</f>
        <v>0</v>
      </c>
      <c r="E440" s="25">
        <f t="shared" ca="1" si="81"/>
        <v>2</v>
      </c>
      <c r="F440" s="28">
        <f ca="1">E440*_GramosXFrasco</f>
        <v>340</v>
      </c>
      <c r="G440" s="38">
        <f t="shared" ca="1" si="82"/>
        <v>0.82101624025394926</v>
      </c>
      <c r="H440" s="36">
        <f t="shared" ca="1" si="83"/>
        <v>0.66547100163161699</v>
      </c>
      <c r="I440" s="36">
        <f t="shared" ca="1" si="84"/>
        <v>0.50440479604217914</v>
      </c>
      <c r="J440" s="36">
        <f t="shared" ca="1" si="91"/>
        <v>-0.97488671515066805</v>
      </c>
      <c r="K440" s="37">
        <f ca="1">IF(J440&lt;&gt;-1,_Media_M + J440*_Sigma,-1)</f>
        <v>60.376699272739977</v>
      </c>
      <c r="L440" s="3">
        <f t="shared" ca="1" si="85"/>
        <v>-1</v>
      </c>
      <c r="M440" s="18">
        <f ca="1">IF(LOOKUP(G440,$H$3:$H$4,$E$3:$E$4)=1,50,_Media_M + J440*_Sigma)</f>
        <v>60.376699272739977</v>
      </c>
      <c r="N440" s="36">
        <f t="shared" ca="1" si="86"/>
        <v>2.0987493507904382</v>
      </c>
      <c r="O440" s="35">
        <f t="shared" ca="1" si="92"/>
        <v>62.475448623530411</v>
      </c>
      <c r="P440" s="19">
        <f t="shared" ca="1" si="88"/>
        <v>62.475448623530411</v>
      </c>
      <c r="Q440" s="20">
        <f ca="1" xml:space="preserve"> P440*_Precio_cafe</f>
        <v>93.713172935295617</v>
      </c>
      <c r="R440" s="20">
        <f t="shared" ca="1" si="89"/>
        <v>58986.799118541625</v>
      </c>
      <c r="S440" s="20">
        <f ca="1">(1/A440)*((A440-1)*S439 +Q440)</f>
        <v>139.1198092418436</v>
      </c>
      <c r="T440" s="20">
        <f ca="1">IF((T439-P440+F440)&gt;_Max_Stock_Gramos,_Max_Stock_Gramos,T439-P440+F440)</f>
        <v>1700</v>
      </c>
      <c r="U440" s="20">
        <f ca="1">T440/_GramosXFrasco</f>
        <v>10</v>
      </c>
      <c r="V440" s="58">
        <f ca="1">(T440/_Max_Stock_Gramos)</f>
        <v>1</v>
      </c>
      <c r="W440" s="58"/>
      <c r="X440" s="10">
        <f ca="1">IF((T439-O440)&lt;0,(T439-O440)*_Costo_Faltante,0)</f>
        <v>0</v>
      </c>
      <c r="Y440">
        <f ca="1">IF(B440=0,E440*_Costo_Frasco,0)</f>
        <v>-500</v>
      </c>
      <c r="Z440" s="11">
        <f t="shared" ca="1" si="90"/>
        <v>-62500</v>
      </c>
    </row>
    <row r="441" spans="1:26" x14ac:dyDescent="0.25">
      <c r="A441" s="30">
        <f t="shared" si="87"/>
        <v>425</v>
      </c>
      <c r="B441" s="10">
        <f>IF(B440=0,_Proxima_Compra,B440-1)</f>
        <v>1</v>
      </c>
      <c r="C441" s="3">
        <f t="shared" ca="1" si="80"/>
        <v>-1</v>
      </c>
      <c r="D441" s="3">
        <f ca="1">IF(D440&gt;0,D440-1,IF(C441&gt;0,LOOKUP(C441,$S$3:$S$5,$P$3:$P$5),-1))</f>
        <v>-1</v>
      </c>
      <c r="E441" s="25">
        <f t="shared" ca="1" si="81"/>
        <v>0</v>
      </c>
      <c r="F441" s="28">
        <f ca="1">E441*_GramosXFrasco</f>
        <v>0</v>
      </c>
      <c r="G441" s="38">
        <f t="shared" ca="1" si="82"/>
        <v>3.5779959036480902E-2</v>
      </c>
      <c r="H441" s="36">
        <f t="shared" ca="1" si="83"/>
        <v>-1</v>
      </c>
      <c r="I441" s="36">
        <f t="shared" ca="1" si="84"/>
        <v>-1</v>
      </c>
      <c r="J441" s="36">
        <f t="shared" ca="1" si="91"/>
        <v>-1</v>
      </c>
      <c r="K441" s="37">
        <f ca="1">IF(J441&lt;&gt;-1,_Media_M + J441*_Sigma,-1)</f>
        <v>-1</v>
      </c>
      <c r="L441" s="3">
        <f t="shared" ca="1" si="85"/>
        <v>50</v>
      </c>
      <c r="M441" s="18">
        <f ca="1">IF(LOOKUP(G441,$H$3:$H$4,$E$3:$E$4)=1,50,_Media_M + J441*_Sigma)</f>
        <v>50</v>
      </c>
      <c r="N441" s="36">
        <f t="shared" ca="1" si="86"/>
        <v>26.441041309355931</v>
      </c>
      <c r="O441" s="35">
        <f t="shared" ca="1" si="92"/>
        <v>76.441041309355938</v>
      </c>
      <c r="P441" s="19">
        <f t="shared" ca="1" si="88"/>
        <v>76.441041309355938</v>
      </c>
      <c r="Q441" s="20">
        <f ca="1" xml:space="preserve"> P441*_Precio_cafe</f>
        <v>114.66156196403391</v>
      </c>
      <c r="R441" s="20">
        <f t="shared" ca="1" si="89"/>
        <v>59101.460680505661</v>
      </c>
      <c r="S441" s="20">
        <f ca="1">(1/A441)*((A441-1)*S440 +Q441)</f>
        <v>139.06226042471934</v>
      </c>
      <c r="T441" s="20">
        <f ca="1">IF((T440-P441+F441)&gt;_Max_Stock_Gramos,_Max_Stock_Gramos,T440-P441+F441)</f>
        <v>1623.558958690644</v>
      </c>
      <c r="U441" s="20">
        <f ca="1">T441/_GramosXFrasco</f>
        <v>9.5503468158273179</v>
      </c>
      <c r="V441" s="58">
        <f ca="1">(T441/_Max_Stock_Gramos)</f>
        <v>0.95503468158273175</v>
      </c>
      <c r="W441" s="58"/>
      <c r="X441" s="10">
        <f ca="1">IF((T440-O441)&lt;0,(T440-O441)*_Costo_Faltante,0)</f>
        <v>0</v>
      </c>
      <c r="Y441">
        <f>IF(B441=0,E441*_Costo_Frasco,0)</f>
        <v>0</v>
      </c>
      <c r="Z441" s="11">
        <f t="shared" ca="1" si="90"/>
        <v>-62500</v>
      </c>
    </row>
    <row r="442" spans="1:26" x14ac:dyDescent="0.25">
      <c r="A442" s="30">
        <f t="shared" si="87"/>
        <v>426</v>
      </c>
      <c r="B442" s="10">
        <f>IF(B441=0,_Proxima_Compra,B441-1)</f>
        <v>0</v>
      </c>
      <c r="C442" s="3">
        <f t="shared" ca="1" si="80"/>
        <v>0.80638660258535177</v>
      </c>
      <c r="D442" s="3">
        <f ca="1">IF(D441&gt;0,D441-1,IF(C442&gt;0,LOOKUP(C442,$S$3:$S$5,$P$3:$P$5),-1))</f>
        <v>2</v>
      </c>
      <c r="E442" s="25">
        <f t="shared" ca="1" si="81"/>
        <v>0</v>
      </c>
      <c r="F442" s="28">
        <f ca="1">E442*_GramosXFrasco</f>
        <v>0</v>
      </c>
      <c r="G442" s="38">
        <f t="shared" ca="1" si="82"/>
        <v>0.82316070449928447</v>
      </c>
      <c r="H442" s="36">
        <f t="shared" ca="1" si="83"/>
        <v>0.77037717037791531</v>
      </c>
      <c r="I442" s="36">
        <f t="shared" ca="1" si="84"/>
        <v>0.83937798738170066</v>
      </c>
      <c r="J442" s="36">
        <f t="shared" ca="1" si="91"/>
        <v>0.6020029079041086</v>
      </c>
      <c r="K442" s="37">
        <f ca="1">IF(J442&lt;&gt;-1,_Media_M + J442*_Sigma,-1)</f>
        <v>84.030043618561635</v>
      </c>
      <c r="L442" s="3">
        <f t="shared" ca="1" si="85"/>
        <v>-1</v>
      </c>
      <c r="M442" s="18">
        <f ca="1">IF(LOOKUP(G442,$H$3:$H$4,$E$3:$E$4)=1,50,_Media_M + J442*_Sigma)</f>
        <v>84.030043618561635</v>
      </c>
      <c r="N442" s="36">
        <f t="shared" ca="1" si="86"/>
        <v>12.429206659957599</v>
      </c>
      <c r="O442" s="35">
        <f t="shared" ca="1" si="92"/>
        <v>96.459250278519235</v>
      </c>
      <c r="P442" s="19">
        <f t="shared" ca="1" si="88"/>
        <v>96.459250278519235</v>
      </c>
      <c r="Q442" s="20">
        <f ca="1" xml:space="preserve"> P442*_Precio_cafe</f>
        <v>144.68887541777886</v>
      </c>
      <c r="R442" s="20">
        <f t="shared" ca="1" si="89"/>
        <v>59246.149555923439</v>
      </c>
      <c r="S442" s="20">
        <f ca="1">(1/A442)*((A442-1)*S441 +Q442)</f>
        <v>139.07546844113497</v>
      </c>
      <c r="T442" s="20">
        <f ca="1">IF((T441-P442+F442)&gt;_Max_Stock_Gramos,_Max_Stock_Gramos,T441-P442+F442)</f>
        <v>1527.0997084121248</v>
      </c>
      <c r="U442" s="20">
        <f ca="1">T442/_GramosXFrasco</f>
        <v>8.982939461247792</v>
      </c>
      <c r="V442" s="58">
        <f ca="1">(T442/_Max_Stock_Gramos)</f>
        <v>0.89829394612477931</v>
      </c>
      <c r="W442" s="58"/>
      <c r="X442" s="10">
        <f ca="1">IF((T441-O442)&lt;0,(T441-O442)*_Costo_Faltante,0)</f>
        <v>0</v>
      </c>
      <c r="Y442">
        <f ca="1">IF(B442=0,E442*_Costo_Frasco,0)</f>
        <v>0</v>
      </c>
      <c r="Z442" s="11">
        <f t="shared" ca="1" si="90"/>
        <v>-62500</v>
      </c>
    </row>
    <row r="443" spans="1:26" x14ac:dyDescent="0.25">
      <c r="A443" s="30">
        <f t="shared" si="87"/>
        <v>427</v>
      </c>
      <c r="B443" s="10">
        <f>IF(B442=0,_Proxima_Compra,B442-1)</f>
        <v>1</v>
      </c>
      <c r="C443" s="3">
        <f t="shared" ca="1" si="80"/>
        <v>-1</v>
      </c>
      <c r="D443" s="3">
        <f ca="1">IF(D442&gt;0,D442-1,IF(C443&gt;0,LOOKUP(C443,$S$3:$S$5,$P$3:$P$5),-1))</f>
        <v>1</v>
      </c>
      <c r="E443" s="25">
        <f t="shared" ca="1" si="81"/>
        <v>0</v>
      </c>
      <c r="F443" s="28">
        <f ca="1">E443*_GramosXFrasco</f>
        <v>0</v>
      </c>
      <c r="G443" s="38">
        <f t="shared" ca="1" si="82"/>
        <v>0.73561664851453301</v>
      </c>
      <c r="H443" s="36">
        <f t="shared" ca="1" si="83"/>
        <v>0.10837524373106344</v>
      </c>
      <c r="I443" s="36">
        <f t="shared" ca="1" si="84"/>
        <v>0.62917476258191229</v>
      </c>
      <c r="J443" s="36">
        <f t="shared" ca="1" si="91"/>
        <v>-0.2172683913642553</v>
      </c>
      <c r="K443" s="37">
        <f ca="1">IF(J443&lt;&gt;-1,_Media_M + J443*_Sigma,-1)</f>
        <v>71.74097412953617</v>
      </c>
      <c r="L443" s="3">
        <f t="shared" ca="1" si="85"/>
        <v>-1</v>
      </c>
      <c r="M443" s="18">
        <f ca="1">IF(LOOKUP(G443,$H$3:$H$4,$E$3:$E$4)=1,50,_Media_M + J443*_Sigma)</f>
        <v>71.74097412953617</v>
      </c>
      <c r="N443" s="36">
        <f t="shared" ca="1" si="86"/>
        <v>3.3540795810727557</v>
      </c>
      <c r="O443" s="35">
        <f t="shared" ca="1" si="92"/>
        <v>75.095053710608923</v>
      </c>
      <c r="P443" s="19">
        <f t="shared" ca="1" si="88"/>
        <v>75.095053710608923</v>
      </c>
      <c r="Q443" s="20">
        <f ca="1" xml:space="preserve"> P443*_Precio_cafe</f>
        <v>112.64258056591339</v>
      </c>
      <c r="R443" s="20">
        <f t="shared" ca="1" si="89"/>
        <v>59358.792136489355</v>
      </c>
      <c r="S443" s="20">
        <f ca="1">(1/A443)*((A443-1)*S442 +Q443)</f>
        <v>139.01356472245763</v>
      </c>
      <c r="T443" s="20">
        <f ca="1">IF((T442-P443+F443)&gt;_Max_Stock_Gramos,_Max_Stock_Gramos,T442-P443+F443)</f>
        <v>1452.0046547015158</v>
      </c>
      <c r="U443" s="20">
        <f ca="1">T443/_GramosXFrasco</f>
        <v>8.5412038511853865</v>
      </c>
      <c r="V443" s="58">
        <f ca="1">(T443/_Max_Stock_Gramos)</f>
        <v>0.85412038511853872</v>
      </c>
      <c r="W443" s="58"/>
      <c r="X443" s="10">
        <f ca="1">IF((T442-O443)&lt;0,(T442-O443)*_Costo_Faltante,0)</f>
        <v>0</v>
      </c>
      <c r="Y443">
        <f>IF(B443=0,E443*_Costo_Frasco,0)</f>
        <v>0</v>
      </c>
      <c r="Z443" s="11">
        <f t="shared" ca="1" si="90"/>
        <v>-62500</v>
      </c>
    </row>
    <row r="444" spans="1:26" x14ac:dyDescent="0.25">
      <c r="A444" s="30">
        <f t="shared" si="87"/>
        <v>428</v>
      </c>
      <c r="B444" s="10">
        <f>IF(B443=0,_Proxima_Compra,B443-1)</f>
        <v>0</v>
      </c>
      <c r="C444" s="3">
        <f t="shared" ca="1" si="80"/>
        <v>0.30700042731793598</v>
      </c>
      <c r="D444" s="3">
        <f ca="1">IF(D443&gt;0,D443-1,IF(C444&gt;0,LOOKUP(C444,$S$3:$S$5,$P$3:$P$5),-1))</f>
        <v>0</v>
      </c>
      <c r="E444" s="25">
        <f t="shared" ca="1" si="81"/>
        <v>2</v>
      </c>
      <c r="F444" s="28">
        <f ca="1">E444*_GramosXFrasco</f>
        <v>340</v>
      </c>
      <c r="G444" s="38">
        <f t="shared" ca="1" si="82"/>
        <v>0.39417646084452007</v>
      </c>
      <c r="H444" s="36">
        <f t="shared" ca="1" si="83"/>
        <v>-1</v>
      </c>
      <c r="I444" s="36">
        <f t="shared" ca="1" si="84"/>
        <v>-1</v>
      </c>
      <c r="J444" s="36">
        <f t="shared" ca="1" si="91"/>
        <v>-1</v>
      </c>
      <c r="K444" s="37">
        <f ca="1">IF(J444&lt;&gt;-1,_Media_M + J444*_Sigma,-1)</f>
        <v>-1</v>
      </c>
      <c r="L444" s="3">
        <f t="shared" ca="1" si="85"/>
        <v>50</v>
      </c>
      <c r="M444" s="18">
        <f ca="1">IF(LOOKUP(G444,$H$3:$H$4,$E$3:$E$4)=1,50,_Media_M + J444*_Sigma)</f>
        <v>50</v>
      </c>
      <c r="N444" s="36">
        <f t="shared" ca="1" si="86"/>
        <v>107.67410619660311</v>
      </c>
      <c r="O444" s="35">
        <f t="shared" ca="1" si="92"/>
        <v>157.67410619660311</v>
      </c>
      <c r="P444" s="19">
        <f t="shared" ca="1" si="88"/>
        <v>157.67410619660311</v>
      </c>
      <c r="Q444" s="20">
        <f ca="1" xml:space="preserve"> P444*_Precio_cafe</f>
        <v>236.51115929490464</v>
      </c>
      <c r="R444" s="20">
        <f t="shared" ca="1" si="89"/>
        <v>59595.303295784259</v>
      </c>
      <c r="S444" s="20">
        <f ca="1">(1/A444)*((A444-1)*S443 +Q444)</f>
        <v>139.24136284061754</v>
      </c>
      <c r="T444" s="20">
        <f ca="1">IF((T443-P444+F444)&gt;_Max_Stock_Gramos,_Max_Stock_Gramos,T443-P444+F444)</f>
        <v>1634.3305485049127</v>
      </c>
      <c r="U444" s="20">
        <f ca="1">T444/_GramosXFrasco</f>
        <v>9.6137091088524276</v>
      </c>
      <c r="V444" s="58">
        <f ca="1">(T444/_Max_Stock_Gramos)</f>
        <v>0.96137091088524274</v>
      </c>
      <c r="W444" s="58"/>
      <c r="X444" s="10">
        <f ca="1">IF((T443-O444)&lt;0,(T443-O444)*_Costo_Faltante,0)</f>
        <v>0</v>
      </c>
      <c r="Y444">
        <f ca="1">IF(B444=0,E444*_Costo_Frasco,0)</f>
        <v>-500</v>
      </c>
      <c r="Z444" s="11">
        <f t="shared" ca="1" si="90"/>
        <v>-63000</v>
      </c>
    </row>
    <row r="445" spans="1:26" x14ac:dyDescent="0.25">
      <c r="A445" s="30">
        <f t="shared" si="87"/>
        <v>429</v>
      </c>
      <c r="B445" s="10">
        <f>IF(B444=0,_Proxima_Compra,B444-1)</f>
        <v>1</v>
      </c>
      <c r="C445" s="3">
        <f t="shared" ca="1" si="80"/>
        <v>-1</v>
      </c>
      <c r="D445" s="3">
        <f ca="1">IF(D444&gt;0,D444-1,IF(C445&gt;0,LOOKUP(C445,$S$3:$S$5,$P$3:$P$5),-1))</f>
        <v>-1</v>
      </c>
      <c r="E445" s="25">
        <f t="shared" ca="1" si="81"/>
        <v>0</v>
      </c>
      <c r="F445" s="28">
        <f ca="1">E445*_GramosXFrasco</f>
        <v>0</v>
      </c>
      <c r="G445" s="38">
        <f t="shared" ca="1" si="82"/>
        <v>0.14922535975057372</v>
      </c>
      <c r="H445" s="36">
        <f t="shared" ca="1" si="83"/>
        <v>-1</v>
      </c>
      <c r="I445" s="36">
        <f t="shared" ca="1" si="84"/>
        <v>-1</v>
      </c>
      <c r="J445" s="36">
        <f t="shared" ca="1" si="91"/>
        <v>-1</v>
      </c>
      <c r="K445" s="37">
        <f ca="1">IF(J445&lt;&gt;-1,_Media_M + J445*_Sigma,-1)</f>
        <v>-1</v>
      </c>
      <c r="L445" s="3">
        <f t="shared" ca="1" si="85"/>
        <v>50</v>
      </c>
      <c r="M445" s="18">
        <f ca="1">IF(LOOKUP(G445,$H$3:$H$4,$E$3:$E$4)=1,50,_Media_M + J445*_Sigma)</f>
        <v>50</v>
      </c>
      <c r="N445" s="36">
        <f t="shared" ca="1" si="86"/>
        <v>48.443087911533908</v>
      </c>
      <c r="O445" s="35">
        <f t="shared" ca="1" si="92"/>
        <v>98.443087911533908</v>
      </c>
      <c r="P445" s="19">
        <f t="shared" ca="1" si="88"/>
        <v>98.443087911533908</v>
      </c>
      <c r="Q445" s="20">
        <f ca="1" xml:space="preserve"> P445*_Precio_cafe</f>
        <v>147.66463186730087</v>
      </c>
      <c r="R445" s="20">
        <f t="shared" ca="1" si="89"/>
        <v>59742.96792765156</v>
      </c>
      <c r="S445" s="20">
        <f ca="1">(1/A445)*((A445-1)*S444 +Q445)</f>
        <v>139.2609975003534</v>
      </c>
      <c r="T445" s="20">
        <f ca="1">IF((T444-P445+F445)&gt;_Max_Stock_Gramos,_Max_Stock_Gramos,T444-P445+F445)</f>
        <v>1535.8874605933788</v>
      </c>
      <c r="U445" s="20">
        <f ca="1">T445/_GramosXFrasco</f>
        <v>9.0346321211375233</v>
      </c>
      <c r="V445" s="58">
        <f ca="1">(T445/_Max_Stock_Gramos)</f>
        <v>0.90346321211375225</v>
      </c>
      <c r="W445" s="58"/>
      <c r="X445" s="10">
        <f ca="1">IF((T444-O445)&lt;0,(T444-O445)*_Costo_Faltante,0)</f>
        <v>0</v>
      </c>
      <c r="Y445">
        <f>IF(B445=0,E445*_Costo_Frasco,0)</f>
        <v>0</v>
      </c>
      <c r="Z445" s="11">
        <f t="shared" ca="1" si="90"/>
        <v>-63000</v>
      </c>
    </row>
    <row r="446" spans="1:26" x14ac:dyDescent="0.25">
      <c r="A446" s="30">
        <f t="shared" si="87"/>
        <v>430</v>
      </c>
      <c r="B446" s="10">
        <f>IF(B445=0,_Proxima_Compra,B445-1)</f>
        <v>0</v>
      </c>
      <c r="C446" s="3">
        <f t="shared" ca="1" si="80"/>
        <v>0.32570442716565062</v>
      </c>
      <c r="D446" s="3">
        <f ca="1">IF(D445&gt;0,D445-1,IF(C446&gt;0,LOOKUP(C446,$S$3:$S$5,$P$3:$P$5),-1))</f>
        <v>0</v>
      </c>
      <c r="E446" s="25">
        <f t="shared" ca="1" si="81"/>
        <v>2</v>
      </c>
      <c r="F446" s="28">
        <f ca="1">E446*_GramosXFrasco</f>
        <v>340</v>
      </c>
      <c r="G446" s="38">
        <f t="shared" ca="1" si="82"/>
        <v>7.0476477503518598E-2</v>
      </c>
      <c r="H446" s="36">
        <f t="shared" ca="1" si="83"/>
        <v>-1</v>
      </c>
      <c r="I446" s="36">
        <f t="shared" ca="1" si="84"/>
        <v>-1</v>
      </c>
      <c r="J446" s="36">
        <f t="shared" ca="1" si="91"/>
        <v>-1</v>
      </c>
      <c r="K446" s="37">
        <f ca="1">IF(J446&lt;&gt;-1,_Media_M + J446*_Sigma,-1)</f>
        <v>-1</v>
      </c>
      <c r="L446" s="3">
        <f t="shared" ca="1" si="85"/>
        <v>50</v>
      </c>
      <c r="M446" s="18">
        <f ca="1">IF(LOOKUP(G446,$H$3:$H$4,$E$3:$E$4)=1,50,_Media_M + J446*_Sigma)</f>
        <v>50</v>
      </c>
      <c r="N446" s="36">
        <f t="shared" ca="1" si="86"/>
        <v>143.64750490019517</v>
      </c>
      <c r="O446" s="35">
        <f t="shared" ca="1" si="92"/>
        <v>193.64750490019517</v>
      </c>
      <c r="P446" s="19">
        <f t="shared" ca="1" si="88"/>
        <v>193.64750490019517</v>
      </c>
      <c r="Q446" s="20">
        <f ca="1" xml:space="preserve"> P446*_Precio_cafe</f>
        <v>290.47125735029277</v>
      </c>
      <c r="R446" s="20">
        <f t="shared" ca="1" si="89"/>
        <v>60033.439185001851</v>
      </c>
      <c r="S446" s="20">
        <f ca="1">(1/A446)*((A446-1)*S445 +Q446)</f>
        <v>139.61264926744627</v>
      </c>
      <c r="T446" s="20">
        <f ca="1">IF((T445-P446+F446)&gt;_Max_Stock_Gramos,_Max_Stock_Gramos,T445-P446+F446)</f>
        <v>1682.2399556931837</v>
      </c>
      <c r="U446" s="20">
        <f ca="1">T446/_GramosXFrasco</f>
        <v>9.8955291511363743</v>
      </c>
      <c r="V446" s="58">
        <f ca="1">(T446/_Max_Stock_Gramos)</f>
        <v>0.98955291511363741</v>
      </c>
      <c r="W446" s="58"/>
      <c r="X446" s="10">
        <f ca="1">IF((T445-O446)&lt;0,(T445-O446)*_Costo_Faltante,0)</f>
        <v>0</v>
      </c>
      <c r="Y446">
        <f ca="1">IF(B446=0,E446*_Costo_Frasco,0)</f>
        <v>-500</v>
      </c>
      <c r="Z446" s="11">
        <f t="shared" ca="1" si="90"/>
        <v>-63500</v>
      </c>
    </row>
    <row r="447" spans="1:26" x14ac:dyDescent="0.25">
      <c r="A447" s="30">
        <f t="shared" si="87"/>
        <v>431</v>
      </c>
      <c r="B447" s="10">
        <f>IF(B446=0,_Proxima_Compra,B446-1)</f>
        <v>1</v>
      </c>
      <c r="C447" s="3">
        <f t="shared" ca="1" si="80"/>
        <v>-1</v>
      </c>
      <c r="D447" s="3">
        <f ca="1">IF(D446&gt;0,D446-1,IF(C447&gt;0,LOOKUP(C447,$S$3:$S$5,$P$3:$P$5),-1))</f>
        <v>-1</v>
      </c>
      <c r="E447" s="25">
        <f t="shared" ca="1" si="81"/>
        <v>0</v>
      </c>
      <c r="F447" s="28">
        <f ca="1">E447*_GramosXFrasco</f>
        <v>0</v>
      </c>
      <c r="G447" s="38">
        <f t="shared" ca="1" si="82"/>
        <v>0.23195605295775301</v>
      </c>
      <c r="H447" s="36">
        <f t="shared" ca="1" si="83"/>
        <v>-1</v>
      </c>
      <c r="I447" s="36">
        <f t="shared" ca="1" si="84"/>
        <v>-1</v>
      </c>
      <c r="J447" s="36">
        <f t="shared" ca="1" si="91"/>
        <v>-1</v>
      </c>
      <c r="K447" s="37">
        <f ca="1">IF(J447&lt;&gt;-1,_Media_M + J447*_Sigma,-1)</f>
        <v>-1</v>
      </c>
      <c r="L447" s="3">
        <f t="shared" ca="1" si="85"/>
        <v>50</v>
      </c>
      <c r="M447" s="18">
        <f ca="1">IF(LOOKUP(G447,$H$3:$H$4,$E$3:$E$4)=1,50,_Media_M + J447*_Sigma)</f>
        <v>50</v>
      </c>
      <c r="N447" s="36">
        <f t="shared" ca="1" si="86"/>
        <v>30.197253409015236</v>
      </c>
      <c r="O447" s="35">
        <f t="shared" ca="1" si="92"/>
        <v>80.197253409015232</v>
      </c>
      <c r="P447" s="19">
        <f t="shared" ca="1" si="88"/>
        <v>80.197253409015232</v>
      </c>
      <c r="Q447" s="20">
        <f ca="1" xml:space="preserve"> P447*_Precio_cafe</f>
        <v>120.29588011352286</v>
      </c>
      <c r="R447" s="20">
        <f t="shared" ca="1" si="89"/>
        <v>60153.735065115376</v>
      </c>
      <c r="S447" s="20">
        <f ca="1">(1/A447)*((A447-1)*S446 +Q447)</f>
        <v>139.56783077752996</v>
      </c>
      <c r="T447" s="20">
        <f ca="1">IF((T446-P447+F447)&gt;_Max_Stock_Gramos,_Max_Stock_Gramos,T446-P447+F447)</f>
        <v>1602.0427022841684</v>
      </c>
      <c r="U447" s="20">
        <f ca="1">T447/_GramosXFrasco</f>
        <v>9.423780601671579</v>
      </c>
      <c r="V447" s="58">
        <f ca="1">(T447/_Max_Stock_Gramos)</f>
        <v>0.94237806016715786</v>
      </c>
      <c r="W447" s="58"/>
      <c r="X447" s="10">
        <f ca="1">IF((T446-O447)&lt;0,(T446-O447)*_Costo_Faltante,0)</f>
        <v>0</v>
      </c>
      <c r="Y447">
        <f>IF(B447=0,E447*_Costo_Frasco,0)</f>
        <v>0</v>
      </c>
      <c r="Z447" s="11">
        <f t="shared" ca="1" si="90"/>
        <v>-63500</v>
      </c>
    </row>
    <row r="448" spans="1:26" x14ac:dyDescent="0.25">
      <c r="A448" s="30">
        <f t="shared" si="87"/>
        <v>432</v>
      </c>
      <c r="B448" s="10">
        <f>IF(B447=0,_Proxima_Compra,B447-1)</f>
        <v>0</v>
      </c>
      <c r="C448" s="3">
        <f t="shared" ca="1" si="80"/>
        <v>0.92229585311190099</v>
      </c>
      <c r="D448" s="3">
        <f ca="1">IF(D447&gt;0,D447-1,IF(C448&gt;0,LOOKUP(C448,$S$3:$S$5,$P$3:$P$5),-1))</f>
        <v>2</v>
      </c>
      <c r="E448" s="25">
        <f t="shared" ca="1" si="81"/>
        <v>0</v>
      </c>
      <c r="F448" s="28">
        <f ca="1">E448*_GramosXFrasco</f>
        <v>0</v>
      </c>
      <c r="G448" s="38">
        <f t="shared" ca="1" si="82"/>
        <v>0.77193464674854684</v>
      </c>
      <c r="H448" s="36">
        <f t="shared" ca="1" si="83"/>
        <v>0.7976700081040754</v>
      </c>
      <c r="I448" s="36">
        <f t="shared" ca="1" si="84"/>
        <v>0.38199035420759686</v>
      </c>
      <c r="J448" s="36">
        <f t="shared" ca="1" si="91"/>
        <v>-0.86880341995604415</v>
      </c>
      <c r="K448" s="37">
        <f ca="1">IF(J448&lt;&gt;-1,_Media_M + J448*_Sigma,-1)</f>
        <v>61.967948700659335</v>
      </c>
      <c r="L448" s="3">
        <f t="shared" ca="1" si="85"/>
        <v>-1</v>
      </c>
      <c r="M448" s="18">
        <f ca="1">IF(LOOKUP(G448,$H$3:$H$4,$E$3:$E$4)=1,50,_Media_M + J448*_Sigma)</f>
        <v>61.967948700659335</v>
      </c>
      <c r="N448" s="36">
        <f t="shared" ca="1" si="86"/>
        <v>47.768836375564746</v>
      </c>
      <c r="O448" s="35">
        <f t="shared" ca="1" si="92"/>
        <v>109.73678507622408</v>
      </c>
      <c r="P448" s="19">
        <f t="shared" ca="1" si="88"/>
        <v>109.73678507622408</v>
      </c>
      <c r="Q448" s="20">
        <f ca="1" xml:space="preserve"> P448*_Precio_cafe</f>
        <v>164.60517761433613</v>
      </c>
      <c r="R448" s="20">
        <f t="shared" ca="1" si="89"/>
        <v>60318.340242729711</v>
      </c>
      <c r="S448" s="20">
        <f ca="1">(1/A448)*((A448-1)*S447 +Q448)</f>
        <v>139.62578759891144</v>
      </c>
      <c r="T448" s="20">
        <f ca="1">IF((T447-P448+F448)&gt;_Max_Stock_Gramos,_Max_Stock_Gramos,T447-P448+F448)</f>
        <v>1492.3059172079443</v>
      </c>
      <c r="U448" s="20">
        <f ca="1">T448/_GramosXFrasco</f>
        <v>8.7782701012232014</v>
      </c>
      <c r="V448" s="58">
        <f ca="1">(T448/_Max_Stock_Gramos)</f>
        <v>0.87782701012232012</v>
      </c>
      <c r="W448" s="58"/>
      <c r="X448" s="10">
        <f ca="1">IF((T447-O448)&lt;0,(T447-O448)*_Costo_Faltante,0)</f>
        <v>0</v>
      </c>
      <c r="Y448">
        <f ca="1">IF(B448=0,E448*_Costo_Frasco,0)</f>
        <v>0</v>
      </c>
      <c r="Z448" s="11">
        <f t="shared" ca="1" si="90"/>
        <v>-63500</v>
      </c>
    </row>
    <row r="449" spans="1:26" x14ac:dyDescent="0.25">
      <c r="A449" s="30">
        <f t="shared" si="87"/>
        <v>433</v>
      </c>
      <c r="B449" s="10">
        <f>IF(B448=0,_Proxima_Compra,B448-1)</f>
        <v>1</v>
      </c>
      <c r="C449" s="3">
        <f t="shared" ca="1" si="80"/>
        <v>-1</v>
      </c>
      <c r="D449" s="3">
        <f ca="1">IF(D448&gt;0,D448-1,IF(C449&gt;0,LOOKUP(C449,$S$3:$S$5,$P$3:$P$5),-1))</f>
        <v>1</v>
      </c>
      <c r="E449" s="25">
        <f t="shared" ca="1" si="81"/>
        <v>0</v>
      </c>
      <c r="F449" s="28">
        <f ca="1">E449*_GramosXFrasco</f>
        <v>0</v>
      </c>
      <c r="G449" s="38">
        <f t="shared" ca="1" si="82"/>
        <v>0.80012439308237171</v>
      </c>
      <c r="H449" s="36">
        <f t="shared" ca="1" si="83"/>
        <v>6.2211705468728784E-2</v>
      </c>
      <c r="I449" s="36">
        <f t="shared" ca="1" si="84"/>
        <v>0.9559731844208017</v>
      </c>
      <c r="J449" s="36">
        <f t="shared" ca="1" si="91"/>
        <v>0.22721995791354785</v>
      </c>
      <c r="K449" s="37">
        <f ca="1">IF(J449&lt;&gt;-1,_Media_M + J449*_Sigma,-1)</f>
        <v>78.408299368703211</v>
      </c>
      <c r="L449" s="3">
        <f t="shared" ca="1" si="85"/>
        <v>-1</v>
      </c>
      <c r="M449" s="18">
        <f ca="1">IF(LOOKUP(G449,$H$3:$H$4,$E$3:$E$4)=1,50,_Media_M + J449*_Sigma)</f>
        <v>78.408299368703211</v>
      </c>
      <c r="N449" s="36">
        <f t="shared" ca="1" si="86"/>
        <v>9.8541560574727161</v>
      </c>
      <c r="O449" s="35">
        <f t="shared" ca="1" si="92"/>
        <v>88.262455426175933</v>
      </c>
      <c r="P449" s="19">
        <f t="shared" ca="1" si="88"/>
        <v>88.262455426175933</v>
      </c>
      <c r="Q449" s="20">
        <f ca="1" xml:space="preserve"> P449*_Precio_cafe</f>
        <v>132.39368313926389</v>
      </c>
      <c r="R449" s="20">
        <f t="shared" ca="1" si="89"/>
        <v>60450.733925868975</v>
      </c>
      <c r="S449" s="20">
        <f ca="1">(1/A449)*((A449-1)*S448 +Q449)</f>
        <v>139.60908527914319</v>
      </c>
      <c r="T449" s="20">
        <f ca="1">IF((T448-P449+F449)&gt;_Max_Stock_Gramos,_Max_Stock_Gramos,T448-P449+F449)</f>
        <v>1404.0434617817684</v>
      </c>
      <c r="U449" s="20">
        <f ca="1">T449/_GramosXFrasco</f>
        <v>8.2590791869515794</v>
      </c>
      <c r="V449" s="58">
        <f ca="1">(T449/_Max_Stock_Gramos)</f>
        <v>0.82590791869515789</v>
      </c>
      <c r="W449" s="58"/>
      <c r="X449" s="10">
        <f ca="1">IF((T448-O449)&lt;0,(T448-O449)*_Costo_Faltante,0)</f>
        <v>0</v>
      </c>
      <c r="Y449">
        <f>IF(B449=0,E449*_Costo_Frasco,0)</f>
        <v>0</v>
      </c>
      <c r="Z449" s="11">
        <f t="shared" ca="1" si="90"/>
        <v>-63500</v>
      </c>
    </row>
    <row r="450" spans="1:26" x14ac:dyDescent="0.25">
      <c r="A450" s="30">
        <f t="shared" si="87"/>
        <v>434</v>
      </c>
      <c r="B450" s="10">
        <f>IF(B449=0,_Proxima_Compra,B449-1)</f>
        <v>0</v>
      </c>
      <c r="C450" s="3">
        <f t="shared" ca="1" si="80"/>
        <v>8.1852044349411512E-2</v>
      </c>
      <c r="D450" s="3">
        <f ca="1">IF(D449&gt;0,D449-1,IF(C450&gt;0,LOOKUP(C450,$S$3:$S$5,$P$3:$P$5),-1))</f>
        <v>0</v>
      </c>
      <c r="E450" s="25">
        <f t="shared" ca="1" si="81"/>
        <v>2</v>
      </c>
      <c r="F450" s="28">
        <f ca="1">E450*_GramosXFrasco</f>
        <v>340</v>
      </c>
      <c r="G450" s="38">
        <f t="shared" ca="1" si="82"/>
        <v>0.65198485774060799</v>
      </c>
      <c r="H450" s="36">
        <f t="shared" ca="1" si="83"/>
        <v>0.2781458303637433</v>
      </c>
      <c r="I450" s="36">
        <f t="shared" ca="1" si="84"/>
        <v>0.59905182375765331</v>
      </c>
      <c r="J450" s="36">
        <f t="shared" ca="1" si="91"/>
        <v>-0.43231117606442798</v>
      </c>
      <c r="K450" s="37">
        <f ca="1">IF(J450&lt;&gt;-1,_Media_M + J450*_Sigma,-1)</f>
        <v>68.515332359033579</v>
      </c>
      <c r="L450" s="3">
        <f t="shared" ca="1" si="85"/>
        <v>-1</v>
      </c>
      <c r="M450" s="18">
        <f ca="1">IF(LOOKUP(G450,$H$3:$H$4,$E$3:$E$4)=1,50,_Media_M + J450*_Sigma)</f>
        <v>68.515332359033579</v>
      </c>
      <c r="N450" s="36">
        <f t="shared" ca="1" si="86"/>
        <v>1.4161806052482238</v>
      </c>
      <c r="O450" s="35">
        <f t="shared" ca="1" si="92"/>
        <v>69.931512964281808</v>
      </c>
      <c r="P450" s="19">
        <f t="shared" ca="1" si="88"/>
        <v>69.931512964281808</v>
      </c>
      <c r="Q450" s="20">
        <f ca="1" xml:space="preserve"> P450*_Precio_cafe</f>
        <v>104.89726944642271</v>
      </c>
      <c r="R450" s="20">
        <f t="shared" ca="1" si="89"/>
        <v>60555.6311953154</v>
      </c>
      <c r="S450" s="20">
        <f ca="1">(1/A450)*((A450-1)*S449 +Q450)</f>
        <v>139.52910413667149</v>
      </c>
      <c r="T450" s="20">
        <f ca="1">IF((T449-P450+F450)&gt;_Max_Stock_Gramos,_Max_Stock_Gramos,T449-P450+F450)</f>
        <v>1674.1119488174866</v>
      </c>
      <c r="U450" s="20">
        <f ca="1">T450/_GramosXFrasco</f>
        <v>9.847717345985215</v>
      </c>
      <c r="V450" s="58">
        <f ca="1">(T450/_Max_Stock_Gramos)</f>
        <v>0.98477173459852152</v>
      </c>
      <c r="W450" s="58"/>
      <c r="X450" s="10">
        <f ca="1">IF((T449-O450)&lt;0,(T449-O450)*_Costo_Faltante,0)</f>
        <v>0</v>
      </c>
      <c r="Y450">
        <f ca="1">IF(B450=0,E450*_Costo_Frasco,0)</f>
        <v>-500</v>
      </c>
      <c r="Z450" s="11">
        <f t="shared" ca="1" si="90"/>
        <v>-64000</v>
      </c>
    </row>
    <row r="451" spans="1:26" x14ac:dyDescent="0.25">
      <c r="A451" s="30">
        <f t="shared" si="87"/>
        <v>435</v>
      </c>
      <c r="B451" s="10">
        <f>IF(B450=0,_Proxima_Compra,B450-1)</f>
        <v>1</v>
      </c>
      <c r="C451" s="3">
        <f t="shared" ca="1" si="80"/>
        <v>-1</v>
      </c>
      <c r="D451" s="3">
        <f ca="1">IF(D450&gt;0,D450-1,IF(C451&gt;0,LOOKUP(C451,$S$3:$S$5,$P$3:$P$5),-1))</f>
        <v>-1</v>
      </c>
      <c r="E451" s="25">
        <f t="shared" ca="1" si="81"/>
        <v>0</v>
      </c>
      <c r="F451" s="28">
        <f ca="1">E451*_GramosXFrasco</f>
        <v>0</v>
      </c>
      <c r="G451" s="38">
        <f t="shared" ca="1" si="82"/>
        <v>0.17532438468108902</v>
      </c>
      <c r="H451" s="36">
        <f t="shared" ca="1" si="83"/>
        <v>-1</v>
      </c>
      <c r="I451" s="36">
        <f t="shared" ca="1" si="84"/>
        <v>-1</v>
      </c>
      <c r="J451" s="36">
        <f t="shared" ca="1" si="91"/>
        <v>-1</v>
      </c>
      <c r="K451" s="37">
        <f ca="1">IF(J451&lt;&gt;-1,_Media_M + J451*_Sigma,-1)</f>
        <v>-1</v>
      </c>
      <c r="L451" s="3">
        <f t="shared" ca="1" si="85"/>
        <v>50</v>
      </c>
      <c r="M451" s="18">
        <f ca="1">IF(LOOKUP(G451,$H$3:$H$4,$E$3:$E$4)=1,50,_Media_M + J451*_Sigma)</f>
        <v>50</v>
      </c>
      <c r="N451" s="36">
        <f t="shared" ca="1" si="86"/>
        <v>7.6905507383712166</v>
      </c>
      <c r="O451" s="35">
        <f t="shared" ca="1" si="92"/>
        <v>57.690550738371215</v>
      </c>
      <c r="P451" s="19">
        <f t="shared" ca="1" si="88"/>
        <v>57.690550738371215</v>
      </c>
      <c r="Q451" s="20">
        <f ca="1" xml:space="preserve"> P451*_Precio_cafe</f>
        <v>86.535826107556829</v>
      </c>
      <c r="R451" s="20">
        <f t="shared" ca="1" si="89"/>
        <v>60642.16702142296</v>
      </c>
      <c r="S451" s="20">
        <f ca="1">(1/A451)*((A451-1)*S450 +Q451)</f>
        <v>139.40728050901836</v>
      </c>
      <c r="T451" s="20">
        <f ca="1">IF((T450-P451+F451)&gt;_Max_Stock_Gramos,_Max_Stock_Gramos,T450-P451+F451)</f>
        <v>1616.4213980791153</v>
      </c>
      <c r="U451" s="20">
        <f ca="1">T451/_GramosXFrasco</f>
        <v>9.5083611651712658</v>
      </c>
      <c r="V451" s="58">
        <f ca="1">(T451/_Max_Stock_Gramos)</f>
        <v>0.95083611651712663</v>
      </c>
      <c r="W451" s="58"/>
      <c r="X451" s="10">
        <f ca="1">IF((T450-O451)&lt;0,(T450-O451)*_Costo_Faltante,0)</f>
        <v>0</v>
      </c>
      <c r="Y451">
        <f>IF(B451=0,E451*_Costo_Frasco,0)</f>
        <v>0</v>
      </c>
      <c r="Z451" s="11">
        <f t="shared" ca="1" si="90"/>
        <v>-64000</v>
      </c>
    </row>
    <row r="452" spans="1:26" x14ac:dyDescent="0.25">
      <c r="A452" s="30">
        <f t="shared" si="87"/>
        <v>436</v>
      </c>
      <c r="B452" s="10">
        <f>IF(B451=0,_Proxima_Compra,B451-1)</f>
        <v>0</v>
      </c>
      <c r="C452" s="3">
        <f t="shared" ca="1" si="80"/>
        <v>0.27967628567154423</v>
      </c>
      <c r="D452" s="3">
        <f ca="1">IF(D451&gt;0,D451-1,IF(C452&gt;0,LOOKUP(C452,$S$3:$S$5,$P$3:$P$5),-1))</f>
        <v>0</v>
      </c>
      <c r="E452" s="25">
        <f t="shared" ca="1" si="81"/>
        <v>2</v>
      </c>
      <c r="F452" s="28">
        <f ca="1">E452*_GramosXFrasco</f>
        <v>340</v>
      </c>
      <c r="G452" s="38">
        <f t="shared" ca="1" si="82"/>
        <v>9.2350800175580172E-3</v>
      </c>
      <c r="H452" s="36">
        <f t="shared" ca="1" si="83"/>
        <v>-1</v>
      </c>
      <c r="I452" s="36">
        <f t="shared" ca="1" si="84"/>
        <v>-1</v>
      </c>
      <c r="J452" s="36">
        <f t="shared" ca="1" si="91"/>
        <v>-1</v>
      </c>
      <c r="K452" s="37">
        <f ca="1">IF(J452&lt;&gt;-1,_Media_M + J452*_Sigma,-1)</f>
        <v>-1</v>
      </c>
      <c r="L452" s="3">
        <f t="shared" ca="1" si="85"/>
        <v>50</v>
      </c>
      <c r="M452" s="18">
        <f ca="1">IF(LOOKUP(G452,$H$3:$H$4,$E$3:$E$4)=1,50,_Media_M + J452*_Sigma)</f>
        <v>50</v>
      </c>
      <c r="N452" s="36">
        <f t="shared" ca="1" si="86"/>
        <v>4.8264905121886628</v>
      </c>
      <c r="O452" s="35">
        <f t="shared" ca="1" si="92"/>
        <v>54.826490512188663</v>
      </c>
      <c r="P452" s="19">
        <f t="shared" ca="1" si="88"/>
        <v>54.826490512188663</v>
      </c>
      <c r="Q452" s="20">
        <f ca="1" xml:space="preserve"> P452*_Precio_cafe</f>
        <v>82.239735768282998</v>
      </c>
      <c r="R452" s="20">
        <f t="shared" ca="1" si="89"/>
        <v>60724.406757191246</v>
      </c>
      <c r="S452" s="20">
        <f ca="1">(1/A452)*((A452-1)*S451 +Q452)</f>
        <v>139.27616228713595</v>
      </c>
      <c r="T452" s="20">
        <f ca="1">IF((T451-P452+F452)&gt;_Max_Stock_Gramos,_Max_Stock_Gramos,T451-P452+F452)</f>
        <v>1700</v>
      </c>
      <c r="U452" s="20">
        <f ca="1">T452/_GramosXFrasco</f>
        <v>10</v>
      </c>
      <c r="V452" s="58">
        <f ca="1">(T452/_Max_Stock_Gramos)</f>
        <v>1</v>
      </c>
      <c r="W452" s="58"/>
      <c r="X452" s="10">
        <f ca="1">IF((T451-O452)&lt;0,(T451-O452)*_Costo_Faltante,0)</f>
        <v>0</v>
      </c>
      <c r="Y452">
        <f ca="1">IF(B452=0,E452*_Costo_Frasco,0)</f>
        <v>-500</v>
      </c>
      <c r="Z452" s="11">
        <f t="shared" ca="1" si="90"/>
        <v>-64500</v>
      </c>
    </row>
    <row r="453" spans="1:26" x14ac:dyDescent="0.25">
      <c r="A453" s="30">
        <f t="shared" si="87"/>
        <v>437</v>
      </c>
      <c r="B453" s="10">
        <f>IF(B452=0,_Proxima_Compra,B452-1)</f>
        <v>1</v>
      </c>
      <c r="C453" s="3">
        <f t="shared" ca="1" si="80"/>
        <v>-1</v>
      </c>
      <c r="D453" s="3">
        <f ca="1">IF(D452&gt;0,D452-1,IF(C453&gt;0,LOOKUP(C453,$S$3:$S$5,$P$3:$P$5),-1))</f>
        <v>-1</v>
      </c>
      <c r="E453" s="25">
        <f t="shared" ca="1" si="81"/>
        <v>0</v>
      </c>
      <c r="F453" s="28">
        <f ca="1">E453*_GramosXFrasco</f>
        <v>0</v>
      </c>
      <c r="G453" s="38">
        <f t="shared" ca="1" si="82"/>
        <v>0.66429626234981776</v>
      </c>
      <c r="H453" s="36">
        <f t="shared" ca="1" si="83"/>
        <v>0.69080558159285932</v>
      </c>
      <c r="I453" s="36">
        <f t="shared" ca="1" si="84"/>
        <v>0.96991687153154937</v>
      </c>
      <c r="J453" s="36">
        <f t="shared" ca="1" si="91"/>
        <v>0.99173720975595869</v>
      </c>
      <c r="K453" s="37">
        <f ca="1">IF(J453&lt;&gt;-1,_Media_M + J453*_Sigma,-1)</f>
        <v>89.876058146339375</v>
      </c>
      <c r="L453" s="3">
        <f t="shared" ca="1" si="85"/>
        <v>-1</v>
      </c>
      <c r="M453" s="18">
        <f ca="1">IF(LOOKUP(G453,$H$3:$H$4,$E$3:$E$4)=1,50,_Media_M + J453*_Sigma)</f>
        <v>89.876058146339375</v>
      </c>
      <c r="N453" s="36">
        <f t="shared" ca="1" si="86"/>
        <v>0.30321478803322999</v>
      </c>
      <c r="O453" s="35">
        <f t="shared" ca="1" si="92"/>
        <v>90.179272934372605</v>
      </c>
      <c r="P453" s="19">
        <f t="shared" ca="1" si="88"/>
        <v>90.179272934372605</v>
      </c>
      <c r="Q453" s="20">
        <f ca="1" xml:space="preserve"> P453*_Precio_cafe</f>
        <v>135.26890940155891</v>
      </c>
      <c r="R453" s="20">
        <f t="shared" ca="1" si="89"/>
        <v>60859.675666592804</v>
      </c>
      <c r="S453" s="20">
        <f ca="1">(1/A453)*((A453-1)*S452 +Q453)</f>
        <v>139.26699237206597</v>
      </c>
      <c r="T453" s="20">
        <f ca="1">IF((T452-P453+F453)&gt;_Max_Stock_Gramos,_Max_Stock_Gramos,T452-P453+F453)</f>
        <v>1609.8207270656274</v>
      </c>
      <c r="U453" s="20">
        <f ca="1">T453/_GramosXFrasco</f>
        <v>9.4695336886213379</v>
      </c>
      <c r="V453" s="58">
        <f ca="1">(T453/_Max_Stock_Gramos)</f>
        <v>0.94695336886213377</v>
      </c>
      <c r="W453" s="58"/>
      <c r="X453" s="10">
        <f ca="1">IF((T452-O453)&lt;0,(T452-O453)*_Costo_Faltante,0)</f>
        <v>0</v>
      </c>
      <c r="Y453">
        <f>IF(B453=0,E453*_Costo_Frasco,0)</f>
        <v>0</v>
      </c>
      <c r="Z453" s="11">
        <f t="shared" ca="1" si="90"/>
        <v>-64500</v>
      </c>
    </row>
    <row r="454" spans="1:26" x14ac:dyDescent="0.25">
      <c r="A454" s="30">
        <f t="shared" si="87"/>
        <v>438</v>
      </c>
      <c r="B454" s="10">
        <f>IF(B453=0,_Proxima_Compra,B453-1)</f>
        <v>0</v>
      </c>
      <c r="C454" s="3">
        <f t="shared" ca="1" si="80"/>
        <v>0.67971330590929691</v>
      </c>
      <c r="D454" s="3">
        <f ca="1">IF(D453&gt;0,D453-1,IF(C454&gt;0,LOOKUP(C454,$S$3:$S$5,$P$3:$P$5),-1))</f>
        <v>1</v>
      </c>
      <c r="E454" s="25">
        <f t="shared" ca="1" si="81"/>
        <v>0</v>
      </c>
      <c r="F454" s="28">
        <f ca="1">E454*_GramosXFrasco</f>
        <v>0</v>
      </c>
      <c r="G454" s="38">
        <f t="shared" ca="1" si="82"/>
        <v>0.82786557385542259</v>
      </c>
      <c r="H454" s="36">
        <f t="shared" ca="1" si="83"/>
        <v>0.27776722596745473</v>
      </c>
      <c r="I454" s="36">
        <f t="shared" ca="1" si="84"/>
        <v>0.72478628820856406</v>
      </c>
      <c r="J454" s="36">
        <f t="shared" ca="1" si="91"/>
        <v>-8.3872507536524588E-2</v>
      </c>
      <c r="K454" s="37">
        <f ca="1">IF(J454&lt;&gt;-1,_Media_M + J454*_Sigma,-1)</f>
        <v>73.741912386952137</v>
      </c>
      <c r="L454" s="3">
        <f t="shared" ca="1" si="85"/>
        <v>-1</v>
      </c>
      <c r="M454" s="18">
        <f ca="1">IF(LOOKUP(G454,$H$3:$H$4,$E$3:$E$4)=1,50,_Media_M + J454*_Sigma)</f>
        <v>73.741912386952137</v>
      </c>
      <c r="N454" s="36">
        <f t="shared" ca="1" si="86"/>
        <v>2.4694167781232887</v>
      </c>
      <c r="O454" s="35">
        <f t="shared" ca="1" si="92"/>
        <v>76.211329165075426</v>
      </c>
      <c r="P454" s="19">
        <f t="shared" ca="1" si="88"/>
        <v>76.211329165075426</v>
      </c>
      <c r="Q454" s="20">
        <f ca="1" xml:space="preserve"> P454*_Precio_cafe</f>
        <v>114.31699374761314</v>
      </c>
      <c r="R454" s="20">
        <f t="shared" ca="1" si="89"/>
        <v>60973.992660340416</v>
      </c>
      <c r="S454" s="20">
        <f ca="1">(1/A454)*((A454-1)*S453 +Q454)</f>
        <v>139.21002890488683</v>
      </c>
      <c r="T454" s="20">
        <f ca="1">IF((T453-P454+F454)&gt;_Max_Stock_Gramos,_Max_Stock_Gramos,T453-P454+F454)</f>
        <v>1533.6093979005518</v>
      </c>
      <c r="U454" s="20">
        <f ca="1">T454/_GramosXFrasco</f>
        <v>9.0212317523561865</v>
      </c>
      <c r="V454" s="58">
        <f ca="1">(T454/_Max_Stock_Gramos)</f>
        <v>0.90212317523561869</v>
      </c>
      <c r="W454" s="58"/>
      <c r="X454" s="10">
        <f ca="1">IF((T453-O454)&lt;0,(T453-O454)*_Costo_Faltante,0)</f>
        <v>0</v>
      </c>
      <c r="Y454">
        <f ca="1">IF(B454=0,E454*_Costo_Frasco,0)</f>
        <v>0</v>
      </c>
      <c r="Z454" s="11">
        <f t="shared" ca="1" si="90"/>
        <v>-64500</v>
      </c>
    </row>
    <row r="455" spans="1:26" x14ac:dyDescent="0.25">
      <c r="A455" s="30">
        <f t="shared" si="87"/>
        <v>439</v>
      </c>
      <c r="B455" s="10">
        <f>IF(B454=0,_Proxima_Compra,B454-1)</f>
        <v>1</v>
      </c>
      <c r="C455" s="3">
        <f t="shared" ca="1" si="80"/>
        <v>-1</v>
      </c>
      <c r="D455" s="3">
        <f ca="1">IF(D454&gt;0,D454-1,IF(C455&gt;0,LOOKUP(C455,$S$3:$S$5,$P$3:$P$5),-1))</f>
        <v>0</v>
      </c>
      <c r="E455" s="25">
        <f t="shared" ca="1" si="81"/>
        <v>2</v>
      </c>
      <c r="F455" s="28">
        <f ca="1">E455*_GramosXFrasco</f>
        <v>340</v>
      </c>
      <c r="G455" s="38">
        <f t="shared" ca="1" si="82"/>
        <v>5.9011490130444377E-2</v>
      </c>
      <c r="H455" s="36">
        <f t="shared" ca="1" si="83"/>
        <v>-1</v>
      </c>
      <c r="I455" s="36">
        <f t="shared" ca="1" si="84"/>
        <v>-1</v>
      </c>
      <c r="J455" s="36">
        <f t="shared" ca="1" si="91"/>
        <v>-1</v>
      </c>
      <c r="K455" s="37">
        <f ca="1">IF(J455&lt;&gt;-1,_Media_M + J455*_Sigma,-1)</f>
        <v>-1</v>
      </c>
      <c r="L455" s="3">
        <f t="shared" ca="1" si="85"/>
        <v>50</v>
      </c>
      <c r="M455" s="18">
        <f ca="1">IF(LOOKUP(G455,$H$3:$H$4,$E$3:$E$4)=1,50,_Media_M + J455*_Sigma)</f>
        <v>50</v>
      </c>
      <c r="N455" s="36">
        <f t="shared" ca="1" si="86"/>
        <v>27.124352145389977</v>
      </c>
      <c r="O455" s="35">
        <f t="shared" ca="1" si="92"/>
        <v>77.124352145389977</v>
      </c>
      <c r="P455" s="19">
        <f t="shared" ca="1" si="88"/>
        <v>77.124352145389977</v>
      </c>
      <c r="Q455" s="20">
        <f ca="1" xml:space="preserve"> P455*_Precio_cafe</f>
        <v>115.68652821808496</v>
      </c>
      <c r="R455" s="20">
        <f t="shared" ca="1" si="89"/>
        <v>61089.679188558504</v>
      </c>
      <c r="S455" s="20">
        <f ca="1">(1/A455)*((A455-1)*S454 +Q455)</f>
        <v>139.15644462086223</v>
      </c>
      <c r="T455" s="20">
        <f ca="1">IF((T454-P455+F455)&gt;_Max_Stock_Gramos,_Max_Stock_Gramos,T454-P455+F455)</f>
        <v>1700</v>
      </c>
      <c r="U455" s="20">
        <f ca="1">T455/_GramosXFrasco</f>
        <v>10</v>
      </c>
      <c r="V455" s="58">
        <f ca="1">(T455/_Max_Stock_Gramos)</f>
        <v>1</v>
      </c>
      <c r="W455" s="58"/>
      <c r="X455" s="10">
        <f ca="1">IF((T454-O455)&lt;0,(T454-O455)*_Costo_Faltante,0)</f>
        <v>0</v>
      </c>
      <c r="Y455">
        <f>IF(B455=0,E455*_Costo_Frasco,0)</f>
        <v>0</v>
      </c>
      <c r="Z455" s="11">
        <f t="shared" ca="1" si="90"/>
        <v>-64500</v>
      </c>
    </row>
    <row r="456" spans="1:26" x14ac:dyDescent="0.25">
      <c r="A456" s="30">
        <f t="shared" si="87"/>
        <v>440</v>
      </c>
      <c r="B456" s="10">
        <f>IF(B455=0,_Proxima_Compra,B455-1)</f>
        <v>0</v>
      </c>
      <c r="C456" s="3">
        <f t="shared" ca="1" si="80"/>
        <v>0.90477730447004745</v>
      </c>
      <c r="D456" s="3">
        <f ca="1">IF(D455&gt;0,D455-1,IF(C456&gt;0,LOOKUP(C456,$S$3:$S$5,$P$3:$P$5),-1))</f>
        <v>2</v>
      </c>
      <c r="E456" s="25">
        <f t="shared" ca="1" si="81"/>
        <v>0</v>
      </c>
      <c r="F456" s="28">
        <f ca="1">E456*_GramosXFrasco</f>
        <v>0</v>
      </c>
      <c r="G456" s="38">
        <f t="shared" ca="1" si="82"/>
        <v>0.66878544840975318</v>
      </c>
      <c r="H456" s="36">
        <f t="shared" ca="1" si="83"/>
        <v>0.69856590773638083</v>
      </c>
      <c r="I456" s="36">
        <f t="shared" ca="1" si="84"/>
        <v>0.84931186493082467</v>
      </c>
      <c r="J456" s="36">
        <f t="shared" ca="1" si="91"/>
        <v>0.59631543967847334</v>
      </c>
      <c r="K456" s="37">
        <f ca="1">IF(J456&lt;&gt;-1,_Media_M + J456*_Sigma,-1)</f>
        <v>83.944731595177103</v>
      </c>
      <c r="L456" s="3">
        <f t="shared" ca="1" si="85"/>
        <v>-1</v>
      </c>
      <c r="M456" s="18">
        <f ca="1">IF(LOOKUP(G456,$H$3:$H$4,$E$3:$E$4)=1,50,_Media_M + J456*_Sigma)</f>
        <v>83.944731595177103</v>
      </c>
      <c r="N456" s="36">
        <f t="shared" ca="1" si="86"/>
        <v>31.847182575281856</v>
      </c>
      <c r="O456" s="35">
        <f t="shared" ca="1" si="92"/>
        <v>115.79191417045897</v>
      </c>
      <c r="P456" s="19">
        <f t="shared" ca="1" si="88"/>
        <v>115.79191417045897</v>
      </c>
      <c r="Q456" s="20">
        <f ca="1" xml:space="preserve"> P456*_Precio_cafe</f>
        <v>173.68787125568844</v>
      </c>
      <c r="R456" s="20">
        <f t="shared" ca="1" si="89"/>
        <v>61263.367059814191</v>
      </c>
      <c r="S456" s="20">
        <f ca="1">(1/A456)*((A456-1)*S455 +Q456)</f>
        <v>139.23492513594138</v>
      </c>
      <c r="T456" s="20">
        <f ca="1">IF((T455-P456+F456)&gt;_Max_Stock_Gramos,_Max_Stock_Gramos,T455-P456+F456)</f>
        <v>1584.208085829541</v>
      </c>
      <c r="U456" s="20">
        <f ca="1">T456/_GramosXFrasco</f>
        <v>9.3188710931149465</v>
      </c>
      <c r="V456" s="58">
        <f ca="1">(T456/_Max_Stock_Gramos)</f>
        <v>0.93188710931149465</v>
      </c>
      <c r="W456" s="58"/>
      <c r="X456" s="10">
        <f ca="1">IF((T455-O456)&lt;0,(T455-O456)*_Costo_Faltante,0)</f>
        <v>0</v>
      </c>
      <c r="Y456">
        <f ca="1">IF(B456=0,E456*_Costo_Frasco,0)</f>
        <v>0</v>
      </c>
      <c r="Z456" s="11">
        <f t="shared" ca="1" si="90"/>
        <v>-64500</v>
      </c>
    </row>
    <row r="457" spans="1:26" x14ac:dyDescent="0.25">
      <c r="A457" s="30">
        <f t="shared" si="87"/>
        <v>441</v>
      </c>
      <c r="B457" s="10">
        <f>IF(B456=0,_Proxima_Compra,B456-1)</f>
        <v>1</v>
      </c>
      <c r="C457" s="3">
        <f t="shared" ca="1" si="80"/>
        <v>-1</v>
      </c>
      <c r="D457" s="3">
        <f ca="1">IF(D456&gt;0,D456-1,IF(C457&gt;0,LOOKUP(C457,$S$3:$S$5,$P$3:$P$5),-1))</f>
        <v>1</v>
      </c>
      <c r="E457" s="25">
        <f t="shared" ca="1" si="81"/>
        <v>0</v>
      </c>
      <c r="F457" s="28">
        <f ca="1">E457*_GramosXFrasco</f>
        <v>0</v>
      </c>
      <c r="G457" s="38">
        <f t="shared" ca="1" si="82"/>
        <v>0.5283179490621257</v>
      </c>
      <c r="H457" s="36">
        <f t="shared" ca="1" si="83"/>
        <v>0.86699934034266135</v>
      </c>
      <c r="I457" s="36">
        <f t="shared" ca="1" si="84"/>
        <v>0.76310573253388669</v>
      </c>
      <c r="J457" s="36">
        <f t="shared" ca="1" si="91"/>
        <v>0.1088813596659411</v>
      </c>
      <c r="K457" s="37">
        <f ca="1">IF(J457&lt;&gt;-1,_Media_M + J457*_Sigma,-1)</f>
        <v>76.63322039498911</v>
      </c>
      <c r="L457" s="3">
        <f t="shared" ca="1" si="85"/>
        <v>-1</v>
      </c>
      <c r="M457" s="18">
        <f ca="1">IF(LOOKUP(G457,$H$3:$H$4,$E$3:$E$4)=1,50,_Media_M + J457*_Sigma)</f>
        <v>76.63322039498911</v>
      </c>
      <c r="N457" s="36">
        <f t="shared" ca="1" si="86"/>
        <v>2.6576434352940139</v>
      </c>
      <c r="O457" s="35">
        <f t="shared" ca="1" si="92"/>
        <v>79.290863830283129</v>
      </c>
      <c r="P457" s="19">
        <f t="shared" ca="1" si="88"/>
        <v>79.290863830283129</v>
      </c>
      <c r="Q457" s="20">
        <f ca="1" xml:space="preserve"> P457*_Precio_cafe</f>
        <v>118.9362957454247</v>
      </c>
      <c r="R457" s="20">
        <f t="shared" ca="1" si="89"/>
        <v>61382.303355559612</v>
      </c>
      <c r="S457" s="20">
        <f ca="1">(1/A457)*((A457-1)*S456 +Q457)</f>
        <v>139.18889649786763</v>
      </c>
      <c r="T457" s="20">
        <f ca="1">IF((T456-P457+F457)&gt;_Max_Stock_Gramos,_Max_Stock_Gramos,T456-P457+F457)</f>
        <v>1504.9172219992579</v>
      </c>
      <c r="U457" s="20">
        <f ca="1">T457/_GramosXFrasco</f>
        <v>8.8524542470544585</v>
      </c>
      <c r="V457" s="58">
        <f ca="1">(T457/_Max_Stock_Gramos)</f>
        <v>0.88524542470544587</v>
      </c>
      <c r="W457" s="58"/>
      <c r="X457" s="10">
        <f ca="1">IF((T456-O457)&lt;0,(T456-O457)*_Costo_Faltante,0)</f>
        <v>0</v>
      </c>
      <c r="Y457">
        <f>IF(B457=0,E457*_Costo_Frasco,0)</f>
        <v>0</v>
      </c>
      <c r="Z457" s="11">
        <f t="shared" ca="1" si="90"/>
        <v>-64500</v>
      </c>
    </row>
    <row r="458" spans="1:26" x14ac:dyDescent="0.25">
      <c r="A458" s="30">
        <f t="shared" si="87"/>
        <v>442</v>
      </c>
      <c r="B458" s="10">
        <f>IF(B457=0,_Proxima_Compra,B457-1)</f>
        <v>0</v>
      </c>
      <c r="C458" s="3">
        <f t="shared" ca="1" si="80"/>
        <v>0.66812777603333018</v>
      </c>
      <c r="D458" s="3">
        <f ca="1">IF(D457&gt;0,D457-1,IF(C458&gt;0,LOOKUP(C458,$S$3:$S$5,$P$3:$P$5),-1))</f>
        <v>0</v>
      </c>
      <c r="E458" s="25">
        <f t="shared" ca="1" si="81"/>
        <v>2</v>
      </c>
      <c r="F458" s="28">
        <f ca="1">E458*_GramosXFrasco</f>
        <v>340</v>
      </c>
      <c r="G458" s="38">
        <f t="shared" ca="1" si="82"/>
        <v>0.11924982537430617</v>
      </c>
      <c r="H458" s="36">
        <f t="shared" ca="1" si="83"/>
        <v>-1</v>
      </c>
      <c r="I458" s="36">
        <f t="shared" ca="1" si="84"/>
        <v>-1</v>
      </c>
      <c r="J458" s="36">
        <f t="shared" ca="1" si="91"/>
        <v>-1</v>
      </c>
      <c r="K458" s="37">
        <f ca="1">IF(J458&lt;&gt;-1,_Media_M + J458*_Sigma,-1)</f>
        <v>-1</v>
      </c>
      <c r="L458" s="3">
        <f t="shared" ca="1" si="85"/>
        <v>50</v>
      </c>
      <c r="M458" s="18">
        <f ca="1">IF(LOOKUP(G458,$H$3:$H$4,$E$3:$E$4)=1,50,_Media_M + J458*_Sigma)</f>
        <v>50</v>
      </c>
      <c r="N458" s="36">
        <f t="shared" ca="1" si="86"/>
        <v>60.336486045622991</v>
      </c>
      <c r="O458" s="35">
        <f t="shared" ca="1" si="92"/>
        <v>110.33648604562299</v>
      </c>
      <c r="P458" s="19">
        <f t="shared" ca="1" si="88"/>
        <v>110.33648604562299</v>
      </c>
      <c r="Q458" s="20">
        <f ca="1" xml:space="preserve"> P458*_Precio_cafe</f>
        <v>165.50472906843447</v>
      </c>
      <c r="R458" s="20">
        <f t="shared" ca="1" si="89"/>
        <v>61547.80808462805</v>
      </c>
      <c r="S458" s="20">
        <f ca="1">(1/A458)*((A458-1)*S457 +Q458)</f>
        <v>139.2484345806065</v>
      </c>
      <c r="T458" s="20">
        <f ca="1">IF((T457-P458+F458)&gt;_Max_Stock_Gramos,_Max_Stock_Gramos,T457-P458+F458)</f>
        <v>1700</v>
      </c>
      <c r="U458" s="20">
        <f ca="1">T458/_GramosXFrasco</f>
        <v>10</v>
      </c>
      <c r="V458" s="58">
        <f ca="1">(T458/_Max_Stock_Gramos)</f>
        <v>1</v>
      </c>
      <c r="W458" s="58"/>
      <c r="X458" s="10">
        <f ca="1">IF((T457-O458)&lt;0,(T457-O458)*_Costo_Faltante,0)</f>
        <v>0</v>
      </c>
      <c r="Y458">
        <f ca="1">IF(B458=0,E458*_Costo_Frasco,0)</f>
        <v>-500</v>
      </c>
      <c r="Z458" s="11">
        <f t="shared" ca="1" si="90"/>
        <v>-65000</v>
      </c>
    </row>
    <row r="459" spans="1:26" x14ac:dyDescent="0.25">
      <c r="A459" s="30">
        <f t="shared" si="87"/>
        <v>443</v>
      </c>
      <c r="B459" s="10">
        <f>IF(B458=0,_Proxima_Compra,B458-1)</f>
        <v>1</v>
      </c>
      <c r="C459" s="3">
        <f t="shared" ca="1" si="80"/>
        <v>-1</v>
      </c>
      <c r="D459" s="3">
        <f ca="1">IF(D458&gt;0,D458-1,IF(C459&gt;0,LOOKUP(C459,$S$3:$S$5,$P$3:$P$5),-1))</f>
        <v>-1</v>
      </c>
      <c r="E459" s="25">
        <f t="shared" ca="1" si="81"/>
        <v>0</v>
      </c>
      <c r="F459" s="28">
        <f ca="1">E459*_GramosXFrasco</f>
        <v>0</v>
      </c>
      <c r="G459" s="38">
        <f t="shared" ca="1" si="82"/>
        <v>0.4073231097551312</v>
      </c>
      <c r="H459" s="36">
        <f t="shared" ca="1" si="83"/>
        <v>-1</v>
      </c>
      <c r="I459" s="36">
        <f t="shared" ca="1" si="84"/>
        <v>-1</v>
      </c>
      <c r="J459" s="36">
        <f t="shared" ca="1" si="91"/>
        <v>-1</v>
      </c>
      <c r="K459" s="37">
        <f ca="1">IF(J459&lt;&gt;-1,_Media_M + J459*_Sigma,-1)</f>
        <v>-1</v>
      </c>
      <c r="L459" s="3">
        <f t="shared" ca="1" si="85"/>
        <v>50</v>
      </c>
      <c r="M459" s="18">
        <f ca="1">IF(LOOKUP(G459,$H$3:$H$4,$E$3:$E$4)=1,50,_Media_M + J459*_Sigma)</f>
        <v>50</v>
      </c>
      <c r="N459" s="36">
        <f t="shared" ca="1" si="86"/>
        <v>0.69001483328222002</v>
      </c>
      <c r="O459" s="35">
        <f t="shared" ca="1" si="92"/>
        <v>50.69001483328222</v>
      </c>
      <c r="P459" s="19">
        <f t="shared" ca="1" si="88"/>
        <v>50.69001483328222</v>
      </c>
      <c r="Q459" s="20">
        <f ca="1" xml:space="preserve"> P459*_Precio_cafe</f>
        <v>76.03502224992333</v>
      </c>
      <c r="R459" s="20">
        <f t="shared" ca="1" si="89"/>
        <v>61623.843106877976</v>
      </c>
      <c r="S459" s="20">
        <f ca="1">(1/A459)*((A459-1)*S458 +Q459)</f>
        <v>139.10574064758012</v>
      </c>
      <c r="T459" s="20">
        <f ca="1">IF((T458-P459+F459)&gt;_Max_Stock_Gramos,_Max_Stock_Gramos,T458-P459+F459)</f>
        <v>1649.3099851667178</v>
      </c>
      <c r="U459" s="20">
        <f ca="1">T459/_GramosXFrasco</f>
        <v>9.7018234421571634</v>
      </c>
      <c r="V459" s="58">
        <f ca="1">(T459/_Max_Stock_Gramos)</f>
        <v>0.97018234421571636</v>
      </c>
      <c r="W459" s="58"/>
      <c r="X459" s="10">
        <f ca="1">IF((T458-O459)&lt;0,(T458-O459)*_Costo_Faltante,0)</f>
        <v>0</v>
      </c>
      <c r="Y459">
        <f>IF(B459=0,E459*_Costo_Frasco,0)</f>
        <v>0</v>
      </c>
      <c r="Z459" s="11">
        <f t="shared" ca="1" si="90"/>
        <v>-65000</v>
      </c>
    </row>
    <row r="460" spans="1:26" x14ac:dyDescent="0.25">
      <c r="A460" s="30">
        <f t="shared" si="87"/>
        <v>444</v>
      </c>
      <c r="B460" s="10">
        <f>IF(B459=0,_Proxima_Compra,B459-1)</f>
        <v>0</v>
      </c>
      <c r="C460" s="3">
        <f t="shared" ca="1" si="80"/>
        <v>0.4155014126050145</v>
      </c>
      <c r="D460" s="3">
        <f ca="1">IF(D459&gt;0,D459-1,IF(C460&gt;0,LOOKUP(C460,$S$3:$S$5,$P$3:$P$5),-1))</f>
        <v>0</v>
      </c>
      <c r="E460" s="25">
        <f t="shared" ca="1" si="81"/>
        <v>2</v>
      </c>
      <c r="F460" s="28">
        <f ca="1">E460*_GramosXFrasco</f>
        <v>340</v>
      </c>
      <c r="G460" s="38">
        <f t="shared" ca="1" si="82"/>
        <v>0.37566001848983788</v>
      </c>
      <c r="H460" s="36">
        <f t="shared" ca="1" si="83"/>
        <v>-1</v>
      </c>
      <c r="I460" s="36">
        <f t="shared" ca="1" si="84"/>
        <v>-1</v>
      </c>
      <c r="J460" s="36">
        <f t="shared" ca="1" si="91"/>
        <v>-1</v>
      </c>
      <c r="K460" s="37">
        <f ca="1">IF(J460&lt;&gt;-1,_Media_M + J460*_Sigma,-1)</f>
        <v>-1</v>
      </c>
      <c r="L460" s="3">
        <f t="shared" ca="1" si="85"/>
        <v>50</v>
      </c>
      <c r="M460" s="18">
        <f ca="1">IF(LOOKUP(G460,$H$3:$H$4,$E$3:$E$4)=1,50,_Media_M + J460*_Sigma)</f>
        <v>50</v>
      </c>
      <c r="N460" s="36">
        <f t="shared" ca="1" si="86"/>
        <v>29.624541968086461</v>
      </c>
      <c r="O460" s="35">
        <f t="shared" ca="1" si="92"/>
        <v>79.624541968086461</v>
      </c>
      <c r="P460" s="19">
        <f t="shared" ca="1" si="88"/>
        <v>79.624541968086461</v>
      </c>
      <c r="Q460" s="20">
        <f ca="1" xml:space="preserve"> P460*_Precio_cafe</f>
        <v>119.43681295212969</v>
      </c>
      <c r="R460" s="20">
        <f t="shared" ca="1" si="89"/>
        <v>61743.279919830107</v>
      </c>
      <c r="S460" s="20">
        <f ca="1">(1/A460)*((A460-1)*S459 +Q460)</f>
        <v>139.06144126087864</v>
      </c>
      <c r="T460" s="20">
        <f ca="1">IF((T459-P460+F460)&gt;_Max_Stock_Gramos,_Max_Stock_Gramos,T459-P460+F460)</f>
        <v>1700</v>
      </c>
      <c r="U460" s="20">
        <f ca="1">T460/_GramosXFrasco</f>
        <v>10</v>
      </c>
      <c r="V460" s="58">
        <f ca="1">(T460/_Max_Stock_Gramos)</f>
        <v>1</v>
      </c>
      <c r="W460" s="58"/>
      <c r="X460" s="10">
        <f ca="1">IF((T459-O460)&lt;0,(T459-O460)*_Costo_Faltante,0)</f>
        <v>0</v>
      </c>
      <c r="Y460">
        <f ca="1">IF(B460=0,E460*_Costo_Frasco,0)</f>
        <v>-500</v>
      </c>
      <c r="Z460" s="11">
        <f t="shared" ca="1" si="90"/>
        <v>-65500</v>
      </c>
    </row>
    <row r="461" spans="1:26" x14ac:dyDescent="0.25">
      <c r="A461" s="30">
        <f t="shared" si="87"/>
        <v>445</v>
      </c>
      <c r="B461" s="10">
        <f>IF(B460=0,_Proxima_Compra,B460-1)</f>
        <v>1</v>
      </c>
      <c r="C461" s="3">
        <f t="shared" ca="1" si="80"/>
        <v>-1</v>
      </c>
      <c r="D461" s="3">
        <f ca="1">IF(D460&gt;0,D460-1,IF(C461&gt;0,LOOKUP(C461,$S$3:$S$5,$P$3:$P$5),-1))</f>
        <v>-1</v>
      </c>
      <c r="E461" s="25">
        <f t="shared" ca="1" si="81"/>
        <v>0</v>
      </c>
      <c r="F461" s="28">
        <f ca="1">E461*_GramosXFrasco</f>
        <v>0</v>
      </c>
      <c r="G461" s="38">
        <f t="shared" ca="1" si="82"/>
        <v>0.83417204345780149</v>
      </c>
      <c r="H461" s="36">
        <f t="shared" ca="1" si="83"/>
        <v>0.55211614053061409</v>
      </c>
      <c r="I461" s="36">
        <f t="shared" ca="1" si="84"/>
        <v>0.90700063770836081</v>
      </c>
      <c r="J461" s="36">
        <f t="shared" ca="1" si="91"/>
        <v>0.69667914594308133</v>
      </c>
      <c r="K461" s="37">
        <f ca="1">IF(J461&lt;&gt;-1,_Media_M + J461*_Sigma,-1)</f>
        <v>85.45018718914622</v>
      </c>
      <c r="L461" s="3">
        <f t="shared" ca="1" si="85"/>
        <v>-1</v>
      </c>
      <c r="M461" s="18">
        <f ca="1">IF(LOOKUP(G461,$H$3:$H$4,$E$3:$E$4)=1,50,_Media_M + J461*_Sigma)</f>
        <v>85.45018718914622</v>
      </c>
      <c r="N461" s="36">
        <f t="shared" ca="1" si="86"/>
        <v>19.022996594163455</v>
      </c>
      <c r="O461" s="35">
        <f t="shared" ca="1" si="92"/>
        <v>104.47318378330968</v>
      </c>
      <c r="P461" s="19">
        <f t="shared" ca="1" si="88"/>
        <v>104.47318378330968</v>
      </c>
      <c r="Q461" s="20">
        <f ca="1" xml:space="preserve"> P461*_Precio_cafe</f>
        <v>156.70977567496453</v>
      </c>
      <c r="R461" s="20">
        <f t="shared" ca="1" si="89"/>
        <v>61899.989695505072</v>
      </c>
      <c r="S461" s="20">
        <f ca="1">(1/A461)*((A461-1)*S460 +Q461)</f>
        <v>139.10110043933727</v>
      </c>
      <c r="T461" s="20">
        <f ca="1">IF((T460-P461+F461)&gt;_Max_Stock_Gramos,_Max_Stock_Gramos,T460-P461+F461)</f>
        <v>1595.5268162166903</v>
      </c>
      <c r="U461" s="20">
        <f ca="1">T461/_GramosXFrasco</f>
        <v>9.3854518600981791</v>
      </c>
      <c r="V461" s="58">
        <f ca="1">(T461/_Max_Stock_Gramos)</f>
        <v>0.93854518600981784</v>
      </c>
      <c r="W461" s="58"/>
      <c r="X461" s="10">
        <f ca="1">IF((T460-O461)&lt;0,(T460-O461)*_Costo_Faltante,0)</f>
        <v>0</v>
      </c>
      <c r="Y461">
        <f>IF(B461=0,E461*_Costo_Frasco,0)</f>
        <v>0</v>
      </c>
      <c r="Z461" s="11">
        <f t="shared" ca="1" si="90"/>
        <v>-65500</v>
      </c>
    </row>
    <row r="462" spans="1:26" x14ac:dyDescent="0.25">
      <c r="A462" s="30">
        <f t="shared" si="87"/>
        <v>446</v>
      </c>
      <c r="B462" s="10">
        <f>IF(B461=0,_Proxima_Compra,B461-1)</f>
        <v>0</v>
      </c>
      <c r="C462" s="3">
        <f t="shared" ca="1" si="80"/>
        <v>0.11150706673818656</v>
      </c>
      <c r="D462" s="3">
        <f ca="1">IF(D461&gt;0,D461-1,IF(C462&gt;0,LOOKUP(C462,$S$3:$S$5,$P$3:$P$5),-1))</f>
        <v>0</v>
      </c>
      <c r="E462" s="25">
        <f t="shared" ca="1" si="81"/>
        <v>2</v>
      </c>
      <c r="F462" s="28">
        <f ca="1">E462*_GramosXFrasco</f>
        <v>340</v>
      </c>
      <c r="G462" s="38">
        <f t="shared" ca="1" si="82"/>
        <v>0.91972144777360576</v>
      </c>
      <c r="H462" s="36">
        <f t="shared" ca="1" si="83"/>
        <v>0.67717460459863721</v>
      </c>
      <c r="I462" s="36">
        <f t="shared" ca="1" si="84"/>
        <v>0.92747806711040315</v>
      </c>
      <c r="J462" s="36">
        <f t="shared" ca="1" si="91"/>
        <v>0.88987781481049177</v>
      </c>
      <c r="K462" s="37">
        <f ca="1">IF(J462&lt;&gt;-1,_Media_M + J462*_Sigma,-1)</f>
        <v>88.348167222157372</v>
      </c>
      <c r="L462" s="3">
        <f t="shared" ca="1" si="85"/>
        <v>-1</v>
      </c>
      <c r="M462" s="18">
        <f ca="1">IF(LOOKUP(G462,$H$3:$H$4,$E$3:$E$4)=1,50,_Media_M + J462*_Sigma)</f>
        <v>88.348167222157372</v>
      </c>
      <c r="N462" s="36">
        <f t="shared" ca="1" si="86"/>
        <v>13.356533091295628</v>
      </c>
      <c r="O462" s="35">
        <f t="shared" ca="1" si="92"/>
        <v>101.704700313453</v>
      </c>
      <c r="P462" s="19">
        <f t="shared" ca="1" si="88"/>
        <v>101.704700313453</v>
      </c>
      <c r="Q462" s="20">
        <f ca="1" xml:space="preserve"> P462*_Precio_cafe</f>
        <v>152.55705047017949</v>
      </c>
      <c r="R462" s="20">
        <f t="shared" ca="1" si="89"/>
        <v>62052.546745975254</v>
      </c>
      <c r="S462" s="20">
        <f ca="1">(1/A462)*((A462-1)*S461 +Q462)</f>
        <v>139.13127073088626</v>
      </c>
      <c r="T462" s="20">
        <f ca="1">IF((T461-P462+F462)&gt;_Max_Stock_Gramos,_Max_Stock_Gramos,T461-P462+F462)</f>
        <v>1700</v>
      </c>
      <c r="U462" s="20">
        <f ca="1">T462/_GramosXFrasco</f>
        <v>10</v>
      </c>
      <c r="V462" s="58">
        <f ca="1">(T462/_Max_Stock_Gramos)</f>
        <v>1</v>
      </c>
      <c r="W462" s="58"/>
      <c r="X462" s="10">
        <f ca="1">IF((T461-O462)&lt;0,(T461-O462)*_Costo_Faltante,0)</f>
        <v>0</v>
      </c>
      <c r="Y462">
        <f ca="1">IF(B462=0,E462*_Costo_Frasco,0)</f>
        <v>-500</v>
      </c>
      <c r="Z462" s="11">
        <f t="shared" ca="1" si="90"/>
        <v>-66000</v>
      </c>
    </row>
    <row r="463" spans="1:26" x14ac:dyDescent="0.25">
      <c r="A463" s="30">
        <f t="shared" si="87"/>
        <v>447</v>
      </c>
      <c r="B463" s="10">
        <f>IF(B462=0,_Proxima_Compra,B462-1)</f>
        <v>1</v>
      </c>
      <c r="C463" s="3">
        <f t="shared" ca="1" si="80"/>
        <v>-1</v>
      </c>
      <c r="D463" s="3">
        <f ca="1">IF(D462&gt;0,D462-1,IF(C463&gt;0,LOOKUP(C463,$S$3:$S$5,$P$3:$P$5),-1))</f>
        <v>-1</v>
      </c>
      <c r="E463" s="25">
        <f t="shared" ca="1" si="81"/>
        <v>0</v>
      </c>
      <c r="F463" s="28">
        <f ca="1">E463*_GramosXFrasco</f>
        <v>0</v>
      </c>
      <c r="G463" s="38">
        <f t="shared" ca="1" si="82"/>
        <v>0.21627058384417397</v>
      </c>
      <c r="H463" s="36">
        <f t="shared" ca="1" si="83"/>
        <v>-1</v>
      </c>
      <c r="I463" s="36">
        <f t="shared" ca="1" si="84"/>
        <v>-1</v>
      </c>
      <c r="J463" s="36">
        <f t="shared" ca="1" si="91"/>
        <v>-1</v>
      </c>
      <c r="K463" s="37">
        <f ca="1">IF(J463&lt;&gt;-1,_Media_M + J463*_Sigma,-1)</f>
        <v>-1</v>
      </c>
      <c r="L463" s="3">
        <f t="shared" ca="1" si="85"/>
        <v>50</v>
      </c>
      <c r="M463" s="18">
        <f ca="1">IF(LOOKUP(G463,$H$3:$H$4,$E$3:$E$4)=1,50,_Media_M + J463*_Sigma)</f>
        <v>50</v>
      </c>
      <c r="N463" s="36">
        <f t="shared" ca="1" si="86"/>
        <v>24.317216944948196</v>
      </c>
      <c r="O463" s="35">
        <f t="shared" ca="1" si="92"/>
        <v>74.3172169449482</v>
      </c>
      <c r="P463" s="19">
        <f t="shared" ca="1" si="88"/>
        <v>74.3172169449482</v>
      </c>
      <c r="Q463" s="20">
        <f ca="1" xml:space="preserve"> P463*_Precio_cafe</f>
        <v>111.4758254174223</v>
      </c>
      <c r="R463" s="20">
        <f t="shared" ca="1" si="89"/>
        <v>62164.022571392677</v>
      </c>
      <c r="S463" s="20">
        <f ca="1">(1/A463)*((A463-1)*S462 +Q463)</f>
        <v>139.06940172571072</v>
      </c>
      <c r="T463" s="20">
        <f ca="1">IF((T462-P463+F463)&gt;_Max_Stock_Gramos,_Max_Stock_Gramos,T462-P463+F463)</f>
        <v>1625.6827830550519</v>
      </c>
      <c r="U463" s="20">
        <f ca="1">T463/_GramosXFrasco</f>
        <v>9.5628399003238354</v>
      </c>
      <c r="V463" s="58">
        <f ca="1">(T463/_Max_Stock_Gramos)</f>
        <v>0.95628399003238351</v>
      </c>
      <c r="W463" s="58"/>
      <c r="X463" s="10">
        <f ca="1">IF((T462-O463)&lt;0,(T462-O463)*_Costo_Faltante,0)</f>
        <v>0</v>
      </c>
      <c r="Y463">
        <f>IF(B463=0,E463*_Costo_Frasco,0)</f>
        <v>0</v>
      </c>
      <c r="Z463" s="11">
        <f t="shared" ca="1" si="90"/>
        <v>-66000</v>
      </c>
    </row>
    <row r="464" spans="1:26" x14ac:dyDescent="0.25">
      <c r="A464" s="30">
        <f t="shared" si="87"/>
        <v>448</v>
      </c>
      <c r="B464" s="10">
        <f>IF(B463=0,_Proxima_Compra,B463-1)</f>
        <v>0</v>
      </c>
      <c r="C464" s="3">
        <f t="shared" ca="1" si="80"/>
        <v>0.78214544215820025</v>
      </c>
      <c r="D464" s="3">
        <f ca="1">IF(D463&gt;0,D463-1,IF(C464&gt;0,LOOKUP(C464,$S$3:$S$5,$P$3:$P$5),-1))</f>
        <v>2</v>
      </c>
      <c r="E464" s="25">
        <f t="shared" ca="1" si="81"/>
        <v>0</v>
      </c>
      <c r="F464" s="28">
        <f ca="1">E464*_GramosXFrasco</f>
        <v>0</v>
      </c>
      <c r="G464" s="38">
        <f t="shared" ca="1" si="82"/>
        <v>0.38414913269477347</v>
      </c>
      <c r="H464" s="36">
        <f t="shared" ca="1" si="83"/>
        <v>-1</v>
      </c>
      <c r="I464" s="36">
        <f t="shared" ca="1" si="84"/>
        <v>-1</v>
      </c>
      <c r="J464" s="36">
        <f t="shared" ca="1" si="91"/>
        <v>-1</v>
      </c>
      <c r="K464" s="37">
        <f ca="1">IF(J464&lt;&gt;-1,_Media_M + J464*_Sigma,-1)</f>
        <v>-1</v>
      </c>
      <c r="L464" s="3">
        <f t="shared" ca="1" si="85"/>
        <v>50</v>
      </c>
      <c r="M464" s="18">
        <f ca="1">IF(LOOKUP(G464,$H$3:$H$4,$E$3:$E$4)=1,50,_Media_M + J464*_Sigma)</f>
        <v>50</v>
      </c>
      <c r="N464" s="36">
        <f t="shared" ca="1" si="86"/>
        <v>5.7125964674267129</v>
      </c>
      <c r="O464" s="35">
        <f t="shared" ca="1" si="92"/>
        <v>55.712596467426714</v>
      </c>
      <c r="P464" s="19">
        <f t="shared" ca="1" si="88"/>
        <v>55.712596467426714</v>
      </c>
      <c r="Q464" s="20">
        <f ca="1" xml:space="preserve"> P464*_Precio_cafe</f>
        <v>83.568894701140067</v>
      </c>
      <c r="R464" s="20">
        <f t="shared" ca="1" si="89"/>
        <v>62247.591466093814</v>
      </c>
      <c r="S464" s="20">
        <f ca="1">(1/A464)*((A464-1)*S463 +Q464)</f>
        <v>138.945516665388</v>
      </c>
      <c r="T464" s="20">
        <f ca="1">IF((T463-P464+F464)&gt;_Max_Stock_Gramos,_Max_Stock_Gramos,T463-P464+F464)</f>
        <v>1569.9701865876252</v>
      </c>
      <c r="U464" s="20">
        <f ca="1">T464/_GramosXFrasco</f>
        <v>9.2351187446330893</v>
      </c>
      <c r="V464" s="58">
        <f ca="1">(T464/_Max_Stock_Gramos)</f>
        <v>0.92351187446330896</v>
      </c>
      <c r="W464" s="58"/>
      <c r="X464" s="10">
        <f ca="1">IF((T463-O464)&lt;0,(T463-O464)*_Costo_Faltante,0)</f>
        <v>0</v>
      </c>
      <c r="Y464">
        <f ca="1">IF(B464=0,E464*_Costo_Frasco,0)</f>
        <v>0</v>
      </c>
      <c r="Z464" s="11">
        <f t="shared" ca="1" si="90"/>
        <v>-66000</v>
      </c>
    </row>
    <row r="465" spans="1:26" x14ac:dyDescent="0.25">
      <c r="A465" s="30">
        <f t="shared" si="87"/>
        <v>449</v>
      </c>
      <c r="B465" s="10">
        <f>IF(B464=0,_Proxima_Compra,B464-1)</f>
        <v>1</v>
      </c>
      <c r="C465" s="3">
        <f t="shared" ref="C465:C516" ca="1" si="93">IF(B465=0,RAND(),-1)</f>
        <v>-1</v>
      </c>
      <c r="D465" s="3">
        <f ca="1">IF(D464&gt;0,D464-1,IF(C465&gt;0,LOOKUP(C465,$S$3:$S$5,$P$3:$P$5),-1))</f>
        <v>1</v>
      </c>
      <c r="E465" s="25">
        <f t="shared" ref="E465:E516" ca="1" si="94">IF(D465=0,2,)</f>
        <v>0</v>
      </c>
      <c r="F465" s="28">
        <f ca="1">E465*_GramosXFrasco</f>
        <v>0</v>
      </c>
      <c r="G465" s="38">
        <f t="shared" ref="G465:G516" ca="1" si="95">RAND()</f>
        <v>0.81912102615846683</v>
      </c>
      <c r="H465" s="36">
        <f t="shared" ref="H465:H516" ca="1" si="96">IF(G465&gt;0.5,RAND(),-1)</f>
        <v>0.17073778998914702</v>
      </c>
      <c r="I465" s="36">
        <f t="shared" ref="I465:I516" ca="1" si="97">IF(G465&gt;0.5,RAND(),-1)</f>
        <v>0.61094740712350637</v>
      </c>
      <c r="J465" s="36">
        <f t="shared" ca="1" si="91"/>
        <v>-0.3091792782943838</v>
      </c>
      <c r="K465" s="37">
        <f ca="1">IF(J465&lt;&gt;-1,_Media_M + J465*_Sigma,-1)</f>
        <v>70.362310825584245</v>
      </c>
      <c r="L465" s="3">
        <f t="shared" ref="L465:L516" ca="1" si="98">IF(K465=-1,50,-1)</f>
        <v>-1</v>
      </c>
      <c r="M465" s="18">
        <f ca="1">IF(LOOKUP(G465,$H$3:$H$4,$E$3:$E$4)=1,50,_Media_M + J465*_Sigma)</f>
        <v>70.362310825584245</v>
      </c>
      <c r="N465" s="36">
        <f t="shared" ref="N465:N516" ca="1" si="99">(-1/(1/70)*(LOG(1-RAND())))</f>
        <v>39.088984525992203</v>
      </c>
      <c r="O465" s="35">
        <f t="shared" ca="1" si="92"/>
        <v>109.45129535157645</v>
      </c>
      <c r="P465" s="19">
        <f t="shared" ca="1" si="88"/>
        <v>109.45129535157645</v>
      </c>
      <c r="Q465" s="20">
        <f ca="1" xml:space="preserve"> P465*_Precio_cafe</f>
        <v>164.17694302736467</v>
      </c>
      <c r="R465" s="20">
        <f t="shared" ca="1" si="89"/>
        <v>62411.768409121178</v>
      </c>
      <c r="S465" s="20">
        <f ca="1">(1/A465)*((A465-1)*S464 +Q465)</f>
        <v>139.00171137888904</v>
      </c>
      <c r="T465" s="20">
        <f ca="1">IF((T464-P465+F465)&gt;_Max_Stock_Gramos,_Max_Stock_Gramos,T464-P465+F465)</f>
        <v>1460.5188912360488</v>
      </c>
      <c r="U465" s="20">
        <f ca="1">T465/_GramosXFrasco</f>
        <v>8.59128759550617</v>
      </c>
      <c r="V465" s="58">
        <f ca="1">(T465/_Max_Stock_Gramos)</f>
        <v>0.85912875955061696</v>
      </c>
      <c r="W465" s="58"/>
      <c r="X465" s="10">
        <f ca="1">IF((T464-O465)&lt;0,(T464-O465)*_Costo_Faltante,0)</f>
        <v>0</v>
      </c>
      <c r="Y465">
        <f>IF(B465=0,E465*_Costo_Frasco,0)</f>
        <v>0</v>
      </c>
      <c r="Z465" s="11">
        <f t="shared" ca="1" si="90"/>
        <v>-66000</v>
      </c>
    </row>
    <row r="466" spans="1:26" x14ac:dyDescent="0.25">
      <c r="A466" s="30">
        <f t="shared" ref="A466:A516" si="100">A465+1</f>
        <v>450</v>
      </c>
      <c r="B466" s="10">
        <f>IF(B465=0,_Proxima_Compra,B465-1)</f>
        <v>0</v>
      </c>
      <c r="C466" s="3">
        <f t="shared" ca="1" si="93"/>
        <v>0.86310403005074343</v>
      </c>
      <c r="D466" s="3">
        <f ca="1">IF(D465&gt;0,D465-1,IF(C466&gt;0,LOOKUP(C466,$S$3:$S$5,$P$3:$P$5),-1))</f>
        <v>0</v>
      </c>
      <c r="E466" s="25">
        <f t="shared" ca="1" si="94"/>
        <v>2</v>
      </c>
      <c r="F466" s="28">
        <f ca="1">E466*_GramosXFrasco</f>
        <v>340</v>
      </c>
      <c r="G466" s="38">
        <f t="shared" ca="1" si="95"/>
        <v>0.54253331882499323</v>
      </c>
      <c r="H466" s="36">
        <f t="shared" ca="1" si="96"/>
        <v>0.19731409564386615</v>
      </c>
      <c r="I466" s="36">
        <f t="shared" ca="1" si="97"/>
        <v>0.88391724219714674</v>
      </c>
      <c r="J466" s="36">
        <f t="shared" ca="1" si="91"/>
        <v>0.32577347494505965</v>
      </c>
      <c r="K466" s="37">
        <f ca="1">IF(J466&lt;&gt;-1,_Media_M + J466*_Sigma,-1)</f>
        <v>79.886602124175894</v>
      </c>
      <c r="L466" s="3">
        <f t="shared" ca="1" si="98"/>
        <v>-1</v>
      </c>
      <c r="M466" s="18">
        <f ca="1">IF(LOOKUP(G466,$H$3:$H$4,$E$3:$E$4)=1,50,_Media_M + J466*_Sigma)</f>
        <v>79.886602124175894</v>
      </c>
      <c r="N466" s="36">
        <f t="shared" ca="1" si="99"/>
        <v>62.581476791819632</v>
      </c>
      <c r="O466" s="35">
        <f t="shared" ca="1" si="92"/>
        <v>142.46807891599553</v>
      </c>
      <c r="P466" s="19">
        <f t="shared" ref="P466:P516" ca="1" si="101">IF(O466&lt;T465,O466,T465)</f>
        <v>142.46807891599553</v>
      </c>
      <c r="Q466" s="20">
        <f ca="1" xml:space="preserve"> P466*_Precio_cafe</f>
        <v>213.7021183739933</v>
      </c>
      <c r="R466" s="20">
        <f t="shared" ref="R466:R516" ca="1" si="102">Q466+R465</f>
        <v>62625.47052749517</v>
      </c>
      <c r="S466" s="20">
        <f ca="1">(1/A466)*((A466-1)*S465 +Q466)</f>
        <v>139.1677122833226</v>
      </c>
      <c r="T466" s="20">
        <f ca="1">IF((T465-P466+F466)&gt;_Max_Stock_Gramos,_Max_Stock_Gramos,T465-P466+F466)</f>
        <v>1658.0508123200534</v>
      </c>
      <c r="U466" s="20">
        <f ca="1">T466/_GramosXFrasco</f>
        <v>9.7532400724709021</v>
      </c>
      <c r="V466" s="58">
        <f ca="1">(T466/_Max_Stock_Gramos)</f>
        <v>0.97532400724709023</v>
      </c>
      <c r="W466" s="58"/>
      <c r="X466" s="10">
        <f ca="1">IF((T465-O466)&lt;0,(T465-O466)*_Costo_Faltante,0)</f>
        <v>0</v>
      </c>
      <c r="Y466">
        <f ca="1">IF(B466=0,E466*_Costo_Frasco,0)</f>
        <v>-500</v>
      </c>
      <c r="Z466" s="11">
        <f t="shared" ref="Z466:Z516" ca="1" si="103">X466+Y466+Z465</f>
        <v>-66500</v>
      </c>
    </row>
    <row r="467" spans="1:26" x14ac:dyDescent="0.25">
      <c r="A467" s="30">
        <f t="shared" si="100"/>
        <v>451</v>
      </c>
      <c r="B467" s="10">
        <f>IF(B466=0,_Proxima_Compra,B466-1)</f>
        <v>1</v>
      </c>
      <c r="C467" s="3">
        <f t="shared" ca="1" si="93"/>
        <v>-1</v>
      </c>
      <c r="D467" s="3">
        <f ca="1">IF(D466&gt;0,D466-1,IF(C467&gt;0,LOOKUP(C467,$S$3:$S$5,$P$3:$P$5),-1))</f>
        <v>-1</v>
      </c>
      <c r="E467" s="25">
        <f t="shared" ca="1" si="94"/>
        <v>0</v>
      </c>
      <c r="F467" s="28">
        <f ca="1">E467*_GramosXFrasco</f>
        <v>0</v>
      </c>
      <c r="G467" s="38">
        <f t="shared" ca="1" si="95"/>
        <v>0.95143433403926581</v>
      </c>
      <c r="H467" s="36">
        <f t="shared" ca="1" si="96"/>
        <v>0.1567376703568667</v>
      </c>
      <c r="I467" s="36">
        <f t="shared" ca="1" si="97"/>
        <v>0.91917890792529311</v>
      </c>
      <c r="J467" s="36">
        <f t="shared" ca="1" si="91"/>
        <v>0.33624598656564214</v>
      </c>
      <c r="K467" s="37">
        <f ca="1">IF(J467&lt;&gt;-1,_Media_M + J467*_Sigma,-1)</f>
        <v>80.043689798484635</v>
      </c>
      <c r="L467" s="3">
        <f t="shared" ca="1" si="98"/>
        <v>-1</v>
      </c>
      <c r="M467" s="18">
        <f ca="1">IF(LOOKUP(G467,$H$3:$H$4,$E$3:$E$4)=1,50,_Media_M + J467*_Sigma)</f>
        <v>80.043689798484635</v>
      </c>
      <c r="N467" s="36">
        <f t="shared" ca="1" si="99"/>
        <v>44.160564365555402</v>
      </c>
      <c r="O467" s="35">
        <f t="shared" ca="1" si="92"/>
        <v>124.20425416404004</v>
      </c>
      <c r="P467" s="19">
        <f t="shared" ca="1" si="101"/>
        <v>124.20425416404004</v>
      </c>
      <c r="Q467" s="20">
        <f ca="1" xml:space="preserve"> P467*_Precio_cafe</f>
        <v>186.30638124606006</v>
      </c>
      <c r="R467" s="20">
        <f t="shared" ca="1" si="102"/>
        <v>62811.776908741231</v>
      </c>
      <c r="S467" s="20">
        <f ca="1">(1/A467)*((A467-1)*S466 +Q467)</f>
        <v>139.27223261361692</v>
      </c>
      <c r="T467" s="20">
        <f ca="1">IF((T466-P467+F467)&gt;_Max_Stock_Gramos,_Max_Stock_Gramos,T466-P467+F467)</f>
        <v>1533.8465581560133</v>
      </c>
      <c r="U467" s="20">
        <f ca="1">T467/_GramosXFrasco</f>
        <v>9.0226268126824305</v>
      </c>
      <c r="V467" s="58">
        <f ca="1">(T467/_Max_Stock_Gramos)</f>
        <v>0.90226268126824316</v>
      </c>
      <c r="W467" s="58"/>
      <c r="X467" s="10">
        <f ca="1">IF((T466-O467)&lt;0,(T466-O467)*_Costo_Faltante,0)</f>
        <v>0</v>
      </c>
      <c r="Y467">
        <f>IF(B467=0,E467*_Costo_Frasco,0)</f>
        <v>0</v>
      </c>
      <c r="Z467" s="11">
        <f t="shared" ca="1" si="103"/>
        <v>-66500</v>
      </c>
    </row>
    <row r="468" spans="1:26" x14ac:dyDescent="0.25">
      <c r="A468" s="30">
        <f t="shared" si="100"/>
        <v>452</v>
      </c>
      <c r="B468" s="10">
        <f>IF(B467=0,_Proxima_Compra,B467-1)</f>
        <v>0</v>
      </c>
      <c r="C468" s="3">
        <f t="shared" ca="1" si="93"/>
        <v>0.11511808215525787</v>
      </c>
      <c r="D468" s="3">
        <f ca="1">IF(D467&gt;0,D467-1,IF(C468&gt;0,LOOKUP(C468,$S$3:$S$5,$P$3:$P$5),-1))</f>
        <v>0</v>
      </c>
      <c r="E468" s="25">
        <f t="shared" ca="1" si="94"/>
        <v>2</v>
      </c>
      <c r="F468" s="28">
        <f ca="1">E468*_GramosXFrasco</f>
        <v>340</v>
      </c>
      <c r="G468" s="38">
        <f t="shared" ca="1" si="95"/>
        <v>0.15053429296412002</v>
      </c>
      <c r="H468" s="36">
        <f t="shared" ca="1" si="96"/>
        <v>-1</v>
      </c>
      <c r="I468" s="36">
        <f t="shared" ca="1" si="97"/>
        <v>-1</v>
      </c>
      <c r="J468" s="36">
        <f t="shared" ca="1" si="91"/>
        <v>-1</v>
      </c>
      <c r="K468" s="37">
        <f ca="1">IF(J468&lt;&gt;-1,_Media_M + J468*_Sigma,-1)</f>
        <v>-1</v>
      </c>
      <c r="L468" s="3">
        <f t="shared" ca="1" si="98"/>
        <v>50</v>
      </c>
      <c r="M468" s="18">
        <f ca="1">IF(LOOKUP(G468,$H$3:$H$4,$E$3:$E$4)=1,50,_Media_M + J468*_Sigma)</f>
        <v>50</v>
      </c>
      <c r="N468" s="36">
        <f t="shared" ca="1" si="99"/>
        <v>10.639112488117922</v>
      </c>
      <c r="O468" s="35">
        <f t="shared" ca="1" si="92"/>
        <v>60.639112488117924</v>
      </c>
      <c r="P468" s="19">
        <f t="shared" ca="1" si="101"/>
        <v>60.639112488117924</v>
      </c>
      <c r="Q468" s="20">
        <f ca="1" xml:space="preserve"> P468*_Precio_cafe</f>
        <v>90.958668732176889</v>
      </c>
      <c r="R468" s="20">
        <f t="shared" ca="1" si="102"/>
        <v>62902.73557747341</v>
      </c>
      <c r="S468" s="20">
        <f ca="1">(1/A468)*((A468-1)*S467 +Q468)</f>
        <v>139.16534419795002</v>
      </c>
      <c r="T468" s="20">
        <f ca="1">IF((T467-P468+F468)&gt;_Max_Stock_Gramos,_Max_Stock_Gramos,T467-P468+F468)</f>
        <v>1700</v>
      </c>
      <c r="U468" s="20">
        <f ca="1">T468/_GramosXFrasco</f>
        <v>10</v>
      </c>
      <c r="V468" s="58">
        <f ca="1">(T468/_Max_Stock_Gramos)</f>
        <v>1</v>
      </c>
      <c r="W468" s="58"/>
      <c r="X468" s="10">
        <f ca="1">IF((T467-O468)&lt;0,(T467-O468)*_Costo_Faltante,0)</f>
        <v>0</v>
      </c>
      <c r="Y468">
        <f ca="1">IF(B468=0,E468*_Costo_Frasco,0)</f>
        <v>-500</v>
      </c>
      <c r="Z468" s="11">
        <f t="shared" ca="1" si="103"/>
        <v>-67000</v>
      </c>
    </row>
    <row r="469" spans="1:26" x14ac:dyDescent="0.25">
      <c r="A469" s="30">
        <f t="shared" si="100"/>
        <v>453</v>
      </c>
      <c r="B469" s="10">
        <f>IF(B468=0,_Proxima_Compra,B468-1)</f>
        <v>1</v>
      </c>
      <c r="C469" s="3">
        <f t="shared" ca="1" si="93"/>
        <v>-1</v>
      </c>
      <c r="D469" s="3">
        <f ca="1">IF(D468&gt;0,D468-1,IF(C469&gt;0,LOOKUP(C469,$S$3:$S$5,$P$3:$P$5),-1))</f>
        <v>-1</v>
      </c>
      <c r="E469" s="25">
        <f t="shared" ca="1" si="94"/>
        <v>0</v>
      </c>
      <c r="F469" s="28">
        <f ca="1">E469*_GramosXFrasco</f>
        <v>0</v>
      </c>
      <c r="G469" s="38">
        <f t="shared" ca="1" si="95"/>
        <v>0.50094089681529141</v>
      </c>
      <c r="H469" s="36">
        <f t="shared" ca="1" si="96"/>
        <v>0.8257626052382715</v>
      </c>
      <c r="I469" s="36">
        <f t="shared" ca="1" si="97"/>
        <v>0.10787433503466537</v>
      </c>
      <c r="J469" s="36">
        <f t="shared" ca="1" si="91"/>
        <v>0.95964210415678597</v>
      </c>
      <c r="K469" s="37">
        <f ca="1">IF(J469&lt;&gt;-1,_Media_M + J469*_Sigma,-1)</f>
        <v>89.39463156235179</v>
      </c>
      <c r="L469" s="3">
        <f t="shared" ca="1" si="98"/>
        <v>-1</v>
      </c>
      <c r="M469" s="18">
        <f ca="1">IF(LOOKUP(G469,$H$3:$H$4,$E$3:$E$4)=1,50,_Media_M + J469*_Sigma)</f>
        <v>89.39463156235179</v>
      </c>
      <c r="N469" s="36">
        <f t="shared" ca="1" si="99"/>
        <v>21.220506463543231</v>
      </c>
      <c r="O469" s="35">
        <f t="shared" ca="1" si="92"/>
        <v>110.61513802589502</v>
      </c>
      <c r="P469" s="19">
        <f t="shared" ca="1" si="101"/>
        <v>110.61513802589502</v>
      </c>
      <c r="Q469" s="20">
        <f ca="1" xml:space="preserve"> P469*_Precio_cafe</f>
        <v>165.92270703884253</v>
      </c>
      <c r="R469" s="20">
        <f t="shared" ca="1" si="102"/>
        <v>63068.658284512254</v>
      </c>
      <c r="S469" s="20">
        <f ca="1">(1/A469)*((A469-1)*S468 +Q469)</f>
        <v>139.22441122408887</v>
      </c>
      <c r="T469" s="20">
        <f ca="1">IF((T468-P469+F469)&gt;_Max_Stock_Gramos,_Max_Stock_Gramos,T468-P469+F469)</f>
        <v>1589.384861974105</v>
      </c>
      <c r="U469" s="20">
        <f ca="1">T469/_GramosXFrasco</f>
        <v>9.3493227174947346</v>
      </c>
      <c r="V469" s="58">
        <f ca="1">(T469/_Max_Stock_Gramos)</f>
        <v>0.93493227174947346</v>
      </c>
      <c r="W469" s="58"/>
      <c r="X469" s="10">
        <f ca="1">IF((T468-O469)&lt;0,(T468-O469)*_Costo_Faltante,0)</f>
        <v>0</v>
      </c>
      <c r="Y469">
        <f>IF(B469=0,E469*_Costo_Frasco,0)</f>
        <v>0</v>
      </c>
      <c r="Z469" s="11">
        <f t="shared" ca="1" si="103"/>
        <v>-67000</v>
      </c>
    </row>
    <row r="470" spans="1:26" x14ac:dyDescent="0.25">
      <c r="A470" s="30">
        <f t="shared" si="100"/>
        <v>454</v>
      </c>
      <c r="B470" s="10">
        <f>IF(B469=0,_Proxima_Compra,B469-1)</f>
        <v>0</v>
      </c>
      <c r="C470" s="3">
        <f t="shared" ca="1" si="93"/>
        <v>0.53362439460143807</v>
      </c>
      <c r="D470" s="3">
        <f ca="1">IF(D469&gt;0,D469-1,IF(C470&gt;0,LOOKUP(C470,$S$3:$S$5,$P$3:$P$5),-1))</f>
        <v>1</v>
      </c>
      <c r="E470" s="25">
        <f t="shared" ca="1" si="94"/>
        <v>0</v>
      </c>
      <c r="F470" s="28">
        <f ca="1">E470*_GramosXFrasco</f>
        <v>0</v>
      </c>
      <c r="G470" s="38">
        <f t="shared" ca="1" si="95"/>
        <v>0.49024048984285329</v>
      </c>
      <c r="H470" s="36">
        <f t="shared" ca="1" si="96"/>
        <v>-1</v>
      </c>
      <c r="I470" s="36">
        <f t="shared" ca="1" si="97"/>
        <v>-1</v>
      </c>
      <c r="J470" s="36">
        <f t="shared" ca="1" si="91"/>
        <v>-1</v>
      </c>
      <c r="K470" s="37">
        <f ca="1">IF(J470&lt;&gt;-1,_Media_M + J470*_Sigma,-1)</f>
        <v>-1</v>
      </c>
      <c r="L470" s="3">
        <f t="shared" ca="1" si="98"/>
        <v>50</v>
      </c>
      <c r="M470" s="18">
        <f ca="1">IF(LOOKUP(G470,$H$3:$H$4,$E$3:$E$4)=1,50,_Media_M + J470*_Sigma)</f>
        <v>50</v>
      </c>
      <c r="N470" s="36">
        <f t="shared" ca="1" si="99"/>
        <v>14.776796502551665</v>
      </c>
      <c r="O470" s="35">
        <f t="shared" ca="1" si="92"/>
        <v>64.776796502551662</v>
      </c>
      <c r="P470" s="19">
        <f t="shared" ca="1" si="101"/>
        <v>64.776796502551662</v>
      </c>
      <c r="Q470" s="20">
        <f ca="1" xml:space="preserve"> P470*_Precio_cafe</f>
        <v>97.165194753827492</v>
      </c>
      <c r="R470" s="20">
        <f t="shared" ca="1" si="102"/>
        <v>63165.823479266081</v>
      </c>
      <c r="S470" s="20">
        <f ca="1">(1/A470)*((A470-1)*S469 +Q470)</f>
        <v>139.13176977811912</v>
      </c>
      <c r="T470" s="20">
        <f ca="1">IF((T469-P470+F470)&gt;_Max_Stock_Gramos,_Max_Stock_Gramos,T469-P470+F470)</f>
        <v>1524.6080654715533</v>
      </c>
      <c r="U470" s="20">
        <f ca="1">T470/_GramosXFrasco</f>
        <v>8.9682827380679608</v>
      </c>
      <c r="V470" s="58">
        <f ca="1">(T470/_Max_Stock_Gramos)</f>
        <v>0.89682827380679608</v>
      </c>
      <c r="W470" s="58"/>
      <c r="X470" s="10">
        <f ca="1">IF((T469-O470)&lt;0,(T469-O470)*_Costo_Faltante,0)</f>
        <v>0</v>
      </c>
      <c r="Y470">
        <f ca="1">IF(B470=0,E470*_Costo_Frasco,0)</f>
        <v>0</v>
      </c>
      <c r="Z470" s="11">
        <f t="shared" ca="1" si="103"/>
        <v>-67000</v>
      </c>
    </row>
    <row r="471" spans="1:26" x14ac:dyDescent="0.25">
      <c r="A471" s="30">
        <f t="shared" si="100"/>
        <v>455</v>
      </c>
      <c r="B471" s="10">
        <f>IF(B470=0,_Proxima_Compra,B470-1)</f>
        <v>1</v>
      </c>
      <c r="C471" s="3">
        <f t="shared" ca="1" si="93"/>
        <v>-1</v>
      </c>
      <c r="D471" s="3">
        <f ca="1">IF(D470&gt;0,D470-1,IF(C471&gt;0,LOOKUP(C471,$S$3:$S$5,$P$3:$P$5),-1))</f>
        <v>0</v>
      </c>
      <c r="E471" s="25">
        <f t="shared" ca="1" si="94"/>
        <v>2</v>
      </c>
      <c r="F471" s="28">
        <f ca="1">E471*_GramosXFrasco</f>
        <v>340</v>
      </c>
      <c r="G471" s="38">
        <f t="shared" ca="1" si="95"/>
        <v>0.10775751840077274</v>
      </c>
      <c r="H471" s="36">
        <f t="shared" ca="1" si="96"/>
        <v>-1</v>
      </c>
      <c r="I471" s="36">
        <f t="shared" ca="1" si="97"/>
        <v>-1</v>
      </c>
      <c r="J471" s="36">
        <f t="shared" ca="1" si="91"/>
        <v>-1</v>
      </c>
      <c r="K471" s="37">
        <f ca="1">IF(J471&lt;&gt;-1,_Media_M + J471*_Sigma,-1)</f>
        <v>-1</v>
      </c>
      <c r="L471" s="3">
        <f t="shared" ca="1" si="98"/>
        <v>50</v>
      </c>
      <c r="M471" s="18">
        <f ca="1">IF(LOOKUP(G471,$H$3:$H$4,$E$3:$E$4)=1,50,_Media_M + J471*_Sigma)</f>
        <v>50</v>
      </c>
      <c r="N471" s="36">
        <f t="shared" ca="1" si="99"/>
        <v>16.432779755465639</v>
      </c>
      <c r="O471" s="35">
        <f t="shared" ca="1" si="92"/>
        <v>66.432779755465646</v>
      </c>
      <c r="P471" s="19">
        <f t="shared" ca="1" si="101"/>
        <v>66.432779755465646</v>
      </c>
      <c r="Q471" s="20">
        <f ca="1" xml:space="preserve"> P471*_Precio_cafe</f>
        <v>99.649169633198468</v>
      </c>
      <c r="R471" s="20">
        <f t="shared" ca="1" si="102"/>
        <v>63265.472648899282</v>
      </c>
      <c r="S471" s="20">
        <f ca="1">(1/A471)*((A471-1)*S470 +Q471)</f>
        <v>139.04499483274569</v>
      </c>
      <c r="T471" s="20">
        <f ca="1">IF((T470-P471+F471)&gt;_Max_Stock_Gramos,_Max_Stock_Gramos,T470-P471+F471)</f>
        <v>1700</v>
      </c>
      <c r="U471" s="20">
        <f ca="1">T471/_GramosXFrasco</f>
        <v>10</v>
      </c>
      <c r="V471" s="58">
        <f ca="1">(T471/_Max_Stock_Gramos)</f>
        <v>1</v>
      </c>
      <c r="W471" s="58"/>
      <c r="X471" s="10">
        <f ca="1">IF((T470-O471)&lt;0,(T470-O471)*_Costo_Faltante,0)</f>
        <v>0</v>
      </c>
      <c r="Y471">
        <f>IF(B471=0,E471*_Costo_Frasco,0)</f>
        <v>0</v>
      </c>
      <c r="Z471" s="11">
        <f t="shared" ca="1" si="103"/>
        <v>-67000</v>
      </c>
    </row>
    <row r="472" spans="1:26" x14ac:dyDescent="0.25">
      <c r="A472" s="30">
        <f t="shared" si="100"/>
        <v>456</v>
      </c>
      <c r="B472" s="10">
        <f>IF(B471=0,_Proxima_Compra,B471-1)</f>
        <v>0</v>
      </c>
      <c r="C472" s="3">
        <f t="shared" ca="1" si="93"/>
        <v>0.2191490561598316</v>
      </c>
      <c r="D472" s="3">
        <f ca="1">IF(D471&gt;0,D471-1,IF(C472&gt;0,LOOKUP(C472,$S$3:$S$5,$P$3:$P$5),-1))</f>
        <v>0</v>
      </c>
      <c r="E472" s="25">
        <f t="shared" ca="1" si="94"/>
        <v>2</v>
      </c>
      <c r="F472" s="28">
        <f ca="1">E472*_GramosXFrasco</f>
        <v>340</v>
      </c>
      <c r="G472" s="38">
        <f t="shared" ca="1" si="95"/>
        <v>0.83527757203252162</v>
      </c>
      <c r="H472" s="36">
        <f t="shared" ca="1" si="96"/>
        <v>0.99198169404383929</v>
      </c>
      <c r="I472" s="36">
        <f t="shared" ca="1" si="97"/>
        <v>0.64602016569376508</v>
      </c>
      <c r="J472" s="36">
        <f t="shared" ca="1" si="91"/>
        <v>-1.244468725810379</v>
      </c>
      <c r="K472" s="37">
        <f ca="1">IF(J472&lt;&gt;-1,_Media_M + J472*_Sigma,-1)</f>
        <v>56.33296911284431</v>
      </c>
      <c r="L472" s="3">
        <f t="shared" ca="1" si="98"/>
        <v>-1</v>
      </c>
      <c r="M472" s="18">
        <f ca="1">IF(LOOKUP(G472,$H$3:$H$4,$E$3:$E$4)=1,50,_Media_M + J472*_Sigma)</f>
        <v>56.33296911284431</v>
      </c>
      <c r="N472" s="36">
        <f t="shared" ca="1" si="99"/>
        <v>29.623759766007293</v>
      </c>
      <c r="O472" s="35">
        <f t="shared" ca="1" si="92"/>
        <v>85.956728878851607</v>
      </c>
      <c r="P472" s="19">
        <f t="shared" ca="1" si="101"/>
        <v>85.956728878851607</v>
      </c>
      <c r="Q472" s="20">
        <f ca="1" xml:space="preserve"> P472*_Precio_cafe</f>
        <v>128.93509331827741</v>
      </c>
      <c r="R472" s="20">
        <f t="shared" ca="1" si="102"/>
        <v>63394.407742217561</v>
      </c>
      <c r="S472" s="20">
        <f ca="1">(1/A472)*((A472-1)*S471 +Q472)</f>
        <v>139.02282399609115</v>
      </c>
      <c r="T472" s="20">
        <f ca="1">IF((T471-P472+F472)&gt;_Max_Stock_Gramos,_Max_Stock_Gramos,T471-P472+F472)</f>
        <v>1700</v>
      </c>
      <c r="U472" s="20">
        <f ca="1">T472/_GramosXFrasco</f>
        <v>10</v>
      </c>
      <c r="V472" s="58">
        <f ca="1">(T472/_Max_Stock_Gramos)</f>
        <v>1</v>
      </c>
      <c r="W472" s="58"/>
      <c r="X472" s="10">
        <f ca="1">IF((T471-O472)&lt;0,(T471-O472)*_Costo_Faltante,0)</f>
        <v>0</v>
      </c>
      <c r="Y472">
        <f ca="1">IF(B472=0,E472*_Costo_Frasco,0)</f>
        <v>-500</v>
      </c>
      <c r="Z472" s="11">
        <f t="shared" ca="1" si="103"/>
        <v>-67500</v>
      </c>
    </row>
    <row r="473" spans="1:26" x14ac:dyDescent="0.25">
      <c r="A473" s="30">
        <f t="shared" si="100"/>
        <v>457</v>
      </c>
      <c r="B473" s="10">
        <f>IF(B472=0,_Proxima_Compra,B472-1)</f>
        <v>1</v>
      </c>
      <c r="C473" s="3">
        <f t="shared" ca="1" si="93"/>
        <v>-1</v>
      </c>
      <c r="D473" s="3">
        <f ca="1">IF(D472&gt;0,D472-1,IF(C473&gt;0,LOOKUP(C473,$S$3:$S$5,$P$3:$P$5),-1))</f>
        <v>-1</v>
      </c>
      <c r="E473" s="25">
        <f t="shared" ca="1" si="94"/>
        <v>0</v>
      </c>
      <c r="F473" s="28">
        <f ca="1">E473*_GramosXFrasco</f>
        <v>0</v>
      </c>
      <c r="G473" s="38">
        <f t="shared" ca="1" si="95"/>
        <v>0.52911442017066168</v>
      </c>
      <c r="H473" s="36">
        <f t="shared" ca="1" si="96"/>
        <v>0.8367945196280705</v>
      </c>
      <c r="I473" s="36">
        <f t="shared" ca="1" si="97"/>
        <v>0.92627019715961356</v>
      </c>
      <c r="J473" s="36">
        <f t="shared" ca="1" si="91"/>
        <v>1.122548448444477</v>
      </c>
      <c r="K473" s="37">
        <f ca="1">IF(J473&lt;&gt;-1,_Media_M + J473*_Sigma,-1)</f>
        <v>91.838226726667159</v>
      </c>
      <c r="L473" s="3">
        <f t="shared" ca="1" si="98"/>
        <v>-1</v>
      </c>
      <c r="M473" s="18">
        <f ca="1">IF(LOOKUP(G473,$H$3:$H$4,$E$3:$E$4)=1,50,_Media_M + J473*_Sigma)</f>
        <v>91.838226726667159</v>
      </c>
      <c r="N473" s="36">
        <f t="shared" ca="1" si="99"/>
        <v>11.891249158624968</v>
      </c>
      <c r="O473" s="35">
        <f t="shared" ca="1" si="92"/>
        <v>103.72947588529213</v>
      </c>
      <c r="P473" s="19">
        <f t="shared" ca="1" si="101"/>
        <v>103.72947588529213</v>
      </c>
      <c r="Q473" s="20">
        <f ca="1" xml:space="preserve"> P473*_Precio_cafe</f>
        <v>155.5942138279382</v>
      </c>
      <c r="R473" s="20">
        <f t="shared" ca="1" si="102"/>
        <v>63550.001956045497</v>
      </c>
      <c r="S473" s="20">
        <f ca="1">(1/A473)*((A473-1)*S472 +Q473)</f>
        <v>139.05908524298795</v>
      </c>
      <c r="T473" s="20">
        <f ca="1">IF((T472-P473+F473)&gt;_Max_Stock_Gramos,_Max_Stock_Gramos,T472-P473+F473)</f>
        <v>1596.2705241147078</v>
      </c>
      <c r="U473" s="20">
        <f ca="1">T473/_GramosXFrasco</f>
        <v>9.3898266124394567</v>
      </c>
      <c r="V473" s="58">
        <f ca="1">(T473/_Max_Stock_Gramos)</f>
        <v>0.93898266124394569</v>
      </c>
      <c r="W473" s="58"/>
      <c r="X473" s="10">
        <f ca="1">IF((T472-O473)&lt;0,(T472-O473)*_Costo_Faltante,0)</f>
        <v>0</v>
      </c>
      <c r="Y473">
        <f>IF(B473=0,E473*_Costo_Frasco,0)</f>
        <v>0</v>
      </c>
      <c r="Z473" s="11">
        <f t="shared" ca="1" si="103"/>
        <v>-67500</v>
      </c>
    </row>
    <row r="474" spans="1:26" x14ac:dyDescent="0.25">
      <c r="A474" s="30">
        <f t="shared" si="100"/>
        <v>458</v>
      </c>
      <c r="B474" s="10">
        <f>IF(B473=0,_Proxima_Compra,B473-1)</f>
        <v>0</v>
      </c>
      <c r="C474" s="3">
        <f t="shared" ca="1" si="93"/>
        <v>0.81349502318634581</v>
      </c>
      <c r="D474" s="3">
        <f ca="1">IF(D473&gt;0,D473-1,IF(C474&gt;0,LOOKUP(C474,$S$3:$S$5,$P$3:$P$5),-1))</f>
        <v>2</v>
      </c>
      <c r="E474" s="25">
        <f t="shared" ca="1" si="94"/>
        <v>0</v>
      </c>
      <c r="F474" s="28">
        <f ca="1">E474*_GramosXFrasco</f>
        <v>0</v>
      </c>
      <c r="G474" s="38">
        <f t="shared" ca="1" si="95"/>
        <v>0.63767141025835272</v>
      </c>
      <c r="H474" s="36">
        <f t="shared" ca="1" si="96"/>
        <v>5.3043906313918532E-2</v>
      </c>
      <c r="I474" s="36">
        <f t="shared" ca="1" si="97"/>
        <v>0.25606955160359512</v>
      </c>
      <c r="J474" s="36">
        <f t="shared" ca="1" si="91"/>
        <v>-8.295580219550824E-3</v>
      </c>
      <c r="K474" s="37">
        <f ca="1">IF(J474&lt;&gt;-1,_Media_M + J474*_Sigma,-1)</f>
        <v>74.875566296706737</v>
      </c>
      <c r="L474" s="3">
        <f t="shared" ca="1" si="98"/>
        <v>-1</v>
      </c>
      <c r="M474" s="18">
        <f ca="1">IF(LOOKUP(G474,$H$3:$H$4,$E$3:$E$4)=1,50,_Media_M + J474*_Sigma)</f>
        <v>74.875566296706737</v>
      </c>
      <c r="N474" s="36">
        <f t="shared" ca="1" si="99"/>
        <v>8.5114658446116529</v>
      </c>
      <c r="O474" s="35">
        <f t="shared" ca="1" si="92"/>
        <v>83.387032141318386</v>
      </c>
      <c r="P474" s="19">
        <f t="shared" ca="1" si="101"/>
        <v>83.387032141318386</v>
      </c>
      <c r="Q474" s="20">
        <f ca="1" xml:space="preserve"> P474*_Precio_cafe</f>
        <v>125.08054821197757</v>
      </c>
      <c r="R474" s="20">
        <f t="shared" ca="1" si="102"/>
        <v>63675.082504257472</v>
      </c>
      <c r="S474" s="20">
        <f ca="1">(1/A474)*((A474-1)*S473 +Q474)</f>
        <v>139.02856441977613</v>
      </c>
      <c r="T474" s="20">
        <f ca="1">IF((T473-P474+F474)&gt;_Max_Stock_Gramos,_Max_Stock_Gramos,T473-P474+F474)</f>
        <v>1512.8834919733895</v>
      </c>
      <c r="U474" s="20">
        <f ca="1">T474/_GramosXFrasco</f>
        <v>8.8993146586669969</v>
      </c>
      <c r="V474" s="58">
        <f ca="1">(T474/_Max_Stock_Gramos)</f>
        <v>0.88993146586669969</v>
      </c>
      <c r="W474" s="58"/>
      <c r="X474" s="10">
        <f ca="1">IF((T473-O474)&lt;0,(T473-O474)*_Costo_Faltante,0)</f>
        <v>0</v>
      </c>
      <c r="Y474">
        <f ca="1">IF(B474=0,E474*_Costo_Frasco,0)</f>
        <v>0</v>
      </c>
      <c r="Z474" s="11">
        <f t="shared" ca="1" si="103"/>
        <v>-67500</v>
      </c>
    </row>
    <row r="475" spans="1:26" x14ac:dyDescent="0.25">
      <c r="A475" s="30">
        <f t="shared" si="100"/>
        <v>459</v>
      </c>
      <c r="B475" s="10">
        <f>IF(B474=0,_Proxima_Compra,B474-1)</f>
        <v>1</v>
      </c>
      <c r="C475" s="3">
        <f t="shared" ca="1" si="93"/>
        <v>-1</v>
      </c>
      <c r="D475" s="3">
        <f ca="1">IF(D474&gt;0,D474-1,IF(C475&gt;0,LOOKUP(C475,$S$3:$S$5,$P$3:$P$5),-1))</f>
        <v>1</v>
      </c>
      <c r="E475" s="25">
        <f t="shared" ca="1" si="94"/>
        <v>0</v>
      </c>
      <c r="F475" s="28">
        <f ca="1">E475*_GramosXFrasco</f>
        <v>0</v>
      </c>
      <c r="G475" s="38">
        <f t="shared" ca="1" si="95"/>
        <v>0.23178695215013978</v>
      </c>
      <c r="H475" s="36">
        <f t="shared" ca="1" si="96"/>
        <v>-1</v>
      </c>
      <c r="I475" s="36">
        <f t="shared" ca="1" si="97"/>
        <v>-1</v>
      </c>
      <c r="J475" s="36">
        <f t="shared" ca="1" si="91"/>
        <v>-1</v>
      </c>
      <c r="K475" s="37">
        <f ca="1">IF(J475&lt;&gt;-1,_Media_M + J475*_Sigma,-1)</f>
        <v>-1</v>
      </c>
      <c r="L475" s="3">
        <f t="shared" ca="1" si="98"/>
        <v>50</v>
      </c>
      <c r="M475" s="18">
        <f ca="1">IF(LOOKUP(G475,$H$3:$H$4,$E$3:$E$4)=1,50,_Media_M + J475*_Sigma)</f>
        <v>50</v>
      </c>
      <c r="N475" s="36">
        <f t="shared" ca="1" si="99"/>
        <v>19.78228091739475</v>
      </c>
      <c r="O475" s="35">
        <f t="shared" ca="1" si="92"/>
        <v>69.782280917394758</v>
      </c>
      <c r="P475" s="19">
        <f t="shared" ca="1" si="101"/>
        <v>69.782280917394758</v>
      </c>
      <c r="Q475" s="20">
        <f ca="1" xml:space="preserve"> P475*_Precio_cafe</f>
        <v>104.67342137609214</v>
      </c>
      <c r="R475" s="20">
        <f t="shared" ca="1" si="102"/>
        <v>63779.755925633566</v>
      </c>
      <c r="S475" s="20">
        <f ca="1">(1/A475)*((A475-1)*S474 +Q475)</f>
        <v>138.95371661358075</v>
      </c>
      <c r="T475" s="20">
        <f ca="1">IF((T474-P475+F475)&gt;_Max_Stock_Gramos,_Max_Stock_Gramos,T474-P475+F475)</f>
        <v>1443.1012110559948</v>
      </c>
      <c r="U475" s="20">
        <f ca="1">T475/_GramosXFrasco</f>
        <v>8.4888306532705577</v>
      </c>
      <c r="V475" s="58">
        <f ca="1">(T475/_Max_Stock_Gramos)</f>
        <v>0.84888306532705571</v>
      </c>
      <c r="W475" s="58"/>
      <c r="X475" s="10">
        <f ca="1">IF((T474-O475)&lt;0,(T474-O475)*_Costo_Faltante,0)</f>
        <v>0</v>
      </c>
      <c r="Y475">
        <f>IF(B475=0,E475*_Costo_Frasco,0)</f>
        <v>0</v>
      </c>
      <c r="Z475" s="11">
        <f t="shared" ca="1" si="103"/>
        <v>-67500</v>
      </c>
    </row>
    <row r="476" spans="1:26" x14ac:dyDescent="0.25">
      <c r="A476" s="30">
        <f t="shared" si="100"/>
        <v>460</v>
      </c>
      <c r="B476" s="10">
        <f>IF(B475=0,_Proxima_Compra,B475-1)</f>
        <v>0</v>
      </c>
      <c r="C476" s="3">
        <f t="shared" ca="1" si="93"/>
        <v>0.26601342881532741</v>
      </c>
      <c r="D476" s="3">
        <f ca="1">IF(D475&gt;0,D475-1,IF(C476&gt;0,LOOKUP(C476,$S$3:$S$5,$P$3:$P$5),-1))</f>
        <v>0</v>
      </c>
      <c r="E476" s="25">
        <f t="shared" ca="1" si="94"/>
        <v>2</v>
      </c>
      <c r="F476" s="28">
        <f ca="1">E476*_GramosXFrasco</f>
        <v>340</v>
      </c>
      <c r="G476" s="38">
        <f t="shared" ca="1" si="95"/>
        <v>0.21688823891386655</v>
      </c>
      <c r="H476" s="36">
        <f t="shared" ca="1" si="96"/>
        <v>-1</v>
      </c>
      <c r="I476" s="36">
        <f t="shared" ca="1" si="97"/>
        <v>-1</v>
      </c>
      <c r="J476" s="36">
        <f t="shared" ca="1" si="91"/>
        <v>-1</v>
      </c>
      <c r="K476" s="37">
        <f ca="1">IF(J476&lt;&gt;-1,_Media_M + J476*_Sigma,-1)</f>
        <v>-1</v>
      </c>
      <c r="L476" s="3">
        <f t="shared" ca="1" si="98"/>
        <v>50</v>
      </c>
      <c r="M476" s="18">
        <f ca="1">IF(LOOKUP(G476,$H$3:$H$4,$E$3:$E$4)=1,50,_Media_M + J476*_Sigma)</f>
        <v>50</v>
      </c>
      <c r="N476" s="36">
        <f t="shared" ca="1" si="99"/>
        <v>14.388394139794649</v>
      </c>
      <c r="O476" s="35">
        <f t="shared" ca="1" si="92"/>
        <v>64.388394139794656</v>
      </c>
      <c r="P476" s="19">
        <f t="shared" ca="1" si="101"/>
        <v>64.388394139794656</v>
      </c>
      <c r="Q476" s="20">
        <f ca="1" xml:space="preserve"> P476*_Precio_cafe</f>
        <v>96.582591209691984</v>
      </c>
      <c r="R476" s="20">
        <f t="shared" ca="1" si="102"/>
        <v>63876.338516843258</v>
      </c>
      <c r="S476" s="20">
        <f ca="1">(1/A476)*((A476-1)*S475 +Q476)</f>
        <v>138.86160547139838</v>
      </c>
      <c r="T476" s="20">
        <f ca="1">IF((T475-P476+F476)&gt;_Max_Stock_Gramos,_Max_Stock_Gramos,T475-P476+F476)</f>
        <v>1700</v>
      </c>
      <c r="U476" s="20">
        <f ca="1">T476/_GramosXFrasco</f>
        <v>10</v>
      </c>
      <c r="V476" s="58">
        <f ca="1">(T476/_Max_Stock_Gramos)</f>
        <v>1</v>
      </c>
      <c r="W476" s="58"/>
      <c r="X476" s="10">
        <f ca="1">IF((T475-O476)&lt;0,(T475-O476)*_Costo_Faltante,0)</f>
        <v>0</v>
      </c>
      <c r="Y476">
        <f ca="1">IF(B476=0,E476*_Costo_Frasco,0)</f>
        <v>-500</v>
      </c>
      <c r="Z476" s="11">
        <f t="shared" ca="1" si="103"/>
        <v>-68000</v>
      </c>
    </row>
    <row r="477" spans="1:26" x14ac:dyDescent="0.25">
      <c r="A477" s="30">
        <f t="shared" si="100"/>
        <v>461</v>
      </c>
      <c r="B477" s="10">
        <f>IF(B476=0,_Proxima_Compra,B476-1)</f>
        <v>1</v>
      </c>
      <c r="C477" s="3">
        <f t="shared" ca="1" si="93"/>
        <v>-1</v>
      </c>
      <c r="D477" s="3">
        <f ca="1">IF(D476&gt;0,D476-1,IF(C477&gt;0,LOOKUP(C477,$S$3:$S$5,$P$3:$P$5),-1))</f>
        <v>-1</v>
      </c>
      <c r="E477" s="25">
        <f t="shared" ca="1" si="94"/>
        <v>0</v>
      </c>
      <c r="F477" s="28">
        <f ca="1">E477*_GramosXFrasco</f>
        <v>0</v>
      </c>
      <c r="G477" s="38">
        <f t="shared" ca="1" si="95"/>
        <v>0.43215124903067925</v>
      </c>
      <c r="H477" s="36">
        <f t="shared" ca="1" si="96"/>
        <v>-1</v>
      </c>
      <c r="I477" s="36">
        <f t="shared" ca="1" si="97"/>
        <v>-1</v>
      </c>
      <c r="J477" s="36">
        <f t="shared" ca="1" si="91"/>
        <v>-1</v>
      </c>
      <c r="K477" s="37">
        <f ca="1">IF(J477&lt;&gt;-1,_Media_M + J477*_Sigma,-1)</f>
        <v>-1</v>
      </c>
      <c r="L477" s="3">
        <f t="shared" ca="1" si="98"/>
        <v>50</v>
      </c>
      <c r="M477" s="18">
        <f ca="1">IF(LOOKUP(G477,$H$3:$H$4,$E$3:$E$4)=1,50,_Media_M + J477*_Sigma)</f>
        <v>50</v>
      </c>
      <c r="N477" s="36">
        <f t="shared" ca="1" si="99"/>
        <v>27.771415484011008</v>
      </c>
      <c r="O477" s="35">
        <f t="shared" ca="1" si="92"/>
        <v>77.771415484011015</v>
      </c>
      <c r="P477" s="19">
        <f t="shared" ca="1" si="101"/>
        <v>77.771415484011015</v>
      </c>
      <c r="Q477" s="20">
        <f ca="1" xml:space="preserve"> P477*_Precio_cafe</f>
        <v>116.65712322601652</v>
      </c>
      <c r="R477" s="20">
        <f t="shared" ca="1" si="102"/>
        <v>63992.995640069275</v>
      </c>
      <c r="S477" s="20">
        <f ca="1">(1/A477)*((A477-1)*S476 +Q477)</f>
        <v>138.81343956631079</v>
      </c>
      <c r="T477" s="20">
        <f ca="1">IF((T476-P477+F477)&gt;_Max_Stock_Gramos,_Max_Stock_Gramos,T476-P477+F477)</f>
        <v>1622.228584515989</v>
      </c>
      <c r="U477" s="20">
        <f ca="1">T477/_GramosXFrasco</f>
        <v>9.5425210853881701</v>
      </c>
      <c r="V477" s="58">
        <f ca="1">(T477/_Max_Stock_Gramos)</f>
        <v>0.95425210853881703</v>
      </c>
      <c r="W477" s="58"/>
      <c r="X477" s="10">
        <f ca="1">IF((T476-O477)&lt;0,(T476-O477)*_Costo_Faltante,0)</f>
        <v>0</v>
      </c>
      <c r="Y477">
        <f>IF(B477=0,E477*_Costo_Frasco,0)</f>
        <v>0</v>
      </c>
      <c r="Z477" s="11">
        <f t="shared" ca="1" si="103"/>
        <v>-68000</v>
      </c>
    </row>
    <row r="478" spans="1:26" x14ac:dyDescent="0.25">
      <c r="A478" s="30">
        <f t="shared" si="100"/>
        <v>462</v>
      </c>
      <c r="B478" s="10">
        <f>IF(B477=0,_Proxima_Compra,B477-1)</f>
        <v>0</v>
      </c>
      <c r="C478" s="3">
        <f t="shared" ca="1" si="93"/>
        <v>0.37700692233268052</v>
      </c>
      <c r="D478" s="3">
        <f ca="1">IF(D477&gt;0,D477-1,IF(C478&gt;0,LOOKUP(C478,$S$3:$S$5,$P$3:$P$5),-1))</f>
        <v>0</v>
      </c>
      <c r="E478" s="25">
        <f t="shared" ca="1" si="94"/>
        <v>2</v>
      </c>
      <c r="F478" s="28">
        <f ca="1">E478*_GramosXFrasco</f>
        <v>340</v>
      </c>
      <c r="G478" s="38">
        <f t="shared" ca="1" si="95"/>
        <v>0.14039821371304773</v>
      </c>
      <c r="H478" s="36">
        <f t="shared" ca="1" si="96"/>
        <v>-1</v>
      </c>
      <c r="I478" s="36">
        <f t="shared" ca="1" si="97"/>
        <v>-1</v>
      </c>
      <c r="J478" s="36">
        <f t="shared" ca="1" si="91"/>
        <v>-1</v>
      </c>
      <c r="K478" s="37">
        <f ca="1">IF(J478&lt;&gt;-1,_Media_M + J478*_Sigma,-1)</f>
        <v>-1</v>
      </c>
      <c r="L478" s="3">
        <f t="shared" ca="1" si="98"/>
        <v>50</v>
      </c>
      <c r="M478" s="18">
        <f ca="1">IF(LOOKUP(G478,$H$3:$H$4,$E$3:$E$4)=1,50,_Media_M + J478*_Sigma)</f>
        <v>50</v>
      </c>
      <c r="N478" s="36">
        <f t="shared" ca="1" si="99"/>
        <v>133.66378117675814</v>
      </c>
      <c r="O478" s="35">
        <f t="shared" ca="1" si="92"/>
        <v>183.66378117675814</v>
      </c>
      <c r="P478" s="19">
        <f t="shared" ca="1" si="101"/>
        <v>183.66378117675814</v>
      </c>
      <c r="Q478" s="20">
        <f ca="1" xml:space="preserve"> P478*_Precio_cafe</f>
        <v>275.49567176513722</v>
      </c>
      <c r="R478" s="20">
        <f t="shared" ca="1" si="102"/>
        <v>64268.491311834412</v>
      </c>
      <c r="S478" s="20">
        <f ca="1">(1/A478)*((A478-1)*S477 +Q478)</f>
        <v>139.10928855375414</v>
      </c>
      <c r="T478" s="20">
        <f ca="1">IF((T477-P478+F478)&gt;_Max_Stock_Gramos,_Max_Stock_Gramos,T477-P478+F478)</f>
        <v>1700</v>
      </c>
      <c r="U478" s="20">
        <f ca="1">T478/_GramosXFrasco</f>
        <v>10</v>
      </c>
      <c r="V478" s="58">
        <f ca="1">(T478/_Max_Stock_Gramos)</f>
        <v>1</v>
      </c>
      <c r="W478" s="58"/>
      <c r="X478" s="10">
        <f ca="1">IF((T477-O478)&lt;0,(T477-O478)*_Costo_Faltante,0)</f>
        <v>0</v>
      </c>
      <c r="Y478">
        <f ca="1">IF(B478=0,E478*_Costo_Frasco,0)</f>
        <v>-500</v>
      </c>
      <c r="Z478" s="11">
        <f t="shared" ca="1" si="103"/>
        <v>-68500</v>
      </c>
    </row>
    <row r="479" spans="1:26" x14ac:dyDescent="0.25">
      <c r="A479" s="30">
        <f t="shared" si="100"/>
        <v>463</v>
      </c>
      <c r="B479" s="10">
        <f>IF(B478=0,_Proxima_Compra,B478-1)</f>
        <v>1</v>
      </c>
      <c r="C479" s="3">
        <f t="shared" ca="1" si="93"/>
        <v>-1</v>
      </c>
      <c r="D479" s="3">
        <f ca="1">IF(D478&gt;0,D478-1,IF(C479&gt;0,LOOKUP(C479,$S$3:$S$5,$P$3:$P$5),-1))</f>
        <v>-1</v>
      </c>
      <c r="E479" s="25">
        <f t="shared" ca="1" si="94"/>
        <v>0</v>
      </c>
      <c r="F479" s="28">
        <f ca="1">E479*_GramosXFrasco</f>
        <v>0</v>
      </c>
      <c r="G479" s="38">
        <f t="shared" ca="1" si="95"/>
        <v>0.5176088600757065</v>
      </c>
      <c r="H479" s="36">
        <f t="shared" ca="1" si="96"/>
        <v>1.8984504983652895E-2</v>
      </c>
      <c r="I479" s="36">
        <f t="shared" ca="1" si="97"/>
        <v>0.92665051278016852</v>
      </c>
      <c r="J479" s="36">
        <f t="shared" ca="1" si="91"/>
        <v>0.11556621606418423</v>
      </c>
      <c r="K479" s="37">
        <f ca="1">IF(J479&lt;&gt;-1,_Media_M + J479*_Sigma,-1)</f>
        <v>76.733493240962758</v>
      </c>
      <c r="L479" s="3">
        <f t="shared" ca="1" si="98"/>
        <v>-1</v>
      </c>
      <c r="M479" s="18">
        <f ca="1">IF(LOOKUP(G479,$H$3:$H$4,$E$3:$E$4)=1,50,_Media_M + J479*_Sigma)</f>
        <v>76.733493240962758</v>
      </c>
      <c r="N479" s="36">
        <f t="shared" ca="1" si="99"/>
        <v>56.330895369598409</v>
      </c>
      <c r="O479" s="35">
        <f t="shared" ca="1" si="92"/>
        <v>133.06438861056117</v>
      </c>
      <c r="P479" s="19">
        <f t="shared" ca="1" si="101"/>
        <v>133.06438861056117</v>
      </c>
      <c r="Q479" s="20">
        <f ca="1" xml:space="preserve"> P479*_Precio_cafe</f>
        <v>199.59658291584174</v>
      </c>
      <c r="R479" s="20">
        <f t="shared" ca="1" si="102"/>
        <v>64468.087894750257</v>
      </c>
      <c r="S479" s="20">
        <f ca="1">(1/A479)*((A479-1)*S478 +Q479)</f>
        <v>139.2399306582079</v>
      </c>
      <c r="T479" s="20">
        <f ca="1">IF((T478-P479+F479)&gt;_Max_Stock_Gramos,_Max_Stock_Gramos,T478-P479+F479)</f>
        <v>1566.9356113894389</v>
      </c>
      <c r="U479" s="20">
        <f ca="1">T479/_GramosXFrasco</f>
        <v>9.2172683022908171</v>
      </c>
      <c r="V479" s="58">
        <f ca="1">(T479/_Max_Stock_Gramos)</f>
        <v>0.92172683022908175</v>
      </c>
      <c r="W479" s="58"/>
      <c r="X479" s="10">
        <f ca="1">IF((T478-O479)&lt;0,(T478-O479)*_Costo_Faltante,0)</f>
        <v>0</v>
      </c>
      <c r="Y479">
        <f>IF(B479=0,E479*_Costo_Frasco,0)</f>
        <v>0</v>
      </c>
      <c r="Z479" s="11">
        <f t="shared" ca="1" si="103"/>
        <v>-68500</v>
      </c>
    </row>
    <row r="480" spans="1:26" x14ac:dyDescent="0.25">
      <c r="A480" s="30">
        <f t="shared" si="100"/>
        <v>464</v>
      </c>
      <c r="B480" s="10">
        <f>IF(B479=0,_Proxima_Compra,B479-1)</f>
        <v>0</v>
      </c>
      <c r="C480" s="3">
        <f t="shared" ca="1" si="93"/>
        <v>0.63077981169496933</v>
      </c>
      <c r="D480" s="3">
        <f ca="1">IF(D479&gt;0,D479-1,IF(C480&gt;0,LOOKUP(C480,$S$3:$S$5,$P$3:$P$5),-1))</f>
        <v>1</v>
      </c>
      <c r="E480" s="25">
        <f t="shared" ca="1" si="94"/>
        <v>0</v>
      </c>
      <c r="F480" s="28">
        <f ca="1">E480*_GramosXFrasco</f>
        <v>0</v>
      </c>
      <c r="G480" s="38">
        <f t="shared" ca="1" si="95"/>
        <v>0.56331565927566274</v>
      </c>
      <c r="H480" s="36">
        <f t="shared" ca="1" si="96"/>
        <v>0.5910484360510575</v>
      </c>
      <c r="I480" s="36">
        <f t="shared" ca="1" si="97"/>
        <v>7.2340493617918278E-2</v>
      </c>
      <c r="J480" s="36">
        <f t="shared" ca="1" si="91"/>
        <v>0.79180283525925632</v>
      </c>
      <c r="K480" s="37">
        <f ca="1">IF(J480&lt;&gt;-1,_Media_M + J480*_Sigma,-1)</f>
        <v>86.87704252888885</v>
      </c>
      <c r="L480" s="3">
        <f t="shared" ca="1" si="98"/>
        <v>-1</v>
      </c>
      <c r="M480" s="18">
        <f ca="1">IF(LOOKUP(G480,$H$3:$H$4,$E$3:$E$4)=1,50,_Media_M + J480*_Sigma)</f>
        <v>86.87704252888885</v>
      </c>
      <c r="N480" s="36">
        <f t="shared" ca="1" si="99"/>
        <v>44.692390242331811</v>
      </c>
      <c r="O480" s="35">
        <f t="shared" ca="1" si="92"/>
        <v>131.56943277122065</v>
      </c>
      <c r="P480" s="19">
        <f t="shared" ca="1" si="101"/>
        <v>131.56943277122065</v>
      </c>
      <c r="Q480" s="20">
        <f ca="1" xml:space="preserve"> P480*_Precio_cafe</f>
        <v>197.35414915683097</v>
      </c>
      <c r="R480" s="20">
        <f t="shared" ca="1" si="102"/>
        <v>64665.442043907089</v>
      </c>
      <c r="S480" s="20">
        <f ca="1">(1/A480)*((A480-1)*S479 +Q480)</f>
        <v>139.36517681876526</v>
      </c>
      <c r="T480" s="20">
        <f ca="1">IF((T479-P480+F480)&gt;_Max_Stock_Gramos,_Max_Stock_Gramos,T479-P480+F480)</f>
        <v>1435.3661786182183</v>
      </c>
      <c r="U480" s="20">
        <f ca="1">T480/_GramosXFrasco</f>
        <v>8.4433304624601071</v>
      </c>
      <c r="V480" s="58">
        <f ca="1">(T480/_Max_Stock_Gramos)</f>
        <v>0.8443330462460108</v>
      </c>
      <c r="W480" s="58"/>
      <c r="X480" s="10">
        <f ca="1">IF((T479-O480)&lt;0,(T479-O480)*_Costo_Faltante,0)</f>
        <v>0</v>
      </c>
      <c r="Y480">
        <f ca="1">IF(B480=0,E480*_Costo_Frasco,0)</f>
        <v>0</v>
      </c>
      <c r="Z480" s="11">
        <f t="shared" ca="1" si="103"/>
        <v>-68500</v>
      </c>
    </row>
    <row r="481" spans="1:26" x14ac:dyDescent="0.25">
      <c r="A481" s="30">
        <f t="shared" si="100"/>
        <v>465</v>
      </c>
      <c r="B481" s="10">
        <f>IF(B480=0,_Proxima_Compra,B480-1)</f>
        <v>1</v>
      </c>
      <c r="C481" s="3">
        <f t="shared" ca="1" si="93"/>
        <v>-1</v>
      </c>
      <c r="D481" s="3">
        <f ca="1">IF(D480&gt;0,D480-1,IF(C481&gt;0,LOOKUP(C481,$S$3:$S$5,$P$3:$P$5),-1))</f>
        <v>0</v>
      </c>
      <c r="E481" s="25">
        <f t="shared" ca="1" si="94"/>
        <v>2</v>
      </c>
      <c r="F481" s="28">
        <f ca="1">E481*_GramosXFrasco</f>
        <v>340</v>
      </c>
      <c r="G481" s="38">
        <f t="shared" ca="1" si="95"/>
        <v>0.11514495654259971</v>
      </c>
      <c r="H481" s="36">
        <f t="shared" ca="1" si="96"/>
        <v>-1</v>
      </c>
      <c r="I481" s="36">
        <f t="shared" ca="1" si="97"/>
        <v>-1</v>
      </c>
      <c r="J481" s="36">
        <f t="shared" ca="1" si="91"/>
        <v>-1</v>
      </c>
      <c r="K481" s="37">
        <f ca="1">IF(J481&lt;&gt;-1,_Media_M + J481*_Sigma,-1)</f>
        <v>-1</v>
      </c>
      <c r="L481" s="3">
        <f t="shared" ca="1" si="98"/>
        <v>50</v>
      </c>
      <c r="M481" s="18">
        <f ca="1">IF(LOOKUP(G481,$H$3:$H$4,$E$3:$E$4)=1,50,_Media_M + J481*_Sigma)</f>
        <v>50</v>
      </c>
      <c r="N481" s="36">
        <f t="shared" ca="1" si="99"/>
        <v>1.9723941608336981</v>
      </c>
      <c r="O481" s="35">
        <f t="shared" ca="1" si="92"/>
        <v>51.972394160833701</v>
      </c>
      <c r="P481" s="19">
        <f t="shared" ca="1" si="101"/>
        <v>51.972394160833701</v>
      </c>
      <c r="Q481" s="20">
        <f ca="1" xml:space="preserve"> P481*_Precio_cafe</f>
        <v>77.958591241250559</v>
      </c>
      <c r="R481" s="20">
        <f t="shared" ca="1" si="102"/>
        <v>64743.40063514834</v>
      </c>
      <c r="S481" s="20">
        <f ca="1">(1/A481)*((A481-1)*S480 +Q481)</f>
        <v>139.23311964548029</v>
      </c>
      <c r="T481" s="20">
        <f ca="1">IF((T480-P481+F481)&gt;_Max_Stock_Gramos,_Max_Stock_Gramos,T480-P481+F481)</f>
        <v>1700</v>
      </c>
      <c r="U481" s="20">
        <f ca="1">T481/_GramosXFrasco</f>
        <v>10</v>
      </c>
      <c r="V481" s="58">
        <f ca="1">(T481/_Max_Stock_Gramos)</f>
        <v>1</v>
      </c>
      <c r="W481" s="58"/>
      <c r="X481" s="10">
        <f ca="1">IF((T480-O481)&lt;0,(T480-O481)*_Costo_Faltante,0)</f>
        <v>0</v>
      </c>
      <c r="Y481">
        <f>IF(B481=0,E481*_Costo_Frasco,0)</f>
        <v>0</v>
      </c>
      <c r="Z481" s="11">
        <f t="shared" ca="1" si="103"/>
        <v>-68500</v>
      </c>
    </row>
    <row r="482" spans="1:26" x14ac:dyDescent="0.25">
      <c r="A482" s="30">
        <f t="shared" si="100"/>
        <v>466</v>
      </c>
      <c r="B482" s="10">
        <f>IF(B481=0,_Proxima_Compra,B481-1)</f>
        <v>0</v>
      </c>
      <c r="C482" s="3">
        <f t="shared" ca="1" si="93"/>
        <v>0.30639670899327742</v>
      </c>
      <c r="D482" s="3">
        <f ca="1">IF(D481&gt;0,D481-1,IF(C482&gt;0,LOOKUP(C482,$S$3:$S$5,$P$3:$P$5),-1))</f>
        <v>0</v>
      </c>
      <c r="E482" s="25">
        <f t="shared" ca="1" si="94"/>
        <v>2</v>
      </c>
      <c r="F482" s="28">
        <f ca="1">E482*_GramosXFrasco</f>
        <v>340</v>
      </c>
      <c r="G482" s="38">
        <f t="shared" ca="1" si="95"/>
        <v>0.79161036274026197</v>
      </c>
      <c r="H482" s="36">
        <f t="shared" ca="1" si="96"/>
        <v>0.73955884332939736</v>
      </c>
      <c r="I482" s="36">
        <f t="shared" ca="1" si="97"/>
        <v>0.22420657541741507</v>
      </c>
      <c r="J482" s="36">
        <f t="shared" ca="1" si="91"/>
        <v>0.17442769834094066</v>
      </c>
      <c r="K482" s="37">
        <f ca="1">IF(J482&lt;&gt;-1,_Media_M + J482*_Sigma,-1)</f>
        <v>77.61641547511411</v>
      </c>
      <c r="L482" s="3">
        <f t="shared" ca="1" si="98"/>
        <v>-1</v>
      </c>
      <c r="M482" s="18">
        <f ca="1">IF(LOOKUP(G482,$H$3:$H$4,$E$3:$E$4)=1,50,_Media_M + J482*_Sigma)</f>
        <v>77.61641547511411</v>
      </c>
      <c r="N482" s="36">
        <f t="shared" ca="1" si="99"/>
        <v>8.6794987856622132</v>
      </c>
      <c r="O482" s="35">
        <f t="shared" ca="1" si="92"/>
        <v>86.295914260776328</v>
      </c>
      <c r="P482" s="19">
        <f t="shared" ca="1" si="101"/>
        <v>86.295914260776328</v>
      </c>
      <c r="Q482" s="20">
        <f ca="1" xml:space="preserve"> P482*_Precio_cafe</f>
        <v>129.44387139116449</v>
      </c>
      <c r="R482" s="20">
        <f t="shared" ca="1" si="102"/>
        <v>64872.844506539506</v>
      </c>
      <c r="S482" s="20">
        <f ca="1">(1/A482)*((A482-1)*S481 +Q482)</f>
        <v>139.21211267497748</v>
      </c>
      <c r="T482" s="20">
        <f ca="1">IF((T481-P482+F482)&gt;_Max_Stock_Gramos,_Max_Stock_Gramos,T481-P482+F482)</f>
        <v>1700</v>
      </c>
      <c r="U482" s="20">
        <f ca="1">T482/_GramosXFrasco</f>
        <v>10</v>
      </c>
      <c r="V482" s="58">
        <f ca="1">(T482/_Max_Stock_Gramos)</f>
        <v>1</v>
      </c>
      <c r="W482" s="58"/>
      <c r="X482" s="10">
        <f ca="1">IF((T481-O482)&lt;0,(T481-O482)*_Costo_Faltante,0)</f>
        <v>0</v>
      </c>
      <c r="Y482">
        <f ca="1">IF(B482=0,E482*_Costo_Frasco,0)</f>
        <v>-500</v>
      </c>
      <c r="Z482" s="11">
        <f t="shared" ca="1" si="103"/>
        <v>-69000</v>
      </c>
    </row>
    <row r="483" spans="1:26" x14ac:dyDescent="0.25">
      <c r="A483" s="30">
        <f t="shared" si="100"/>
        <v>467</v>
      </c>
      <c r="B483" s="10">
        <f>IF(B482=0,_Proxima_Compra,B482-1)</f>
        <v>1</v>
      </c>
      <c r="C483" s="3">
        <f t="shared" ca="1" si="93"/>
        <v>-1</v>
      </c>
      <c r="D483" s="3">
        <f ca="1">IF(D482&gt;0,D482-1,IF(C483&gt;0,LOOKUP(C483,$S$3:$S$5,$P$3:$P$5),-1))</f>
        <v>-1</v>
      </c>
      <c r="E483" s="25">
        <f t="shared" ca="1" si="94"/>
        <v>0</v>
      </c>
      <c r="F483" s="28">
        <f ca="1">E483*_GramosXFrasco</f>
        <v>0</v>
      </c>
      <c r="G483" s="38">
        <f t="shared" ca="1" si="95"/>
        <v>0.68925503581712544</v>
      </c>
      <c r="H483" s="36">
        <f t="shared" ca="1" si="96"/>
        <v>0.29243768046376761</v>
      </c>
      <c r="I483" s="36">
        <f t="shared" ca="1" si="97"/>
        <v>0.1043982474329409</v>
      </c>
      <c r="J483" s="36">
        <f t="shared" ca="1" si="91"/>
        <v>0.43439220733576073</v>
      </c>
      <c r="K483" s="37">
        <f ca="1">IF(J483&lt;&gt;-1,_Media_M + J483*_Sigma,-1)</f>
        <v>81.515883110036413</v>
      </c>
      <c r="L483" s="3">
        <f t="shared" ca="1" si="98"/>
        <v>-1</v>
      </c>
      <c r="M483" s="18">
        <f ca="1">IF(LOOKUP(G483,$H$3:$H$4,$E$3:$E$4)=1,50,_Media_M + J483*_Sigma)</f>
        <v>81.515883110036413</v>
      </c>
      <c r="N483" s="36">
        <f t="shared" ca="1" si="99"/>
        <v>31.490433680577191</v>
      </c>
      <c r="O483" s="35">
        <f t="shared" ca="1" si="92"/>
        <v>113.0063167906136</v>
      </c>
      <c r="P483" s="19">
        <f t="shared" ca="1" si="101"/>
        <v>113.0063167906136</v>
      </c>
      <c r="Q483" s="20">
        <f ca="1" xml:space="preserve"> P483*_Precio_cafe</f>
        <v>169.50947518592039</v>
      </c>
      <c r="R483" s="20">
        <f t="shared" ca="1" si="102"/>
        <v>65042.353981725428</v>
      </c>
      <c r="S483" s="20">
        <f ca="1">(1/A483)*((A483-1)*S482 +Q483)</f>
        <v>139.27698925423005</v>
      </c>
      <c r="T483" s="20">
        <f ca="1">IF((T482-P483+F483)&gt;_Max_Stock_Gramos,_Max_Stock_Gramos,T482-P483+F483)</f>
        <v>1586.9936832093863</v>
      </c>
      <c r="U483" s="20">
        <f ca="1">T483/_GramosXFrasco</f>
        <v>9.3352569600552133</v>
      </c>
      <c r="V483" s="58">
        <f ca="1">(T483/_Max_Stock_Gramos)</f>
        <v>0.93352569600552138</v>
      </c>
      <c r="W483" s="58"/>
      <c r="X483" s="10">
        <f ca="1">IF((T482-O483)&lt;0,(T482-O483)*_Costo_Faltante,0)</f>
        <v>0</v>
      </c>
      <c r="Y483">
        <f>IF(B483=0,E483*_Costo_Frasco,0)</f>
        <v>0</v>
      </c>
      <c r="Z483" s="11">
        <f t="shared" ca="1" si="103"/>
        <v>-69000</v>
      </c>
    </row>
    <row r="484" spans="1:26" x14ac:dyDescent="0.25">
      <c r="A484" s="30">
        <f t="shared" si="100"/>
        <v>468</v>
      </c>
      <c r="B484" s="10">
        <f>IF(B483=0,_Proxima_Compra,B483-1)</f>
        <v>0</v>
      </c>
      <c r="C484" s="3">
        <f t="shared" ca="1" si="93"/>
        <v>0.70070471907530285</v>
      </c>
      <c r="D484" s="3">
        <f ca="1">IF(D483&gt;0,D483-1,IF(C484&gt;0,LOOKUP(C484,$S$3:$S$5,$P$3:$P$5),-1))</f>
        <v>1</v>
      </c>
      <c r="E484" s="25">
        <f t="shared" ca="1" si="94"/>
        <v>0</v>
      </c>
      <c r="F484" s="28">
        <f ca="1">E484*_GramosXFrasco</f>
        <v>0</v>
      </c>
      <c r="G484" s="38">
        <f t="shared" ca="1" si="95"/>
        <v>0.54623569235503666</v>
      </c>
      <c r="H484" s="36">
        <f t="shared" ca="1" si="96"/>
        <v>0.25750990346347069</v>
      </c>
      <c r="I484" s="36">
        <f t="shared" ca="1" si="97"/>
        <v>0.68835745284600158</v>
      </c>
      <c r="J484" s="36">
        <f t="shared" ref="J484:J516" ca="1" si="104">IF(I484&gt;0,SQRT(-2*LOG(1-H484)) * COS(2*PI()*I484),-1)</f>
        <v>-0.19207792736308346</v>
      </c>
      <c r="K484" s="37">
        <f ca="1">IF(J484&lt;&gt;-1,_Media_M + J484*_Sigma,-1)</f>
        <v>72.118831089553751</v>
      </c>
      <c r="L484" s="3">
        <f t="shared" ca="1" si="98"/>
        <v>-1</v>
      </c>
      <c r="M484" s="18">
        <f ca="1">IF(LOOKUP(G484,$H$3:$H$4,$E$3:$E$4)=1,50,_Media_M + J484*_Sigma)</f>
        <v>72.118831089553751</v>
      </c>
      <c r="N484" s="36">
        <f t="shared" ca="1" si="99"/>
        <v>67.176435376305307</v>
      </c>
      <c r="O484" s="35">
        <f t="shared" ref="O484:O516" ca="1" si="105">M484+N484</f>
        <v>139.29526646585907</v>
      </c>
      <c r="P484" s="19">
        <f t="shared" ca="1" si="101"/>
        <v>139.29526646585907</v>
      </c>
      <c r="Q484" s="20">
        <f ca="1" xml:space="preserve"> P484*_Precio_cafe</f>
        <v>208.94289969878861</v>
      </c>
      <c r="R484" s="20">
        <f t="shared" ca="1" si="102"/>
        <v>65251.296881424219</v>
      </c>
      <c r="S484" s="20">
        <f ca="1">(1/A484)*((A484-1)*S483 +Q484)</f>
        <v>139.42584803723125</v>
      </c>
      <c r="T484" s="20">
        <f ca="1">IF((T483-P484+F484)&gt;_Max_Stock_Gramos,_Max_Stock_Gramos,T483-P484+F484)</f>
        <v>1447.6984167435271</v>
      </c>
      <c r="U484" s="20">
        <f ca="1">T484/_GramosXFrasco</f>
        <v>8.515873039667806</v>
      </c>
      <c r="V484" s="58">
        <f ca="1">(T484/_Max_Stock_Gramos)</f>
        <v>0.85158730396678062</v>
      </c>
      <c r="W484" s="58"/>
      <c r="X484" s="10">
        <f ca="1">IF((T483-O484)&lt;0,(T483-O484)*_Costo_Faltante,0)</f>
        <v>0</v>
      </c>
      <c r="Y484">
        <f ca="1">IF(B484=0,E484*_Costo_Frasco,0)</f>
        <v>0</v>
      </c>
      <c r="Z484" s="11">
        <f t="shared" ca="1" si="103"/>
        <v>-69000</v>
      </c>
    </row>
    <row r="485" spans="1:26" x14ac:dyDescent="0.25">
      <c r="A485" s="30">
        <f t="shared" si="100"/>
        <v>469</v>
      </c>
      <c r="B485" s="10">
        <f>IF(B484=0,_Proxima_Compra,B484-1)</f>
        <v>1</v>
      </c>
      <c r="C485" s="3">
        <f t="shared" ca="1" si="93"/>
        <v>-1</v>
      </c>
      <c r="D485" s="3">
        <f ca="1">IF(D484&gt;0,D484-1,IF(C485&gt;0,LOOKUP(C485,$S$3:$S$5,$P$3:$P$5),-1))</f>
        <v>0</v>
      </c>
      <c r="E485" s="25">
        <f t="shared" ca="1" si="94"/>
        <v>2</v>
      </c>
      <c r="F485" s="28">
        <f ca="1">E485*_GramosXFrasco</f>
        <v>340</v>
      </c>
      <c r="G485" s="38">
        <f t="shared" ca="1" si="95"/>
        <v>0.3732562339983978</v>
      </c>
      <c r="H485" s="36">
        <f t="shared" ca="1" si="96"/>
        <v>-1</v>
      </c>
      <c r="I485" s="36">
        <f t="shared" ca="1" si="97"/>
        <v>-1</v>
      </c>
      <c r="J485" s="36">
        <f t="shared" ca="1" si="104"/>
        <v>-1</v>
      </c>
      <c r="K485" s="37">
        <f ca="1">IF(J485&lt;&gt;-1,_Media_M + J485*_Sigma,-1)</f>
        <v>-1</v>
      </c>
      <c r="L485" s="3">
        <f t="shared" ca="1" si="98"/>
        <v>50</v>
      </c>
      <c r="M485" s="18">
        <f ca="1">IF(LOOKUP(G485,$H$3:$H$4,$E$3:$E$4)=1,50,_Media_M + J485*_Sigma)</f>
        <v>50</v>
      </c>
      <c r="N485" s="36">
        <f t="shared" ca="1" si="99"/>
        <v>31.46941672110211</v>
      </c>
      <c r="O485" s="35">
        <f t="shared" ca="1" si="105"/>
        <v>81.469416721102107</v>
      </c>
      <c r="P485" s="19">
        <f t="shared" ca="1" si="101"/>
        <v>81.469416721102107</v>
      </c>
      <c r="Q485" s="20">
        <f ca="1" xml:space="preserve"> P485*_Precio_cafe</f>
        <v>122.20412508165316</v>
      </c>
      <c r="R485" s="20">
        <f t="shared" ca="1" si="102"/>
        <v>65373.501006505874</v>
      </c>
      <c r="S485" s="20">
        <f ca="1">(1/A485)*((A485-1)*S484 +Q485)</f>
        <v>139.38912794564155</v>
      </c>
      <c r="T485" s="20">
        <f ca="1">IF((T484-P485+F485)&gt;_Max_Stock_Gramos,_Max_Stock_Gramos,T484-P485+F485)</f>
        <v>1700</v>
      </c>
      <c r="U485" s="20">
        <f ca="1">T485/_GramosXFrasco</f>
        <v>10</v>
      </c>
      <c r="V485" s="58">
        <f ca="1">(T485/_Max_Stock_Gramos)</f>
        <v>1</v>
      </c>
      <c r="W485" s="58"/>
      <c r="X485" s="10">
        <f ca="1">IF((T484-O485)&lt;0,(T484-O485)*_Costo_Faltante,0)</f>
        <v>0</v>
      </c>
      <c r="Y485">
        <f>IF(B485=0,E485*_Costo_Frasco,0)</f>
        <v>0</v>
      </c>
      <c r="Z485" s="11">
        <f t="shared" ca="1" si="103"/>
        <v>-69000</v>
      </c>
    </row>
    <row r="486" spans="1:26" x14ac:dyDescent="0.25">
      <c r="A486" s="30">
        <f t="shared" si="100"/>
        <v>470</v>
      </c>
      <c r="B486" s="10">
        <f>IF(B485=0,_Proxima_Compra,B485-1)</f>
        <v>0</v>
      </c>
      <c r="C486" s="3">
        <f t="shared" ca="1" si="93"/>
        <v>0.97950444432038086</v>
      </c>
      <c r="D486" s="3">
        <f ca="1">IF(D485&gt;0,D485-1,IF(C486&gt;0,LOOKUP(C486,$S$3:$S$5,$P$3:$P$5),-1))</f>
        <v>2</v>
      </c>
      <c r="E486" s="25">
        <f t="shared" ca="1" si="94"/>
        <v>0</v>
      </c>
      <c r="F486" s="28">
        <f ca="1">E486*_GramosXFrasco</f>
        <v>0</v>
      </c>
      <c r="G486" s="38">
        <f t="shared" ca="1" si="95"/>
        <v>0.22028295041741064</v>
      </c>
      <c r="H486" s="36">
        <f t="shared" ca="1" si="96"/>
        <v>-1</v>
      </c>
      <c r="I486" s="36">
        <f t="shared" ca="1" si="97"/>
        <v>-1</v>
      </c>
      <c r="J486" s="36">
        <f t="shared" ca="1" si="104"/>
        <v>-1</v>
      </c>
      <c r="K486" s="37">
        <f ca="1">IF(J486&lt;&gt;-1,_Media_M + J486*_Sigma,-1)</f>
        <v>-1</v>
      </c>
      <c r="L486" s="3">
        <f t="shared" ca="1" si="98"/>
        <v>50</v>
      </c>
      <c r="M486" s="18">
        <f ca="1">IF(LOOKUP(G486,$H$3:$H$4,$E$3:$E$4)=1,50,_Media_M + J486*_Sigma)</f>
        <v>50</v>
      </c>
      <c r="N486" s="36">
        <f t="shared" ca="1" si="99"/>
        <v>13.189558290438949</v>
      </c>
      <c r="O486" s="35">
        <f t="shared" ca="1" si="105"/>
        <v>63.189558290438953</v>
      </c>
      <c r="P486" s="19">
        <f t="shared" ca="1" si="101"/>
        <v>63.189558290438953</v>
      </c>
      <c r="Q486" s="20">
        <f ca="1" xml:space="preserve"> P486*_Precio_cafe</f>
        <v>94.784337435658429</v>
      </c>
      <c r="R486" s="20">
        <f t="shared" ca="1" si="102"/>
        <v>65468.285343941534</v>
      </c>
      <c r="S486" s="20">
        <f ca="1">(1/A486)*((A486-1)*S485 +Q486)</f>
        <v>139.29422413604584</v>
      </c>
      <c r="T486" s="20">
        <f ca="1">IF((T485-P486+F486)&gt;_Max_Stock_Gramos,_Max_Stock_Gramos,T485-P486+F486)</f>
        <v>1636.810441709561</v>
      </c>
      <c r="U486" s="20">
        <f ca="1">T486/_GramosXFrasco</f>
        <v>9.6282967159385944</v>
      </c>
      <c r="V486" s="58">
        <f ca="1">(T486/_Max_Stock_Gramos)</f>
        <v>0.96282967159385946</v>
      </c>
      <c r="W486" s="58"/>
      <c r="X486" s="10">
        <f ca="1">IF((T485-O486)&lt;0,(T485-O486)*_Costo_Faltante,0)</f>
        <v>0</v>
      </c>
      <c r="Y486">
        <f ca="1">IF(B486=0,E486*_Costo_Frasco,0)</f>
        <v>0</v>
      </c>
      <c r="Z486" s="11">
        <f t="shared" ca="1" si="103"/>
        <v>-69000</v>
      </c>
    </row>
    <row r="487" spans="1:26" x14ac:dyDescent="0.25">
      <c r="A487" s="30">
        <f t="shared" si="100"/>
        <v>471</v>
      </c>
      <c r="B487" s="10">
        <f>IF(B486=0,_Proxima_Compra,B486-1)</f>
        <v>1</v>
      </c>
      <c r="C487" s="3">
        <f t="shared" ca="1" si="93"/>
        <v>-1</v>
      </c>
      <c r="D487" s="3">
        <f ca="1">IF(D486&gt;0,D486-1,IF(C487&gt;0,LOOKUP(C487,$S$3:$S$5,$P$3:$P$5),-1))</f>
        <v>1</v>
      </c>
      <c r="E487" s="25">
        <f t="shared" ca="1" si="94"/>
        <v>0</v>
      </c>
      <c r="F487" s="28">
        <f ca="1">E487*_GramosXFrasco</f>
        <v>0</v>
      </c>
      <c r="G487" s="38">
        <f t="shared" ca="1" si="95"/>
        <v>0.82627459180412011</v>
      </c>
      <c r="H487" s="36">
        <f t="shared" ca="1" si="96"/>
        <v>0.34527287854091482</v>
      </c>
      <c r="I487" s="36">
        <f t="shared" ca="1" si="97"/>
        <v>2.002048358201769E-2</v>
      </c>
      <c r="J487" s="36">
        <f t="shared" ca="1" si="104"/>
        <v>0.60173811032012059</v>
      </c>
      <c r="K487" s="37">
        <f ca="1">IF(J487&lt;&gt;-1,_Media_M + J487*_Sigma,-1)</f>
        <v>84.026071654801811</v>
      </c>
      <c r="L487" s="3">
        <f t="shared" ca="1" si="98"/>
        <v>-1</v>
      </c>
      <c r="M487" s="18">
        <f ca="1">IF(LOOKUP(G487,$H$3:$H$4,$E$3:$E$4)=1,50,_Media_M + J487*_Sigma)</f>
        <v>84.026071654801811</v>
      </c>
      <c r="N487" s="36">
        <f t="shared" ca="1" si="99"/>
        <v>11.432414962927988</v>
      </c>
      <c r="O487" s="35">
        <f t="shared" ca="1" si="105"/>
        <v>95.458486617729804</v>
      </c>
      <c r="P487" s="19">
        <f t="shared" ca="1" si="101"/>
        <v>95.458486617729804</v>
      </c>
      <c r="Q487" s="20">
        <f ca="1" xml:space="preserve"> P487*_Precio_cafe</f>
        <v>143.1877299265947</v>
      </c>
      <c r="R487" s="20">
        <f t="shared" ca="1" si="102"/>
        <v>65611.473073868125</v>
      </c>
      <c r="S487" s="20">
        <f ca="1">(1/A487)*((A487-1)*S486 +Q487)</f>
        <v>139.30249060269244</v>
      </c>
      <c r="T487" s="20">
        <f ca="1">IF((T486-P487+F487)&gt;_Max_Stock_Gramos,_Max_Stock_Gramos,T486-P487+F487)</f>
        <v>1541.3519550918313</v>
      </c>
      <c r="U487" s="20">
        <f ca="1">T487/_GramosXFrasco</f>
        <v>9.0667762064225368</v>
      </c>
      <c r="V487" s="58">
        <f ca="1">(T487/_Max_Stock_Gramos)</f>
        <v>0.90667762064225377</v>
      </c>
      <c r="W487" s="58"/>
      <c r="X487" s="10">
        <f ca="1">IF((T486-O487)&lt;0,(T486-O487)*_Costo_Faltante,0)</f>
        <v>0</v>
      </c>
      <c r="Y487">
        <f>IF(B487=0,E487*_Costo_Frasco,0)</f>
        <v>0</v>
      </c>
      <c r="Z487" s="11">
        <f t="shared" ca="1" si="103"/>
        <v>-69000</v>
      </c>
    </row>
    <row r="488" spans="1:26" x14ac:dyDescent="0.25">
      <c r="A488" s="30">
        <f t="shared" si="100"/>
        <v>472</v>
      </c>
      <c r="B488" s="10">
        <f>IF(B487=0,_Proxima_Compra,B487-1)</f>
        <v>0</v>
      </c>
      <c r="C488" s="3">
        <f t="shared" ca="1" si="93"/>
        <v>0.93218160409661299</v>
      </c>
      <c r="D488" s="3">
        <f ca="1">IF(D487&gt;0,D487-1,IF(C488&gt;0,LOOKUP(C488,$S$3:$S$5,$P$3:$P$5),-1))</f>
        <v>0</v>
      </c>
      <c r="E488" s="25">
        <f t="shared" ca="1" si="94"/>
        <v>2</v>
      </c>
      <c r="F488" s="28">
        <f ca="1">E488*_GramosXFrasco</f>
        <v>340</v>
      </c>
      <c r="G488" s="38">
        <f t="shared" ca="1" si="95"/>
        <v>0.33301710377649907</v>
      </c>
      <c r="H488" s="36">
        <f t="shared" ca="1" si="96"/>
        <v>-1</v>
      </c>
      <c r="I488" s="36">
        <f t="shared" ca="1" si="97"/>
        <v>-1</v>
      </c>
      <c r="J488" s="36">
        <f t="shared" ca="1" si="104"/>
        <v>-1</v>
      </c>
      <c r="K488" s="37">
        <f ca="1">IF(J488&lt;&gt;-1,_Media_M + J488*_Sigma,-1)</f>
        <v>-1</v>
      </c>
      <c r="L488" s="3">
        <f t="shared" ca="1" si="98"/>
        <v>50</v>
      </c>
      <c r="M488" s="18">
        <f ca="1">IF(LOOKUP(G488,$H$3:$H$4,$E$3:$E$4)=1,50,_Media_M + J488*_Sigma)</f>
        <v>50</v>
      </c>
      <c r="N488" s="36">
        <f t="shared" ca="1" si="99"/>
        <v>75.22926153616973</v>
      </c>
      <c r="O488" s="35">
        <f t="shared" ca="1" si="105"/>
        <v>125.22926153616973</v>
      </c>
      <c r="P488" s="19">
        <f t="shared" ca="1" si="101"/>
        <v>125.22926153616973</v>
      </c>
      <c r="Q488" s="20">
        <f ca="1" xml:space="preserve"> P488*_Precio_cafe</f>
        <v>187.84389230425461</v>
      </c>
      <c r="R488" s="20">
        <f t="shared" ca="1" si="102"/>
        <v>65799.31696617238</v>
      </c>
      <c r="S488" s="20">
        <f ca="1">(1/A488)*((A488-1)*S487 +Q488)</f>
        <v>139.40533255545</v>
      </c>
      <c r="T488" s="20">
        <f ca="1">IF((T487-P488+F488)&gt;_Max_Stock_Gramos,_Max_Stock_Gramos,T487-P488+F488)</f>
        <v>1700</v>
      </c>
      <c r="U488" s="20">
        <f ca="1">T488/_GramosXFrasco</f>
        <v>10</v>
      </c>
      <c r="V488" s="58">
        <f ca="1">(T488/_Max_Stock_Gramos)</f>
        <v>1</v>
      </c>
      <c r="W488" s="58"/>
      <c r="X488" s="10">
        <f ca="1">IF((T487-O488)&lt;0,(T487-O488)*_Costo_Faltante,0)</f>
        <v>0</v>
      </c>
      <c r="Y488">
        <f ca="1">IF(B488=0,E488*_Costo_Frasco,0)</f>
        <v>-500</v>
      </c>
      <c r="Z488" s="11">
        <f t="shared" ca="1" si="103"/>
        <v>-69500</v>
      </c>
    </row>
    <row r="489" spans="1:26" x14ac:dyDescent="0.25">
      <c r="A489" s="30">
        <f t="shared" si="100"/>
        <v>473</v>
      </c>
      <c r="B489" s="10">
        <f>IF(B488=0,_Proxima_Compra,B488-1)</f>
        <v>1</v>
      </c>
      <c r="C489" s="3">
        <f t="shared" ca="1" si="93"/>
        <v>-1</v>
      </c>
      <c r="D489" s="3">
        <f ca="1">IF(D488&gt;0,D488-1,IF(C489&gt;0,LOOKUP(C489,$S$3:$S$5,$P$3:$P$5),-1))</f>
        <v>-1</v>
      </c>
      <c r="E489" s="25">
        <f t="shared" ca="1" si="94"/>
        <v>0</v>
      </c>
      <c r="F489" s="28">
        <f ca="1">E489*_GramosXFrasco</f>
        <v>0</v>
      </c>
      <c r="G489" s="38">
        <f t="shared" ca="1" si="95"/>
        <v>1.7495906719832144E-3</v>
      </c>
      <c r="H489" s="36">
        <f t="shared" ca="1" si="96"/>
        <v>-1</v>
      </c>
      <c r="I489" s="36">
        <f t="shared" ca="1" si="97"/>
        <v>-1</v>
      </c>
      <c r="J489" s="36">
        <f t="shared" ca="1" si="104"/>
        <v>-1</v>
      </c>
      <c r="K489" s="37">
        <f ca="1">IF(J489&lt;&gt;-1,_Media_M + J489*_Sigma,-1)</f>
        <v>-1</v>
      </c>
      <c r="L489" s="3">
        <f t="shared" ca="1" si="98"/>
        <v>50</v>
      </c>
      <c r="M489" s="18">
        <f ca="1">IF(LOOKUP(G489,$H$3:$H$4,$E$3:$E$4)=1,50,_Media_M + J489*_Sigma)</f>
        <v>50</v>
      </c>
      <c r="N489" s="36">
        <f t="shared" ca="1" si="99"/>
        <v>16.737485349974083</v>
      </c>
      <c r="O489" s="35">
        <f t="shared" ca="1" si="105"/>
        <v>66.737485349974079</v>
      </c>
      <c r="P489" s="19">
        <f t="shared" ca="1" si="101"/>
        <v>66.737485349974079</v>
      </c>
      <c r="Q489" s="20">
        <f ca="1" xml:space="preserve"> P489*_Precio_cafe</f>
        <v>100.10622802496113</v>
      </c>
      <c r="R489" s="20">
        <f t="shared" ca="1" si="102"/>
        <v>65899.423194197341</v>
      </c>
      <c r="S489" s="20">
        <f ca="1">(1/A489)*((A489-1)*S488 +Q489)</f>
        <v>139.3222477678591</v>
      </c>
      <c r="T489" s="20">
        <f ca="1">IF((T488-P489+F489)&gt;_Max_Stock_Gramos,_Max_Stock_Gramos,T488-P489+F489)</f>
        <v>1633.2625146500259</v>
      </c>
      <c r="U489" s="20">
        <f ca="1">T489/_GramosXFrasco</f>
        <v>9.6074265567648585</v>
      </c>
      <c r="V489" s="58">
        <f ca="1">(T489/_Max_Stock_Gramos)</f>
        <v>0.96074265567648576</v>
      </c>
      <c r="W489" s="58"/>
      <c r="X489" s="10">
        <f ca="1">IF((T488-O489)&lt;0,(T488-O489)*_Costo_Faltante,0)</f>
        <v>0</v>
      </c>
      <c r="Y489">
        <f>IF(B489=0,E489*_Costo_Frasco,0)</f>
        <v>0</v>
      </c>
      <c r="Z489" s="11">
        <f t="shared" ca="1" si="103"/>
        <v>-69500</v>
      </c>
    </row>
    <row r="490" spans="1:26" x14ac:dyDescent="0.25">
      <c r="A490" s="30">
        <f t="shared" si="100"/>
        <v>474</v>
      </c>
      <c r="B490" s="10">
        <f>IF(B489=0,_Proxima_Compra,B489-1)</f>
        <v>0</v>
      </c>
      <c r="C490" s="3">
        <f t="shared" ca="1" si="93"/>
        <v>0.5557506939988246</v>
      </c>
      <c r="D490" s="3">
        <f ca="1">IF(D489&gt;0,D489-1,IF(C490&gt;0,LOOKUP(C490,$S$3:$S$5,$P$3:$P$5),-1))</f>
        <v>1</v>
      </c>
      <c r="E490" s="25">
        <f t="shared" ca="1" si="94"/>
        <v>0</v>
      </c>
      <c r="F490" s="28">
        <f ca="1">E490*_GramosXFrasco</f>
        <v>0</v>
      </c>
      <c r="G490" s="38">
        <f t="shared" ca="1" si="95"/>
        <v>0.9338801278976071</v>
      </c>
      <c r="H490" s="36">
        <f t="shared" ca="1" si="96"/>
        <v>0.59953532791086939</v>
      </c>
      <c r="I490" s="36">
        <f t="shared" ca="1" si="97"/>
        <v>0.21747292629352322</v>
      </c>
      <c r="J490" s="36">
        <f t="shared" ca="1" si="104"/>
        <v>0.18094467870237366</v>
      </c>
      <c r="K490" s="37">
        <f ca="1">IF(J490&lt;&gt;-1,_Media_M + J490*_Sigma,-1)</f>
        <v>77.714170180535604</v>
      </c>
      <c r="L490" s="3">
        <f t="shared" ca="1" si="98"/>
        <v>-1</v>
      </c>
      <c r="M490" s="18">
        <f ca="1">IF(LOOKUP(G490,$H$3:$H$4,$E$3:$E$4)=1,50,_Media_M + J490*_Sigma)</f>
        <v>77.714170180535604</v>
      </c>
      <c r="N490" s="36">
        <f t="shared" ca="1" si="99"/>
        <v>23.927581018471134</v>
      </c>
      <c r="O490" s="35">
        <f t="shared" ca="1" si="105"/>
        <v>101.64175119900673</v>
      </c>
      <c r="P490" s="19">
        <f t="shared" ca="1" si="101"/>
        <v>101.64175119900673</v>
      </c>
      <c r="Q490" s="20">
        <f ca="1" xml:space="preserve"> P490*_Precio_cafe</f>
        <v>152.46262679851009</v>
      </c>
      <c r="R490" s="20">
        <f t="shared" ca="1" si="102"/>
        <v>66051.885820995856</v>
      </c>
      <c r="S490" s="20">
        <f ca="1">(1/A490)*((A490-1)*S489 +Q490)</f>
        <v>139.34997008648918</v>
      </c>
      <c r="T490" s="20">
        <f ca="1">IF((T489-P490+F490)&gt;_Max_Stock_Gramos,_Max_Stock_Gramos,T489-P490+F490)</f>
        <v>1531.6207634510192</v>
      </c>
      <c r="U490" s="20">
        <f ca="1">T490/_GramosXFrasco</f>
        <v>9.0095339026530539</v>
      </c>
      <c r="V490" s="58">
        <f ca="1">(T490/_Max_Stock_Gramos)</f>
        <v>0.90095339026530541</v>
      </c>
      <c r="W490" s="58"/>
      <c r="X490" s="10">
        <f ca="1">IF((T489-O490)&lt;0,(T489-O490)*_Costo_Faltante,0)</f>
        <v>0</v>
      </c>
      <c r="Y490">
        <f ca="1">IF(B490=0,E490*_Costo_Frasco,0)</f>
        <v>0</v>
      </c>
      <c r="Z490" s="11">
        <f t="shared" ca="1" si="103"/>
        <v>-69500</v>
      </c>
    </row>
    <row r="491" spans="1:26" x14ac:dyDescent="0.25">
      <c r="A491" s="30">
        <f t="shared" si="100"/>
        <v>475</v>
      </c>
      <c r="B491" s="10">
        <f>IF(B490=0,_Proxima_Compra,B490-1)</f>
        <v>1</v>
      </c>
      <c r="C491" s="3">
        <f t="shared" ca="1" si="93"/>
        <v>-1</v>
      </c>
      <c r="D491" s="3">
        <f ca="1">IF(D490&gt;0,D490-1,IF(C491&gt;0,LOOKUP(C491,$S$3:$S$5,$P$3:$P$5),-1))</f>
        <v>0</v>
      </c>
      <c r="E491" s="25">
        <f t="shared" ca="1" si="94"/>
        <v>2</v>
      </c>
      <c r="F491" s="28">
        <f ca="1">E491*_GramosXFrasco</f>
        <v>340</v>
      </c>
      <c r="G491" s="38">
        <f t="shared" ca="1" si="95"/>
        <v>0.44963227421336316</v>
      </c>
      <c r="H491" s="36">
        <f t="shared" ca="1" si="96"/>
        <v>-1</v>
      </c>
      <c r="I491" s="36">
        <f t="shared" ca="1" si="97"/>
        <v>-1</v>
      </c>
      <c r="J491" s="36">
        <f t="shared" ca="1" si="104"/>
        <v>-1</v>
      </c>
      <c r="K491" s="37">
        <f ca="1">IF(J491&lt;&gt;-1,_Media_M + J491*_Sigma,-1)</f>
        <v>-1</v>
      </c>
      <c r="L491" s="3">
        <f t="shared" ca="1" si="98"/>
        <v>50</v>
      </c>
      <c r="M491" s="18">
        <f ca="1">IF(LOOKUP(G491,$H$3:$H$4,$E$3:$E$4)=1,50,_Media_M + J491*_Sigma)</f>
        <v>50</v>
      </c>
      <c r="N491" s="36">
        <f t="shared" ca="1" si="99"/>
        <v>66.118900792674452</v>
      </c>
      <c r="O491" s="35">
        <f t="shared" ca="1" si="105"/>
        <v>116.11890079267445</v>
      </c>
      <c r="P491" s="19">
        <f t="shared" ca="1" si="101"/>
        <v>116.11890079267445</v>
      </c>
      <c r="Q491" s="20">
        <f ca="1" xml:space="preserve"> P491*_Precio_cafe</f>
        <v>174.17835118901166</v>
      </c>
      <c r="R491" s="20">
        <f t="shared" ca="1" si="102"/>
        <v>66226.064172184866</v>
      </c>
      <c r="S491" s="20">
        <f ca="1">(1/A491)*((A491-1)*S490 +Q491)</f>
        <v>139.42329299407342</v>
      </c>
      <c r="T491" s="20">
        <f ca="1">IF((T490-P491+F491)&gt;_Max_Stock_Gramos,_Max_Stock_Gramos,T490-P491+F491)</f>
        <v>1700</v>
      </c>
      <c r="U491" s="20">
        <f ca="1">T491/_GramosXFrasco</f>
        <v>10</v>
      </c>
      <c r="V491" s="58">
        <f ca="1">(T491/_Max_Stock_Gramos)</f>
        <v>1</v>
      </c>
      <c r="W491" s="58"/>
      <c r="X491" s="10">
        <f ca="1">IF((T490-O491)&lt;0,(T490-O491)*_Costo_Faltante,0)</f>
        <v>0</v>
      </c>
      <c r="Y491">
        <f>IF(B491=0,E491*_Costo_Frasco,0)</f>
        <v>0</v>
      </c>
      <c r="Z491" s="11">
        <f t="shared" ca="1" si="103"/>
        <v>-69500</v>
      </c>
    </row>
    <row r="492" spans="1:26" x14ac:dyDescent="0.25">
      <c r="A492" s="30">
        <f t="shared" si="100"/>
        <v>476</v>
      </c>
      <c r="B492" s="10">
        <f>IF(B491=0,_Proxima_Compra,B491-1)</f>
        <v>0</v>
      </c>
      <c r="C492" s="3">
        <f t="shared" ca="1" si="93"/>
        <v>0.5734419798603263</v>
      </c>
      <c r="D492" s="3">
        <f ca="1">IF(D491&gt;0,D491-1,IF(C492&gt;0,LOOKUP(C492,$S$3:$S$5,$P$3:$P$5),-1))</f>
        <v>1</v>
      </c>
      <c r="E492" s="25">
        <f t="shared" ca="1" si="94"/>
        <v>0</v>
      </c>
      <c r="F492" s="28">
        <f ca="1">E492*_GramosXFrasco</f>
        <v>0</v>
      </c>
      <c r="G492" s="38">
        <f t="shared" ca="1" si="95"/>
        <v>0.29047697239816794</v>
      </c>
      <c r="H492" s="36">
        <f t="shared" ca="1" si="96"/>
        <v>-1</v>
      </c>
      <c r="I492" s="36">
        <f t="shared" ca="1" si="97"/>
        <v>-1</v>
      </c>
      <c r="J492" s="36">
        <f t="shared" ca="1" si="104"/>
        <v>-1</v>
      </c>
      <c r="K492" s="37">
        <f ca="1">IF(J492&lt;&gt;-1,_Media_M + J492*_Sigma,-1)</f>
        <v>-1</v>
      </c>
      <c r="L492" s="3">
        <f t="shared" ca="1" si="98"/>
        <v>50</v>
      </c>
      <c r="M492" s="18">
        <f ca="1">IF(LOOKUP(G492,$H$3:$H$4,$E$3:$E$4)=1,50,_Media_M + J492*_Sigma)</f>
        <v>50</v>
      </c>
      <c r="N492" s="36">
        <f t="shared" ca="1" si="99"/>
        <v>17.886835808265861</v>
      </c>
      <c r="O492" s="35">
        <f t="shared" ca="1" si="105"/>
        <v>67.886835808265857</v>
      </c>
      <c r="P492" s="19">
        <f t="shared" ca="1" si="101"/>
        <v>67.886835808265857</v>
      </c>
      <c r="Q492" s="20">
        <f ca="1" xml:space="preserve"> P492*_Precio_cafe</f>
        <v>101.83025371239879</v>
      </c>
      <c r="R492" s="20">
        <f t="shared" ca="1" si="102"/>
        <v>66327.894425897262</v>
      </c>
      <c r="S492" s="20">
        <f ca="1">(1/A492)*((A492-1)*S491 +Q492)</f>
        <v>139.3443160207926</v>
      </c>
      <c r="T492" s="20">
        <f ca="1">IF((T491-P492+F492)&gt;_Max_Stock_Gramos,_Max_Stock_Gramos,T491-P492+F492)</f>
        <v>1632.1131641917341</v>
      </c>
      <c r="U492" s="20">
        <f ca="1">T492/_GramosXFrasco</f>
        <v>9.600665671716083</v>
      </c>
      <c r="V492" s="58">
        <f ca="1">(T492/_Max_Stock_Gramos)</f>
        <v>0.96006656717160832</v>
      </c>
      <c r="W492" s="58"/>
      <c r="X492" s="10">
        <f ca="1">IF((T491-O492)&lt;0,(T491-O492)*_Costo_Faltante,0)</f>
        <v>0</v>
      </c>
      <c r="Y492">
        <f ca="1">IF(B492=0,E492*_Costo_Frasco,0)</f>
        <v>0</v>
      </c>
      <c r="Z492" s="11">
        <f t="shared" ca="1" si="103"/>
        <v>-69500</v>
      </c>
    </row>
    <row r="493" spans="1:26" x14ac:dyDescent="0.25">
      <c r="A493" s="30">
        <f t="shared" si="100"/>
        <v>477</v>
      </c>
      <c r="B493" s="10">
        <f>IF(B492=0,_Proxima_Compra,B492-1)</f>
        <v>1</v>
      </c>
      <c r="C493" s="3">
        <f t="shared" ca="1" si="93"/>
        <v>-1</v>
      </c>
      <c r="D493" s="3">
        <f ca="1">IF(D492&gt;0,D492-1,IF(C493&gt;0,LOOKUP(C493,$S$3:$S$5,$P$3:$P$5),-1))</f>
        <v>0</v>
      </c>
      <c r="E493" s="25">
        <f t="shared" ca="1" si="94"/>
        <v>2</v>
      </c>
      <c r="F493" s="28">
        <f ca="1">E493*_GramosXFrasco</f>
        <v>340</v>
      </c>
      <c r="G493" s="38">
        <f t="shared" ca="1" si="95"/>
        <v>0.12450728026147984</v>
      </c>
      <c r="H493" s="36">
        <f t="shared" ca="1" si="96"/>
        <v>-1</v>
      </c>
      <c r="I493" s="36">
        <f t="shared" ca="1" si="97"/>
        <v>-1</v>
      </c>
      <c r="J493" s="36">
        <f t="shared" ca="1" si="104"/>
        <v>-1</v>
      </c>
      <c r="K493" s="37">
        <f ca="1">IF(J493&lt;&gt;-1,_Media_M + J493*_Sigma,-1)</f>
        <v>-1</v>
      </c>
      <c r="L493" s="3">
        <f t="shared" ca="1" si="98"/>
        <v>50</v>
      </c>
      <c r="M493" s="18">
        <f ca="1">IF(LOOKUP(G493,$H$3:$H$4,$E$3:$E$4)=1,50,_Media_M + J493*_Sigma)</f>
        <v>50</v>
      </c>
      <c r="N493" s="36">
        <f t="shared" ca="1" si="99"/>
        <v>1.047620514019173</v>
      </c>
      <c r="O493" s="35">
        <f t="shared" ca="1" si="105"/>
        <v>51.047620514019172</v>
      </c>
      <c r="P493" s="19">
        <f t="shared" ca="1" si="101"/>
        <v>51.047620514019172</v>
      </c>
      <c r="Q493" s="20">
        <f ca="1" xml:space="preserve"> P493*_Precio_cafe</f>
        <v>76.571430771028758</v>
      </c>
      <c r="R493" s="20">
        <f t="shared" ca="1" si="102"/>
        <v>66404.465856668292</v>
      </c>
      <c r="S493" s="20">
        <f ca="1">(1/A493)*((A493-1)*S492 +Q493)</f>
        <v>139.21271668064637</v>
      </c>
      <c r="T493" s="20">
        <f ca="1">IF((T492-P493+F493)&gt;_Max_Stock_Gramos,_Max_Stock_Gramos,T492-P493+F493)</f>
        <v>1700</v>
      </c>
      <c r="U493" s="20">
        <f ca="1">T493/_GramosXFrasco</f>
        <v>10</v>
      </c>
      <c r="V493" s="58">
        <f ca="1">(T493/_Max_Stock_Gramos)</f>
        <v>1</v>
      </c>
      <c r="W493" s="58"/>
      <c r="X493" s="10">
        <f ca="1">IF((T492-O493)&lt;0,(T492-O493)*_Costo_Faltante,0)</f>
        <v>0</v>
      </c>
      <c r="Y493">
        <f>IF(B493=0,E493*_Costo_Frasco,0)</f>
        <v>0</v>
      </c>
      <c r="Z493" s="11">
        <f t="shared" ca="1" si="103"/>
        <v>-69500</v>
      </c>
    </row>
    <row r="494" spans="1:26" x14ac:dyDescent="0.25">
      <c r="A494" s="30">
        <f t="shared" si="100"/>
        <v>478</v>
      </c>
      <c r="B494" s="10">
        <f>IF(B493=0,_Proxima_Compra,B493-1)</f>
        <v>0</v>
      </c>
      <c r="C494" s="3">
        <f t="shared" ca="1" si="93"/>
        <v>0.32901415924292465</v>
      </c>
      <c r="D494" s="3">
        <f ca="1">IF(D493&gt;0,D493-1,IF(C494&gt;0,LOOKUP(C494,$S$3:$S$5,$P$3:$P$5),-1))</f>
        <v>0</v>
      </c>
      <c r="E494" s="25">
        <f t="shared" ca="1" si="94"/>
        <v>2</v>
      </c>
      <c r="F494" s="28">
        <f ca="1">E494*_GramosXFrasco</f>
        <v>340</v>
      </c>
      <c r="G494" s="38">
        <f t="shared" ca="1" si="95"/>
        <v>0.13824253125671504</v>
      </c>
      <c r="H494" s="36">
        <f t="shared" ca="1" si="96"/>
        <v>-1</v>
      </c>
      <c r="I494" s="36">
        <f t="shared" ca="1" si="97"/>
        <v>-1</v>
      </c>
      <c r="J494" s="36">
        <f t="shared" ca="1" si="104"/>
        <v>-1</v>
      </c>
      <c r="K494" s="37">
        <f ca="1">IF(J494&lt;&gt;-1,_Media_M + J494*_Sigma,-1)</f>
        <v>-1</v>
      </c>
      <c r="L494" s="3">
        <f t="shared" ca="1" si="98"/>
        <v>50</v>
      </c>
      <c r="M494" s="18">
        <f ca="1">IF(LOOKUP(G494,$H$3:$H$4,$E$3:$E$4)=1,50,_Media_M + J494*_Sigma)</f>
        <v>50</v>
      </c>
      <c r="N494" s="36">
        <f t="shared" ca="1" si="99"/>
        <v>6.1352265828887216</v>
      </c>
      <c r="O494" s="35">
        <f t="shared" ca="1" si="105"/>
        <v>56.13522658288872</v>
      </c>
      <c r="P494" s="19">
        <f t="shared" ca="1" si="101"/>
        <v>56.13522658288872</v>
      </c>
      <c r="Q494" s="20">
        <f ca="1" xml:space="preserve"> P494*_Precio_cafe</f>
        <v>84.20283987433308</v>
      </c>
      <c r="R494" s="20">
        <f t="shared" ca="1" si="102"/>
        <v>66488.66869654262</v>
      </c>
      <c r="S494" s="20">
        <f ca="1">(1/A494)*((A494-1)*S493 +Q494)</f>
        <v>139.09763325636536</v>
      </c>
      <c r="T494" s="20">
        <f ca="1">IF((T493-P494+F494)&gt;_Max_Stock_Gramos,_Max_Stock_Gramos,T493-P494+F494)</f>
        <v>1700</v>
      </c>
      <c r="U494" s="20">
        <f ca="1">T494/_GramosXFrasco</f>
        <v>10</v>
      </c>
      <c r="V494" s="58">
        <f ca="1">(T494/_Max_Stock_Gramos)</f>
        <v>1</v>
      </c>
      <c r="W494" s="58"/>
      <c r="X494" s="10">
        <f ca="1">IF((T493-O494)&lt;0,(T493-O494)*_Costo_Faltante,0)</f>
        <v>0</v>
      </c>
      <c r="Y494">
        <f ca="1">IF(B494=0,E494*_Costo_Frasco,0)</f>
        <v>-500</v>
      </c>
      <c r="Z494" s="11">
        <f t="shared" ca="1" si="103"/>
        <v>-70000</v>
      </c>
    </row>
    <row r="495" spans="1:26" x14ac:dyDescent="0.25">
      <c r="A495" s="30">
        <f t="shared" si="100"/>
        <v>479</v>
      </c>
      <c r="B495" s="10">
        <f>IF(B494=0,_Proxima_Compra,B494-1)</f>
        <v>1</v>
      </c>
      <c r="C495" s="3">
        <f t="shared" ca="1" si="93"/>
        <v>-1</v>
      </c>
      <c r="D495" s="3">
        <f ca="1">IF(D494&gt;0,D494-1,IF(C495&gt;0,LOOKUP(C495,$S$3:$S$5,$P$3:$P$5),-1))</f>
        <v>-1</v>
      </c>
      <c r="E495" s="25">
        <f t="shared" ca="1" si="94"/>
        <v>0</v>
      </c>
      <c r="F495" s="28">
        <f ca="1">E495*_GramosXFrasco</f>
        <v>0</v>
      </c>
      <c r="G495" s="38">
        <f t="shared" ca="1" si="95"/>
        <v>0.63471831654462585</v>
      </c>
      <c r="H495" s="36">
        <f t="shared" ca="1" si="96"/>
        <v>0.74495493094472398</v>
      </c>
      <c r="I495" s="36">
        <f t="shared" ca="1" si="97"/>
        <v>0.47758709465559357</v>
      </c>
      <c r="J495" s="36">
        <f t="shared" ca="1" si="104"/>
        <v>-1.0786036936975592</v>
      </c>
      <c r="K495" s="37">
        <f ca="1">IF(J495&lt;&gt;-1,_Media_M + J495*_Sigma,-1)</f>
        <v>58.820944594536613</v>
      </c>
      <c r="L495" s="3">
        <f t="shared" ca="1" si="98"/>
        <v>-1</v>
      </c>
      <c r="M495" s="18">
        <f ca="1">IF(LOOKUP(G495,$H$3:$H$4,$E$3:$E$4)=1,50,_Media_M + J495*_Sigma)</f>
        <v>58.820944594536613</v>
      </c>
      <c r="N495" s="36">
        <f t="shared" ca="1" si="99"/>
        <v>26.984794433083042</v>
      </c>
      <c r="O495" s="35">
        <f t="shared" ca="1" si="105"/>
        <v>85.805739027619651</v>
      </c>
      <c r="P495" s="19">
        <f t="shared" ca="1" si="101"/>
        <v>85.805739027619651</v>
      </c>
      <c r="Q495" s="20">
        <f ca="1" xml:space="preserve"> P495*_Precio_cafe</f>
        <v>128.70860854142947</v>
      </c>
      <c r="R495" s="20">
        <f t="shared" ca="1" si="102"/>
        <v>66617.377305084054</v>
      </c>
      <c r="S495" s="20">
        <f ca="1">(1/A495)*((A495-1)*S494 +Q495)</f>
        <v>139.07594426948657</v>
      </c>
      <c r="T495" s="20">
        <f ca="1">IF((T494-P495+F495)&gt;_Max_Stock_Gramos,_Max_Stock_Gramos,T494-P495+F495)</f>
        <v>1614.1942609723803</v>
      </c>
      <c r="U495" s="20">
        <f ca="1">T495/_GramosXFrasco</f>
        <v>9.49526035866106</v>
      </c>
      <c r="V495" s="58">
        <f ca="1">(T495/_Max_Stock_Gramos)</f>
        <v>0.94952603586610607</v>
      </c>
      <c r="W495" s="58"/>
      <c r="X495" s="10">
        <f ca="1">IF((T494-O495)&lt;0,(T494-O495)*_Costo_Faltante,0)</f>
        <v>0</v>
      </c>
      <c r="Y495">
        <f>IF(B495=0,E495*_Costo_Frasco,0)</f>
        <v>0</v>
      </c>
      <c r="Z495" s="11">
        <f t="shared" ca="1" si="103"/>
        <v>-70000</v>
      </c>
    </row>
    <row r="496" spans="1:26" x14ac:dyDescent="0.25">
      <c r="A496" s="30">
        <f t="shared" si="100"/>
        <v>480</v>
      </c>
      <c r="B496" s="10">
        <f>IF(B495=0,_Proxima_Compra,B495-1)</f>
        <v>0</v>
      </c>
      <c r="C496" s="3">
        <f t="shared" ca="1" si="93"/>
        <v>0.19479501055145898</v>
      </c>
      <c r="D496" s="3">
        <f ca="1">IF(D495&gt;0,D495-1,IF(C496&gt;0,LOOKUP(C496,$S$3:$S$5,$P$3:$P$5),-1))</f>
        <v>0</v>
      </c>
      <c r="E496" s="25">
        <f t="shared" ca="1" si="94"/>
        <v>2</v>
      </c>
      <c r="F496" s="28">
        <f ca="1">E496*_GramosXFrasco</f>
        <v>340</v>
      </c>
      <c r="G496" s="38">
        <f t="shared" ca="1" si="95"/>
        <v>0.21244940651862443</v>
      </c>
      <c r="H496" s="36">
        <f t="shared" ca="1" si="96"/>
        <v>-1</v>
      </c>
      <c r="I496" s="36">
        <f t="shared" ca="1" si="97"/>
        <v>-1</v>
      </c>
      <c r="J496" s="36">
        <f t="shared" ca="1" si="104"/>
        <v>-1</v>
      </c>
      <c r="K496" s="37">
        <f ca="1">IF(J496&lt;&gt;-1,_Media_M + J496*_Sigma,-1)</f>
        <v>-1</v>
      </c>
      <c r="L496" s="3">
        <f t="shared" ca="1" si="98"/>
        <v>50</v>
      </c>
      <c r="M496" s="18">
        <f ca="1">IF(LOOKUP(G496,$H$3:$H$4,$E$3:$E$4)=1,50,_Media_M + J496*_Sigma)</f>
        <v>50</v>
      </c>
      <c r="N496" s="36">
        <f t="shared" ca="1" si="99"/>
        <v>46.869111406428651</v>
      </c>
      <c r="O496" s="35">
        <f t="shared" ca="1" si="105"/>
        <v>96.869111406428658</v>
      </c>
      <c r="P496" s="19">
        <f t="shared" ca="1" si="101"/>
        <v>96.869111406428658</v>
      </c>
      <c r="Q496" s="20">
        <f ca="1" xml:space="preserve"> P496*_Precio_cafe</f>
        <v>145.30366710964299</v>
      </c>
      <c r="R496" s="20">
        <f t="shared" ca="1" si="102"/>
        <v>66762.680972193702</v>
      </c>
      <c r="S496" s="20">
        <f ca="1">(1/A496)*((A496-1)*S495 +Q496)</f>
        <v>139.08891869207025</v>
      </c>
      <c r="T496" s="20">
        <f ca="1">IF((T495-P496+F496)&gt;_Max_Stock_Gramos,_Max_Stock_Gramos,T495-P496+F496)</f>
        <v>1700</v>
      </c>
      <c r="U496" s="20">
        <f ca="1">T496/_GramosXFrasco</f>
        <v>10</v>
      </c>
      <c r="V496" s="58">
        <f ca="1">(T496/_Max_Stock_Gramos)</f>
        <v>1</v>
      </c>
      <c r="W496" s="58"/>
      <c r="X496" s="10">
        <f ca="1">IF((T495-O496)&lt;0,(T495-O496)*_Costo_Faltante,0)</f>
        <v>0</v>
      </c>
      <c r="Y496">
        <f ca="1">IF(B496=0,E496*_Costo_Frasco,0)</f>
        <v>-500</v>
      </c>
      <c r="Z496" s="11">
        <f t="shared" ca="1" si="103"/>
        <v>-70500</v>
      </c>
    </row>
    <row r="497" spans="1:26" x14ac:dyDescent="0.25">
      <c r="A497" s="30">
        <f t="shared" si="100"/>
        <v>481</v>
      </c>
      <c r="B497" s="10">
        <f>IF(B496=0,_Proxima_Compra,B496-1)</f>
        <v>1</v>
      </c>
      <c r="C497" s="3">
        <f t="shared" ca="1" si="93"/>
        <v>-1</v>
      </c>
      <c r="D497" s="3">
        <f ca="1">IF(D496&gt;0,D496-1,IF(C497&gt;0,LOOKUP(C497,$S$3:$S$5,$P$3:$P$5),-1))</f>
        <v>-1</v>
      </c>
      <c r="E497" s="25">
        <f t="shared" ca="1" si="94"/>
        <v>0</v>
      </c>
      <c r="F497" s="28">
        <f ca="1">E497*_GramosXFrasco</f>
        <v>0</v>
      </c>
      <c r="G497" s="38">
        <f t="shared" ca="1" si="95"/>
        <v>0.71247012861737435</v>
      </c>
      <c r="H497" s="36">
        <f t="shared" ca="1" si="96"/>
        <v>0.23927549845296503</v>
      </c>
      <c r="I497" s="36">
        <f t="shared" ca="1" si="97"/>
        <v>0.33351351778251181</v>
      </c>
      <c r="J497" s="36">
        <f t="shared" ca="1" si="104"/>
        <v>-0.24417074420266333</v>
      </c>
      <c r="K497" s="37">
        <f ca="1">IF(J497&lt;&gt;-1,_Media_M + J497*_Sigma,-1)</f>
        <v>71.337438836960047</v>
      </c>
      <c r="L497" s="3">
        <f t="shared" ca="1" si="98"/>
        <v>-1</v>
      </c>
      <c r="M497" s="18">
        <f ca="1">IF(LOOKUP(G497,$H$3:$H$4,$E$3:$E$4)=1,50,_Media_M + J497*_Sigma)</f>
        <v>71.337438836960047</v>
      </c>
      <c r="N497" s="36">
        <f t="shared" ca="1" si="99"/>
        <v>25.648530465237776</v>
      </c>
      <c r="O497" s="35">
        <f t="shared" ca="1" si="105"/>
        <v>96.985969302197816</v>
      </c>
      <c r="P497" s="19">
        <f t="shared" ca="1" si="101"/>
        <v>96.985969302197816</v>
      </c>
      <c r="Q497" s="20">
        <f ca="1" xml:space="preserve"> P497*_Precio_cafe</f>
        <v>145.47895395329672</v>
      </c>
      <c r="R497" s="20">
        <f t="shared" ca="1" si="102"/>
        <v>66908.159926146996</v>
      </c>
      <c r="S497" s="20">
        <f ca="1">(1/A497)*((A497-1)*S496 +Q497)</f>
        <v>139.10220358866323</v>
      </c>
      <c r="T497" s="20">
        <f ca="1">IF((T496-P497+F497)&gt;_Max_Stock_Gramos,_Max_Stock_Gramos,T496-P497+F497)</f>
        <v>1603.0140306978021</v>
      </c>
      <c r="U497" s="20">
        <f ca="1">T497/_GramosXFrasco</f>
        <v>9.429494298222366</v>
      </c>
      <c r="V497" s="58">
        <f ca="1">(T497/_Max_Stock_Gramos)</f>
        <v>0.94294942982223651</v>
      </c>
      <c r="W497" s="58"/>
      <c r="X497" s="10">
        <f ca="1">IF((T496-O497)&lt;0,(T496-O497)*_Costo_Faltante,0)</f>
        <v>0</v>
      </c>
      <c r="Y497">
        <f>IF(B497=0,E497*_Costo_Frasco,0)</f>
        <v>0</v>
      </c>
      <c r="Z497" s="11">
        <f t="shared" ca="1" si="103"/>
        <v>-70500</v>
      </c>
    </row>
    <row r="498" spans="1:26" x14ac:dyDescent="0.25">
      <c r="A498" s="30">
        <f t="shared" si="100"/>
        <v>482</v>
      </c>
      <c r="B498" s="10">
        <f>IF(B497=0,_Proxima_Compra,B497-1)</f>
        <v>0</v>
      </c>
      <c r="C498" s="3">
        <f t="shared" ca="1" si="93"/>
        <v>4.7153779208217728E-2</v>
      </c>
      <c r="D498" s="3">
        <f ca="1">IF(D497&gt;0,D497-1,IF(C498&gt;0,LOOKUP(C498,$S$3:$S$5,$P$3:$P$5),-1))</f>
        <v>0</v>
      </c>
      <c r="E498" s="25">
        <f t="shared" ca="1" si="94"/>
        <v>2</v>
      </c>
      <c r="F498" s="28">
        <f ca="1">E498*_GramosXFrasco</f>
        <v>340</v>
      </c>
      <c r="G498" s="38">
        <f t="shared" ca="1" si="95"/>
        <v>0.55047138359772485</v>
      </c>
      <c r="H498" s="36">
        <f t="shared" ca="1" si="96"/>
        <v>0.99543700734237317</v>
      </c>
      <c r="I498" s="36">
        <f t="shared" ca="1" si="97"/>
        <v>0.53508956476385439</v>
      </c>
      <c r="J498" s="36">
        <f t="shared" ca="1" si="104"/>
        <v>-2.1113032217947025</v>
      </c>
      <c r="K498" s="37">
        <f ca="1">IF(J498&lt;&gt;-1,_Media_M + J498*_Sigma,-1)</f>
        <v>43.330451673079466</v>
      </c>
      <c r="L498" s="3">
        <f t="shared" ca="1" si="98"/>
        <v>-1</v>
      </c>
      <c r="M498" s="18">
        <f ca="1">IF(LOOKUP(G498,$H$3:$H$4,$E$3:$E$4)=1,50,_Media_M + J498*_Sigma)</f>
        <v>43.330451673079466</v>
      </c>
      <c r="N498" s="36">
        <f t="shared" ca="1" si="99"/>
        <v>12.215875453134915</v>
      </c>
      <c r="O498" s="35">
        <f t="shared" ca="1" si="105"/>
        <v>55.546327126214379</v>
      </c>
      <c r="P498" s="19">
        <f t="shared" ca="1" si="101"/>
        <v>55.546327126214379</v>
      </c>
      <c r="Q498" s="20">
        <f ca="1" xml:space="preserve"> P498*_Precio_cafe</f>
        <v>83.319490689321569</v>
      </c>
      <c r="R498" s="20">
        <f t="shared" ca="1" si="102"/>
        <v>66991.479416836315</v>
      </c>
      <c r="S498" s="20">
        <f ca="1">(1/A498)*((A498-1)*S497 +Q498)</f>
        <v>138.98647181916252</v>
      </c>
      <c r="T498" s="20">
        <f ca="1">IF((T497-P498+F498)&gt;_Max_Stock_Gramos,_Max_Stock_Gramos,T497-P498+F498)</f>
        <v>1700</v>
      </c>
      <c r="U498" s="20">
        <f ca="1">T498/_GramosXFrasco</f>
        <v>10</v>
      </c>
      <c r="V498" s="58">
        <f ca="1">(T498/_Max_Stock_Gramos)</f>
        <v>1</v>
      </c>
      <c r="W498" s="58"/>
      <c r="X498" s="10">
        <f ca="1">IF((T497-O498)&lt;0,(T497-O498)*_Costo_Faltante,0)</f>
        <v>0</v>
      </c>
      <c r="Y498">
        <f ca="1">IF(B498=0,E498*_Costo_Frasco,0)</f>
        <v>-500</v>
      </c>
      <c r="Z498" s="11">
        <f t="shared" ca="1" si="103"/>
        <v>-71000</v>
      </c>
    </row>
    <row r="499" spans="1:26" x14ac:dyDescent="0.25">
      <c r="A499" s="30">
        <f t="shared" si="100"/>
        <v>483</v>
      </c>
      <c r="B499" s="10">
        <f>IF(B498=0,_Proxima_Compra,B498-1)</f>
        <v>1</v>
      </c>
      <c r="C499" s="3">
        <f t="shared" ca="1" si="93"/>
        <v>-1</v>
      </c>
      <c r="D499" s="3">
        <f ca="1">IF(D498&gt;0,D498-1,IF(C499&gt;0,LOOKUP(C499,$S$3:$S$5,$P$3:$P$5),-1))</f>
        <v>-1</v>
      </c>
      <c r="E499" s="25">
        <f t="shared" ca="1" si="94"/>
        <v>0</v>
      </c>
      <c r="F499" s="28">
        <f ca="1">E499*_GramosXFrasco</f>
        <v>0</v>
      </c>
      <c r="G499" s="38">
        <f t="shared" ca="1" si="95"/>
        <v>0.54032450596421711</v>
      </c>
      <c r="H499" s="36">
        <f t="shared" ca="1" si="96"/>
        <v>2.9602229661724988E-2</v>
      </c>
      <c r="I499" s="36">
        <f t="shared" ca="1" si="97"/>
        <v>2.5346284857498125E-3</v>
      </c>
      <c r="J499" s="36">
        <f t="shared" ca="1" si="104"/>
        <v>0.16153575738987974</v>
      </c>
      <c r="K499" s="37">
        <f ca="1">IF(J499&lt;&gt;-1,_Media_M + J499*_Sigma,-1)</f>
        <v>77.423036360848201</v>
      </c>
      <c r="L499" s="3">
        <f t="shared" ca="1" si="98"/>
        <v>-1</v>
      </c>
      <c r="M499" s="18">
        <f ca="1">IF(LOOKUP(G499,$H$3:$H$4,$E$3:$E$4)=1,50,_Media_M + J499*_Sigma)</f>
        <v>77.423036360848201</v>
      </c>
      <c r="N499" s="36">
        <f t="shared" ca="1" si="99"/>
        <v>71.800481540951182</v>
      </c>
      <c r="O499" s="35">
        <f t="shared" ca="1" si="105"/>
        <v>149.22351790179937</v>
      </c>
      <c r="P499" s="19">
        <f t="shared" ca="1" si="101"/>
        <v>149.22351790179937</v>
      </c>
      <c r="Q499" s="20">
        <f ca="1" xml:space="preserve"> P499*_Precio_cafe</f>
        <v>223.83527685269905</v>
      </c>
      <c r="R499" s="20">
        <f t="shared" ca="1" si="102"/>
        <v>67215.314693689012</v>
      </c>
      <c r="S499" s="20">
        <f ca="1">(1/A499)*((A499-1)*S498 +Q499)</f>
        <v>139.16214222295866</v>
      </c>
      <c r="T499" s="20">
        <f ca="1">IF((T498-P499+F499)&gt;_Max_Stock_Gramos,_Max_Stock_Gramos,T498-P499+F499)</f>
        <v>1550.7764820982006</v>
      </c>
      <c r="U499" s="20">
        <f ca="1">T499/_GramosXFrasco</f>
        <v>9.1222146005776512</v>
      </c>
      <c r="V499" s="58">
        <f ca="1">(T499/_Max_Stock_Gramos)</f>
        <v>0.91222146005776505</v>
      </c>
      <c r="W499" s="58"/>
      <c r="X499" s="10">
        <f ca="1">IF((T498-O499)&lt;0,(T498-O499)*_Costo_Faltante,0)</f>
        <v>0</v>
      </c>
      <c r="Y499">
        <f>IF(B499=0,E499*_Costo_Frasco,0)</f>
        <v>0</v>
      </c>
      <c r="Z499" s="11">
        <f t="shared" ca="1" si="103"/>
        <v>-71000</v>
      </c>
    </row>
    <row r="500" spans="1:26" x14ac:dyDescent="0.25">
      <c r="A500" s="30">
        <f t="shared" si="100"/>
        <v>484</v>
      </c>
      <c r="B500" s="10">
        <f>IF(B499=0,_Proxima_Compra,B499-1)</f>
        <v>0</v>
      </c>
      <c r="C500" s="3">
        <f t="shared" ca="1" si="93"/>
        <v>0.52799975855140491</v>
      </c>
      <c r="D500" s="3">
        <f ca="1">IF(D499&gt;0,D499-1,IF(C500&gt;0,LOOKUP(C500,$S$3:$S$5,$P$3:$P$5),-1))</f>
        <v>1</v>
      </c>
      <c r="E500" s="25">
        <f t="shared" ca="1" si="94"/>
        <v>0</v>
      </c>
      <c r="F500" s="28">
        <f ca="1">E500*_GramosXFrasco</f>
        <v>0</v>
      </c>
      <c r="G500" s="38">
        <f t="shared" ca="1" si="95"/>
        <v>0.16849633464282232</v>
      </c>
      <c r="H500" s="36">
        <f t="shared" ca="1" si="96"/>
        <v>-1</v>
      </c>
      <c r="I500" s="36">
        <f t="shared" ca="1" si="97"/>
        <v>-1</v>
      </c>
      <c r="J500" s="36">
        <f t="shared" ca="1" si="104"/>
        <v>-1</v>
      </c>
      <c r="K500" s="37">
        <f ca="1">IF(J500&lt;&gt;-1,_Media_M + J500*_Sigma,-1)</f>
        <v>-1</v>
      </c>
      <c r="L500" s="3">
        <f t="shared" ca="1" si="98"/>
        <v>50</v>
      </c>
      <c r="M500" s="18">
        <f ca="1">IF(LOOKUP(G500,$H$3:$H$4,$E$3:$E$4)=1,50,_Media_M + J500*_Sigma)</f>
        <v>50</v>
      </c>
      <c r="N500" s="36">
        <f t="shared" ca="1" si="99"/>
        <v>12.509499522743475</v>
      </c>
      <c r="O500" s="35">
        <f t="shared" ca="1" si="105"/>
        <v>62.509499522743475</v>
      </c>
      <c r="P500" s="19">
        <f t="shared" ca="1" si="101"/>
        <v>62.509499522743475</v>
      </c>
      <c r="Q500" s="20">
        <f ca="1" xml:space="preserve"> P500*_Precio_cafe</f>
        <v>93.764249284115209</v>
      </c>
      <c r="R500" s="20">
        <f t="shared" ca="1" si="102"/>
        <v>67309.078942973123</v>
      </c>
      <c r="S500" s="20">
        <f ca="1">(1/A500)*((A500-1)*S499 +Q500)</f>
        <v>139.06834492349824</v>
      </c>
      <c r="T500" s="20">
        <f ca="1">IF((T499-P500+F500)&gt;_Max_Stock_Gramos,_Max_Stock_Gramos,T499-P500+F500)</f>
        <v>1488.2669825754572</v>
      </c>
      <c r="U500" s="20">
        <f ca="1">T500/_GramosXFrasco</f>
        <v>8.7545116622085715</v>
      </c>
      <c r="V500" s="58">
        <f ca="1">(T500/_Max_Stock_Gramos)</f>
        <v>0.87545116622085717</v>
      </c>
      <c r="W500" s="58"/>
      <c r="X500" s="10">
        <f ca="1">IF((T499-O500)&lt;0,(T499-O500)*_Costo_Faltante,0)</f>
        <v>0</v>
      </c>
      <c r="Y500">
        <f ca="1">IF(B500=0,E500*_Costo_Frasco,0)</f>
        <v>0</v>
      </c>
      <c r="Z500" s="11">
        <f t="shared" ca="1" si="103"/>
        <v>-71000</v>
      </c>
    </row>
    <row r="501" spans="1:26" x14ac:dyDescent="0.25">
      <c r="A501" s="30">
        <f t="shared" si="100"/>
        <v>485</v>
      </c>
      <c r="B501" s="10">
        <f>IF(B500=0,_Proxima_Compra,B500-1)</f>
        <v>1</v>
      </c>
      <c r="C501" s="3">
        <f t="shared" ca="1" si="93"/>
        <v>-1</v>
      </c>
      <c r="D501" s="3">
        <f ca="1">IF(D500&gt;0,D500-1,IF(C501&gt;0,LOOKUP(C501,$S$3:$S$5,$P$3:$P$5),-1))</f>
        <v>0</v>
      </c>
      <c r="E501" s="25">
        <f t="shared" ca="1" si="94"/>
        <v>2</v>
      </c>
      <c r="F501" s="28">
        <f ca="1">E501*_GramosXFrasco</f>
        <v>340</v>
      </c>
      <c r="G501" s="38">
        <f t="shared" ca="1" si="95"/>
        <v>0.89889383617240981</v>
      </c>
      <c r="H501" s="36">
        <f t="shared" ca="1" si="96"/>
        <v>0.57389269794212583</v>
      </c>
      <c r="I501" s="36">
        <f t="shared" ca="1" si="97"/>
        <v>0.59606593224909399</v>
      </c>
      <c r="J501" s="36">
        <f t="shared" ca="1" si="104"/>
        <v>-0.70868753295842635</v>
      </c>
      <c r="K501" s="37">
        <f ca="1">IF(J501&lt;&gt;-1,_Media_M + J501*_Sigma,-1)</f>
        <v>64.369687005623604</v>
      </c>
      <c r="L501" s="3">
        <f t="shared" ca="1" si="98"/>
        <v>-1</v>
      </c>
      <c r="M501" s="18">
        <f ca="1">IF(LOOKUP(G501,$H$3:$H$4,$E$3:$E$4)=1,50,_Media_M + J501*_Sigma)</f>
        <v>64.369687005623604</v>
      </c>
      <c r="N501" s="36">
        <f t="shared" ca="1" si="99"/>
        <v>4.7238563511986831</v>
      </c>
      <c r="O501" s="35">
        <f t="shared" ca="1" si="105"/>
        <v>69.093543356822281</v>
      </c>
      <c r="P501" s="19">
        <f t="shared" ca="1" si="101"/>
        <v>69.093543356822281</v>
      </c>
      <c r="Q501" s="20">
        <f ca="1" xml:space="preserve"> P501*_Precio_cafe</f>
        <v>103.64031503523341</v>
      </c>
      <c r="R501" s="20">
        <f t="shared" ca="1" si="102"/>
        <v>67412.71925800835</v>
      </c>
      <c r="S501" s="20">
        <f ca="1">(1/A501)*((A501-1)*S500 +Q501)</f>
        <v>138.99529743919254</v>
      </c>
      <c r="T501" s="20">
        <f ca="1">IF((T500-P501+F501)&gt;_Max_Stock_Gramos,_Max_Stock_Gramos,T500-P501+F501)</f>
        <v>1700</v>
      </c>
      <c r="U501" s="20">
        <f ca="1">T501/_GramosXFrasco</f>
        <v>10</v>
      </c>
      <c r="V501" s="58">
        <f ca="1">(T501/_Max_Stock_Gramos)</f>
        <v>1</v>
      </c>
      <c r="W501" s="58"/>
      <c r="X501" s="10">
        <f ca="1">IF((T500-O501)&lt;0,(T500-O501)*_Costo_Faltante,0)</f>
        <v>0</v>
      </c>
      <c r="Y501">
        <f>IF(B501=0,E501*_Costo_Frasco,0)</f>
        <v>0</v>
      </c>
      <c r="Z501" s="11">
        <f t="shared" ca="1" si="103"/>
        <v>-71000</v>
      </c>
    </row>
    <row r="502" spans="1:26" x14ac:dyDescent="0.25">
      <c r="A502" s="30">
        <f t="shared" si="100"/>
        <v>486</v>
      </c>
      <c r="B502" s="10">
        <f>IF(B501=0,_Proxima_Compra,B501-1)</f>
        <v>0</v>
      </c>
      <c r="C502" s="3">
        <f t="shared" ca="1" si="93"/>
        <v>0.96449834733937689</v>
      </c>
      <c r="D502" s="3">
        <f ca="1">IF(D501&gt;0,D501-1,IF(C502&gt;0,LOOKUP(C502,$S$3:$S$5,$P$3:$P$5),-1))</f>
        <v>2</v>
      </c>
      <c r="E502" s="25">
        <f t="shared" ca="1" si="94"/>
        <v>0</v>
      </c>
      <c r="F502" s="28">
        <f ca="1">E502*_GramosXFrasco</f>
        <v>0</v>
      </c>
      <c r="G502" s="38">
        <f t="shared" ca="1" si="95"/>
        <v>0.3946305589891248</v>
      </c>
      <c r="H502" s="36">
        <f t="shared" ca="1" si="96"/>
        <v>-1</v>
      </c>
      <c r="I502" s="36">
        <f t="shared" ca="1" si="97"/>
        <v>-1</v>
      </c>
      <c r="J502" s="36">
        <f t="shared" ca="1" si="104"/>
        <v>-1</v>
      </c>
      <c r="K502" s="37">
        <f ca="1">IF(J502&lt;&gt;-1,_Media_M + J502*_Sigma,-1)</f>
        <v>-1</v>
      </c>
      <c r="L502" s="3">
        <f t="shared" ca="1" si="98"/>
        <v>50</v>
      </c>
      <c r="M502" s="18">
        <f ca="1">IF(LOOKUP(G502,$H$3:$H$4,$E$3:$E$4)=1,50,_Media_M + J502*_Sigma)</f>
        <v>50</v>
      </c>
      <c r="N502" s="36">
        <f t="shared" ca="1" si="99"/>
        <v>55.08280605763985</v>
      </c>
      <c r="O502" s="35">
        <f t="shared" ca="1" si="105"/>
        <v>105.08280605763986</v>
      </c>
      <c r="P502" s="19">
        <f t="shared" ca="1" si="101"/>
        <v>105.08280605763986</v>
      </c>
      <c r="Q502" s="20">
        <f ca="1" xml:space="preserve"> P502*_Precio_cafe</f>
        <v>157.62420908645979</v>
      </c>
      <c r="R502" s="20">
        <f t="shared" ca="1" si="102"/>
        <v>67570.343467094805</v>
      </c>
      <c r="S502" s="20">
        <f ca="1">(1/A502)*((A502-1)*S501 +Q502)</f>
        <v>139.03362853311694</v>
      </c>
      <c r="T502" s="20">
        <f ca="1">IF((T501-P502+F502)&gt;_Max_Stock_Gramos,_Max_Stock_Gramos,T501-P502+F502)</f>
        <v>1594.9171939423602</v>
      </c>
      <c r="U502" s="20">
        <f ca="1">T502/_GramosXFrasco</f>
        <v>9.3818658467197658</v>
      </c>
      <c r="V502" s="58">
        <f ca="1">(T502/_Max_Stock_Gramos)</f>
        <v>0.93818658467197658</v>
      </c>
      <c r="W502" s="58"/>
      <c r="X502" s="10">
        <f ca="1">IF((T501-O502)&lt;0,(T501-O502)*_Costo_Faltante,0)</f>
        <v>0</v>
      </c>
      <c r="Y502">
        <f ca="1">IF(B502=0,E502*_Costo_Frasco,0)</f>
        <v>0</v>
      </c>
      <c r="Z502" s="11">
        <f t="shared" ca="1" si="103"/>
        <v>-71000</v>
      </c>
    </row>
    <row r="503" spans="1:26" x14ac:dyDescent="0.25">
      <c r="A503" s="30">
        <f t="shared" si="100"/>
        <v>487</v>
      </c>
      <c r="B503" s="10">
        <f>IF(B502=0,_Proxima_Compra,B502-1)</f>
        <v>1</v>
      </c>
      <c r="C503" s="3">
        <f t="shared" ca="1" si="93"/>
        <v>-1</v>
      </c>
      <c r="D503" s="3">
        <f ca="1">IF(D502&gt;0,D502-1,IF(C503&gt;0,LOOKUP(C503,$S$3:$S$5,$P$3:$P$5),-1))</f>
        <v>1</v>
      </c>
      <c r="E503" s="25">
        <f t="shared" ca="1" si="94"/>
        <v>0</v>
      </c>
      <c r="F503" s="28">
        <f ca="1">E503*_GramosXFrasco</f>
        <v>0</v>
      </c>
      <c r="G503" s="38">
        <f t="shared" ca="1" si="95"/>
        <v>0.43150027584709949</v>
      </c>
      <c r="H503" s="36">
        <f t="shared" ca="1" si="96"/>
        <v>-1</v>
      </c>
      <c r="I503" s="36">
        <f t="shared" ca="1" si="97"/>
        <v>-1</v>
      </c>
      <c r="J503" s="36">
        <f t="shared" ca="1" si="104"/>
        <v>-1</v>
      </c>
      <c r="K503" s="37">
        <f ca="1">IF(J503&lt;&gt;-1,_Media_M + J503*_Sigma,-1)</f>
        <v>-1</v>
      </c>
      <c r="L503" s="3">
        <f t="shared" ca="1" si="98"/>
        <v>50</v>
      </c>
      <c r="M503" s="18">
        <f ca="1">IF(LOOKUP(G503,$H$3:$H$4,$E$3:$E$4)=1,50,_Media_M + J503*_Sigma)</f>
        <v>50</v>
      </c>
      <c r="N503" s="36">
        <f t="shared" ca="1" si="99"/>
        <v>18.733450308730134</v>
      </c>
      <c r="O503" s="35">
        <f t="shared" ca="1" si="105"/>
        <v>68.733450308730141</v>
      </c>
      <c r="P503" s="19">
        <f t="shared" ca="1" si="101"/>
        <v>68.733450308730141</v>
      </c>
      <c r="Q503" s="20">
        <f ca="1" xml:space="preserve"> P503*_Precio_cafe</f>
        <v>103.10017546309521</v>
      </c>
      <c r="R503" s="20">
        <f t="shared" ca="1" si="102"/>
        <v>67673.443642557904</v>
      </c>
      <c r="S503" s="20">
        <f ca="1">(1/A503)*((A503-1)*S502 +Q503)</f>
        <v>138.95984320853785</v>
      </c>
      <c r="T503" s="20">
        <f ca="1">IF((T502-P503+F503)&gt;_Max_Stock_Gramos,_Max_Stock_Gramos,T502-P503+F503)</f>
        <v>1526.18374363363</v>
      </c>
      <c r="U503" s="20">
        <f ca="1">T503/_GramosXFrasco</f>
        <v>8.9775514331390003</v>
      </c>
      <c r="V503" s="58">
        <f ca="1">(T503/_Max_Stock_Gramos)</f>
        <v>0.89775514331390005</v>
      </c>
      <c r="W503" s="58"/>
      <c r="X503" s="10">
        <f ca="1">IF((T502-O503)&lt;0,(T502-O503)*_Costo_Faltante,0)</f>
        <v>0</v>
      </c>
      <c r="Y503">
        <f>IF(B503=0,E503*_Costo_Frasco,0)</f>
        <v>0</v>
      </c>
      <c r="Z503" s="11">
        <f t="shared" ca="1" si="103"/>
        <v>-71000</v>
      </c>
    </row>
    <row r="504" spans="1:26" x14ac:dyDescent="0.25">
      <c r="A504" s="30">
        <f t="shared" si="100"/>
        <v>488</v>
      </c>
      <c r="B504" s="10">
        <f>IF(B503=0,_Proxima_Compra,B503-1)</f>
        <v>0</v>
      </c>
      <c r="C504" s="3">
        <f t="shared" ca="1" si="93"/>
        <v>0.95668177780018593</v>
      </c>
      <c r="D504" s="3">
        <f ca="1">IF(D503&gt;0,D503-1,IF(C504&gt;0,LOOKUP(C504,$S$3:$S$5,$P$3:$P$5),-1))</f>
        <v>0</v>
      </c>
      <c r="E504" s="25">
        <f t="shared" ca="1" si="94"/>
        <v>2</v>
      </c>
      <c r="F504" s="28">
        <f ca="1">E504*_GramosXFrasco</f>
        <v>340</v>
      </c>
      <c r="G504" s="38">
        <f t="shared" ca="1" si="95"/>
        <v>9.020628544185616E-2</v>
      </c>
      <c r="H504" s="36">
        <f t="shared" ca="1" si="96"/>
        <v>-1</v>
      </c>
      <c r="I504" s="36">
        <f t="shared" ca="1" si="97"/>
        <v>-1</v>
      </c>
      <c r="J504" s="36">
        <f t="shared" ca="1" si="104"/>
        <v>-1</v>
      </c>
      <c r="K504" s="37">
        <f ca="1">IF(J504&lt;&gt;-1,_Media_M + J504*_Sigma,-1)</f>
        <v>-1</v>
      </c>
      <c r="L504" s="3">
        <f t="shared" ca="1" si="98"/>
        <v>50</v>
      </c>
      <c r="M504" s="18">
        <f ca="1">IF(LOOKUP(G504,$H$3:$H$4,$E$3:$E$4)=1,50,_Media_M + J504*_Sigma)</f>
        <v>50</v>
      </c>
      <c r="N504" s="36">
        <f t="shared" ca="1" si="99"/>
        <v>13.378216951862537</v>
      </c>
      <c r="O504" s="35">
        <f t="shared" ca="1" si="105"/>
        <v>63.378216951862541</v>
      </c>
      <c r="P504" s="19">
        <f t="shared" ca="1" si="101"/>
        <v>63.378216951862541</v>
      </c>
      <c r="Q504" s="20">
        <f ca="1" xml:space="preserve"> P504*_Precio_cafe</f>
        <v>95.067325427793804</v>
      </c>
      <c r="R504" s="20">
        <f t="shared" ca="1" si="102"/>
        <v>67768.510967985698</v>
      </c>
      <c r="S504" s="20">
        <f ca="1">(1/A504)*((A504-1)*S503 +Q504)</f>
        <v>138.86989952456094</v>
      </c>
      <c r="T504" s="20">
        <f ca="1">IF((T503-P504+F504)&gt;_Max_Stock_Gramos,_Max_Stock_Gramos,T503-P504+F504)</f>
        <v>1700</v>
      </c>
      <c r="U504" s="20">
        <f ca="1">T504/_GramosXFrasco</f>
        <v>10</v>
      </c>
      <c r="V504" s="58">
        <f ca="1">(T504/_Max_Stock_Gramos)</f>
        <v>1</v>
      </c>
      <c r="W504" s="58"/>
      <c r="X504" s="10">
        <f ca="1">IF((T503-O504)&lt;0,(T503-O504)*_Costo_Faltante,0)</f>
        <v>0</v>
      </c>
      <c r="Y504">
        <f ca="1">IF(B504=0,E504*_Costo_Frasco,0)</f>
        <v>-500</v>
      </c>
      <c r="Z504" s="11">
        <f t="shared" ca="1" si="103"/>
        <v>-71500</v>
      </c>
    </row>
    <row r="505" spans="1:26" x14ac:dyDescent="0.25">
      <c r="A505" s="30">
        <f t="shared" si="100"/>
        <v>489</v>
      </c>
      <c r="B505" s="10">
        <f>IF(B504=0,_Proxima_Compra,B504-1)</f>
        <v>1</v>
      </c>
      <c r="C505" s="3">
        <f t="shared" ca="1" si="93"/>
        <v>-1</v>
      </c>
      <c r="D505" s="3">
        <f ca="1">IF(D504&gt;0,D504-1,IF(C505&gt;0,LOOKUP(C505,$S$3:$S$5,$P$3:$P$5),-1))</f>
        <v>-1</v>
      </c>
      <c r="E505" s="25">
        <f t="shared" ca="1" si="94"/>
        <v>0</v>
      </c>
      <c r="F505" s="28">
        <f ca="1">E505*_GramosXFrasco</f>
        <v>0</v>
      </c>
      <c r="G505" s="38">
        <f t="shared" ca="1" si="95"/>
        <v>0.69760679555125216</v>
      </c>
      <c r="H505" s="36">
        <f t="shared" ca="1" si="96"/>
        <v>4.3084638348091064E-2</v>
      </c>
      <c r="I505" s="36">
        <f t="shared" ca="1" si="97"/>
        <v>0.46328411382454759</v>
      </c>
      <c r="J505" s="36">
        <f t="shared" ca="1" si="104"/>
        <v>-0.19040225174640821</v>
      </c>
      <c r="K505" s="37">
        <f ca="1">IF(J505&lt;&gt;-1,_Media_M + J505*_Sigma,-1)</f>
        <v>72.143966223803872</v>
      </c>
      <c r="L505" s="3">
        <f t="shared" ca="1" si="98"/>
        <v>-1</v>
      </c>
      <c r="M505" s="18">
        <f ca="1">IF(LOOKUP(G505,$H$3:$H$4,$E$3:$E$4)=1,50,_Media_M + J505*_Sigma)</f>
        <v>72.143966223803872</v>
      </c>
      <c r="N505" s="36">
        <f t="shared" ca="1" si="99"/>
        <v>41.560039151196264</v>
      </c>
      <c r="O505" s="35">
        <f t="shared" ca="1" si="105"/>
        <v>113.70400537500014</v>
      </c>
      <c r="P505" s="19">
        <f t="shared" ca="1" si="101"/>
        <v>113.70400537500014</v>
      </c>
      <c r="Q505" s="20">
        <f ca="1" xml:space="preserve"> P505*_Precio_cafe</f>
        <v>170.55600806250021</v>
      </c>
      <c r="R505" s="20">
        <f t="shared" ca="1" si="102"/>
        <v>67939.066976048198</v>
      </c>
      <c r="S505" s="20">
        <f ca="1">(1/A505)*((A505-1)*S504 +Q505)</f>
        <v>138.93469729253221</v>
      </c>
      <c r="T505" s="20">
        <f ca="1">IF((T504-P505+F505)&gt;_Max_Stock_Gramos,_Max_Stock_Gramos,T504-P505+F505)</f>
        <v>1586.2959946249998</v>
      </c>
      <c r="U505" s="20">
        <f ca="1">T505/_GramosXFrasco</f>
        <v>9.3311529095588224</v>
      </c>
      <c r="V505" s="58">
        <f ca="1">(T505/_Max_Stock_Gramos)</f>
        <v>0.93311529095588219</v>
      </c>
      <c r="W505" s="58"/>
      <c r="X505" s="10">
        <f ca="1">IF((T504-O505)&lt;0,(T504-O505)*_Costo_Faltante,0)</f>
        <v>0</v>
      </c>
      <c r="Y505">
        <f>IF(B505=0,E505*_Costo_Frasco,0)</f>
        <v>0</v>
      </c>
      <c r="Z505" s="11">
        <f t="shared" ca="1" si="103"/>
        <v>-71500</v>
      </c>
    </row>
    <row r="506" spans="1:26" x14ac:dyDescent="0.25">
      <c r="A506" s="30">
        <f t="shared" si="100"/>
        <v>490</v>
      </c>
      <c r="B506" s="10">
        <f>IF(B505=0,_Proxima_Compra,B505-1)</f>
        <v>0</v>
      </c>
      <c r="C506" s="3">
        <f t="shared" ca="1" si="93"/>
        <v>0.70231225744193992</v>
      </c>
      <c r="D506" s="3">
        <f ca="1">IF(D505&gt;0,D505-1,IF(C506&gt;0,LOOKUP(C506,$S$3:$S$5,$P$3:$P$5),-1))</f>
        <v>1</v>
      </c>
      <c r="E506" s="25">
        <f t="shared" ca="1" si="94"/>
        <v>0</v>
      </c>
      <c r="F506" s="28">
        <f ca="1">E506*_GramosXFrasco</f>
        <v>0</v>
      </c>
      <c r="G506" s="38">
        <f t="shared" ca="1" si="95"/>
        <v>0.34675252164336334</v>
      </c>
      <c r="H506" s="36">
        <f t="shared" ca="1" si="96"/>
        <v>-1</v>
      </c>
      <c r="I506" s="36">
        <f t="shared" ca="1" si="97"/>
        <v>-1</v>
      </c>
      <c r="J506" s="36">
        <f t="shared" ca="1" si="104"/>
        <v>-1</v>
      </c>
      <c r="K506" s="37">
        <f ca="1">IF(J506&lt;&gt;-1,_Media_M + J506*_Sigma,-1)</f>
        <v>-1</v>
      </c>
      <c r="L506" s="3">
        <f t="shared" ca="1" si="98"/>
        <v>50</v>
      </c>
      <c r="M506" s="18">
        <f ca="1">IF(LOOKUP(G506,$H$3:$H$4,$E$3:$E$4)=1,50,_Media_M + J506*_Sigma)</f>
        <v>50</v>
      </c>
      <c r="N506" s="36">
        <f t="shared" ca="1" si="99"/>
        <v>13.374943133865164</v>
      </c>
      <c r="O506" s="35">
        <f t="shared" ca="1" si="105"/>
        <v>63.374943133865166</v>
      </c>
      <c r="P506" s="19">
        <f t="shared" ca="1" si="101"/>
        <v>63.374943133865166</v>
      </c>
      <c r="Q506" s="20">
        <f ca="1" xml:space="preserve"> P506*_Precio_cafe</f>
        <v>95.062414700797746</v>
      </c>
      <c r="R506" s="20">
        <f t="shared" ca="1" si="102"/>
        <v>68034.129390748989</v>
      </c>
      <c r="S506" s="20">
        <f ca="1">(1/A506)*((A506-1)*S505 +Q506)</f>
        <v>138.84516202193683</v>
      </c>
      <c r="T506" s="20">
        <f ca="1">IF((T505-P506+F506)&gt;_Max_Stock_Gramos,_Max_Stock_Gramos,T505-P506+F506)</f>
        <v>1522.9210514911347</v>
      </c>
      <c r="U506" s="20">
        <f ca="1">T506/_GramosXFrasco</f>
        <v>8.9583591264184399</v>
      </c>
      <c r="V506" s="58">
        <f ca="1">(T506/_Max_Stock_Gramos)</f>
        <v>0.89583591264184392</v>
      </c>
      <c r="W506" s="58"/>
      <c r="X506" s="10">
        <f ca="1">IF((T505-O506)&lt;0,(T505-O506)*_Costo_Faltante,0)</f>
        <v>0</v>
      </c>
      <c r="Y506">
        <f ca="1">IF(B506=0,E506*_Costo_Frasco,0)</f>
        <v>0</v>
      </c>
      <c r="Z506" s="11">
        <f t="shared" ca="1" si="103"/>
        <v>-71500</v>
      </c>
    </row>
    <row r="507" spans="1:26" x14ac:dyDescent="0.25">
      <c r="A507" s="30">
        <f t="shared" si="100"/>
        <v>491</v>
      </c>
      <c r="B507" s="10">
        <f>IF(B506=0,_Proxima_Compra,B506-1)</f>
        <v>1</v>
      </c>
      <c r="C507" s="3">
        <f t="shared" ca="1" si="93"/>
        <v>-1</v>
      </c>
      <c r="D507" s="3">
        <f ca="1">IF(D506&gt;0,D506-1,IF(C507&gt;0,LOOKUP(C507,$S$3:$S$5,$P$3:$P$5),-1))</f>
        <v>0</v>
      </c>
      <c r="E507" s="25">
        <f t="shared" ca="1" si="94"/>
        <v>2</v>
      </c>
      <c r="F507" s="28">
        <f ca="1">E507*_GramosXFrasco</f>
        <v>340</v>
      </c>
      <c r="G507" s="38">
        <f t="shared" ca="1" si="95"/>
        <v>0.67410950238519529</v>
      </c>
      <c r="H507" s="36">
        <f t="shared" ca="1" si="96"/>
        <v>0.10250315359592643</v>
      </c>
      <c r="I507" s="36">
        <f t="shared" ca="1" si="97"/>
        <v>0.95339278732521915</v>
      </c>
      <c r="J507" s="36">
        <f t="shared" ca="1" si="104"/>
        <v>0.29343882764859525</v>
      </c>
      <c r="K507" s="37">
        <f ca="1">IF(J507&lt;&gt;-1,_Media_M + J507*_Sigma,-1)</f>
        <v>79.401582414728935</v>
      </c>
      <c r="L507" s="3">
        <f t="shared" ca="1" si="98"/>
        <v>-1</v>
      </c>
      <c r="M507" s="18">
        <f ca="1">IF(LOOKUP(G507,$H$3:$H$4,$E$3:$E$4)=1,50,_Media_M + J507*_Sigma)</f>
        <v>79.401582414728935</v>
      </c>
      <c r="N507" s="36">
        <f t="shared" ca="1" si="99"/>
        <v>4.9514004142708803</v>
      </c>
      <c r="O507" s="35">
        <f t="shared" ca="1" si="105"/>
        <v>84.352982828999814</v>
      </c>
      <c r="P507" s="19">
        <f t="shared" ca="1" si="101"/>
        <v>84.352982828999814</v>
      </c>
      <c r="Q507" s="20">
        <f ca="1" xml:space="preserve"> P507*_Precio_cafe</f>
        <v>126.52947424349972</v>
      </c>
      <c r="R507" s="20">
        <f t="shared" ca="1" si="102"/>
        <v>68160.658864992482</v>
      </c>
      <c r="S507" s="20">
        <f ca="1">(1/A507)*((A507-1)*S506 +Q507)</f>
        <v>138.82007915477095</v>
      </c>
      <c r="T507" s="20">
        <f ca="1">IF((T506-P507+F507)&gt;_Max_Stock_Gramos,_Max_Stock_Gramos,T506-P507+F507)</f>
        <v>1700</v>
      </c>
      <c r="U507" s="20">
        <f ca="1">T507/_GramosXFrasco</f>
        <v>10</v>
      </c>
      <c r="V507" s="58">
        <f ca="1">(T507/_Max_Stock_Gramos)</f>
        <v>1</v>
      </c>
      <c r="W507" s="58"/>
      <c r="X507" s="10">
        <f ca="1">IF((T506-O507)&lt;0,(T506-O507)*_Costo_Faltante,0)</f>
        <v>0</v>
      </c>
      <c r="Y507">
        <f>IF(B507=0,E507*_Costo_Frasco,0)</f>
        <v>0</v>
      </c>
      <c r="Z507" s="11">
        <f t="shared" ca="1" si="103"/>
        <v>-71500</v>
      </c>
    </row>
    <row r="508" spans="1:26" x14ac:dyDescent="0.25">
      <c r="A508" s="30">
        <f t="shared" si="100"/>
        <v>492</v>
      </c>
      <c r="B508" s="10">
        <f>IF(B507=0,_Proxima_Compra,B507-1)</f>
        <v>0</v>
      </c>
      <c r="C508" s="3">
        <f t="shared" ca="1" si="93"/>
        <v>0.5720651207685542</v>
      </c>
      <c r="D508" s="3">
        <f ca="1">IF(D507&gt;0,D507-1,IF(C508&gt;0,LOOKUP(C508,$S$3:$S$5,$P$3:$P$5),-1))</f>
        <v>1</v>
      </c>
      <c r="E508" s="25">
        <f t="shared" ca="1" si="94"/>
        <v>0</v>
      </c>
      <c r="F508" s="28">
        <f ca="1">E508*_GramosXFrasco</f>
        <v>0</v>
      </c>
      <c r="G508" s="38">
        <f t="shared" ca="1" si="95"/>
        <v>0.84549038496228601</v>
      </c>
      <c r="H508" s="36">
        <f t="shared" ca="1" si="96"/>
        <v>0.31315438257552097</v>
      </c>
      <c r="I508" s="36">
        <f t="shared" ca="1" si="97"/>
        <v>1.8543930464732128E-2</v>
      </c>
      <c r="J508" s="36">
        <f t="shared" ca="1" si="104"/>
        <v>0.56733784590145864</v>
      </c>
      <c r="K508" s="37">
        <f ca="1">IF(J508&lt;&gt;-1,_Media_M + J508*_Sigma,-1)</f>
        <v>83.510067688521872</v>
      </c>
      <c r="L508" s="3">
        <f t="shared" ca="1" si="98"/>
        <v>-1</v>
      </c>
      <c r="M508" s="18">
        <f ca="1">IF(LOOKUP(G508,$H$3:$H$4,$E$3:$E$4)=1,50,_Media_M + J508*_Sigma)</f>
        <v>83.510067688521872</v>
      </c>
      <c r="N508" s="36">
        <f t="shared" ca="1" si="99"/>
        <v>28.95935877455754</v>
      </c>
      <c r="O508" s="35">
        <f t="shared" ca="1" si="105"/>
        <v>112.46942646307942</v>
      </c>
      <c r="P508" s="19">
        <f t="shared" ca="1" si="101"/>
        <v>112.46942646307942</v>
      </c>
      <c r="Q508" s="20">
        <f ca="1" xml:space="preserve"> P508*_Precio_cafe</f>
        <v>168.70413969461913</v>
      </c>
      <c r="R508" s="20">
        <f t="shared" ca="1" si="102"/>
        <v>68329.363004687097</v>
      </c>
      <c r="S508" s="20">
        <f ca="1">(1/A508)*((A508-1)*S507 +Q508)</f>
        <v>138.8808191152178</v>
      </c>
      <c r="T508" s="20">
        <f ca="1">IF((T507-P508+F508)&gt;_Max_Stock_Gramos,_Max_Stock_Gramos,T507-P508+F508)</f>
        <v>1587.5305735369207</v>
      </c>
      <c r="U508" s="20">
        <f ca="1">T508/_GramosXFrasco</f>
        <v>9.3384151384524738</v>
      </c>
      <c r="V508" s="58">
        <f ca="1">(T508/_Max_Stock_Gramos)</f>
        <v>0.9338415138452475</v>
      </c>
      <c r="W508" s="58"/>
      <c r="X508" s="10">
        <f ca="1">IF((T507-O508)&lt;0,(T507-O508)*_Costo_Faltante,0)</f>
        <v>0</v>
      </c>
      <c r="Y508">
        <f ca="1">IF(B508=0,E508*_Costo_Frasco,0)</f>
        <v>0</v>
      </c>
      <c r="Z508" s="11">
        <f t="shared" ca="1" si="103"/>
        <v>-71500</v>
      </c>
    </row>
    <row r="509" spans="1:26" x14ac:dyDescent="0.25">
      <c r="A509" s="30">
        <f t="shared" si="100"/>
        <v>493</v>
      </c>
      <c r="B509" s="10">
        <f>IF(B508=0,_Proxima_Compra,B508-1)</f>
        <v>1</v>
      </c>
      <c r="C509" s="3">
        <f t="shared" ca="1" si="93"/>
        <v>-1</v>
      </c>
      <c r="D509" s="3">
        <f ca="1">IF(D508&gt;0,D508-1,IF(C509&gt;0,LOOKUP(C509,$S$3:$S$5,$P$3:$P$5),-1))</f>
        <v>0</v>
      </c>
      <c r="E509" s="25">
        <f t="shared" ca="1" si="94"/>
        <v>2</v>
      </c>
      <c r="F509" s="28">
        <f ca="1">E509*_GramosXFrasco</f>
        <v>340</v>
      </c>
      <c r="G509" s="38">
        <f t="shared" ca="1" si="95"/>
        <v>0.5864387078986717</v>
      </c>
      <c r="H509" s="36">
        <f t="shared" ca="1" si="96"/>
        <v>0.49938133463318257</v>
      </c>
      <c r="I509" s="36">
        <f t="shared" ca="1" si="97"/>
        <v>0.65797344033255134</v>
      </c>
      <c r="J509" s="36">
        <f t="shared" ca="1" si="104"/>
        <v>-0.42369117514835242</v>
      </c>
      <c r="K509" s="37">
        <f ca="1">IF(J509&lt;&gt;-1,_Media_M + J509*_Sigma,-1)</f>
        <v>68.644632372774709</v>
      </c>
      <c r="L509" s="3">
        <f t="shared" ca="1" si="98"/>
        <v>-1</v>
      </c>
      <c r="M509" s="18">
        <f ca="1">IF(LOOKUP(G509,$H$3:$H$4,$E$3:$E$4)=1,50,_Media_M + J509*_Sigma)</f>
        <v>68.644632372774709</v>
      </c>
      <c r="N509" s="36">
        <f t="shared" ca="1" si="99"/>
        <v>19.387304031184858</v>
      </c>
      <c r="O509" s="35">
        <f t="shared" ca="1" si="105"/>
        <v>88.031936403959563</v>
      </c>
      <c r="P509" s="19">
        <f t="shared" ca="1" si="101"/>
        <v>88.031936403959563</v>
      </c>
      <c r="Q509" s="20">
        <f ca="1" xml:space="preserve"> P509*_Precio_cafe</f>
        <v>132.04790460593935</v>
      </c>
      <c r="R509" s="20">
        <f t="shared" ca="1" si="102"/>
        <v>68461.41090929303</v>
      </c>
      <c r="S509" s="20">
        <f ca="1">(1/A509)*((A509-1)*S508 +Q509)</f>
        <v>138.866959248059</v>
      </c>
      <c r="T509" s="20">
        <f ca="1">IF((T508-P509+F509)&gt;_Max_Stock_Gramos,_Max_Stock_Gramos,T508-P509+F509)</f>
        <v>1700</v>
      </c>
      <c r="U509" s="20">
        <f ca="1">T509/_GramosXFrasco</f>
        <v>10</v>
      </c>
      <c r="V509" s="58">
        <f ca="1">(T509/_Max_Stock_Gramos)</f>
        <v>1</v>
      </c>
      <c r="W509" s="58"/>
      <c r="X509" s="10">
        <f ca="1">IF((T508-O509)&lt;0,(T508-O509)*_Costo_Faltante,0)</f>
        <v>0</v>
      </c>
      <c r="Y509">
        <f>IF(B509=0,E509*_Costo_Frasco,0)</f>
        <v>0</v>
      </c>
      <c r="Z509" s="11">
        <f t="shared" ca="1" si="103"/>
        <v>-71500</v>
      </c>
    </row>
    <row r="510" spans="1:26" x14ac:dyDescent="0.25">
      <c r="A510" s="30">
        <f t="shared" si="100"/>
        <v>494</v>
      </c>
      <c r="B510" s="10">
        <f>IF(B509=0,_Proxima_Compra,B509-1)</f>
        <v>0</v>
      </c>
      <c r="C510" s="3">
        <f t="shared" ca="1" si="93"/>
        <v>0.94841627770207582</v>
      </c>
      <c r="D510" s="3">
        <f ca="1">IF(D509&gt;0,D509-1,IF(C510&gt;0,LOOKUP(C510,$S$3:$S$5,$P$3:$P$5),-1))</f>
        <v>2</v>
      </c>
      <c r="E510" s="25">
        <f t="shared" ca="1" si="94"/>
        <v>0</v>
      </c>
      <c r="F510" s="28">
        <f ca="1">E510*_GramosXFrasco</f>
        <v>0</v>
      </c>
      <c r="G510" s="38">
        <f t="shared" ca="1" si="95"/>
        <v>0.14987056668932153</v>
      </c>
      <c r="H510" s="36">
        <f t="shared" ca="1" si="96"/>
        <v>-1</v>
      </c>
      <c r="I510" s="36">
        <f t="shared" ca="1" si="97"/>
        <v>-1</v>
      </c>
      <c r="J510" s="36">
        <f t="shared" ca="1" si="104"/>
        <v>-1</v>
      </c>
      <c r="K510" s="37">
        <f ca="1">IF(J510&lt;&gt;-1,_Media_M + J510*_Sigma,-1)</f>
        <v>-1</v>
      </c>
      <c r="L510" s="3">
        <f t="shared" ca="1" si="98"/>
        <v>50</v>
      </c>
      <c r="M510" s="18">
        <f ca="1">IF(LOOKUP(G510,$H$3:$H$4,$E$3:$E$4)=1,50,_Media_M + J510*_Sigma)</f>
        <v>50</v>
      </c>
      <c r="N510" s="36">
        <f t="shared" ca="1" si="99"/>
        <v>6.0857467560694642</v>
      </c>
      <c r="O510" s="35">
        <f t="shared" ca="1" si="105"/>
        <v>56.085746756069462</v>
      </c>
      <c r="P510" s="19">
        <f t="shared" ca="1" si="101"/>
        <v>56.085746756069462</v>
      </c>
      <c r="Q510" s="20">
        <f ca="1" xml:space="preserve"> P510*_Precio_cafe</f>
        <v>84.128620134104196</v>
      </c>
      <c r="R510" s="20">
        <f t="shared" ca="1" si="102"/>
        <v>68545.539529427129</v>
      </c>
      <c r="S510" s="20">
        <f ca="1">(1/A510)*((A510-1)*S509 +Q510)</f>
        <v>138.75615289357731</v>
      </c>
      <c r="T510" s="20">
        <f ca="1">IF((T509-P510+F510)&gt;_Max_Stock_Gramos,_Max_Stock_Gramos,T509-P510+F510)</f>
        <v>1643.9142532439305</v>
      </c>
      <c r="U510" s="20">
        <f ca="1">T510/_GramosXFrasco</f>
        <v>9.6700838426113567</v>
      </c>
      <c r="V510" s="58">
        <f ca="1">(T510/_Max_Stock_Gramos)</f>
        <v>0.96700838426113556</v>
      </c>
      <c r="W510" s="58"/>
      <c r="X510" s="10">
        <f ca="1">IF((T509-O510)&lt;0,(T509-O510)*_Costo_Faltante,0)</f>
        <v>0</v>
      </c>
      <c r="Y510">
        <f ca="1">IF(B510=0,E510*_Costo_Frasco,0)</f>
        <v>0</v>
      </c>
      <c r="Z510" s="11">
        <f t="shared" ca="1" si="103"/>
        <v>-71500</v>
      </c>
    </row>
    <row r="511" spans="1:26" x14ac:dyDescent="0.25">
      <c r="A511" s="30">
        <f t="shared" si="100"/>
        <v>495</v>
      </c>
      <c r="B511" s="10">
        <f>IF(B510=0,_Proxima_Compra,B510-1)</f>
        <v>1</v>
      </c>
      <c r="C511" s="3">
        <f t="shared" ca="1" si="93"/>
        <v>-1</v>
      </c>
      <c r="D511" s="3">
        <f ca="1">IF(D510&gt;0,D510-1,IF(C511&gt;0,LOOKUP(C511,$S$3:$S$5,$P$3:$P$5),-1))</f>
        <v>1</v>
      </c>
      <c r="E511" s="25">
        <f t="shared" ca="1" si="94"/>
        <v>0</v>
      </c>
      <c r="F511" s="28">
        <f ca="1">E511*_GramosXFrasco</f>
        <v>0</v>
      </c>
      <c r="G511" s="38">
        <f t="shared" ca="1" si="95"/>
        <v>7.6801469086230978E-2</v>
      </c>
      <c r="H511" s="36">
        <f t="shared" ca="1" si="96"/>
        <v>-1</v>
      </c>
      <c r="I511" s="36">
        <f t="shared" ca="1" si="97"/>
        <v>-1</v>
      </c>
      <c r="J511" s="36">
        <f t="shared" ca="1" si="104"/>
        <v>-1</v>
      </c>
      <c r="K511" s="37">
        <f ca="1">IF(J511&lt;&gt;-1,_Media_M + J511*_Sigma,-1)</f>
        <v>-1</v>
      </c>
      <c r="L511" s="3">
        <f t="shared" ca="1" si="98"/>
        <v>50</v>
      </c>
      <c r="M511" s="18">
        <f ca="1">IF(LOOKUP(G511,$H$3:$H$4,$E$3:$E$4)=1,50,_Media_M + J511*_Sigma)</f>
        <v>50</v>
      </c>
      <c r="N511" s="36">
        <f t="shared" ca="1" si="99"/>
        <v>40.715706322909483</v>
      </c>
      <c r="O511" s="35">
        <f t="shared" ca="1" si="105"/>
        <v>90.715706322909483</v>
      </c>
      <c r="P511" s="19">
        <f t="shared" ca="1" si="101"/>
        <v>90.715706322909483</v>
      </c>
      <c r="Q511" s="20">
        <f ca="1" xml:space="preserve"> P511*_Precio_cafe</f>
        <v>136.07355948436424</v>
      </c>
      <c r="R511" s="20">
        <f t="shared" ca="1" si="102"/>
        <v>68681.613088911487</v>
      </c>
      <c r="S511" s="20">
        <f ca="1">(1/A511)*((A511-1)*S510 +Q511)</f>
        <v>138.75073351295262</v>
      </c>
      <c r="T511" s="20">
        <f ca="1">IF((T510-P511+F511)&gt;_Max_Stock_Gramos,_Max_Stock_Gramos,T510-P511+F511)</f>
        <v>1553.198546921021</v>
      </c>
      <c r="U511" s="20">
        <f ca="1">T511/_GramosXFrasco</f>
        <v>9.1364620407118888</v>
      </c>
      <c r="V511" s="58">
        <f ca="1">(T511/_Max_Stock_Gramos)</f>
        <v>0.91364620407118879</v>
      </c>
      <c r="W511" s="58"/>
      <c r="X511" s="10">
        <f ca="1">IF((T510-O511)&lt;0,(T510-O511)*_Costo_Faltante,0)</f>
        <v>0</v>
      </c>
      <c r="Y511">
        <f>IF(B511=0,E511*_Costo_Frasco,0)</f>
        <v>0</v>
      </c>
      <c r="Z511" s="11">
        <f t="shared" ca="1" si="103"/>
        <v>-71500</v>
      </c>
    </row>
    <row r="512" spans="1:26" x14ac:dyDescent="0.25">
      <c r="A512" s="30">
        <f t="shared" si="100"/>
        <v>496</v>
      </c>
      <c r="B512" s="10">
        <f>IF(B511=0,_Proxima_Compra,B511-1)</f>
        <v>0</v>
      </c>
      <c r="C512" s="3">
        <f t="shared" ca="1" si="93"/>
        <v>0.91836474092931675</v>
      </c>
      <c r="D512" s="3">
        <f ca="1">IF(D511&gt;0,D511-1,IF(C512&gt;0,LOOKUP(C512,$S$3:$S$5,$P$3:$P$5),-1))</f>
        <v>0</v>
      </c>
      <c r="E512" s="25">
        <f t="shared" ca="1" si="94"/>
        <v>2</v>
      </c>
      <c r="F512" s="28">
        <f ca="1">E512*_GramosXFrasco</f>
        <v>340</v>
      </c>
      <c r="G512" s="38">
        <f t="shared" ca="1" si="95"/>
        <v>0.50001021298193438</v>
      </c>
      <c r="H512" s="36">
        <f t="shared" ca="1" si="96"/>
        <v>0.1854957053408588</v>
      </c>
      <c r="I512" s="36">
        <f t="shared" ca="1" si="97"/>
        <v>0.41557154287155873</v>
      </c>
      <c r="J512" s="36">
        <f t="shared" ca="1" si="104"/>
        <v>-0.36413427927698455</v>
      </c>
      <c r="K512" s="37">
        <f ca="1">IF(J512&lt;&gt;-1,_Media_M + J512*_Sigma,-1)</f>
        <v>69.537985810845228</v>
      </c>
      <c r="L512" s="3">
        <f t="shared" ca="1" si="98"/>
        <v>-1</v>
      </c>
      <c r="M512" s="18">
        <f ca="1">IF(LOOKUP(G512,$H$3:$H$4,$E$3:$E$4)=1,50,_Media_M + J512*_Sigma)</f>
        <v>69.537985810845228</v>
      </c>
      <c r="N512" s="36">
        <f t="shared" ca="1" si="99"/>
        <v>26.440839907925895</v>
      </c>
      <c r="O512" s="35">
        <f t="shared" ca="1" si="105"/>
        <v>95.97882571877112</v>
      </c>
      <c r="P512" s="19">
        <f t="shared" ca="1" si="101"/>
        <v>95.97882571877112</v>
      </c>
      <c r="Q512" s="20">
        <f ca="1" xml:space="preserve"> P512*_Precio_cafe</f>
        <v>143.96823857815667</v>
      </c>
      <c r="R512" s="20">
        <f t="shared" ca="1" si="102"/>
        <v>68825.58132748965</v>
      </c>
      <c r="S512" s="20">
        <f ca="1">(1/A512)*((A512-1)*S511 +Q512)</f>
        <v>138.76125267639054</v>
      </c>
      <c r="T512" s="20">
        <f ca="1">IF((T511-P512+F512)&gt;_Max_Stock_Gramos,_Max_Stock_Gramos,T511-P512+F512)</f>
        <v>1700</v>
      </c>
      <c r="U512" s="20">
        <f ca="1">T512/_GramosXFrasco</f>
        <v>10</v>
      </c>
      <c r="V512" s="58">
        <f ca="1">(T512/_Max_Stock_Gramos)</f>
        <v>1</v>
      </c>
      <c r="W512" s="58"/>
      <c r="X512" s="10">
        <f ca="1">IF((T511-O512)&lt;0,(T511-O512)*_Costo_Faltante,0)</f>
        <v>0</v>
      </c>
      <c r="Y512">
        <f ca="1">IF(B512=0,E512*_Costo_Frasco,0)</f>
        <v>-500</v>
      </c>
      <c r="Z512" s="11">
        <f t="shared" ca="1" si="103"/>
        <v>-72000</v>
      </c>
    </row>
    <row r="513" spans="1:26" x14ac:dyDescent="0.25">
      <c r="A513" s="30">
        <f t="shared" si="100"/>
        <v>497</v>
      </c>
      <c r="B513" s="10">
        <f>IF(B512=0,_Proxima_Compra,B512-1)</f>
        <v>1</v>
      </c>
      <c r="C513" s="3">
        <f t="shared" ca="1" si="93"/>
        <v>-1</v>
      </c>
      <c r="D513" s="3">
        <f ca="1">IF(D512&gt;0,D512-1,IF(C513&gt;0,LOOKUP(C513,$S$3:$S$5,$P$3:$P$5),-1))</f>
        <v>-1</v>
      </c>
      <c r="E513" s="25">
        <f t="shared" ca="1" si="94"/>
        <v>0</v>
      </c>
      <c r="F513" s="28">
        <f ca="1">E513*_GramosXFrasco</f>
        <v>0</v>
      </c>
      <c r="G513" s="38">
        <f t="shared" ca="1" si="95"/>
        <v>0.63796805577918525</v>
      </c>
      <c r="H513" s="36">
        <f t="shared" ca="1" si="96"/>
        <v>0.7415447043573179</v>
      </c>
      <c r="I513" s="36">
        <f t="shared" ca="1" si="97"/>
        <v>0.38564943300104249</v>
      </c>
      <c r="J513" s="36">
        <f t="shared" ca="1" si="104"/>
        <v>-0.81609889755387888</v>
      </c>
      <c r="K513" s="37">
        <f ca="1">IF(J513&lt;&gt;-1,_Media_M + J513*_Sigma,-1)</f>
        <v>62.758516536691815</v>
      </c>
      <c r="L513" s="3">
        <f t="shared" ca="1" si="98"/>
        <v>-1</v>
      </c>
      <c r="M513" s="18">
        <f ca="1">IF(LOOKUP(G513,$H$3:$H$4,$E$3:$E$4)=1,50,_Media_M + J513*_Sigma)</f>
        <v>62.758516536691815</v>
      </c>
      <c r="N513" s="36">
        <f t="shared" ca="1" si="99"/>
        <v>59.25776107787388</v>
      </c>
      <c r="O513" s="35">
        <f t="shared" ca="1" si="105"/>
        <v>122.01627761456569</v>
      </c>
      <c r="P513" s="19">
        <f t="shared" ca="1" si="101"/>
        <v>122.01627761456569</v>
      </c>
      <c r="Q513" s="20">
        <f ca="1" xml:space="preserve"> P513*_Precio_cafe</f>
        <v>183.02441642184854</v>
      </c>
      <c r="R513" s="20">
        <f t="shared" ca="1" si="102"/>
        <v>69008.605743911496</v>
      </c>
      <c r="S513" s="20">
        <f ca="1">(1/A513)*((A513-1)*S512 +Q513)</f>
        <v>138.85031336803129</v>
      </c>
      <c r="T513" s="20">
        <f ca="1">IF((T512-P513+F513)&gt;_Max_Stock_Gramos,_Max_Stock_Gramos,T512-P513+F513)</f>
        <v>1577.9837223854342</v>
      </c>
      <c r="U513" s="20">
        <f ca="1">T513/_GramosXFrasco</f>
        <v>9.2822571905025537</v>
      </c>
      <c r="V513" s="58">
        <f ca="1">(T513/_Max_Stock_Gramos)</f>
        <v>0.92822571905025542</v>
      </c>
      <c r="W513" s="58"/>
      <c r="X513" s="10">
        <f ca="1">IF((T512-O513)&lt;0,(T512-O513)*_Costo_Faltante,0)</f>
        <v>0</v>
      </c>
      <c r="Y513">
        <f>IF(B513=0,E513*_Costo_Frasco,0)</f>
        <v>0</v>
      </c>
      <c r="Z513" s="11">
        <f t="shared" ca="1" si="103"/>
        <v>-72000</v>
      </c>
    </row>
    <row r="514" spans="1:26" x14ac:dyDescent="0.25">
      <c r="A514" s="30">
        <f t="shared" si="100"/>
        <v>498</v>
      </c>
      <c r="B514" s="10">
        <f>IF(B513=0,_Proxima_Compra,B513-1)</f>
        <v>0</v>
      </c>
      <c r="C514" s="3">
        <f t="shared" ca="1" si="93"/>
        <v>0.21150109452285559</v>
      </c>
      <c r="D514" s="3">
        <f ca="1">IF(D513&gt;0,D513-1,IF(C514&gt;0,LOOKUP(C514,$S$3:$S$5,$P$3:$P$5),-1))</f>
        <v>0</v>
      </c>
      <c r="E514" s="25">
        <f t="shared" ca="1" si="94"/>
        <v>2</v>
      </c>
      <c r="F514" s="28">
        <f ca="1">E514*_GramosXFrasco</f>
        <v>340</v>
      </c>
      <c r="G514" s="38">
        <f t="shared" ca="1" si="95"/>
        <v>0.14118824890926451</v>
      </c>
      <c r="H514" s="36">
        <f t="shared" ca="1" si="96"/>
        <v>-1</v>
      </c>
      <c r="I514" s="36">
        <f t="shared" ca="1" si="97"/>
        <v>-1</v>
      </c>
      <c r="J514" s="36">
        <f t="shared" ca="1" si="104"/>
        <v>-1</v>
      </c>
      <c r="K514" s="37">
        <f ca="1">IF(J514&lt;&gt;-1,_Media_M + J514*_Sigma,-1)</f>
        <v>-1</v>
      </c>
      <c r="L514" s="3">
        <f t="shared" ca="1" si="98"/>
        <v>50</v>
      </c>
      <c r="M514" s="18">
        <f ca="1">IF(LOOKUP(G514,$H$3:$H$4,$E$3:$E$4)=1,50,_Media_M + J514*_Sigma)</f>
        <v>50</v>
      </c>
      <c r="N514" s="36">
        <f t="shared" ca="1" si="99"/>
        <v>47.415651630308766</v>
      </c>
      <c r="O514" s="35">
        <f t="shared" ca="1" si="105"/>
        <v>97.415651630308759</v>
      </c>
      <c r="P514" s="19">
        <f t="shared" ca="1" si="101"/>
        <v>97.415651630308759</v>
      </c>
      <c r="Q514" s="20">
        <f ca="1" xml:space="preserve"> P514*_Precio_cafe</f>
        <v>146.12347744546315</v>
      </c>
      <c r="R514" s="20">
        <f t="shared" ca="1" si="102"/>
        <v>69154.72922135696</v>
      </c>
      <c r="S514" s="20">
        <f ca="1">(1/A514)*((A514-1)*S513 +Q514)</f>
        <v>138.86491811517473</v>
      </c>
      <c r="T514" s="20">
        <f ca="1">IF((T513-P514+F514)&gt;_Max_Stock_Gramos,_Max_Stock_Gramos,T513-P514+F514)</f>
        <v>1700</v>
      </c>
      <c r="U514" s="20">
        <f ca="1">T514/_GramosXFrasco</f>
        <v>10</v>
      </c>
      <c r="V514" s="58">
        <f ca="1">(T514/_Max_Stock_Gramos)</f>
        <v>1</v>
      </c>
      <c r="W514" s="58"/>
      <c r="X514" s="10">
        <f ca="1">IF((T513-O514)&lt;0,(T513-O514)*_Costo_Faltante,0)</f>
        <v>0</v>
      </c>
      <c r="Y514">
        <f ca="1">IF(B514=0,E514*_Costo_Frasco,0)</f>
        <v>-500</v>
      </c>
      <c r="Z514" s="11">
        <f t="shared" ca="1" si="103"/>
        <v>-72500</v>
      </c>
    </row>
    <row r="515" spans="1:26" x14ac:dyDescent="0.25">
      <c r="A515" s="30">
        <f t="shared" si="100"/>
        <v>499</v>
      </c>
      <c r="B515" s="10">
        <f>IF(B514=0,_Proxima_Compra,B514-1)</f>
        <v>1</v>
      </c>
      <c r="C515" s="3">
        <f t="shared" ca="1" si="93"/>
        <v>-1</v>
      </c>
      <c r="D515" s="3">
        <f ca="1">IF(D514&gt;0,D514-1,IF(C515&gt;0,LOOKUP(C515,$S$3:$S$5,$P$3:$P$5),-1))</f>
        <v>-1</v>
      </c>
      <c r="E515" s="25">
        <f t="shared" ca="1" si="94"/>
        <v>0</v>
      </c>
      <c r="F515" s="28">
        <f ca="1">E515*_GramosXFrasco</f>
        <v>0</v>
      </c>
      <c r="G515" s="38">
        <f t="shared" ca="1" si="95"/>
        <v>0.79274522389583513</v>
      </c>
      <c r="H515" s="36">
        <f t="shared" ca="1" si="96"/>
        <v>0.63793744281040721</v>
      </c>
      <c r="I515" s="36">
        <f t="shared" ca="1" si="97"/>
        <v>0.99135868944226979</v>
      </c>
      <c r="J515" s="36">
        <f t="shared" ca="1" si="104"/>
        <v>0.93799465112037084</v>
      </c>
      <c r="K515" s="37">
        <f ca="1">IF(J515&lt;&gt;-1,_Media_M + J515*_Sigma,-1)</f>
        <v>89.069919766805555</v>
      </c>
      <c r="L515" s="3">
        <f t="shared" ca="1" si="98"/>
        <v>-1</v>
      </c>
      <c r="M515" s="18">
        <f ca="1">IF(LOOKUP(G515,$H$3:$H$4,$E$3:$E$4)=1,50,_Media_M + J515*_Sigma)</f>
        <v>89.069919766805555</v>
      </c>
      <c r="N515" s="36">
        <f t="shared" ca="1" si="99"/>
        <v>27.412215360538706</v>
      </c>
      <c r="O515" s="35">
        <f t="shared" ca="1" si="105"/>
        <v>116.48213512734426</v>
      </c>
      <c r="P515" s="19">
        <f t="shared" ca="1" si="101"/>
        <v>116.48213512734426</v>
      </c>
      <c r="Q515" s="20">
        <f ca="1" xml:space="preserve"> P515*_Precio_cafe</f>
        <v>174.72320269101641</v>
      </c>
      <c r="R515" s="20">
        <f t="shared" ca="1" si="102"/>
        <v>69329.45242404798</v>
      </c>
      <c r="S515" s="20">
        <f ca="1">(1/A515)*((A515-1)*S514 +Q515)</f>
        <v>138.93677840490588</v>
      </c>
      <c r="T515" s="20">
        <f ca="1">IF((T514-P515+F515)&gt;_Max_Stock_Gramos,_Max_Stock_Gramos,T514-P515+F515)</f>
        <v>1583.5178648726558</v>
      </c>
      <c r="U515" s="20">
        <f ca="1">T515/_GramosXFrasco</f>
        <v>9.3148109698391508</v>
      </c>
      <c r="V515" s="58">
        <f ca="1">(T515/_Max_Stock_Gramos)</f>
        <v>0.93148109698391512</v>
      </c>
      <c r="W515" s="58"/>
      <c r="X515" s="10">
        <f ca="1">IF((T514-O515)&lt;0,(T514-O515)*_Costo_Faltante,0)</f>
        <v>0</v>
      </c>
      <c r="Y515">
        <f>IF(B515=0,E515*_Costo_Frasco,0)</f>
        <v>0</v>
      </c>
      <c r="Z515" s="11">
        <f t="shared" ca="1" si="103"/>
        <v>-72500</v>
      </c>
    </row>
    <row r="516" spans="1:26" x14ac:dyDescent="0.25">
      <c r="A516" s="59">
        <f t="shared" si="100"/>
        <v>500</v>
      </c>
      <c r="B516" s="10">
        <f>IF(B515=0,_Proxima_Compra,B515-1)</f>
        <v>0</v>
      </c>
      <c r="C516" s="3">
        <f t="shared" ca="1" si="93"/>
        <v>8.9672682706238627E-2</v>
      </c>
      <c r="D516" s="3">
        <f ca="1">IF(D515&gt;0,D515-1,IF(C516&gt;0,LOOKUP(C516,$S$3:$S$5,$P$3:$P$5),-1))</f>
        <v>0</v>
      </c>
      <c r="E516" s="25">
        <f t="shared" ca="1" si="94"/>
        <v>2</v>
      </c>
      <c r="F516" s="28">
        <f ca="1">E516*_GramosXFrasco</f>
        <v>340</v>
      </c>
      <c r="G516" s="38">
        <f t="shared" ca="1" si="95"/>
        <v>0.71947085646063014</v>
      </c>
      <c r="H516" s="36">
        <f t="shared" ca="1" si="96"/>
        <v>0.14922660592708969</v>
      </c>
      <c r="I516" s="36">
        <f t="shared" ca="1" si="97"/>
        <v>0.4816935515307792</v>
      </c>
      <c r="J516" s="36">
        <f t="shared" ca="1" si="104"/>
        <v>-0.37218707282407626</v>
      </c>
      <c r="K516" s="37">
        <f ca="1">IF(J516&lt;&gt;-1,_Media_M + J516*_Sigma,-1)</f>
        <v>69.417193907638861</v>
      </c>
      <c r="L516" s="3">
        <f t="shared" ca="1" si="98"/>
        <v>-1</v>
      </c>
      <c r="M516" s="18">
        <f ca="1">IF(LOOKUP(G516,$H$3:$H$4,$E$3:$E$4)=1,50,_Media_M + J516*_Sigma)</f>
        <v>69.417193907638861</v>
      </c>
      <c r="N516" s="36">
        <f t="shared" ca="1" si="99"/>
        <v>27.47946616972397</v>
      </c>
      <c r="O516" s="35">
        <f t="shared" ca="1" si="105"/>
        <v>96.896660077362839</v>
      </c>
      <c r="P516" s="19">
        <f t="shared" ca="1" si="101"/>
        <v>96.896660077362839</v>
      </c>
      <c r="Q516" s="20">
        <f ca="1" xml:space="preserve"> P516*_Precio_cafe</f>
        <v>145.34499011604424</v>
      </c>
      <c r="R516" s="20">
        <f t="shared" ca="1" si="102"/>
        <v>69474.79741416403</v>
      </c>
      <c r="S516" s="20">
        <f ca="1">(1/A516)*((A516-1)*S515 +Q516)</f>
        <v>138.94959482832817</v>
      </c>
      <c r="T516" s="20">
        <f ca="1">IF((T515-P516+F516)&gt;_Max_Stock_Gramos,_Max_Stock_Gramos,T515-P516+F516)</f>
        <v>1700</v>
      </c>
      <c r="U516" s="20">
        <f ca="1">T516/_GramosXFrasco</f>
        <v>10</v>
      </c>
      <c r="V516" s="58">
        <f ca="1">(T516/_Max_Stock_Gramos)</f>
        <v>1</v>
      </c>
      <c r="W516" s="58"/>
      <c r="X516" s="10">
        <f ca="1">IF((T515-O516)&lt;0,(T515-O516)*_Costo_Faltante,0)</f>
        <v>0</v>
      </c>
      <c r="Y516">
        <f ca="1">IF(B516=0,E516*_Costo_Frasco,0)</f>
        <v>-500</v>
      </c>
      <c r="Z516" s="11">
        <f t="shared" ca="1" si="103"/>
        <v>-73000</v>
      </c>
    </row>
  </sheetData>
  <mergeCells count="8">
    <mergeCell ref="X14:Z14"/>
    <mergeCell ref="K1:L1"/>
    <mergeCell ref="H9:J9"/>
    <mergeCell ref="B14:F14"/>
    <mergeCell ref="E1:I1"/>
    <mergeCell ref="P1:T1"/>
    <mergeCell ref="A1:C1"/>
    <mergeCell ref="AB4:A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_Costo_Faltante</vt:lpstr>
      <vt:lpstr>_Costo_Frasco</vt:lpstr>
      <vt:lpstr>_GramosXFrasco</vt:lpstr>
      <vt:lpstr>_Max_Stock_Gramos</vt:lpstr>
      <vt:lpstr>_Media_M</vt:lpstr>
      <vt:lpstr>_Precio_cafe</vt:lpstr>
      <vt:lpstr>_Proxima_Compra</vt:lpstr>
      <vt:lpstr>_Sigma</vt:lpstr>
      <vt:lpstr>_Stock_Inicial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2020-09-11T04:30:55Z</dcterms:modified>
</cp:coreProperties>
</file>