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BFBAB88A-3140-4632-9186-5CDEC5468CB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Costo_Faltante">Hoja1!$B$3</definedName>
    <definedName name="_Costo_Frasco">Hoja1!$B$2</definedName>
    <definedName name="_GramosXFrasco">Hoja1!$B$7</definedName>
    <definedName name="_Max_Stock_Gramos">Hoja1!$C$6</definedName>
    <definedName name="_Media_M">Hoja1!$B$8</definedName>
    <definedName name="_Precio_cafe">Hoja1!$B$4</definedName>
    <definedName name="_Proxima_Compra">Hoja1!$B$10</definedName>
    <definedName name="_Sigma">Hoja1!$B$9</definedName>
    <definedName name="_Stock_Inicial">Hoja1!$B$11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S17" i="1" s="1"/>
  <c r="C6" i="1"/>
  <c r="N16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B36" i="1"/>
  <c r="B37" i="1"/>
  <c r="B38" i="1"/>
  <c r="B39" i="1"/>
  <c r="B40" i="1"/>
  <c r="B41" i="1"/>
  <c r="B42" i="1"/>
  <c r="B43" i="1"/>
  <c r="B44" i="1"/>
  <c r="B45" i="1"/>
  <c r="B46" i="1"/>
  <c r="B47" i="1"/>
  <c r="C47" i="1" s="1"/>
  <c r="B48" i="1"/>
  <c r="B49" i="1"/>
  <c r="B50" i="1"/>
  <c r="B51" i="1"/>
  <c r="C51" i="1" s="1"/>
  <c r="B52" i="1"/>
  <c r="B53" i="1"/>
  <c r="B54" i="1"/>
  <c r="B55" i="1"/>
  <c r="B56" i="1"/>
  <c r="B57" i="1"/>
  <c r="B58" i="1"/>
  <c r="B59" i="1"/>
  <c r="B60" i="1"/>
  <c r="B61" i="1"/>
  <c r="B62" i="1"/>
  <c r="B63" i="1"/>
  <c r="C63" i="1" s="1"/>
  <c r="B64" i="1"/>
  <c r="B65" i="1"/>
  <c r="B66" i="1"/>
  <c r="B67" i="1"/>
  <c r="C67" i="1" s="1"/>
  <c r="B68" i="1"/>
  <c r="B69" i="1"/>
  <c r="B70" i="1"/>
  <c r="B71" i="1"/>
  <c r="B72" i="1"/>
  <c r="B73" i="1"/>
  <c r="B74" i="1"/>
  <c r="B75" i="1"/>
  <c r="B76" i="1"/>
  <c r="B77" i="1"/>
  <c r="B78" i="1"/>
  <c r="B79" i="1"/>
  <c r="C79" i="1" s="1"/>
  <c r="B80" i="1"/>
  <c r="B81" i="1"/>
  <c r="B82" i="1"/>
  <c r="B83" i="1"/>
  <c r="D83" i="1" s="1"/>
  <c r="B84" i="1"/>
  <c r="B85" i="1"/>
  <c r="B86" i="1"/>
  <c r="B87" i="1"/>
  <c r="B88" i="1"/>
  <c r="B89" i="1"/>
  <c r="B90" i="1"/>
  <c r="B91" i="1"/>
  <c r="B92" i="1"/>
  <c r="B93" i="1"/>
  <c r="B94" i="1"/>
  <c r="B95" i="1"/>
  <c r="C95" i="1" s="1"/>
  <c r="B96" i="1"/>
  <c r="B97" i="1"/>
  <c r="B98" i="1"/>
  <c r="B99" i="1"/>
  <c r="C99" i="1" s="1"/>
  <c r="B100" i="1"/>
  <c r="B101" i="1"/>
  <c r="B102" i="1"/>
  <c r="B103" i="1"/>
  <c r="B104" i="1"/>
  <c r="B105" i="1"/>
  <c r="B106" i="1"/>
  <c r="B107" i="1"/>
  <c r="B108" i="1"/>
  <c r="B109" i="1"/>
  <c r="B110" i="1"/>
  <c r="B111" i="1"/>
  <c r="C111" i="1" s="1"/>
  <c r="B112" i="1"/>
  <c r="B113" i="1"/>
  <c r="B114" i="1"/>
  <c r="B115" i="1"/>
  <c r="C115" i="1" s="1"/>
  <c r="B116" i="1"/>
  <c r="B117" i="1"/>
  <c r="B118" i="1"/>
  <c r="B119" i="1"/>
  <c r="B120" i="1"/>
  <c r="B121" i="1"/>
  <c r="B122" i="1"/>
  <c r="B123" i="1"/>
  <c r="B124" i="1"/>
  <c r="B125" i="1"/>
  <c r="B126" i="1"/>
  <c r="B127" i="1"/>
  <c r="C127" i="1" s="1"/>
  <c r="B128" i="1"/>
  <c r="B129" i="1"/>
  <c r="B130" i="1"/>
  <c r="B131" i="1"/>
  <c r="C131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C143" i="1" s="1"/>
  <c r="B144" i="1"/>
  <c r="B145" i="1"/>
  <c r="B146" i="1"/>
  <c r="B147" i="1"/>
  <c r="C147" i="1" s="1"/>
  <c r="B148" i="1"/>
  <c r="B149" i="1"/>
  <c r="B150" i="1"/>
  <c r="B151" i="1"/>
  <c r="B152" i="1"/>
  <c r="B153" i="1"/>
  <c r="B154" i="1"/>
  <c r="B155" i="1"/>
  <c r="B156" i="1"/>
  <c r="B157" i="1"/>
  <c r="B158" i="1"/>
  <c r="B159" i="1"/>
  <c r="C159" i="1" s="1"/>
  <c r="B160" i="1"/>
  <c r="B161" i="1"/>
  <c r="B162" i="1"/>
  <c r="B163" i="1"/>
  <c r="C163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C175" i="1" s="1"/>
  <c r="B176" i="1"/>
  <c r="B177" i="1"/>
  <c r="B178" i="1"/>
  <c r="B179" i="1"/>
  <c r="C179" i="1" s="1"/>
  <c r="B180" i="1"/>
  <c r="B181" i="1"/>
  <c r="B182" i="1"/>
  <c r="B183" i="1"/>
  <c r="B184" i="1"/>
  <c r="B185" i="1"/>
  <c r="B186" i="1"/>
  <c r="B187" i="1"/>
  <c r="B188" i="1"/>
  <c r="B189" i="1"/>
  <c r="B190" i="1"/>
  <c r="B191" i="1"/>
  <c r="C191" i="1" s="1"/>
  <c r="B192" i="1"/>
  <c r="B193" i="1"/>
  <c r="B194" i="1"/>
  <c r="B195" i="1"/>
  <c r="C195" i="1" s="1"/>
  <c r="B196" i="1"/>
  <c r="B197" i="1"/>
  <c r="B198" i="1"/>
  <c r="B199" i="1"/>
  <c r="B200" i="1"/>
  <c r="B201" i="1"/>
  <c r="B202" i="1"/>
  <c r="B203" i="1"/>
  <c r="B204" i="1"/>
  <c r="B205" i="1"/>
  <c r="B206" i="1"/>
  <c r="B207" i="1"/>
  <c r="C207" i="1" s="1"/>
  <c r="B208" i="1"/>
  <c r="B209" i="1"/>
  <c r="B210" i="1"/>
  <c r="B211" i="1"/>
  <c r="D211" i="1" s="1"/>
  <c r="B212" i="1"/>
  <c r="B213" i="1"/>
  <c r="B214" i="1"/>
  <c r="B215" i="1"/>
  <c r="B216" i="1"/>
  <c r="B217" i="1"/>
  <c r="B218" i="1"/>
  <c r="B219" i="1"/>
  <c r="B220" i="1"/>
  <c r="B221" i="1"/>
  <c r="B222" i="1"/>
  <c r="B223" i="1"/>
  <c r="C223" i="1" s="1"/>
  <c r="B224" i="1"/>
  <c r="B225" i="1"/>
  <c r="B226" i="1"/>
  <c r="B227" i="1"/>
  <c r="C227" i="1" s="1"/>
  <c r="B228" i="1"/>
  <c r="B229" i="1"/>
  <c r="B230" i="1"/>
  <c r="B231" i="1"/>
  <c r="B232" i="1"/>
  <c r="B233" i="1"/>
  <c r="B234" i="1"/>
  <c r="B235" i="1"/>
  <c r="B236" i="1"/>
  <c r="B237" i="1"/>
  <c r="B238" i="1"/>
  <c r="B239" i="1"/>
  <c r="C239" i="1" s="1"/>
  <c r="B240" i="1"/>
  <c r="B241" i="1"/>
  <c r="B242" i="1"/>
  <c r="B243" i="1"/>
  <c r="C243" i="1" s="1"/>
  <c r="B244" i="1"/>
  <c r="B245" i="1"/>
  <c r="B246" i="1"/>
  <c r="B247" i="1"/>
  <c r="B248" i="1"/>
  <c r="B249" i="1"/>
  <c r="B250" i="1"/>
  <c r="B251" i="1"/>
  <c r="B252" i="1"/>
  <c r="B253" i="1"/>
  <c r="B254" i="1"/>
  <c r="B255" i="1"/>
  <c r="C255" i="1" s="1"/>
  <c r="B256" i="1"/>
  <c r="B257" i="1"/>
  <c r="B258" i="1"/>
  <c r="B259" i="1"/>
  <c r="C259" i="1" s="1"/>
  <c r="B260" i="1"/>
  <c r="B261" i="1"/>
  <c r="B262" i="1"/>
  <c r="B263" i="1"/>
  <c r="B264" i="1"/>
  <c r="B265" i="1"/>
  <c r="B266" i="1"/>
  <c r="B267" i="1"/>
  <c r="B268" i="1"/>
  <c r="B269" i="1"/>
  <c r="B270" i="1"/>
  <c r="B271" i="1"/>
  <c r="C271" i="1" s="1"/>
  <c r="B272" i="1"/>
  <c r="B273" i="1"/>
  <c r="B274" i="1"/>
  <c r="B275" i="1"/>
  <c r="D275" i="1" s="1"/>
  <c r="B276" i="1"/>
  <c r="B277" i="1"/>
  <c r="B278" i="1"/>
  <c r="B279" i="1"/>
  <c r="B280" i="1"/>
  <c r="B281" i="1"/>
  <c r="B282" i="1"/>
  <c r="B283" i="1"/>
  <c r="B284" i="1"/>
  <c r="B285" i="1"/>
  <c r="B286" i="1"/>
  <c r="B287" i="1"/>
  <c r="C287" i="1" s="1"/>
  <c r="B288" i="1"/>
  <c r="B289" i="1"/>
  <c r="B290" i="1"/>
  <c r="B291" i="1"/>
  <c r="C291" i="1" s="1"/>
  <c r="B292" i="1"/>
  <c r="B293" i="1"/>
  <c r="B294" i="1"/>
  <c r="B295" i="1"/>
  <c r="B296" i="1"/>
  <c r="B297" i="1"/>
  <c r="B298" i="1"/>
  <c r="B299" i="1"/>
  <c r="B300" i="1"/>
  <c r="B301" i="1"/>
  <c r="B302" i="1"/>
  <c r="B303" i="1"/>
  <c r="C303" i="1" s="1"/>
  <c r="B304" i="1"/>
  <c r="B305" i="1"/>
  <c r="B306" i="1"/>
  <c r="B307" i="1"/>
  <c r="C307" i="1" s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19" i="1" s="1"/>
  <c r="B320" i="1"/>
  <c r="B321" i="1"/>
  <c r="B322" i="1"/>
  <c r="B323" i="1"/>
  <c r="C323" i="1" s="1"/>
  <c r="B324" i="1"/>
  <c r="B325" i="1"/>
  <c r="B326" i="1"/>
  <c r="B327" i="1"/>
  <c r="B328" i="1"/>
  <c r="B329" i="1"/>
  <c r="B330" i="1"/>
  <c r="B331" i="1"/>
  <c r="B332" i="1"/>
  <c r="B333" i="1"/>
  <c r="B334" i="1"/>
  <c r="B335" i="1"/>
  <c r="C335" i="1" s="1"/>
  <c r="B336" i="1"/>
  <c r="B337" i="1"/>
  <c r="B338" i="1"/>
  <c r="B339" i="1"/>
  <c r="D339" i="1" s="1"/>
  <c r="B340" i="1"/>
  <c r="B341" i="1"/>
  <c r="B342" i="1"/>
  <c r="B343" i="1"/>
  <c r="B344" i="1"/>
  <c r="C344" i="1" s="1"/>
  <c r="B345" i="1"/>
  <c r="B346" i="1"/>
  <c r="B347" i="1"/>
  <c r="C347" i="1" s="1"/>
  <c r="B348" i="1"/>
  <c r="B349" i="1"/>
  <c r="B350" i="1"/>
  <c r="B351" i="1"/>
  <c r="B352" i="1"/>
  <c r="C352" i="1" s="1"/>
  <c r="B353" i="1"/>
  <c r="B354" i="1"/>
  <c r="B355" i="1"/>
  <c r="C355" i="1" s="1"/>
  <c r="B356" i="1"/>
  <c r="B357" i="1"/>
  <c r="B358" i="1"/>
  <c r="B359" i="1"/>
  <c r="B360" i="1"/>
  <c r="C360" i="1" s="1"/>
  <c r="B361" i="1"/>
  <c r="B362" i="1"/>
  <c r="B363" i="1"/>
  <c r="C363" i="1" s="1"/>
  <c r="B364" i="1"/>
  <c r="B365" i="1"/>
  <c r="B366" i="1"/>
  <c r="B367" i="1"/>
  <c r="D367" i="1" s="1"/>
  <c r="B368" i="1"/>
  <c r="C368" i="1" s="1"/>
  <c r="B369" i="1"/>
  <c r="C369" i="1" s="1"/>
  <c r="B370" i="1"/>
  <c r="B371" i="1"/>
  <c r="B372" i="1"/>
  <c r="B373" i="1"/>
  <c r="C373" i="1" s="1"/>
  <c r="B374" i="1"/>
  <c r="B375" i="1"/>
  <c r="C375" i="1" s="1"/>
  <c r="B376" i="1"/>
  <c r="B377" i="1"/>
  <c r="B378" i="1"/>
  <c r="C378" i="1" s="1"/>
  <c r="B379" i="1"/>
  <c r="C379" i="1" s="1"/>
  <c r="B380" i="1"/>
  <c r="B381" i="1"/>
  <c r="B382" i="1"/>
  <c r="C382" i="1" s="1"/>
  <c r="B383" i="1"/>
  <c r="C383" i="1" s="1"/>
  <c r="B384" i="1"/>
  <c r="B385" i="1"/>
  <c r="B386" i="1"/>
  <c r="C386" i="1" s="1"/>
  <c r="B387" i="1"/>
  <c r="C387" i="1" s="1"/>
  <c r="B388" i="1"/>
  <c r="B389" i="1"/>
  <c r="B390" i="1"/>
  <c r="C390" i="1" s="1"/>
  <c r="B391" i="1"/>
  <c r="C391" i="1" s="1"/>
  <c r="B392" i="1"/>
  <c r="B393" i="1"/>
  <c r="B394" i="1"/>
  <c r="C394" i="1" s="1"/>
  <c r="B395" i="1"/>
  <c r="C395" i="1" s="1"/>
  <c r="B396" i="1"/>
  <c r="B397" i="1"/>
  <c r="B398" i="1"/>
  <c r="C398" i="1" s="1"/>
  <c r="B399" i="1"/>
  <c r="C399" i="1" s="1"/>
  <c r="B400" i="1"/>
  <c r="B401" i="1"/>
  <c r="B402" i="1"/>
  <c r="C402" i="1" s="1"/>
  <c r="B403" i="1"/>
  <c r="C403" i="1" s="1"/>
  <c r="B404" i="1"/>
  <c r="B405" i="1"/>
  <c r="B406" i="1"/>
  <c r="C406" i="1" s="1"/>
  <c r="B407" i="1"/>
  <c r="C407" i="1" s="1"/>
  <c r="B408" i="1"/>
  <c r="B409" i="1"/>
  <c r="B410" i="1"/>
  <c r="C410" i="1" s="1"/>
  <c r="B411" i="1"/>
  <c r="C411" i="1" s="1"/>
  <c r="B412" i="1"/>
  <c r="B413" i="1"/>
  <c r="B414" i="1"/>
  <c r="C414" i="1" s="1"/>
  <c r="B415" i="1"/>
  <c r="C415" i="1" s="1"/>
  <c r="B416" i="1"/>
  <c r="B417" i="1"/>
  <c r="B418" i="1"/>
  <c r="C418" i="1" s="1"/>
  <c r="B419" i="1"/>
  <c r="C419" i="1" s="1"/>
  <c r="B420" i="1"/>
  <c r="B421" i="1"/>
  <c r="B422" i="1"/>
  <c r="C422" i="1" s="1"/>
  <c r="B423" i="1"/>
  <c r="C423" i="1" s="1"/>
  <c r="B424" i="1"/>
  <c r="B425" i="1"/>
  <c r="B426" i="1"/>
  <c r="C426" i="1" s="1"/>
  <c r="B427" i="1"/>
  <c r="C427" i="1" s="1"/>
  <c r="B428" i="1"/>
  <c r="B429" i="1"/>
  <c r="B430" i="1"/>
  <c r="C430" i="1" s="1"/>
  <c r="B431" i="1"/>
  <c r="C431" i="1" s="1"/>
  <c r="B432" i="1"/>
  <c r="B433" i="1"/>
  <c r="B434" i="1"/>
  <c r="C434" i="1" s="1"/>
  <c r="B435" i="1"/>
  <c r="C435" i="1" s="1"/>
  <c r="B436" i="1"/>
  <c r="B437" i="1"/>
  <c r="B438" i="1"/>
  <c r="C438" i="1" s="1"/>
  <c r="B439" i="1"/>
  <c r="C439" i="1" s="1"/>
  <c r="B440" i="1"/>
  <c r="B441" i="1"/>
  <c r="B442" i="1"/>
  <c r="C442" i="1" s="1"/>
  <c r="B443" i="1"/>
  <c r="C443" i="1" s="1"/>
  <c r="B444" i="1"/>
  <c r="B445" i="1"/>
  <c r="B446" i="1"/>
  <c r="C446" i="1" s="1"/>
  <c r="B447" i="1"/>
  <c r="C447" i="1" s="1"/>
  <c r="B448" i="1"/>
  <c r="B449" i="1"/>
  <c r="B450" i="1"/>
  <c r="C450" i="1" s="1"/>
  <c r="B451" i="1"/>
  <c r="C451" i="1" s="1"/>
  <c r="B452" i="1"/>
  <c r="B453" i="1"/>
  <c r="B454" i="1"/>
  <c r="C454" i="1" s="1"/>
  <c r="B455" i="1"/>
  <c r="C455" i="1" s="1"/>
  <c r="B456" i="1"/>
  <c r="B457" i="1"/>
  <c r="B458" i="1"/>
  <c r="C458" i="1" s="1"/>
  <c r="B459" i="1"/>
  <c r="C459" i="1" s="1"/>
  <c r="B460" i="1"/>
  <c r="B461" i="1"/>
  <c r="B462" i="1"/>
  <c r="C462" i="1" s="1"/>
  <c r="B463" i="1"/>
  <c r="C463" i="1" s="1"/>
  <c r="B464" i="1"/>
  <c r="B465" i="1"/>
  <c r="B466" i="1"/>
  <c r="C466" i="1" s="1"/>
  <c r="B467" i="1"/>
  <c r="C467" i="1" s="1"/>
  <c r="B468" i="1"/>
  <c r="B469" i="1"/>
  <c r="B470" i="1"/>
  <c r="C470" i="1" s="1"/>
  <c r="B471" i="1"/>
  <c r="C471" i="1" s="1"/>
  <c r="B472" i="1"/>
  <c r="B473" i="1"/>
  <c r="B474" i="1"/>
  <c r="C474" i="1" s="1"/>
  <c r="B475" i="1"/>
  <c r="C475" i="1" s="1"/>
  <c r="B476" i="1"/>
  <c r="B477" i="1"/>
  <c r="B478" i="1"/>
  <c r="C478" i="1" s="1"/>
  <c r="B479" i="1"/>
  <c r="C479" i="1" s="1"/>
  <c r="B480" i="1"/>
  <c r="B481" i="1"/>
  <c r="B482" i="1"/>
  <c r="C482" i="1" s="1"/>
  <c r="B483" i="1"/>
  <c r="C483" i="1" s="1"/>
  <c r="B484" i="1"/>
  <c r="B485" i="1"/>
  <c r="B486" i="1"/>
  <c r="C486" i="1" s="1"/>
  <c r="B487" i="1"/>
  <c r="C487" i="1" s="1"/>
  <c r="B488" i="1"/>
  <c r="B489" i="1"/>
  <c r="B490" i="1"/>
  <c r="C490" i="1" s="1"/>
  <c r="B491" i="1"/>
  <c r="C491" i="1" s="1"/>
  <c r="B492" i="1"/>
  <c r="B493" i="1"/>
  <c r="B494" i="1"/>
  <c r="C494" i="1" s="1"/>
  <c r="B495" i="1"/>
  <c r="C495" i="1" s="1"/>
  <c r="B496" i="1"/>
  <c r="B497" i="1"/>
  <c r="B498" i="1"/>
  <c r="C498" i="1" s="1"/>
  <c r="B499" i="1"/>
  <c r="C499" i="1" s="1"/>
  <c r="B500" i="1"/>
  <c r="B501" i="1"/>
  <c r="B502" i="1"/>
  <c r="C502" i="1" s="1"/>
  <c r="B503" i="1"/>
  <c r="C503" i="1" s="1"/>
  <c r="B504" i="1"/>
  <c r="B505" i="1"/>
  <c r="B506" i="1"/>
  <c r="C506" i="1" s="1"/>
  <c r="B507" i="1"/>
  <c r="C507" i="1" s="1"/>
  <c r="B508" i="1"/>
  <c r="B509" i="1"/>
  <c r="B510" i="1"/>
  <c r="C510" i="1" s="1"/>
  <c r="B511" i="1"/>
  <c r="C511" i="1" s="1"/>
  <c r="B512" i="1"/>
  <c r="B513" i="1"/>
  <c r="B514" i="1"/>
  <c r="C514" i="1" s="1"/>
  <c r="B515" i="1"/>
  <c r="C515" i="1" s="1"/>
  <c r="B516" i="1"/>
  <c r="B17" i="1"/>
  <c r="C17" i="1" s="1"/>
  <c r="B18" i="1"/>
  <c r="C18" i="1" s="1"/>
  <c r="B19" i="1"/>
  <c r="C19" i="1" s="1"/>
  <c r="B20" i="1"/>
  <c r="D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D32" i="1" s="1"/>
  <c r="B33" i="1"/>
  <c r="C33" i="1" s="1"/>
  <c r="B34" i="1"/>
  <c r="C34" i="1" s="1"/>
  <c r="B35" i="1"/>
  <c r="C35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AC7" i="1"/>
  <c r="AC6" i="1"/>
  <c r="AD6" i="1" s="1"/>
  <c r="V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V17" i="1"/>
  <c r="U18" i="1" l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D355" i="1"/>
  <c r="E355" i="1" s="1"/>
  <c r="F355" i="1" s="1"/>
  <c r="D195" i="1"/>
  <c r="E195" i="1" s="1"/>
  <c r="F195" i="1" s="1"/>
  <c r="D491" i="1"/>
  <c r="E491" i="1" s="1"/>
  <c r="F491" i="1" s="1"/>
  <c r="D427" i="1"/>
  <c r="E427" i="1" s="1"/>
  <c r="F427" i="1" s="1"/>
  <c r="D323" i="1"/>
  <c r="E323" i="1" s="1"/>
  <c r="F323" i="1" s="1"/>
  <c r="C83" i="1"/>
  <c r="E83" i="1" s="1"/>
  <c r="F83" i="1" s="1"/>
  <c r="G83" i="1" s="1"/>
  <c r="H83" i="1" s="1"/>
  <c r="D459" i="1"/>
  <c r="E459" i="1" s="1"/>
  <c r="F459" i="1" s="1"/>
  <c r="D395" i="1"/>
  <c r="E395" i="1" s="1"/>
  <c r="F395" i="1" s="1"/>
  <c r="D287" i="1"/>
  <c r="E287" i="1" s="1"/>
  <c r="F287" i="1" s="1"/>
  <c r="D115" i="1"/>
  <c r="E115" i="1" s="1"/>
  <c r="F115" i="1" s="1"/>
  <c r="C275" i="1"/>
  <c r="E275" i="1" s="1"/>
  <c r="F275" i="1" s="1"/>
  <c r="G275" i="1" s="1"/>
  <c r="H275" i="1" s="1"/>
  <c r="D475" i="1"/>
  <c r="E475" i="1" s="1"/>
  <c r="F475" i="1" s="1"/>
  <c r="D411" i="1"/>
  <c r="E411" i="1" s="1"/>
  <c r="F411" i="1" s="1"/>
  <c r="D159" i="1"/>
  <c r="E159" i="1" s="1"/>
  <c r="F159" i="1" s="1"/>
  <c r="D507" i="1"/>
  <c r="E507" i="1" s="1"/>
  <c r="F507" i="1" s="1"/>
  <c r="D443" i="1"/>
  <c r="E443" i="1" s="1"/>
  <c r="F443" i="1" s="1"/>
  <c r="D379" i="1"/>
  <c r="E379" i="1" s="1"/>
  <c r="F379" i="1" s="1"/>
  <c r="D243" i="1"/>
  <c r="E243" i="1" s="1"/>
  <c r="F243" i="1" s="1"/>
  <c r="D67" i="1"/>
  <c r="E67" i="1" s="1"/>
  <c r="F67" i="1" s="1"/>
  <c r="C211" i="1"/>
  <c r="E211" i="1" s="1"/>
  <c r="F211" i="1" s="1"/>
  <c r="D503" i="1"/>
  <c r="E503" i="1" s="1"/>
  <c r="F503" i="1" s="1"/>
  <c r="D487" i="1"/>
  <c r="E487" i="1" s="1"/>
  <c r="F487" i="1" s="1"/>
  <c r="D471" i="1"/>
  <c r="E471" i="1" s="1"/>
  <c r="F471" i="1" s="1"/>
  <c r="D455" i="1"/>
  <c r="E455" i="1" s="1"/>
  <c r="F455" i="1" s="1"/>
  <c r="D439" i="1"/>
  <c r="E439" i="1" s="1"/>
  <c r="F439" i="1" s="1"/>
  <c r="D423" i="1"/>
  <c r="E423" i="1" s="1"/>
  <c r="F423" i="1" s="1"/>
  <c r="D407" i="1"/>
  <c r="E407" i="1" s="1"/>
  <c r="F407" i="1" s="1"/>
  <c r="D391" i="1"/>
  <c r="E391" i="1" s="1"/>
  <c r="F391" i="1" s="1"/>
  <c r="D375" i="1"/>
  <c r="E375" i="1" s="1"/>
  <c r="F375" i="1" s="1"/>
  <c r="D347" i="1"/>
  <c r="E347" i="1" s="1"/>
  <c r="F347" i="1" s="1"/>
  <c r="D319" i="1"/>
  <c r="E319" i="1" s="1"/>
  <c r="F319" i="1" s="1"/>
  <c r="D227" i="1"/>
  <c r="E227" i="1" s="1"/>
  <c r="F227" i="1" s="1"/>
  <c r="D191" i="1"/>
  <c r="E191" i="1" s="1"/>
  <c r="F191" i="1" s="1"/>
  <c r="D147" i="1"/>
  <c r="E147" i="1" s="1"/>
  <c r="F147" i="1" s="1"/>
  <c r="D99" i="1"/>
  <c r="E99" i="1" s="1"/>
  <c r="F99" i="1" s="1"/>
  <c r="D63" i="1"/>
  <c r="E63" i="1" s="1"/>
  <c r="F63" i="1" s="1"/>
  <c r="C339" i="1"/>
  <c r="E339" i="1" s="1"/>
  <c r="F339" i="1" s="1"/>
  <c r="D515" i="1"/>
  <c r="E515" i="1" s="1"/>
  <c r="F515" i="1" s="1"/>
  <c r="D499" i="1"/>
  <c r="E499" i="1" s="1"/>
  <c r="F499" i="1" s="1"/>
  <c r="D483" i="1"/>
  <c r="E483" i="1" s="1"/>
  <c r="F483" i="1" s="1"/>
  <c r="D467" i="1"/>
  <c r="E467" i="1" s="1"/>
  <c r="F467" i="1" s="1"/>
  <c r="D451" i="1"/>
  <c r="E451" i="1" s="1"/>
  <c r="F451" i="1" s="1"/>
  <c r="D435" i="1"/>
  <c r="E435" i="1" s="1"/>
  <c r="F435" i="1" s="1"/>
  <c r="D419" i="1"/>
  <c r="E419" i="1" s="1"/>
  <c r="F419" i="1" s="1"/>
  <c r="D403" i="1"/>
  <c r="E403" i="1" s="1"/>
  <c r="F403" i="1" s="1"/>
  <c r="D387" i="1"/>
  <c r="E387" i="1" s="1"/>
  <c r="F387" i="1" s="1"/>
  <c r="D363" i="1"/>
  <c r="E363" i="1" s="1"/>
  <c r="F363" i="1" s="1"/>
  <c r="D344" i="1"/>
  <c r="E344" i="1" s="1"/>
  <c r="F344" i="1" s="1"/>
  <c r="D307" i="1"/>
  <c r="E307" i="1" s="1"/>
  <c r="F307" i="1" s="1"/>
  <c r="D259" i="1"/>
  <c r="E259" i="1" s="1"/>
  <c r="F259" i="1" s="1"/>
  <c r="D223" i="1"/>
  <c r="E223" i="1" s="1"/>
  <c r="F223" i="1" s="1"/>
  <c r="D179" i="1"/>
  <c r="E179" i="1" s="1"/>
  <c r="F179" i="1" s="1"/>
  <c r="D131" i="1"/>
  <c r="E131" i="1" s="1"/>
  <c r="F131" i="1" s="1"/>
  <c r="D95" i="1"/>
  <c r="E95" i="1" s="1"/>
  <c r="F95" i="1" s="1"/>
  <c r="D51" i="1"/>
  <c r="E51" i="1" s="1"/>
  <c r="F51" i="1" s="1"/>
  <c r="D511" i="1"/>
  <c r="E511" i="1" s="1"/>
  <c r="F511" i="1" s="1"/>
  <c r="D495" i="1"/>
  <c r="E495" i="1" s="1"/>
  <c r="F495" i="1" s="1"/>
  <c r="D479" i="1"/>
  <c r="E479" i="1" s="1"/>
  <c r="F479" i="1" s="1"/>
  <c r="D463" i="1"/>
  <c r="E463" i="1" s="1"/>
  <c r="F463" i="1" s="1"/>
  <c r="D447" i="1"/>
  <c r="E447" i="1" s="1"/>
  <c r="F447" i="1" s="1"/>
  <c r="D431" i="1"/>
  <c r="E431" i="1" s="1"/>
  <c r="F431" i="1" s="1"/>
  <c r="D415" i="1"/>
  <c r="E415" i="1" s="1"/>
  <c r="F415" i="1" s="1"/>
  <c r="D399" i="1"/>
  <c r="E399" i="1" s="1"/>
  <c r="F399" i="1" s="1"/>
  <c r="D383" i="1"/>
  <c r="E383" i="1" s="1"/>
  <c r="F383" i="1" s="1"/>
  <c r="D360" i="1"/>
  <c r="E360" i="1" s="1"/>
  <c r="F360" i="1" s="1"/>
  <c r="D291" i="1"/>
  <c r="E291" i="1" s="1"/>
  <c r="F291" i="1" s="1"/>
  <c r="D255" i="1"/>
  <c r="E255" i="1" s="1"/>
  <c r="F255" i="1" s="1"/>
  <c r="D163" i="1"/>
  <c r="E163" i="1" s="1"/>
  <c r="F163" i="1" s="1"/>
  <c r="D127" i="1"/>
  <c r="E127" i="1" s="1"/>
  <c r="F127" i="1" s="1"/>
  <c r="C374" i="1"/>
  <c r="D374" i="1"/>
  <c r="C366" i="1"/>
  <c r="D366" i="1"/>
  <c r="C358" i="1"/>
  <c r="D358" i="1"/>
  <c r="C350" i="1"/>
  <c r="D350" i="1"/>
  <c r="C342" i="1"/>
  <c r="D342" i="1"/>
  <c r="C334" i="1"/>
  <c r="D334" i="1"/>
  <c r="C326" i="1"/>
  <c r="D326" i="1"/>
  <c r="C318" i="1"/>
  <c r="D318" i="1"/>
  <c r="C310" i="1"/>
  <c r="D310" i="1"/>
  <c r="C302" i="1"/>
  <c r="D302" i="1"/>
  <c r="C294" i="1"/>
  <c r="D294" i="1"/>
  <c r="C286" i="1"/>
  <c r="D286" i="1"/>
  <c r="C274" i="1"/>
  <c r="D274" i="1"/>
  <c r="C509" i="1"/>
  <c r="D509" i="1"/>
  <c r="C501" i="1"/>
  <c r="D501" i="1"/>
  <c r="C489" i="1"/>
  <c r="D489" i="1"/>
  <c r="C477" i="1"/>
  <c r="D477" i="1"/>
  <c r="C469" i="1"/>
  <c r="D469" i="1"/>
  <c r="C457" i="1"/>
  <c r="D457" i="1"/>
  <c r="C445" i="1"/>
  <c r="D445" i="1"/>
  <c r="C433" i="1"/>
  <c r="D433" i="1"/>
  <c r="C425" i="1"/>
  <c r="D425" i="1"/>
  <c r="C413" i="1"/>
  <c r="D413" i="1"/>
  <c r="C405" i="1"/>
  <c r="D405" i="1"/>
  <c r="C397" i="1"/>
  <c r="D397" i="1"/>
  <c r="C385" i="1"/>
  <c r="D385" i="1"/>
  <c r="C365" i="1"/>
  <c r="D365" i="1"/>
  <c r="C353" i="1"/>
  <c r="D353" i="1"/>
  <c r="C345" i="1"/>
  <c r="D345" i="1"/>
  <c r="C337" i="1"/>
  <c r="D337" i="1"/>
  <c r="C329" i="1"/>
  <c r="D329" i="1"/>
  <c r="C317" i="1"/>
  <c r="D317" i="1"/>
  <c r="C309" i="1"/>
  <c r="D309" i="1"/>
  <c r="C297" i="1"/>
  <c r="D297" i="1"/>
  <c r="C289" i="1"/>
  <c r="D289" i="1"/>
  <c r="C281" i="1"/>
  <c r="D281" i="1"/>
  <c r="C269" i="1"/>
  <c r="D269" i="1"/>
  <c r="D510" i="1"/>
  <c r="E510" i="1" s="1"/>
  <c r="F510" i="1" s="1"/>
  <c r="D486" i="1"/>
  <c r="E486" i="1" s="1"/>
  <c r="F486" i="1" s="1"/>
  <c r="D462" i="1"/>
  <c r="E462" i="1" s="1"/>
  <c r="F462" i="1" s="1"/>
  <c r="D446" i="1"/>
  <c r="E446" i="1" s="1"/>
  <c r="F446" i="1" s="1"/>
  <c r="D422" i="1"/>
  <c r="E422" i="1" s="1"/>
  <c r="F422" i="1" s="1"/>
  <c r="D406" i="1"/>
  <c r="E406" i="1" s="1"/>
  <c r="F406" i="1" s="1"/>
  <c r="D390" i="1"/>
  <c r="E390" i="1" s="1"/>
  <c r="F390" i="1" s="1"/>
  <c r="D382" i="1"/>
  <c r="E382" i="1" s="1"/>
  <c r="F382" i="1" s="1"/>
  <c r="C516" i="1"/>
  <c r="D516" i="1"/>
  <c r="C508" i="1"/>
  <c r="D508" i="1"/>
  <c r="C500" i="1"/>
  <c r="D500" i="1"/>
  <c r="C492" i="1"/>
  <c r="D492" i="1"/>
  <c r="C484" i="1"/>
  <c r="D484" i="1"/>
  <c r="C472" i="1"/>
  <c r="D472" i="1"/>
  <c r="C464" i="1"/>
  <c r="D464" i="1"/>
  <c r="C456" i="1"/>
  <c r="D456" i="1"/>
  <c r="C448" i="1"/>
  <c r="D448" i="1"/>
  <c r="C444" i="1"/>
  <c r="D444" i="1"/>
  <c r="C436" i="1"/>
  <c r="D436" i="1"/>
  <c r="C428" i="1"/>
  <c r="D428" i="1"/>
  <c r="C424" i="1"/>
  <c r="D424" i="1"/>
  <c r="C420" i="1"/>
  <c r="D420" i="1"/>
  <c r="C416" i="1"/>
  <c r="D416" i="1"/>
  <c r="C412" i="1"/>
  <c r="D412" i="1"/>
  <c r="C408" i="1"/>
  <c r="D408" i="1"/>
  <c r="C400" i="1"/>
  <c r="D400" i="1"/>
  <c r="C396" i="1"/>
  <c r="D396" i="1"/>
  <c r="C392" i="1"/>
  <c r="D392" i="1"/>
  <c r="C388" i="1"/>
  <c r="D388" i="1"/>
  <c r="C384" i="1"/>
  <c r="D384" i="1"/>
  <c r="C380" i="1"/>
  <c r="D380" i="1"/>
  <c r="C376" i="1"/>
  <c r="D376" i="1"/>
  <c r="C372" i="1"/>
  <c r="D372" i="1"/>
  <c r="C364" i="1"/>
  <c r="D364" i="1"/>
  <c r="C356" i="1"/>
  <c r="D356" i="1"/>
  <c r="C348" i="1"/>
  <c r="D348" i="1"/>
  <c r="C340" i="1"/>
  <c r="D340" i="1"/>
  <c r="C336" i="1"/>
  <c r="D336" i="1"/>
  <c r="C332" i="1"/>
  <c r="D332" i="1"/>
  <c r="C328" i="1"/>
  <c r="D328" i="1"/>
  <c r="C324" i="1"/>
  <c r="D324" i="1"/>
  <c r="C320" i="1"/>
  <c r="D320" i="1"/>
  <c r="C316" i="1"/>
  <c r="D316" i="1"/>
  <c r="C312" i="1"/>
  <c r="D312" i="1"/>
  <c r="C308" i="1"/>
  <c r="D308" i="1"/>
  <c r="C304" i="1"/>
  <c r="D304" i="1"/>
  <c r="C300" i="1"/>
  <c r="D300" i="1"/>
  <c r="C296" i="1"/>
  <c r="D296" i="1"/>
  <c r="C292" i="1"/>
  <c r="D292" i="1"/>
  <c r="C288" i="1"/>
  <c r="D288" i="1"/>
  <c r="C284" i="1"/>
  <c r="D284" i="1"/>
  <c r="C280" i="1"/>
  <c r="D280" i="1"/>
  <c r="C276" i="1"/>
  <c r="D276" i="1"/>
  <c r="C272" i="1"/>
  <c r="D272" i="1"/>
  <c r="C268" i="1"/>
  <c r="D268" i="1"/>
  <c r="C264" i="1"/>
  <c r="D264" i="1"/>
  <c r="C260" i="1"/>
  <c r="D260" i="1"/>
  <c r="C256" i="1"/>
  <c r="D256" i="1"/>
  <c r="C252" i="1"/>
  <c r="D252" i="1"/>
  <c r="C248" i="1"/>
  <c r="D248" i="1"/>
  <c r="C244" i="1"/>
  <c r="D244" i="1"/>
  <c r="C236" i="1"/>
  <c r="D236" i="1"/>
  <c r="C228" i="1"/>
  <c r="D228" i="1"/>
  <c r="C220" i="1"/>
  <c r="D220" i="1"/>
  <c r="C212" i="1"/>
  <c r="D212" i="1"/>
  <c r="C204" i="1"/>
  <c r="D204" i="1"/>
  <c r="C196" i="1"/>
  <c r="D196" i="1"/>
  <c r="C188" i="1"/>
  <c r="D188" i="1"/>
  <c r="C180" i="1"/>
  <c r="D180" i="1"/>
  <c r="C172" i="1"/>
  <c r="D172" i="1"/>
  <c r="C164" i="1"/>
  <c r="D164" i="1"/>
  <c r="C156" i="1"/>
  <c r="D156" i="1"/>
  <c r="C148" i="1"/>
  <c r="D148" i="1"/>
  <c r="C140" i="1"/>
  <c r="D140" i="1"/>
  <c r="C132" i="1"/>
  <c r="D132" i="1"/>
  <c r="C124" i="1"/>
  <c r="D124" i="1"/>
  <c r="C120" i="1"/>
  <c r="D120" i="1"/>
  <c r="C112" i="1"/>
  <c r="D112" i="1"/>
  <c r="C108" i="1"/>
  <c r="D108" i="1"/>
  <c r="C104" i="1"/>
  <c r="D104" i="1"/>
  <c r="C100" i="1"/>
  <c r="D100" i="1"/>
  <c r="C96" i="1"/>
  <c r="D96" i="1"/>
  <c r="C92" i="1"/>
  <c r="D92" i="1"/>
  <c r="C88" i="1"/>
  <c r="D88" i="1"/>
  <c r="C84" i="1"/>
  <c r="D84" i="1"/>
  <c r="C76" i="1"/>
  <c r="D76" i="1"/>
  <c r="C72" i="1"/>
  <c r="D72" i="1"/>
  <c r="C68" i="1"/>
  <c r="D68" i="1"/>
  <c r="C64" i="1"/>
  <c r="D64" i="1"/>
  <c r="C60" i="1"/>
  <c r="D60" i="1"/>
  <c r="C56" i="1"/>
  <c r="D56" i="1"/>
  <c r="C52" i="1"/>
  <c r="D52" i="1"/>
  <c r="C48" i="1"/>
  <c r="D48" i="1"/>
  <c r="C44" i="1"/>
  <c r="D44" i="1"/>
  <c r="C40" i="1"/>
  <c r="D40" i="1"/>
  <c r="C36" i="1"/>
  <c r="D36" i="1"/>
  <c r="D369" i="1"/>
  <c r="E369" i="1" s="1"/>
  <c r="F369" i="1" s="1"/>
  <c r="C370" i="1"/>
  <c r="D370" i="1"/>
  <c r="C362" i="1"/>
  <c r="D362" i="1"/>
  <c r="C354" i="1"/>
  <c r="D354" i="1"/>
  <c r="C346" i="1"/>
  <c r="D346" i="1"/>
  <c r="C338" i="1"/>
  <c r="D338" i="1"/>
  <c r="C330" i="1"/>
  <c r="D330" i="1"/>
  <c r="C322" i="1"/>
  <c r="D322" i="1"/>
  <c r="C314" i="1"/>
  <c r="D314" i="1"/>
  <c r="C306" i="1"/>
  <c r="D306" i="1"/>
  <c r="C298" i="1"/>
  <c r="D298" i="1"/>
  <c r="C290" i="1"/>
  <c r="D290" i="1"/>
  <c r="C282" i="1"/>
  <c r="D282" i="1"/>
  <c r="C278" i="1"/>
  <c r="D278" i="1"/>
  <c r="C513" i="1"/>
  <c r="D513" i="1"/>
  <c r="C505" i="1"/>
  <c r="D505" i="1"/>
  <c r="C497" i="1"/>
  <c r="D497" i="1"/>
  <c r="C493" i="1"/>
  <c r="D493" i="1"/>
  <c r="C485" i="1"/>
  <c r="D485" i="1"/>
  <c r="C481" i="1"/>
  <c r="D481" i="1"/>
  <c r="C473" i="1"/>
  <c r="D473" i="1"/>
  <c r="C465" i="1"/>
  <c r="D465" i="1"/>
  <c r="C461" i="1"/>
  <c r="D461" i="1"/>
  <c r="C453" i="1"/>
  <c r="D453" i="1"/>
  <c r="C449" i="1"/>
  <c r="D449" i="1"/>
  <c r="C441" i="1"/>
  <c r="D441" i="1"/>
  <c r="C437" i="1"/>
  <c r="D437" i="1"/>
  <c r="C429" i="1"/>
  <c r="D429" i="1"/>
  <c r="C421" i="1"/>
  <c r="D421" i="1"/>
  <c r="C417" i="1"/>
  <c r="D417" i="1"/>
  <c r="C409" i="1"/>
  <c r="D409" i="1"/>
  <c r="C401" i="1"/>
  <c r="D401" i="1"/>
  <c r="C393" i="1"/>
  <c r="D393" i="1"/>
  <c r="C389" i="1"/>
  <c r="D389" i="1"/>
  <c r="C381" i="1"/>
  <c r="D381" i="1"/>
  <c r="C377" i="1"/>
  <c r="D377" i="1"/>
  <c r="C361" i="1"/>
  <c r="D361" i="1"/>
  <c r="C357" i="1"/>
  <c r="D357" i="1"/>
  <c r="C349" i="1"/>
  <c r="D349" i="1"/>
  <c r="C341" i="1"/>
  <c r="D341" i="1"/>
  <c r="C333" i="1"/>
  <c r="D333" i="1"/>
  <c r="C325" i="1"/>
  <c r="D325" i="1"/>
  <c r="C321" i="1"/>
  <c r="D321" i="1"/>
  <c r="C313" i="1"/>
  <c r="D313" i="1"/>
  <c r="C305" i="1"/>
  <c r="D305" i="1"/>
  <c r="C301" i="1"/>
  <c r="D301" i="1"/>
  <c r="C293" i="1"/>
  <c r="D293" i="1"/>
  <c r="C285" i="1"/>
  <c r="D285" i="1"/>
  <c r="C277" i="1"/>
  <c r="D277" i="1"/>
  <c r="C273" i="1"/>
  <c r="D273" i="1"/>
  <c r="D502" i="1"/>
  <c r="E502" i="1" s="1"/>
  <c r="F502" i="1" s="1"/>
  <c r="D494" i="1"/>
  <c r="E494" i="1" s="1"/>
  <c r="F494" i="1" s="1"/>
  <c r="D478" i="1"/>
  <c r="E478" i="1" s="1"/>
  <c r="F478" i="1" s="1"/>
  <c r="D470" i="1"/>
  <c r="E470" i="1" s="1"/>
  <c r="F470" i="1" s="1"/>
  <c r="D454" i="1"/>
  <c r="E454" i="1" s="1"/>
  <c r="F454" i="1" s="1"/>
  <c r="D438" i="1"/>
  <c r="E438" i="1" s="1"/>
  <c r="F438" i="1" s="1"/>
  <c r="D430" i="1"/>
  <c r="E430" i="1" s="1"/>
  <c r="F430" i="1" s="1"/>
  <c r="D414" i="1"/>
  <c r="E414" i="1" s="1"/>
  <c r="F414" i="1" s="1"/>
  <c r="D398" i="1"/>
  <c r="E398" i="1" s="1"/>
  <c r="F398" i="1" s="1"/>
  <c r="D373" i="1"/>
  <c r="E373" i="1" s="1"/>
  <c r="F373" i="1" s="1"/>
  <c r="C512" i="1"/>
  <c r="D512" i="1"/>
  <c r="C504" i="1"/>
  <c r="D504" i="1"/>
  <c r="C496" i="1"/>
  <c r="D496" i="1"/>
  <c r="C488" i="1"/>
  <c r="D488" i="1"/>
  <c r="C480" i="1"/>
  <c r="D480" i="1"/>
  <c r="C476" i="1"/>
  <c r="D476" i="1"/>
  <c r="C468" i="1"/>
  <c r="D468" i="1"/>
  <c r="C460" i="1"/>
  <c r="D460" i="1"/>
  <c r="C452" i="1"/>
  <c r="D452" i="1"/>
  <c r="C440" i="1"/>
  <c r="D440" i="1"/>
  <c r="C432" i="1"/>
  <c r="D432" i="1"/>
  <c r="C404" i="1"/>
  <c r="D404" i="1"/>
  <c r="C240" i="1"/>
  <c r="D240" i="1"/>
  <c r="C232" i="1"/>
  <c r="D232" i="1"/>
  <c r="C224" i="1"/>
  <c r="D224" i="1"/>
  <c r="C216" i="1"/>
  <c r="D216" i="1"/>
  <c r="C208" i="1"/>
  <c r="D208" i="1"/>
  <c r="C200" i="1"/>
  <c r="D200" i="1"/>
  <c r="C192" i="1"/>
  <c r="D192" i="1"/>
  <c r="C184" i="1"/>
  <c r="D184" i="1"/>
  <c r="C176" i="1"/>
  <c r="D176" i="1"/>
  <c r="C168" i="1"/>
  <c r="D168" i="1"/>
  <c r="C160" i="1"/>
  <c r="D160" i="1"/>
  <c r="C152" i="1"/>
  <c r="D152" i="1"/>
  <c r="C144" i="1"/>
  <c r="D144" i="1"/>
  <c r="C136" i="1"/>
  <c r="D136" i="1"/>
  <c r="C128" i="1"/>
  <c r="D128" i="1"/>
  <c r="C116" i="1"/>
  <c r="D116" i="1"/>
  <c r="C80" i="1"/>
  <c r="D80" i="1"/>
  <c r="C371" i="1"/>
  <c r="D371" i="1"/>
  <c r="C359" i="1"/>
  <c r="D359" i="1"/>
  <c r="C351" i="1"/>
  <c r="D351" i="1"/>
  <c r="C343" i="1"/>
  <c r="D343" i="1"/>
  <c r="C331" i="1"/>
  <c r="D331" i="1"/>
  <c r="C327" i="1"/>
  <c r="D327" i="1"/>
  <c r="C315" i="1"/>
  <c r="D315" i="1"/>
  <c r="C311" i="1"/>
  <c r="D311" i="1"/>
  <c r="C299" i="1"/>
  <c r="D299" i="1"/>
  <c r="C295" i="1"/>
  <c r="D295" i="1"/>
  <c r="C283" i="1"/>
  <c r="D283" i="1"/>
  <c r="C279" i="1"/>
  <c r="D279" i="1"/>
  <c r="C267" i="1"/>
  <c r="D267" i="1"/>
  <c r="C263" i="1"/>
  <c r="D263" i="1"/>
  <c r="C251" i="1"/>
  <c r="D251" i="1"/>
  <c r="C247" i="1"/>
  <c r="D247" i="1"/>
  <c r="C235" i="1"/>
  <c r="D235" i="1"/>
  <c r="C231" i="1"/>
  <c r="D231" i="1"/>
  <c r="C219" i="1"/>
  <c r="D219" i="1"/>
  <c r="C215" i="1"/>
  <c r="D215" i="1"/>
  <c r="C203" i="1"/>
  <c r="D203" i="1"/>
  <c r="C199" i="1"/>
  <c r="D199" i="1"/>
  <c r="C187" i="1"/>
  <c r="D187" i="1"/>
  <c r="C183" i="1"/>
  <c r="D183" i="1"/>
  <c r="C171" i="1"/>
  <c r="D171" i="1"/>
  <c r="C167" i="1"/>
  <c r="D167" i="1"/>
  <c r="C155" i="1"/>
  <c r="D155" i="1"/>
  <c r="C151" i="1"/>
  <c r="D151" i="1"/>
  <c r="C139" i="1"/>
  <c r="D139" i="1"/>
  <c r="C135" i="1"/>
  <c r="D135" i="1"/>
  <c r="C123" i="1"/>
  <c r="D123" i="1"/>
  <c r="C119" i="1"/>
  <c r="D119" i="1"/>
  <c r="C107" i="1"/>
  <c r="D107" i="1"/>
  <c r="C103" i="1"/>
  <c r="D103" i="1"/>
  <c r="C91" i="1"/>
  <c r="D91" i="1"/>
  <c r="C87" i="1"/>
  <c r="D87" i="1"/>
  <c r="C75" i="1"/>
  <c r="D75" i="1"/>
  <c r="C71" i="1"/>
  <c r="D71" i="1"/>
  <c r="C59" i="1"/>
  <c r="D59" i="1"/>
  <c r="C55" i="1"/>
  <c r="D55" i="1"/>
  <c r="C43" i="1"/>
  <c r="D43" i="1"/>
  <c r="C39" i="1"/>
  <c r="D39" i="1"/>
  <c r="C367" i="1"/>
  <c r="E367" i="1" s="1"/>
  <c r="F367" i="1" s="1"/>
  <c r="D514" i="1"/>
  <c r="E514" i="1" s="1"/>
  <c r="F514" i="1" s="1"/>
  <c r="D506" i="1"/>
  <c r="E506" i="1" s="1"/>
  <c r="F506" i="1" s="1"/>
  <c r="D498" i="1"/>
  <c r="E498" i="1" s="1"/>
  <c r="F498" i="1" s="1"/>
  <c r="D490" i="1"/>
  <c r="E490" i="1" s="1"/>
  <c r="F490" i="1" s="1"/>
  <c r="D482" i="1"/>
  <c r="E482" i="1" s="1"/>
  <c r="F482" i="1" s="1"/>
  <c r="D474" i="1"/>
  <c r="E474" i="1" s="1"/>
  <c r="F474" i="1" s="1"/>
  <c r="D466" i="1"/>
  <c r="E466" i="1" s="1"/>
  <c r="F466" i="1" s="1"/>
  <c r="D458" i="1"/>
  <c r="E458" i="1" s="1"/>
  <c r="F458" i="1" s="1"/>
  <c r="D450" i="1"/>
  <c r="E450" i="1" s="1"/>
  <c r="F450" i="1" s="1"/>
  <c r="D442" i="1"/>
  <c r="E442" i="1" s="1"/>
  <c r="F442" i="1" s="1"/>
  <c r="D434" i="1"/>
  <c r="E434" i="1" s="1"/>
  <c r="F434" i="1" s="1"/>
  <c r="D426" i="1"/>
  <c r="E426" i="1" s="1"/>
  <c r="F426" i="1" s="1"/>
  <c r="D418" i="1"/>
  <c r="E418" i="1" s="1"/>
  <c r="F418" i="1" s="1"/>
  <c r="D410" i="1"/>
  <c r="E410" i="1" s="1"/>
  <c r="F410" i="1" s="1"/>
  <c r="D402" i="1"/>
  <c r="E402" i="1" s="1"/>
  <c r="F402" i="1" s="1"/>
  <c r="D394" i="1"/>
  <c r="E394" i="1" s="1"/>
  <c r="F394" i="1" s="1"/>
  <c r="D386" i="1"/>
  <c r="E386" i="1" s="1"/>
  <c r="F386" i="1" s="1"/>
  <c r="D378" i="1"/>
  <c r="E378" i="1" s="1"/>
  <c r="F378" i="1" s="1"/>
  <c r="D368" i="1"/>
  <c r="E368" i="1" s="1"/>
  <c r="F368" i="1" s="1"/>
  <c r="D352" i="1"/>
  <c r="E352" i="1" s="1"/>
  <c r="F352" i="1" s="1"/>
  <c r="D335" i="1"/>
  <c r="E335" i="1" s="1"/>
  <c r="F335" i="1" s="1"/>
  <c r="D303" i="1"/>
  <c r="E303" i="1" s="1"/>
  <c r="F303" i="1" s="1"/>
  <c r="D271" i="1"/>
  <c r="E271" i="1" s="1"/>
  <c r="F271" i="1" s="1"/>
  <c r="D239" i="1"/>
  <c r="E239" i="1" s="1"/>
  <c r="F239" i="1" s="1"/>
  <c r="D207" i="1"/>
  <c r="E207" i="1" s="1"/>
  <c r="F207" i="1" s="1"/>
  <c r="D175" i="1"/>
  <c r="E175" i="1" s="1"/>
  <c r="F175" i="1" s="1"/>
  <c r="D143" i="1"/>
  <c r="E143" i="1" s="1"/>
  <c r="F143" i="1" s="1"/>
  <c r="D111" i="1"/>
  <c r="E111" i="1" s="1"/>
  <c r="F111" i="1" s="1"/>
  <c r="D79" i="1"/>
  <c r="E79" i="1" s="1"/>
  <c r="F79" i="1" s="1"/>
  <c r="D47" i="1"/>
  <c r="E47" i="1" s="1"/>
  <c r="F47" i="1" s="1"/>
  <c r="C270" i="1"/>
  <c r="D270" i="1"/>
  <c r="C266" i="1"/>
  <c r="D266" i="1"/>
  <c r="C262" i="1"/>
  <c r="D262" i="1"/>
  <c r="C258" i="1"/>
  <c r="D258" i="1"/>
  <c r="C254" i="1"/>
  <c r="D254" i="1"/>
  <c r="C250" i="1"/>
  <c r="D250" i="1"/>
  <c r="C246" i="1"/>
  <c r="D246" i="1"/>
  <c r="C242" i="1"/>
  <c r="D242" i="1"/>
  <c r="C238" i="1"/>
  <c r="D238" i="1"/>
  <c r="C234" i="1"/>
  <c r="D234" i="1"/>
  <c r="C230" i="1"/>
  <c r="D230" i="1"/>
  <c r="C226" i="1"/>
  <c r="D226" i="1"/>
  <c r="C222" i="1"/>
  <c r="D222" i="1"/>
  <c r="C218" i="1"/>
  <c r="D218" i="1"/>
  <c r="C214" i="1"/>
  <c r="D214" i="1"/>
  <c r="C210" i="1"/>
  <c r="D210" i="1"/>
  <c r="C206" i="1"/>
  <c r="D206" i="1"/>
  <c r="C202" i="1"/>
  <c r="D202" i="1"/>
  <c r="C198" i="1"/>
  <c r="D198" i="1"/>
  <c r="C194" i="1"/>
  <c r="D194" i="1"/>
  <c r="C190" i="1"/>
  <c r="D190" i="1"/>
  <c r="C186" i="1"/>
  <c r="D186" i="1"/>
  <c r="C182" i="1"/>
  <c r="D182" i="1"/>
  <c r="C178" i="1"/>
  <c r="D178" i="1"/>
  <c r="C174" i="1"/>
  <c r="D174" i="1"/>
  <c r="C170" i="1"/>
  <c r="D170" i="1"/>
  <c r="C166" i="1"/>
  <c r="D166" i="1"/>
  <c r="C162" i="1"/>
  <c r="D162" i="1"/>
  <c r="C158" i="1"/>
  <c r="D158" i="1"/>
  <c r="C154" i="1"/>
  <c r="D154" i="1"/>
  <c r="C150" i="1"/>
  <c r="D150" i="1"/>
  <c r="C146" i="1"/>
  <c r="D146" i="1"/>
  <c r="C142" i="1"/>
  <c r="D142" i="1"/>
  <c r="C138" i="1"/>
  <c r="D138" i="1"/>
  <c r="C134" i="1"/>
  <c r="D134" i="1"/>
  <c r="C130" i="1"/>
  <c r="D130" i="1"/>
  <c r="C126" i="1"/>
  <c r="D126" i="1"/>
  <c r="C122" i="1"/>
  <c r="D122" i="1"/>
  <c r="C118" i="1"/>
  <c r="D118" i="1"/>
  <c r="C114" i="1"/>
  <c r="D114" i="1"/>
  <c r="C110" i="1"/>
  <c r="D110" i="1"/>
  <c r="C106" i="1"/>
  <c r="D106" i="1"/>
  <c r="C102" i="1"/>
  <c r="D102" i="1"/>
  <c r="C98" i="1"/>
  <c r="D98" i="1"/>
  <c r="C94" i="1"/>
  <c r="D94" i="1"/>
  <c r="C90" i="1"/>
  <c r="D90" i="1"/>
  <c r="C86" i="1"/>
  <c r="D86" i="1"/>
  <c r="C82" i="1"/>
  <c r="D82" i="1"/>
  <c r="C78" i="1"/>
  <c r="D78" i="1"/>
  <c r="C74" i="1"/>
  <c r="D74" i="1"/>
  <c r="C70" i="1"/>
  <c r="D70" i="1"/>
  <c r="C66" i="1"/>
  <c r="D66" i="1"/>
  <c r="C62" i="1"/>
  <c r="D62" i="1"/>
  <c r="C58" i="1"/>
  <c r="D58" i="1"/>
  <c r="C54" i="1"/>
  <c r="D54" i="1"/>
  <c r="C50" i="1"/>
  <c r="D50" i="1"/>
  <c r="C46" i="1"/>
  <c r="D46" i="1"/>
  <c r="C42" i="1"/>
  <c r="D42" i="1"/>
  <c r="C38" i="1"/>
  <c r="D38" i="1"/>
  <c r="C265" i="1"/>
  <c r="D265" i="1"/>
  <c r="C261" i="1"/>
  <c r="D261" i="1"/>
  <c r="C257" i="1"/>
  <c r="D257" i="1"/>
  <c r="C253" i="1"/>
  <c r="D253" i="1"/>
  <c r="C249" i="1"/>
  <c r="D249" i="1"/>
  <c r="C245" i="1"/>
  <c r="D245" i="1"/>
  <c r="C241" i="1"/>
  <c r="D241" i="1"/>
  <c r="C237" i="1"/>
  <c r="D237" i="1"/>
  <c r="C233" i="1"/>
  <c r="D233" i="1"/>
  <c r="C229" i="1"/>
  <c r="D229" i="1"/>
  <c r="C225" i="1"/>
  <c r="D225" i="1"/>
  <c r="C221" i="1"/>
  <c r="D221" i="1"/>
  <c r="C217" i="1"/>
  <c r="D217" i="1"/>
  <c r="C213" i="1"/>
  <c r="D213" i="1"/>
  <c r="C209" i="1"/>
  <c r="D209" i="1"/>
  <c r="C205" i="1"/>
  <c r="D205" i="1"/>
  <c r="C201" i="1"/>
  <c r="D201" i="1"/>
  <c r="C197" i="1"/>
  <c r="D197" i="1"/>
  <c r="C193" i="1"/>
  <c r="D193" i="1"/>
  <c r="C189" i="1"/>
  <c r="D189" i="1"/>
  <c r="C185" i="1"/>
  <c r="D185" i="1"/>
  <c r="C181" i="1"/>
  <c r="D181" i="1"/>
  <c r="C177" i="1"/>
  <c r="D177" i="1"/>
  <c r="C173" i="1"/>
  <c r="D173" i="1"/>
  <c r="C169" i="1"/>
  <c r="D169" i="1"/>
  <c r="C165" i="1"/>
  <c r="D165" i="1"/>
  <c r="C161" i="1"/>
  <c r="D161" i="1"/>
  <c r="C157" i="1"/>
  <c r="D157" i="1"/>
  <c r="C153" i="1"/>
  <c r="D153" i="1"/>
  <c r="C149" i="1"/>
  <c r="D149" i="1"/>
  <c r="C145" i="1"/>
  <c r="D145" i="1"/>
  <c r="C141" i="1"/>
  <c r="D141" i="1"/>
  <c r="C137" i="1"/>
  <c r="D137" i="1"/>
  <c r="C133" i="1"/>
  <c r="D133" i="1"/>
  <c r="C129" i="1"/>
  <c r="D129" i="1"/>
  <c r="C125" i="1"/>
  <c r="D125" i="1"/>
  <c r="C121" i="1"/>
  <c r="D121" i="1"/>
  <c r="C117" i="1"/>
  <c r="D117" i="1"/>
  <c r="C113" i="1"/>
  <c r="D113" i="1"/>
  <c r="C109" i="1"/>
  <c r="D109" i="1"/>
  <c r="C105" i="1"/>
  <c r="D105" i="1"/>
  <c r="C101" i="1"/>
  <c r="D101" i="1"/>
  <c r="C97" i="1"/>
  <c r="D97" i="1"/>
  <c r="C93" i="1"/>
  <c r="D93" i="1"/>
  <c r="C89" i="1"/>
  <c r="D89" i="1"/>
  <c r="C85" i="1"/>
  <c r="D85" i="1"/>
  <c r="C81" i="1"/>
  <c r="D81" i="1"/>
  <c r="C77" i="1"/>
  <c r="D77" i="1"/>
  <c r="C73" i="1"/>
  <c r="D73" i="1"/>
  <c r="C69" i="1"/>
  <c r="D69" i="1"/>
  <c r="C65" i="1"/>
  <c r="D65" i="1"/>
  <c r="C61" i="1"/>
  <c r="D61" i="1"/>
  <c r="C57" i="1"/>
  <c r="D57" i="1"/>
  <c r="C53" i="1"/>
  <c r="D53" i="1"/>
  <c r="C49" i="1"/>
  <c r="D49" i="1"/>
  <c r="C45" i="1"/>
  <c r="D45" i="1"/>
  <c r="C41" i="1"/>
  <c r="D41" i="1"/>
  <c r="C37" i="1"/>
  <c r="D37" i="1"/>
  <c r="C20" i="1"/>
  <c r="E20" i="1" s="1"/>
  <c r="C32" i="1"/>
  <c r="D28" i="1"/>
  <c r="E28" i="1" s="1"/>
  <c r="D24" i="1"/>
  <c r="D35" i="1"/>
  <c r="E35" i="1" s="1"/>
  <c r="D31" i="1"/>
  <c r="D27" i="1"/>
  <c r="D23" i="1"/>
  <c r="E23" i="1" s="1"/>
  <c r="D19" i="1"/>
  <c r="D34" i="1"/>
  <c r="D30" i="1"/>
  <c r="D26" i="1"/>
  <c r="E26" i="1" s="1"/>
  <c r="D22" i="1"/>
  <c r="D18" i="1"/>
  <c r="D33" i="1"/>
  <c r="D29" i="1"/>
  <c r="D25" i="1"/>
  <c r="E25" i="1" s="1"/>
  <c r="D21" i="1"/>
  <c r="E21" i="1" s="1"/>
  <c r="D17" i="1"/>
  <c r="E17" i="1" s="1"/>
  <c r="AF6" i="1"/>
  <c r="AE7" i="1" s="1"/>
  <c r="AD7" i="1"/>
  <c r="AF7" i="1" s="1"/>
  <c r="I4" i="1"/>
  <c r="I3" i="1"/>
  <c r="Q3" i="1"/>
  <c r="Q4" i="1" s="1"/>
  <c r="H4" i="1"/>
  <c r="V18" i="1" l="1"/>
  <c r="S18" i="1"/>
  <c r="E54" i="1"/>
  <c r="F54" i="1" s="1"/>
  <c r="G54" i="1" s="1"/>
  <c r="H54" i="1" s="1"/>
  <c r="E254" i="1"/>
  <c r="F254" i="1" s="1"/>
  <c r="G254" i="1" s="1"/>
  <c r="H254" i="1" s="1"/>
  <c r="E157" i="1"/>
  <c r="F157" i="1" s="1"/>
  <c r="G157" i="1" s="1"/>
  <c r="H157" i="1" s="1"/>
  <c r="E246" i="1"/>
  <c r="F246" i="1" s="1"/>
  <c r="G246" i="1" s="1"/>
  <c r="H246" i="1" s="1"/>
  <c r="E264" i="1"/>
  <c r="F264" i="1" s="1"/>
  <c r="G264" i="1" s="1"/>
  <c r="H264" i="1" s="1"/>
  <c r="E86" i="1"/>
  <c r="F86" i="1" s="1"/>
  <c r="G86" i="1" s="1"/>
  <c r="H86" i="1" s="1"/>
  <c r="E102" i="1"/>
  <c r="F102" i="1" s="1"/>
  <c r="G102" i="1" s="1"/>
  <c r="H102" i="1" s="1"/>
  <c r="E230" i="1"/>
  <c r="F230" i="1" s="1"/>
  <c r="G230" i="1" s="1"/>
  <c r="H230" i="1" s="1"/>
  <c r="E270" i="1"/>
  <c r="F270" i="1" s="1"/>
  <c r="G270" i="1" s="1"/>
  <c r="H270" i="1" s="1"/>
  <c r="E104" i="1"/>
  <c r="F104" i="1" s="1"/>
  <c r="G104" i="1" s="1"/>
  <c r="H104" i="1" s="1"/>
  <c r="E61" i="1"/>
  <c r="F61" i="1" s="1"/>
  <c r="G61" i="1" s="1"/>
  <c r="H61" i="1" s="1"/>
  <c r="E69" i="1"/>
  <c r="F69" i="1" s="1"/>
  <c r="G69" i="1" s="1"/>
  <c r="H69" i="1" s="1"/>
  <c r="E93" i="1"/>
  <c r="F93" i="1" s="1"/>
  <c r="G93" i="1" s="1"/>
  <c r="H93" i="1" s="1"/>
  <c r="E109" i="1"/>
  <c r="F109" i="1" s="1"/>
  <c r="G109" i="1" s="1"/>
  <c r="H109" i="1" s="1"/>
  <c r="E125" i="1"/>
  <c r="F125" i="1" s="1"/>
  <c r="G125" i="1" s="1"/>
  <c r="H125" i="1" s="1"/>
  <c r="E133" i="1"/>
  <c r="F133" i="1" s="1"/>
  <c r="G133" i="1" s="1"/>
  <c r="H133" i="1" s="1"/>
  <c r="E149" i="1"/>
  <c r="F149" i="1" s="1"/>
  <c r="G149" i="1" s="1"/>
  <c r="H149" i="1" s="1"/>
  <c r="E261" i="1"/>
  <c r="F261" i="1" s="1"/>
  <c r="G261" i="1" s="1"/>
  <c r="H261" i="1" s="1"/>
  <c r="E78" i="1"/>
  <c r="F78" i="1" s="1"/>
  <c r="G78" i="1" s="1"/>
  <c r="H78" i="1" s="1"/>
  <c r="E68" i="1"/>
  <c r="F68" i="1" s="1"/>
  <c r="G68" i="1" s="1"/>
  <c r="H68" i="1" s="1"/>
  <c r="E96" i="1"/>
  <c r="F96" i="1" s="1"/>
  <c r="G96" i="1" s="1"/>
  <c r="H96" i="1" s="1"/>
  <c r="E172" i="1"/>
  <c r="F172" i="1" s="1"/>
  <c r="G172" i="1" s="1"/>
  <c r="H172" i="1" s="1"/>
  <c r="E204" i="1"/>
  <c r="F204" i="1" s="1"/>
  <c r="G204" i="1" s="1"/>
  <c r="H204" i="1" s="1"/>
  <c r="E45" i="1"/>
  <c r="F45" i="1" s="1"/>
  <c r="G45" i="1" s="1"/>
  <c r="H45" i="1" s="1"/>
  <c r="E173" i="1"/>
  <c r="F173" i="1" s="1"/>
  <c r="G173" i="1" s="1"/>
  <c r="H173" i="1" s="1"/>
  <c r="E189" i="1"/>
  <c r="F189" i="1" s="1"/>
  <c r="G189" i="1" s="1"/>
  <c r="H189" i="1" s="1"/>
  <c r="E197" i="1"/>
  <c r="F197" i="1" s="1"/>
  <c r="G197" i="1" s="1"/>
  <c r="H197" i="1" s="1"/>
  <c r="E205" i="1"/>
  <c r="F205" i="1" s="1"/>
  <c r="G205" i="1" s="1"/>
  <c r="H205" i="1" s="1"/>
  <c r="E213" i="1"/>
  <c r="F213" i="1" s="1"/>
  <c r="G213" i="1" s="1"/>
  <c r="H213" i="1" s="1"/>
  <c r="E229" i="1"/>
  <c r="F229" i="1" s="1"/>
  <c r="G229" i="1" s="1"/>
  <c r="H229" i="1" s="1"/>
  <c r="E245" i="1"/>
  <c r="F245" i="1" s="1"/>
  <c r="G245" i="1" s="1"/>
  <c r="H245" i="1" s="1"/>
  <c r="E253" i="1"/>
  <c r="F253" i="1" s="1"/>
  <c r="G253" i="1" s="1"/>
  <c r="H253" i="1" s="1"/>
  <c r="E70" i="1"/>
  <c r="F70" i="1" s="1"/>
  <c r="G70" i="1" s="1"/>
  <c r="H70" i="1" s="1"/>
  <c r="E110" i="1"/>
  <c r="F110" i="1" s="1"/>
  <c r="G110" i="1" s="1"/>
  <c r="H110" i="1" s="1"/>
  <c r="E126" i="1"/>
  <c r="F126" i="1" s="1"/>
  <c r="G126" i="1" s="1"/>
  <c r="H126" i="1" s="1"/>
  <c r="E150" i="1"/>
  <c r="F150" i="1" s="1"/>
  <c r="G150" i="1" s="1"/>
  <c r="H150" i="1" s="1"/>
  <c r="E190" i="1"/>
  <c r="F190" i="1" s="1"/>
  <c r="G190" i="1" s="1"/>
  <c r="H190" i="1" s="1"/>
  <c r="E198" i="1"/>
  <c r="F198" i="1" s="1"/>
  <c r="G198" i="1" s="1"/>
  <c r="H198" i="1" s="1"/>
  <c r="E206" i="1"/>
  <c r="F206" i="1" s="1"/>
  <c r="G206" i="1" s="1"/>
  <c r="H206" i="1" s="1"/>
  <c r="E44" i="1"/>
  <c r="F44" i="1" s="1"/>
  <c r="G44" i="1" s="1"/>
  <c r="H44" i="1" s="1"/>
  <c r="E76" i="1"/>
  <c r="F76" i="1" s="1"/>
  <c r="G76" i="1" s="1"/>
  <c r="H76" i="1" s="1"/>
  <c r="E188" i="1"/>
  <c r="F188" i="1" s="1"/>
  <c r="G188" i="1" s="1"/>
  <c r="H188" i="1" s="1"/>
  <c r="E272" i="1"/>
  <c r="F272" i="1" s="1"/>
  <c r="G272" i="1" s="1"/>
  <c r="H272" i="1" s="1"/>
  <c r="E137" i="1"/>
  <c r="F137" i="1" s="1"/>
  <c r="G137" i="1" s="1"/>
  <c r="H137" i="1" s="1"/>
  <c r="E178" i="1"/>
  <c r="F178" i="1" s="1"/>
  <c r="G178" i="1" s="1"/>
  <c r="H178" i="1" s="1"/>
  <c r="E201" i="1"/>
  <c r="F201" i="1" s="1"/>
  <c r="G201" i="1" s="1"/>
  <c r="H201" i="1" s="1"/>
  <c r="E58" i="1"/>
  <c r="F58" i="1" s="1"/>
  <c r="G58" i="1" s="1"/>
  <c r="H58" i="1" s="1"/>
  <c r="E260" i="1"/>
  <c r="F260" i="1" s="1"/>
  <c r="G260" i="1" s="1"/>
  <c r="H260" i="1" s="1"/>
  <c r="E500" i="1"/>
  <c r="F500" i="1" s="1"/>
  <c r="G500" i="1" s="1"/>
  <c r="H500" i="1" s="1"/>
  <c r="E124" i="1"/>
  <c r="F124" i="1" s="1"/>
  <c r="G124" i="1" s="1"/>
  <c r="H124" i="1" s="1"/>
  <c r="E156" i="1"/>
  <c r="F156" i="1" s="1"/>
  <c r="G156" i="1" s="1"/>
  <c r="H156" i="1" s="1"/>
  <c r="E384" i="1"/>
  <c r="F384" i="1" s="1"/>
  <c r="G384" i="1" s="1"/>
  <c r="H384" i="1" s="1"/>
  <c r="E65" i="1"/>
  <c r="F65" i="1" s="1"/>
  <c r="G65" i="1" s="1"/>
  <c r="H65" i="1" s="1"/>
  <c r="E129" i="1"/>
  <c r="F129" i="1" s="1"/>
  <c r="G129" i="1" s="1"/>
  <c r="H129" i="1" s="1"/>
  <c r="E161" i="1"/>
  <c r="F161" i="1" s="1"/>
  <c r="G161" i="1" s="1"/>
  <c r="H161" i="1" s="1"/>
  <c r="E233" i="1"/>
  <c r="F233" i="1" s="1"/>
  <c r="G233" i="1" s="1"/>
  <c r="H233" i="1" s="1"/>
  <c r="E132" i="1"/>
  <c r="F132" i="1" s="1"/>
  <c r="G132" i="1" s="1"/>
  <c r="H132" i="1" s="1"/>
  <c r="E356" i="1"/>
  <c r="F356" i="1" s="1"/>
  <c r="G356" i="1" s="1"/>
  <c r="H356" i="1" s="1"/>
  <c r="E380" i="1"/>
  <c r="F380" i="1" s="1"/>
  <c r="G380" i="1" s="1"/>
  <c r="H380" i="1" s="1"/>
  <c r="E318" i="1"/>
  <c r="F318" i="1" s="1"/>
  <c r="G318" i="1" s="1"/>
  <c r="H318" i="1" s="1"/>
  <c r="E121" i="1"/>
  <c r="F121" i="1" s="1"/>
  <c r="G121" i="1" s="1"/>
  <c r="H121" i="1" s="1"/>
  <c r="E249" i="1"/>
  <c r="F249" i="1" s="1"/>
  <c r="G249" i="1" s="1"/>
  <c r="H249" i="1" s="1"/>
  <c r="E257" i="1"/>
  <c r="F257" i="1" s="1"/>
  <c r="G257" i="1" s="1"/>
  <c r="H257" i="1" s="1"/>
  <c r="E50" i="1"/>
  <c r="F50" i="1" s="1"/>
  <c r="G50" i="1" s="1"/>
  <c r="H50" i="1" s="1"/>
  <c r="E194" i="1"/>
  <c r="F194" i="1" s="1"/>
  <c r="E148" i="1"/>
  <c r="F148" i="1" s="1"/>
  <c r="G148" i="1" s="1"/>
  <c r="H148" i="1" s="1"/>
  <c r="E212" i="1"/>
  <c r="F212" i="1" s="1"/>
  <c r="G212" i="1" s="1"/>
  <c r="H212" i="1" s="1"/>
  <c r="E308" i="1"/>
  <c r="F308" i="1" s="1"/>
  <c r="G308" i="1" s="1"/>
  <c r="H308" i="1" s="1"/>
  <c r="E372" i="1"/>
  <c r="F372" i="1" s="1"/>
  <c r="G372" i="1" s="1"/>
  <c r="H372" i="1" s="1"/>
  <c r="E484" i="1"/>
  <c r="F484" i="1" s="1"/>
  <c r="G484" i="1" s="1"/>
  <c r="H484" i="1" s="1"/>
  <c r="E297" i="1"/>
  <c r="F297" i="1" s="1"/>
  <c r="G297" i="1" s="1"/>
  <c r="H297" i="1" s="1"/>
  <c r="E509" i="1"/>
  <c r="F509" i="1" s="1"/>
  <c r="G509" i="1" s="1"/>
  <c r="H509" i="1" s="1"/>
  <c r="E37" i="1"/>
  <c r="F37" i="1" s="1"/>
  <c r="G37" i="1" s="1"/>
  <c r="H37" i="1" s="1"/>
  <c r="E53" i="1"/>
  <c r="F53" i="1" s="1"/>
  <c r="G53" i="1" s="1"/>
  <c r="H53" i="1" s="1"/>
  <c r="E77" i="1"/>
  <c r="F77" i="1" s="1"/>
  <c r="G77" i="1" s="1"/>
  <c r="H77" i="1" s="1"/>
  <c r="E85" i="1"/>
  <c r="F85" i="1" s="1"/>
  <c r="G85" i="1" s="1"/>
  <c r="H85" i="1" s="1"/>
  <c r="E101" i="1"/>
  <c r="F101" i="1" s="1"/>
  <c r="G101" i="1" s="1"/>
  <c r="H101" i="1" s="1"/>
  <c r="E117" i="1"/>
  <c r="F117" i="1" s="1"/>
  <c r="G117" i="1" s="1"/>
  <c r="H117" i="1" s="1"/>
  <c r="E141" i="1"/>
  <c r="F141" i="1" s="1"/>
  <c r="G141" i="1" s="1"/>
  <c r="H141" i="1" s="1"/>
  <c r="E165" i="1"/>
  <c r="F165" i="1" s="1"/>
  <c r="G165" i="1" s="1"/>
  <c r="E181" i="1"/>
  <c r="F181" i="1" s="1"/>
  <c r="G181" i="1" s="1"/>
  <c r="H181" i="1" s="1"/>
  <c r="E221" i="1"/>
  <c r="F221" i="1" s="1"/>
  <c r="G221" i="1" s="1"/>
  <c r="H221" i="1" s="1"/>
  <c r="E237" i="1"/>
  <c r="F237" i="1" s="1"/>
  <c r="G237" i="1" s="1"/>
  <c r="H237" i="1" s="1"/>
  <c r="E38" i="1"/>
  <c r="F38" i="1" s="1"/>
  <c r="G38" i="1" s="1"/>
  <c r="H38" i="1" s="1"/>
  <c r="E46" i="1"/>
  <c r="F46" i="1" s="1"/>
  <c r="G46" i="1" s="1"/>
  <c r="H46" i="1" s="1"/>
  <c r="E62" i="1"/>
  <c r="F62" i="1" s="1"/>
  <c r="G62" i="1" s="1"/>
  <c r="H62" i="1" s="1"/>
  <c r="E94" i="1"/>
  <c r="F94" i="1" s="1"/>
  <c r="G94" i="1" s="1"/>
  <c r="H94" i="1" s="1"/>
  <c r="E118" i="1"/>
  <c r="F118" i="1" s="1"/>
  <c r="G118" i="1" s="1"/>
  <c r="H118" i="1" s="1"/>
  <c r="E134" i="1"/>
  <c r="F134" i="1" s="1"/>
  <c r="G134" i="1" s="1"/>
  <c r="H134" i="1" s="1"/>
  <c r="E142" i="1"/>
  <c r="F142" i="1" s="1"/>
  <c r="G142" i="1" s="1"/>
  <c r="H142" i="1" s="1"/>
  <c r="E158" i="1"/>
  <c r="F158" i="1" s="1"/>
  <c r="G158" i="1" s="1"/>
  <c r="H158" i="1" s="1"/>
  <c r="E166" i="1"/>
  <c r="F166" i="1" s="1"/>
  <c r="G166" i="1" s="1"/>
  <c r="H166" i="1" s="1"/>
  <c r="E174" i="1"/>
  <c r="F174" i="1" s="1"/>
  <c r="G174" i="1" s="1"/>
  <c r="H174" i="1" s="1"/>
  <c r="E182" i="1"/>
  <c r="F182" i="1" s="1"/>
  <c r="G182" i="1" s="1"/>
  <c r="H182" i="1" s="1"/>
  <c r="E214" i="1"/>
  <c r="F214" i="1" s="1"/>
  <c r="G214" i="1" s="1"/>
  <c r="H214" i="1" s="1"/>
  <c r="E222" i="1"/>
  <c r="F222" i="1" s="1"/>
  <c r="G222" i="1" s="1"/>
  <c r="H222" i="1" s="1"/>
  <c r="E238" i="1"/>
  <c r="F238" i="1" s="1"/>
  <c r="G238" i="1" s="1"/>
  <c r="H238" i="1" s="1"/>
  <c r="E262" i="1"/>
  <c r="F262" i="1" s="1"/>
  <c r="G262" i="1" s="1"/>
  <c r="H262" i="1" s="1"/>
  <c r="E36" i="1"/>
  <c r="F36" i="1" s="1"/>
  <c r="G36" i="1" s="1"/>
  <c r="H36" i="1" s="1"/>
  <c r="E52" i="1"/>
  <c r="F52" i="1" s="1"/>
  <c r="G52" i="1" s="1"/>
  <c r="H52" i="1" s="1"/>
  <c r="E60" i="1"/>
  <c r="F60" i="1" s="1"/>
  <c r="G60" i="1" s="1"/>
  <c r="H60" i="1" s="1"/>
  <c r="E88" i="1"/>
  <c r="F88" i="1" s="1"/>
  <c r="G88" i="1" s="1"/>
  <c r="H88" i="1" s="1"/>
  <c r="E112" i="1"/>
  <c r="F112" i="1" s="1"/>
  <c r="G112" i="1" s="1"/>
  <c r="H112" i="1" s="1"/>
  <c r="E140" i="1"/>
  <c r="F140" i="1" s="1"/>
  <c r="G140" i="1" s="1"/>
  <c r="H140" i="1" s="1"/>
  <c r="E220" i="1"/>
  <c r="F220" i="1" s="1"/>
  <c r="G220" i="1" s="1"/>
  <c r="H220" i="1" s="1"/>
  <c r="E236" i="1"/>
  <c r="F236" i="1" s="1"/>
  <c r="G236" i="1" s="1"/>
  <c r="H236" i="1" s="1"/>
  <c r="E256" i="1"/>
  <c r="F256" i="1" s="1"/>
  <c r="G256" i="1" s="1"/>
  <c r="H256" i="1" s="1"/>
  <c r="E288" i="1"/>
  <c r="F288" i="1" s="1"/>
  <c r="G288" i="1" s="1"/>
  <c r="H288" i="1" s="1"/>
  <c r="E312" i="1"/>
  <c r="F312" i="1" s="1"/>
  <c r="G312" i="1" s="1"/>
  <c r="H312" i="1" s="1"/>
  <c r="E336" i="1"/>
  <c r="F336" i="1" s="1"/>
  <c r="G336" i="1" s="1"/>
  <c r="H336" i="1" s="1"/>
  <c r="E392" i="1"/>
  <c r="F392" i="1" s="1"/>
  <c r="G392" i="1" s="1"/>
  <c r="H392" i="1" s="1"/>
  <c r="E420" i="1"/>
  <c r="F420" i="1" s="1"/>
  <c r="G420" i="1" s="1"/>
  <c r="H420" i="1" s="1"/>
  <c r="E81" i="1"/>
  <c r="F81" i="1" s="1"/>
  <c r="G81" i="1" s="1"/>
  <c r="H81" i="1" s="1"/>
  <c r="E89" i="1"/>
  <c r="F89" i="1" s="1"/>
  <c r="G89" i="1" s="1"/>
  <c r="H89" i="1" s="1"/>
  <c r="E105" i="1"/>
  <c r="F105" i="1" s="1"/>
  <c r="G105" i="1" s="1"/>
  <c r="H105" i="1" s="1"/>
  <c r="E145" i="1"/>
  <c r="F145" i="1" s="1"/>
  <c r="G145" i="1" s="1"/>
  <c r="H145" i="1" s="1"/>
  <c r="E153" i="1"/>
  <c r="F153" i="1" s="1"/>
  <c r="G153" i="1" s="1"/>
  <c r="H153" i="1" s="1"/>
  <c r="E185" i="1"/>
  <c r="F185" i="1" s="1"/>
  <c r="G185" i="1" s="1"/>
  <c r="H185" i="1" s="1"/>
  <c r="E209" i="1"/>
  <c r="F209" i="1" s="1"/>
  <c r="G209" i="1" s="1"/>
  <c r="H209" i="1" s="1"/>
  <c r="E225" i="1"/>
  <c r="F225" i="1" s="1"/>
  <c r="G225" i="1" s="1"/>
  <c r="H225" i="1" s="1"/>
  <c r="E42" i="1"/>
  <c r="F42" i="1" s="1"/>
  <c r="G42" i="1" s="1"/>
  <c r="H42" i="1" s="1"/>
  <c r="E66" i="1"/>
  <c r="F66" i="1" s="1"/>
  <c r="G66" i="1" s="1"/>
  <c r="H66" i="1" s="1"/>
  <c r="E74" i="1"/>
  <c r="F74" i="1" s="1"/>
  <c r="G74" i="1" s="1"/>
  <c r="H74" i="1" s="1"/>
  <c r="E82" i="1"/>
  <c r="F82" i="1" s="1"/>
  <c r="G82" i="1" s="1"/>
  <c r="H82" i="1" s="1"/>
  <c r="E138" i="1"/>
  <c r="F138" i="1" s="1"/>
  <c r="G138" i="1" s="1"/>
  <c r="H138" i="1" s="1"/>
  <c r="E154" i="1"/>
  <c r="F154" i="1" s="1"/>
  <c r="G154" i="1" s="1"/>
  <c r="H154" i="1" s="1"/>
  <c r="E162" i="1"/>
  <c r="F162" i="1" s="1"/>
  <c r="G162" i="1" s="1"/>
  <c r="H162" i="1" s="1"/>
  <c r="E170" i="1"/>
  <c r="F170" i="1" s="1"/>
  <c r="G170" i="1" s="1"/>
  <c r="H170" i="1" s="1"/>
  <c r="E186" i="1"/>
  <c r="F186" i="1" s="1"/>
  <c r="G186" i="1" s="1"/>
  <c r="H186" i="1" s="1"/>
  <c r="E202" i="1"/>
  <c r="F202" i="1" s="1"/>
  <c r="G202" i="1" s="1"/>
  <c r="H202" i="1" s="1"/>
  <c r="E210" i="1"/>
  <c r="F210" i="1" s="1"/>
  <c r="G210" i="1" s="1"/>
  <c r="H210" i="1" s="1"/>
  <c r="E234" i="1"/>
  <c r="F234" i="1" s="1"/>
  <c r="G234" i="1" s="1"/>
  <c r="H234" i="1" s="1"/>
  <c r="E242" i="1"/>
  <c r="F242" i="1" s="1"/>
  <c r="G242" i="1" s="1"/>
  <c r="H242" i="1" s="1"/>
  <c r="E266" i="1"/>
  <c r="F266" i="1" s="1"/>
  <c r="G266" i="1" s="1"/>
  <c r="H266" i="1" s="1"/>
  <c r="E40" i="1"/>
  <c r="F40" i="1" s="1"/>
  <c r="G40" i="1" s="1"/>
  <c r="H40" i="1" s="1"/>
  <c r="E72" i="1"/>
  <c r="F72" i="1" s="1"/>
  <c r="G72" i="1" s="1"/>
  <c r="H72" i="1" s="1"/>
  <c r="E100" i="1"/>
  <c r="F100" i="1" s="1"/>
  <c r="G100" i="1" s="1"/>
  <c r="H100" i="1" s="1"/>
  <c r="E108" i="1"/>
  <c r="F108" i="1" s="1"/>
  <c r="G108" i="1" s="1"/>
  <c r="H108" i="1" s="1"/>
  <c r="E120" i="1"/>
  <c r="F120" i="1" s="1"/>
  <c r="G120" i="1" s="1"/>
  <c r="H120" i="1" s="1"/>
  <c r="E180" i="1"/>
  <c r="F180" i="1" s="1"/>
  <c r="G180" i="1" s="1"/>
  <c r="H180" i="1" s="1"/>
  <c r="E196" i="1"/>
  <c r="F196" i="1" s="1"/>
  <c r="G196" i="1" s="1"/>
  <c r="H196" i="1" s="1"/>
  <c r="E276" i="1"/>
  <c r="F276" i="1" s="1"/>
  <c r="G276" i="1" s="1"/>
  <c r="H276" i="1" s="1"/>
  <c r="E292" i="1"/>
  <c r="F292" i="1" s="1"/>
  <c r="G292" i="1" s="1"/>
  <c r="H292" i="1" s="1"/>
  <c r="E332" i="1"/>
  <c r="F332" i="1" s="1"/>
  <c r="G332" i="1" s="1"/>
  <c r="H332" i="1" s="1"/>
  <c r="E396" i="1"/>
  <c r="F396" i="1" s="1"/>
  <c r="G396" i="1" s="1"/>
  <c r="H396" i="1" s="1"/>
  <c r="E317" i="1"/>
  <c r="F317" i="1" s="1"/>
  <c r="G317" i="1" s="1"/>
  <c r="H317" i="1" s="1"/>
  <c r="E337" i="1"/>
  <c r="F337" i="1" s="1"/>
  <c r="G337" i="1" s="1"/>
  <c r="H337" i="1" s="1"/>
  <c r="E353" i="1"/>
  <c r="F353" i="1" s="1"/>
  <c r="G353" i="1" s="1"/>
  <c r="H353" i="1" s="1"/>
  <c r="E405" i="1"/>
  <c r="F405" i="1" s="1"/>
  <c r="G405" i="1" s="1"/>
  <c r="H405" i="1" s="1"/>
  <c r="E41" i="1"/>
  <c r="F41" i="1" s="1"/>
  <c r="G41" i="1" s="1"/>
  <c r="H41" i="1" s="1"/>
  <c r="E49" i="1"/>
  <c r="F49" i="1" s="1"/>
  <c r="G49" i="1" s="1"/>
  <c r="H49" i="1" s="1"/>
  <c r="E57" i="1"/>
  <c r="F57" i="1" s="1"/>
  <c r="G57" i="1" s="1"/>
  <c r="H57" i="1" s="1"/>
  <c r="E73" i="1"/>
  <c r="F73" i="1" s="1"/>
  <c r="G73" i="1" s="1"/>
  <c r="E97" i="1"/>
  <c r="F97" i="1" s="1"/>
  <c r="G97" i="1" s="1"/>
  <c r="H97" i="1" s="1"/>
  <c r="E113" i="1"/>
  <c r="F113" i="1" s="1"/>
  <c r="G113" i="1" s="1"/>
  <c r="H113" i="1" s="1"/>
  <c r="E169" i="1"/>
  <c r="F169" i="1" s="1"/>
  <c r="G169" i="1" s="1"/>
  <c r="H169" i="1" s="1"/>
  <c r="E177" i="1"/>
  <c r="F177" i="1" s="1"/>
  <c r="G177" i="1" s="1"/>
  <c r="H177" i="1" s="1"/>
  <c r="E193" i="1"/>
  <c r="F193" i="1" s="1"/>
  <c r="G193" i="1" s="1"/>
  <c r="H193" i="1" s="1"/>
  <c r="E217" i="1"/>
  <c r="F217" i="1" s="1"/>
  <c r="G217" i="1" s="1"/>
  <c r="H217" i="1" s="1"/>
  <c r="E241" i="1"/>
  <c r="F241" i="1" s="1"/>
  <c r="G241" i="1" s="1"/>
  <c r="H241" i="1" s="1"/>
  <c r="E265" i="1"/>
  <c r="F265" i="1" s="1"/>
  <c r="G265" i="1" s="1"/>
  <c r="H265" i="1" s="1"/>
  <c r="E90" i="1"/>
  <c r="F90" i="1" s="1"/>
  <c r="G90" i="1" s="1"/>
  <c r="H90" i="1" s="1"/>
  <c r="E98" i="1"/>
  <c r="F98" i="1" s="1"/>
  <c r="G98" i="1" s="1"/>
  <c r="H98" i="1" s="1"/>
  <c r="E106" i="1"/>
  <c r="F106" i="1" s="1"/>
  <c r="G106" i="1" s="1"/>
  <c r="H106" i="1" s="1"/>
  <c r="E114" i="1"/>
  <c r="F114" i="1" s="1"/>
  <c r="G114" i="1" s="1"/>
  <c r="H114" i="1" s="1"/>
  <c r="E122" i="1"/>
  <c r="F122" i="1" s="1"/>
  <c r="G122" i="1" s="1"/>
  <c r="H122" i="1" s="1"/>
  <c r="E130" i="1"/>
  <c r="F130" i="1" s="1"/>
  <c r="G130" i="1" s="1"/>
  <c r="H130" i="1" s="1"/>
  <c r="E146" i="1"/>
  <c r="F146" i="1" s="1"/>
  <c r="G146" i="1" s="1"/>
  <c r="H146" i="1" s="1"/>
  <c r="E218" i="1"/>
  <c r="F218" i="1" s="1"/>
  <c r="G218" i="1" s="1"/>
  <c r="H218" i="1" s="1"/>
  <c r="E226" i="1"/>
  <c r="F226" i="1" s="1"/>
  <c r="G226" i="1" s="1"/>
  <c r="H226" i="1" s="1"/>
  <c r="E250" i="1"/>
  <c r="F250" i="1" s="1"/>
  <c r="G250" i="1" s="1"/>
  <c r="H250" i="1" s="1"/>
  <c r="E258" i="1"/>
  <c r="F258" i="1" s="1"/>
  <c r="G258" i="1" s="1"/>
  <c r="H258" i="1" s="1"/>
  <c r="E48" i="1"/>
  <c r="F48" i="1" s="1"/>
  <c r="G48" i="1" s="1"/>
  <c r="H48" i="1" s="1"/>
  <c r="E56" i="1"/>
  <c r="F56" i="1" s="1"/>
  <c r="G56" i="1" s="1"/>
  <c r="H56" i="1" s="1"/>
  <c r="E64" i="1"/>
  <c r="F64" i="1" s="1"/>
  <c r="G64" i="1" s="1"/>
  <c r="H64" i="1" s="1"/>
  <c r="E84" i="1"/>
  <c r="F84" i="1" s="1"/>
  <c r="G84" i="1" s="1"/>
  <c r="H84" i="1" s="1"/>
  <c r="E92" i="1"/>
  <c r="F92" i="1" s="1"/>
  <c r="G92" i="1" s="1"/>
  <c r="H92" i="1" s="1"/>
  <c r="E164" i="1"/>
  <c r="F164" i="1" s="1"/>
  <c r="G164" i="1" s="1"/>
  <c r="H164" i="1" s="1"/>
  <c r="E228" i="1"/>
  <c r="F228" i="1" s="1"/>
  <c r="G228" i="1" s="1"/>
  <c r="H228" i="1" s="1"/>
  <c r="E244" i="1"/>
  <c r="F244" i="1" s="1"/>
  <c r="G244" i="1" s="1"/>
  <c r="H244" i="1" s="1"/>
  <c r="E252" i="1"/>
  <c r="F252" i="1" s="1"/>
  <c r="G252" i="1" s="1"/>
  <c r="H252" i="1" s="1"/>
  <c r="E268" i="1"/>
  <c r="F268" i="1" s="1"/>
  <c r="G268" i="1" s="1"/>
  <c r="H268" i="1" s="1"/>
  <c r="E284" i="1"/>
  <c r="F284" i="1" s="1"/>
  <c r="G284" i="1" s="1"/>
  <c r="H284" i="1" s="1"/>
  <c r="E300" i="1"/>
  <c r="F300" i="1" s="1"/>
  <c r="G300" i="1" s="1"/>
  <c r="H300" i="1" s="1"/>
  <c r="E316" i="1"/>
  <c r="F316" i="1" s="1"/>
  <c r="G316" i="1" s="1"/>
  <c r="H316" i="1" s="1"/>
  <c r="E324" i="1"/>
  <c r="F324" i="1" s="1"/>
  <c r="G324" i="1" s="1"/>
  <c r="H324" i="1" s="1"/>
  <c r="E340" i="1"/>
  <c r="F340" i="1" s="1"/>
  <c r="G340" i="1" s="1"/>
  <c r="H340" i="1" s="1"/>
  <c r="E388" i="1"/>
  <c r="F388" i="1" s="1"/>
  <c r="G388" i="1" s="1"/>
  <c r="H388" i="1" s="1"/>
  <c r="E408" i="1"/>
  <c r="F408" i="1" s="1"/>
  <c r="G408" i="1" s="1"/>
  <c r="H408" i="1" s="1"/>
  <c r="E416" i="1"/>
  <c r="F416" i="1" s="1"/>
  <c r="G416" i="1" s="1"/>
  <c r="H416" i="1" s="1"/>
  <c r="E424" i="1"/>
  <c r="F424" i="1" s="1"/>
  <c r="G424" i="1" s="1"/>
  <c r="H424" i="1" s="1"/>
  <c r="E436" i="1"/>
  <c r="F436" i="1" s="1"/>
  <c r="G436" i="1" s="1"/>
  <c r="H436" i="1" s="1"/>
  <c r="E448" i="1"/>
  <c r="F448" i="1" s="1"/>
  <c r="G448" i="1" s="1"/>
  <c r="H448" i="1" s="1"/>
  <c r="E464" i="1"/>
  <c r="F464" i="1" s="1"/>
  <c r="G464" i="1" s="1"/>
  <c r="H464" i="1" s="1"/>
  <c r="E516" i="1"/>
  <c r="F516" i="1" s="1"/>
  <c r="G516" i="1" s="1"/>
  <c r="H516" i="1" s="1"/>
  <c r="E281" i="1"/>
  <c r="F281" i="1" s="1"/>
  <c r="G281" i="1" s="1"/>
  <c r="E385" i="1"/>
  <c r="F385" i="1" s="1"/>
  <c r="G385" i="1" s="1"/>
  <c r="H385" i="1" s="1"/>
  <c r="E425" i="1"/>
  <c r="F425" i="1" s="1"/>
  <c r="G425" i="1" s="1"/>
  <c r="H425" i="1" s="1"/>
  <c r="E469" i="1"/>
  <c r="F469" i="1" s="1"/>
  <c r="G469" i="1" s="1"/>
  <c r="H469" i="1" s="1"/>
  <c r="E350" i="1"/>
  <c r="F350" i="1" s="1"/>
  <c r="G350" i="1" s="1"/>
  <c r="H350" i="1" s="1"/>
  <c r="E248" i="1"/>
  <c r="F248" i="1" s="1"/>
  <c r="G248" i="1" s="1"/>
  <c r="H248" i="1" s="1"/>
  <c r="E280" i="1"/>
  <c r="F280" i="1" s="1"/>
  <c r="G280" i="1" s="1"/>
  <c r="H280" i="1" s="1"/>
  <c r="E320" i="1"/>
  <c r="F320" i="1" s="1"/>
  <c r="G320" i="1" s="1"/>
  <c r="H320" i="1" s="1"/>
  <c r="E376" i="1"/>
  <c r="F376" i="1" s="1"/>
  <c r="G376" i="1" s="1"/>
  <c r="H376" i="1" s="1"/>
  <c r="E472" i="1"/>
  <c r="F472" i="1" s="1"/>
  <c r="G472" i="1" s="1"/>
  <c r="H472" i="1" s="1"/>
  <c r="E289" i="1"/>
  <c r="F289" i="1" s="1"/>
  <c r="G289" i="1" s="1"/>
  <c r="H289" i="1" s="1"/>
  <c r="E310" i="1"/>
  <c r="F310" i="1" s="1"/>
  <c r="G310" i="1" s="1"/>
  <c r="H310" i="1" s="1"/>
  <c r="E296" i="1"/>
  <c r="F296" i="1" s="1"/>
  <c r="G296" i="1" s="1"/>
  <c r="H296" i="1" s="1"/>
  <c r="E304" i="1"/>
  <c r="F304" i="1" s="1"/>
  <c r="G304" i="1" s="1"/>
  <c r="H304" i="1" s="1"/>
  <c r="E328" i="1"/>
  <c r="F328" i="1" s="1"/>
  <c r="G328" i="1" s="1"/>
  <c r="H328" i="1" s="1"/>
  <c r="E348" i="1"/>
  <c r="F348" i="1" s="1"/>
  <c r="G348" i="1" s="1"/>
  <c r="H348" i="1" s="1"/>
  <c r="E364" i="1"/>
  <c r="F364" i="1" s="1"/>
  <c r="G364" i="1" s="1"/>
  <c r="H364" i="1" s="1"/>
  <c r="E400" i="1"/>
  <c r="F400" i="1" s="1"/>
  <c r="G400" i="1" s="1"/>
  <c r="H400" i="1" s="1"/>
  <c r="E412" i="1"/>
  <c r="F412" i="1" s="1"/>
  <c r="G412" i="1" s="1"/>
  <c r="H412" i="1" s="1"/>
  <c r="E508" i="1"/>
  <c r="F508" i="1" s="1"/>
  <c r="G508" i="1" s="1"/>
  <c r="H508" i="1" s="1"/>
  <c r="E269" i="1"/>
  <c r="F269" i="1" s="1"/>
  <c r="G269" i="1" s="1"/>
  <c r="H269" i="1" s="1"/>
  <c r="E326" i="1"/>
  <c r="F326" i="1" s="1"/>
  <c r="G326" i="1" s="1"/>
  <c r="H326" i="1" s="1"/>
  <c r="E358" i="1"/>
  <c r="F358" i="1" s="1"/>
  <c r="G358" i="1" s="1"/>
  <c r="H358" i="1" s="1"/>
  <c r="E39" i="1"/>
  <c r="F39" i="1" s="1"/>
  <c r="G39" i="1" s="1"/>
  <c r="H39" i="1" s="1"/>
  <c r="E428" i="1"/>
  <c r="F428" i="1" s="1"/>
  <c r="G428" i="1" s="1"/>
  <c r="H428" i="1" s="1"/>
  <c r="E444" i="1"/>
  <c r="F444" i="1" s="1"/>
  <c r="G444" i="1" s="1"/>
  <c r="H444" i="1" s="1"/>
  <c r="E456" i="1"/>
  <c r="F456" i="1" s="1"/>
  <c r="G456" i="1" s="1"/>
  <c r="H456" i="1" s="1"/>
  <c r="E492" i="1"/>
  <c r="F492" i="1" s="1"/>
  <c r="G492" i="1" s="1"/>
  <c r="H492" i="1" s="1"/>
  <c r="E309" i="1"/>
  <c r="F309" i="1" s="1"/>
  <c r="G309" i="1" s="1"/>
  <c r="H309" i="1" s="1"/>
  <c r="E329" i="1"/>
  <c r="F329" i="1" s="1"/>
  <c r="G329" i="1" s="1"/>
  <c r="H329" i="1" s="1"/>
  <c r="E345" i="1"/>
  <c r="F345" i="1" s="1"/>
  <c r="G345" i="1" s="1"/>
  <c r="H345" i="1" s="1"/>
  <c r="E365" i="1"/>
  <c r="F365" i="1" s="1"/>
  <c r="G365" i="1" s="1"/>
  <c r="H365" i="1" s="1"/>
  <c r="E397" i="1"/>
  <c r="F397" i="1" s="1"/>
  <c r="G397" i="1" s="1"/>
  <c r="H397" i="1" s="1"/>
  <c r="E413" i="1"/>
  <c r="F413" i="1" s="1"/>
  <c r="G413" i="1" s="1"/>
  <c r="H413" i="1" s="1"/>
  <c r="E433" i="1"/>
  <c r="F433" i="1" s="1"/>
  <c r="G433" i="1" s="1"/>
  <c r="H433" i="1" s="1"/>
  <c r="E457" i="1"/>
  <c r="F457" i="1" s="1"/>
  <c r="G457" i="1" s="1"/>
  <c r="H457" i="1" s="1"/>
  <c r="E477" i="1"/>
  <c r="F477" i="1" s="1"/>
  <c r="G477" i="1" s="1"/>
  <c r="H477" i="1" s="1"/>
  <c r="E501" i="1"/>
  <c r="F501" i="1" s="1"/>
  <c r="G501" i="1" s="1"/>
  <c r="H501" i="1" s="1"/>
  <c r="E274" i="1"/>
  <c r="F274" i="1" s="1"/>
  <c r="G274" i="1" s="1"/>
  <c r="H274" i="1" s="1"/>
  <c r="E294" i="1"/>
  <c r="F294" i="1" s="1"/>
  <c r="G294" i="1" s="1"/>
  <c r="H294" i="1" s="1"/>
  <c r="E342" i="1"/>
  <c r="F342" i="1" s="1"/>
  <c r="G342" i="1" s="1"/>
  <c r="H342" i="1" s="1"/>
  <c r="E374" i="1"/>
  <c r="F374" i="1" s="1"/>
  <c r="G374" i="1" s="1"/>
  <c r="E371" i="1"/>
  <c r="F371" i="1" s="1"/>
  <c r="G371" i="1" s="1"/>
  <c r="H371" i="1" s="1"/>
  <c r="E302" i="1"/>
  <c r="F302" i="1" s="1"/>
  <c r="G302" i="1" s="1"/>
  <c r="H302" i="1" s="1"/>
  <c r="E55" i="1"/>
  <c r="F55" i="1" s="1"/>
  <c r="G55" i="1" s="1"/>
  <c r="H55" i="1" s="1"/>
  <c r="E263" i="1"/>
  <c r="F263" i="1" s="1"/>
  <c r="G263" i="1" s="1"/>
  <c r="H263" i="1" s="1"/>
  <c r="E465" i="1"/>
  <c r="F465" i="1" s="1"/>
  <c r="G465" i="1" s="1"/>
  <c r="H465" i="1" s="1"/>
  <c r="E445" i="1"/>
  <c r="F445" i="1" s="1"/>
  <c r="G445" i="1" s="1"/>
  <c r="H445" i="1" s="1"/>
  <c r="E489" i="1"/>
  <c r="F489" i="1" s="1"/>
  <c r="G489" i="1" s="1"/>
  <c r="H489" i="1" s="1"/>
  <c r="E286" i="1"/>
  <c r="F286" i="1" s="1"/>
  <c r="G286" i="1" s="1"/>
  <c r="H286" i="1" s="1"/>
  <c r="E334" i="1"/>
  <c r="F334" i="1" s="1"/>
  <c r="G334" i="1" s="1"/>
  <c r="H334" i="1" s="1"/>
  <c r="E136" i="1"/>
  <c r="F136" i="1" s="1"/>
  <c r="G136" i="1" s="1"/>
  <c r="H136" i="1" s="1"/>
  <c r="E421" i="1"/>
  <c r="F421" i="1" s="1"/>
  <c r="G421" i="1" s="1"/>
  <c r="H421" i="1" s="1"/>
  <c r="E151" i="1"/>
  <c r="F151" i="1" s="1"/>
  <c r="G151" i="1" s="1"/>
  <c r="H151" i="1" s="1"/>
  <c r="E247" i="1"/>
  <c r="F247" i="1" s="1"/>
  <c r="G247" i="1" s="1"/>
  <c r="H247" i="1" s="1"/>
  <c r="E224" i="1"/>
  <c r="F224" i="1" s="1"/>
  <c r="G224" i="1" s="1"/>
  <c r="H224" i="1" s="1"/>
  <c r="E432" i="1"/>
  <c r="F432" i="1" s="1"/>
  <c r="G432" i="1" s="1"/>
  <c r="H432" i="1" s="1"/>
  <c r="E325" i="1"/>
  <c r="F325" i="1" s="1"/>
  <c r="G325" i="1" s="1"/>
  <c r="H325" i="1" s="1"/>
  <c r="E306" i="1"/>
  <c r="F306" i="1" s="1"/>
  <c r="G306" i="1" s="1"/>
  <c r="H306" i="1" s="1"/>
  <c r="E366" i="1"/>
  <c r="F366" i="1" s="1"/>
  <c r="G366" i="1" s="1"/>
  <c r="H366" i="1" s="1"/>
  <c r="E333" i="1"/>
  <c r="F333" i="1" s="1"/>
  <c r="G333" i="1" s="1"/>
  <c r="H333" i="1" s="1"/>
  <c r="E437" i="1"/>
  <c r="F437" i="1" s="1"/>
  <c r="G437" i="1" s="1"/>
  <c r="E59" i="1"/>
  <c r="F59" i="1" s="1"/>
  <c r="G59" i="1" s="1"/>
  <c r="H59" i="1" s="1"/>
  <c r="E187" i="1"/>
  <c r="F187" i="1" s="1"/>
  <c r="G187" i="1" s="1"/>
  <c r="H187" i="1" s="1"/>
  <c r="E219" i="1"/>
  <c r="F219" i="1" s="1"/>
  <c r="E315" i="1"/>
  <c r="F315" i="1" s="1"/>
  <c r="G315" i="1" s="1"/>
  <c r="H315" i="1" s="1"/>
  <c r="E331" i="1"/>
  <c r="F331" i="1" s="1"/>
  <c r="G331" i="1" s="1"/>
  <c r="H331" i="1" s="1"/>
  <c r="E321" i="1"/>
  <c r="F321" i="1" s="1"/>
  <c r="G321" i="1" s="1"/>
  <c r="H321" i="1" s="1"/>
  <c r="E461" i="1"/>
  <c r="F461" i="1" s="1"/>
  <c r="G461" i="1" s="1"/>
  <c r="H461" i="1" s="1"/>
  <c r="E314" i="1"/>
  <c r="F314" i="1" s="1"/>
  <c r="G314" i="1" s="1"/>
  <c r="H314" i="1" s="1"/>
  <c r="E87" i="1"/>
  <c r="F87" i="1" s="1"/>
  <c r="G87" i="1" s="1"/>
  <c r="H87" i="1" s="1"/>
  <c r="E135" i="1"/>
  <c r="F135" i="1" s="1"/>
  <c r="G135" i="1" s="1"/>
  <c r="H135" i="1" s="1"/>
  <c r="E208" i="1"/>
  <c r="F208" i="1" s="1"/>
  <c r="G208" i="1" s="1"/>
  <c r="H208" i="1" s="1"/>
  <c r="E273" i="1"/>
  <c r="F273" i="1" s="1"/>
  <c r="G273" i="1" s="1"/>
  <c r="H273" i="1" s="1"/>
  <c r="E301" i="1"/>
  <c r="F301" i="1" s="1"/>
  <c r="G301" i="1" s="1"/>
  <c r="H301" i="1" s="1"/>
  <c r="E341" i="1"/>
  <c r="F341" i="1" s="1"/>
  <c r="G341" i="1" s="1"/>
  <c r="H341" i="1" s="1"/>
  <c r="E493" i="1"/>
  <c r="F493" i="1" s="1"/>
  <c r="G493" i="1" s="1"/>
  <c r="G339" i="1"/>
  <c r="H339" i="1" s="1"/>
  <c r="J339" i="1" s="1"/>
  <c r="E119" i="1"/>
  <c r="F119" i="1" s="1"/>
  <c r="G119" i="1" s="1"/>
  <c r="H119" i="1" s="1"/>
  <c r="E183" i="1"/>
  <c r="F183" i="1" s="1"/>
  <c r="E215" i="1"/>
  <c r="F215" i="1" s="1"/>
  <c r="G215" i="1" s="1"/>
  <c r="H215" i="1" s="1"/>
  <c r="E231" i="1"/>
  <c r="F231" i="1" s="1"/>
  <c r="G231" i="1" s="1"/>
  <c r="H231" i="1" s="1"/>
  <c r="E343" i="1"/>
  <c r="F343" i="1" s="1"/>
  <c r="G343" i="1" s="1"/>
  <c r="H343" i="1" s="1"/>
  <c r="E128" i="1"/>
  <c r="F128" i="1" s="1"/>
  <c r="G128" i="1" s="1"/>
  <c r="H128" i="1" s="1"/>
  <c r="E176" i="1"/>
  <c r="F176" i="1" s="1"/>
  <c r="E240" i="1"/>
  <c r="F240" i="1" s="1"/>
  <c r="G240" i="1" s="1"/>
  <c r="H240" i="1" s="1"/>
  <c r="E496" i="1"/>
  <c r="F496" i="1" s="1"/>
  <c r="G496" i="1" s="1"/>
  <c r="H496" i="1" s="1"/>
  <c r="E512" i="1"/>
  <c r="F512" i="1" s="1"/>
  <c r="G512" i="1" s="1"/>
  <c r="H512" i="1" s="1"/>
  <c r="E285" i="1"/>
  <c r="F285" i="1" s="1"/>
  <c r="G285" i="1" s="1"/>
  <c r="H285" i="1" s="1"/>
  <c r="E377" i="1"/>
  <c r="F377" i="1" s="1"/>
  <c r="G377" i="1" s="1"/>
  <c r="H377" i="1" s="1"/>
  <c r="E401" i="1"/>
  <c r="F401" i="1" s="1"/>
  <c r="G401" i="1" s="1"/>
  <c r="H401" i="1" s="1"/>
  <c r="E417" i="1"/>
  <c r="F417" i="1" s="1"/>
  <c r="G417" i="1" s="1"/>
  <c r="E505" i="1"/>
  <c r="F505" i="1" s="1"/>
  <c r="G505" i="1" s="1"/>
  <c r="E290" i="1"/>
  <c r="F290" i="1" s="1"/>
  <c r="G290" i="1" s="1"/>
  <c r="H290" i="1" s="1"/>
  <c r="E107" i="1"/>
  <c r="F107" i="1" s="1"/>
  <c r="G107" i="1" s="1"/>
  <c r="H107" i="1" s="1"/>
  <c r="E139" i="1"/>
  <c r="F139" i="1" s="1"/>
  <c r="G139" i="1" s="1"/>
  <c r="H139" i="1" s="1"/>
  <c r="E155" i="1"/>
  <c r="F155" i="1" s="1"/>
  <c r="G155" i="1" s="1"/>
  <c r="H155" i="1" s="1"/>
  <c r="E203" i="1"/>
  <c r="F203" i="1" s="1"/>
  <c r="E235" i="1"/>
  <c r="F235" i="1" s="1"/>
  <c r="G235" i="1" s="1"/>
  <c r="H235" i="1" s="1"/>
  <c r="E299" i="1"/>
  <c r="F299" i="1" s="1"/>
  <c r="G299" i="1" s="1"/>
  <c r="H299" i="1" s="1"/>
  <c r="E351" i="1"/>
  <c r="F351" i="1" s="1"/>
  <c r="G351" i="1" s="1"/>
  <c r="H351" i="1" s="1"/>
  <c r="E116" i="1"/>
  <c r="F116" i="1" s="1"/>
  <c r="G116" i="1" s="1"/>
  <c r="H116" i="1" s="1"/>
  <c r="E232" i="1"/>
  <c r="F232" i="1" s="1"/>
  <c r="G232" i="1" s="1"/>
  <c r="H232" i="1" s="1"/>
  <c r="E488" i="1"/>
  <c r="F488" i="1" s="1"/>
  <c r="G488" i="1" s="1"/>
  <c r="E293" i="1"/>
  <c r="F293" i="1" s="1"/>
  <c r="G293" i="1" s="1"/>
  <c r="E305" i="1"/>
  <c r="F305" i="1" s="1"/>
  <c r="E349" i="1"/>
  <c r="F349" i="1" s="1"/>
  <c r="G349" i="1" s="1"/>
  <c r="H349" i="1" s="1"/>
  <c r="E449" i="1"/>
  <c r="F449" i="1" s="1"/>
  <c r="G449" i="1" s="1"/>
  <c r="E473" i="1"/>
  <c r="F473" i="1" s="1"/>
  <c r="G473" i="1" s="1"/>
  <c r="H473" i="1" s="1"/>
  <c r="E362" i="1"/>
  <c r="F362" i="1" s="1"/>
  <c r="G362" i="1" s="1"/>
  <c r="H362" i="1" s="1"/>
  <c r="G211" i="1"/>
  <c r="H211" i="1" s="1"/>
  <c r="G367" i="1"/>
  <c r="H367" i="1" s="1"/>
  <c r="J83" i="1"/>
  <c r="J275" i="1"/>
  <c r="G47" i="1"/>
  <c r="H47" i="1" s="1"/>
  <c r="G175" i="1"/>
  <c r="H175" i="1" s="1"/>
  <c r="G378" i="1"/>
  <c r="H378" i="1" s="1"/>
  <c r="G410" i="1"/>
  <c r="H410" i="1" s="1"/>
  <c r="G442" i="1"/>
  <c r="H442" i="1" s="1"/>
  <c r="G474" i="1"/>
  <c r="H474" i="1" s="1"/>
  <c r="G506" i="1"/>
  <c r="H506" i="1" s="1"/>
  <c r="G430" i="1"/>
  <c r="H430" i="1" s="1"/>
  <c r="G478" i="1"/>
  <c r="H478" i="1" s="1"/>
  <c r="G406" i="1"/>
  <c r="H406" i="1" s="1"/>
  <c r="G486" i="1"/>
  <c r="H486" i="1" s="1"/>
  <c r="G127" i="1"/>
  <c r="H127" i="1" s="1"/>
  <c r="G360" i="1"/>
  <c r="H360" i="1" s="1"/>
  <c r="G431" i="1"/>
  <c r="H431" i="1" s="1"/>
  <c r="G495" i="1"/>
  <c r="H495" i="1" s="1"/>
  <c r="G131" i="1"/>
  <c r="H131" i="1" s="1"/>
  <c r="G307" i="1"/>
  <c r="H307" i="1" s="1"/>
  <c r="G403" i="1"/>
  <c r="H403" i="1" s="1"/>
  <c r="G467" i="1"/>
  <c r="H467" i="1" s="1"/>
  <c r="G191" i="1"/>
  <c r="H191" i="1" s="1"/>
  <c r="G375" i="1"/>
  <c r="H375" i="1" s="1"/>
  <c r="G439" i="1"/>
  <c r="H439" i="1" s="1"/>
  <c r="G503" i="1"/>
  <c r="H503" i="1" s="1"/>
  <c r="G379" i="1"/>
  <c r="H379" i="1" s="1"/>
  <c r="G411" i="1"/>
  <c r="H411" i="1" s="1"/>
  <c r="G287" i="1"/>
  <c r="H287" i="1" s="1"/>
  <c r="G323" i="1"/>
  <c r="H323" i="1" s="1"/>
  <c r="G491" i="1"/>
  <c r="H491" i="1" s="1"/>
  <c r="G194" i="1"/>
  <c r="H194" i="1" s="1"/>
  <c r="G303" i="1"/>
  <c r="H303" i="1" s="1"/>
  <c r="G79" i="1"/>
  <c r="H79" i="1" s="1"/>
  <c r="G207" i="1"/>
  <c r="H207" i="1" s="1"/>
  <c r="G335" i="1"/>
  <c r="H335" i="1" s="1"/>
  <c r="G386" i="1"/>
  <c r="H386" i="1" s="1"/>
  <c r="G418" i="1"/>
  <c r="H418" i="1" s="1"/>
  <c r="G450" i="1"/>
  <c r="H450" i="1" s="1"/>
  <c r="G482" i="1"/>
  <c r="H482" i="1" s="1"/>
  <c r="G514" i="1"/>
  <c r="H514" i="1" s="1"/>
  <c r="E43" i="1"/>
  <c r="F43" i="1" s="1"/>
  <c r="E75" i="1"/>
  <c r="F75" i="1" s="1"/>
  <c r="E91" i="1"/>
  <c r="F91" i="1" s="1"/>
  <c r="E123" i="1"/>
  <c r="F123" i="1" s="1"/>
  <c r="E171" i="1"/>
  <c r="F171" i="1" s="1"/>
  <c r="E251" i="1"/>
  <c r="F251" i="1" s="1"/>
  <c r="E267" i="1"/>
  <c r="F267" i="1" s="1"/>
  <c r="E283" i="1"/>
  <c r="F283" i="1" s="1"/>
  <c r="E152" i="1"/>
  <c r="F152" i="1" s="1"/>
  <c r="E168" i="1"/>
  <c r="F168" i="1" s="1"/>
  <c r="E184" i="1"/>
  <c r="F184" i="1" s="1"/>
  <c r="E200" i="1"/>
  <c r="F200" i="1" s="1"/>
  <c r="E216" i="1"/>
  <c r="F216" i="1" s="1"/>
  <c r="E404" i="1"/>
  <c r="F404" i="1" s="1"/>
  <c r="E440" i="1"/>
  <c r="F440" i="1" s="1"/>
  <c r="E460" i="1"/>
  <c r="F460" i="1" s="1"/>
  <c r="E476" i="1"/>
  <c r="F476" i="1" s="1"/>
  <c r="E504" i="1"/>
  <c r="F504" i="1" s="1"/>
  <c r="G373" i="1"/>
  <c r="H373" i="1" s="1"/>
  <c r="G438" i="1"/>
  <c r="H438" i="1" s="1"/>
  <c r="G494" i="1"/>
  <c r="H494" i="1" s="1"/>
  <c r="E277" i="1"/>
  <c r="F277" i="1" s="1"/>
  <c r="E361" i="1"/>
  <c r="F361" i="1" s="1"/>
  <c r="E381" i="1"/>
  <c r="F381" i="1" s="1"/>
  <c r="E393" i="1"/>
  <c r="F393" i="1" s="1"/>
  <c r="E409" i="1"/>
  <c r="F409" i="1" s="1"/>
  <c r="E485" i="1"/>
  <c r="F485" i="1" s="1"/>
  <c r="E497" i="1"/>
  <c r="F497" i="1" s="1"/>
  <c r="E513" i="1"/>
  <c r="F513" i="1" s="1"/>
  <c r="E282" i="1"/>
  <c r="F282" i="1" s="1"/>
  <c r="E298" i="1"/>
  <c r="F298" i="1" s="1"/>
  <c r="E330" i="1"/>
  <c r="F330" i="1" s="1"/>
  <c r="E346" i="1"/>
  <c r="F346" i="1" s="1"/>
  <c r="G369" i="1"/>
  <c r="H369" i="1" s="1"/>
  <c r="G422" i="1"/>
  <c r="H422" i="1" s="1"/>
  <c r="G510" i="1"/>
  <c r="H510" i="1" s="1"/>
  <c r="G163" i="1"/>
  <c r="H163" i="1" s="1"/>
  <c r="G383" i="1"/>
  <c r="H383" i="1" s="1"/>
  <c r="G447" i="1"/>
  <c r="H447" i="1" s="1"/>
  <c r="G511" i="1"/>
  <c r="H511" i="1" s="1"/>
  <c r="G179" i="1"/>
  <c r="H179" i="1" s="1"/>
  <c r="G344" i="1"/>
  <c r="H344" i="1" s="1"/>
  <c r="G419" i="1"/>
  <c r="H419" i="1" s="1"/>
  <c r="G483" i="1"/>
  <c r="H483" i="1" s="1"/>
  <c r="G63" i="1"/>
  <c r="H63" i="1" s="1"/>
  <c r="G227" i="1"/>
  <c r="H227" i="1" s="1"/>
  <c r="G391" i="1"/>
  <c r="H391" i="1" s="1"/>
  <c r="G455" i="1"/>
  <c r="H455" i="1" s="1"/>
  <c r="G443" i="1"/>
  <c r="H443" i="1" s="1"/>
  <c r="G475" i="1"/>
  <c r="H475" i="1" s="1"/>
  <c r="G395" i="1"/>
  <c r="H395" i="1" s="1"/>
  <c r="G427" i="1"/>
  <c r="H427" i="1" s="1"/>
  <c r="G111" i="1"/>
  <c r="H111" i="1" s="1"/>
  <c r="G239" i="1"/>
  <c r="H239" i="1" s="1"/>
  <c r="G352" i="1"/>
  <c r="H352" i="1" s="1"/>
  <c r="G426" i="1"/>
  <c r="H426" i="1" s="1"/>
  <c r="G458" i="1"/>
  <c r="H458" i="1" s="1"/>
  <c r="G490" i="1"/>
  <c r="H490" i="1" s="1"/>
  <c r="G398" i="1"/>
  <c r="H398" i="1" s="1"/>
  <c r="G454" i="1"/>
  <c r="H454" i="1" s="1"/>
  <c r="G502" i="1"/>
  <c r="H502" i="1" s="1"/>
  <c r="G382" i="1"/>
  <c r="H382" i="1" s="1"/>
  <c r="G446" i="1"/>
  <c r="H446" i="1" s="1"/>
  <c r="G255" i="1"/>
  <c r="H255" i="1" s="1"/>
  <c r="G399" i="1"/>
  <c r="H399" i="1" s="1"/>
  <c r="G463" i="1"/>
  <c r="H463" i="1" s="1"/>
  <c r="G51" i="1"/>
  <c r="H51" i="1" s="1"/>
  <c r="G223" i="1"/>
  <c r="H223" i="1" s="1"/>
  <c r="G363" i="1"/>
  <c r="H363" i="1" s="1"/>
  <c r="G435" i="1"/>
  <c r="H435" i="1" s="1"/>
  <c r="G499" i="1"/>
  <c r="H499" i="1" s="1"/>
  <c r="G99" i="1"/>
  <c r="H99" i="1" s="1"/>
  <c r="G319" i="1"/>
  <c r="H319" i="1" s="1"/>
  <c r="G407" i="1"/>
  <c r="H407" i="1" s="1"/>
  <c r="G471" i="1"/>
  <c r="H471" i="1" s="1"/>
  <c r="G67" i="1"/>
  <c r="H67" i="1" s="1"/>
  <c r="G507" i="1"/>
  <c r="H507" i="1" s="1"/>
  <c r="G459" i="1"/>
  <c r="H459" i="1" s="1"/>
  <c r="G195" i="1"/>
  <c r="H195" i="1" s="1"/>
  <c r="G355" i="1"/>
  <c r="H355" i="1" s="1"/>
  <c r="G394" i="1"/>
  <c r="H394" i="1" s="1"/>
  <c r="G143" i="1"/>
  <c r="H143" i="1" s="1"/>
  <c r="G271" i="1"/>
  <c r="H271" i="1" s="1"/>
  <c r="G368" i="1"/>
  <c r="H368" i="1" s="1"/>
  <c r="G402" i="1"/>
  <c r="H402" i="1" s="1"/>
  <c r="G434" i="1"/>
  <c r="H434" i="1" s="1"/>
  <c r="G466" i="1"/>
  <c r="H466" i="1" s="1"/>
  <c r="G498" i="1"/>
  <c r="H498" i="1" s="1"/>
  <c r="E71" i="1"/>
  <c r="F71" i="1" s="1"/>
  <c r="E103" i="1"/>
  <c r="F103" i="1" s="1"/>
  <c r="E167" i="1"/>
  <c r="F167" i="1" s="1"/>
  <c r="E199" i="1"/>
  <c r="F199" i="1" s="1"/>
  <c r="E279" i="1"/>
  <c r="F279" i="1" s="1"/>
  <c r="E295" i="1"/>
  <c r="F295" i="1" s="1"/>
  <c r="E311" i="1"/>
  <c r="F311" i="1" s="1"/>
  <c r="E327" i="1"/>
  <c r="F327" i="1" s="1"/>
  <c r="E359" i="1"/>
  <c r="F359" i="1" s="1"/>
  <c r="E80" i="1"/>
  <c r="F80" i="1" s="1"/>
  <c r="E144" i="1"/>
  <c r="F144" i="1" s="1"/>
  <c r="E160" i="1"/>
  <c r="F160" i="1" s="1"/>
  <c r="E192" i="1"/>
  <c r="F192" i="1" s="1"/>
  <c r="E452" i="1"/>
  <c r="F452" i="1" s="1"/>
  <c r="E468" i="1"/>
  <c r="F468" i="1" s="1"/>
  <c r="E480" i="1"/>
  <c r="F480" i="1" s="1"/>
  <c r="G414" i="1"/>
  <c r="H414" i="1" s="1"/>
  <c r="G470" i="1"/>
  <c r="H470" i="1" s="1"/>
  <c r="E313" i="1"/>
  <c r="F313" i="1" s="1"/>
  <c r="E357" i="1"/>
  <c r="F357" i="1" s="1"/>
  <c r="E389" i="1"/>
  <c r="F389" i="1" s="1"/>
  <c r="E429" i="1"/>
  <c r="F429" i="1" s="1"/>
  <c r="E441" i="1"/>
  <c r="F441" i="1" s="1"/>
  <c r="E453" i="1"/>
  <c r="F453" i="1" s="1"/>
  <c r="E481" i="1"/>
  <c r="F481" i="1" s="1"/>
  <c r="E278" i="1"/>
  <c r="F278" i="1" s="1"/>
  <c r="E322" i="1"/>
  <c r="F322" i="1" s="1"/>
  <c r="E338" i="1"/>
  <c r="F338" i="1" s="1"/>
  <c r="E354" i="1"/>
  <c r="F354" i="1" s="1"/>
  <c r="E370" i="1"/>
  <c r="F370" i="1" s="1"/>
  <c r="G390" i="1"/>
  <c r="H390" i="1" s="1"/>
  <c r="G462" i="1"/>
  <c r="H462" i="1" s="1"/>
  <c r="G291" i="1"/>
  <c r="H291" i="1" s="1"/>
  <c r="G415" i="1"/>
  <c r="H415" i="1" s="1"/>
  <c r="G479" i="1"/>
  <c r="H479" i="1" s="1"/>
  <c r="G95" i="1"/>
  <c r="H95" i="1" s="1"/>
  <c r="G259" i="1"/>
  <c r="H259" i="1" s="1"/>
  <c r="G387" i="1"/>
  <c r="H387" i="1" s="1"/>
  <c r="G451" i="1"/>
  <c r="H451" i="1" s="1"/>
  <c r="G515" i="1"/>
  <c r="H515" i="1" s="1"/>
  <c r="G147" i="1"/>
  <c r="H147" i="1" s="1"/>
  <c r="G347" i="1"/>
  <c r="H347" i="1" s="1"/>
  <c r="G423" i="1"/>
  <c r="H423" i="1" s="1"/>
  <c r="G487" i="1"/>
  <c r="H487" i="1" s="1"/>
  <c r="G243" i="1"/>
  <c r="H243" i="1" s="1"/>
  <c r="G159" i="1"/>
  <c r="H159" i="1" s="1"/>
  <c r="G115" i="1"/>
  <c r="H115" i="1" s="1"/>
  <c r="E33" i="1"/>
  <c r="F33" i="1" s="1"/>
  <c r="G33" i="1" s="1"/>
  <c r="E18" i="1"/>
  <c r="F18" i="1" s="1"/>
  <c r="G18" i="1" s="1"/>
  <c r="H18" i="1" s="1"/>
  <c r="E34" i="1"/>
  <c r="F34" i="1" s="1"/>
  <c r="G34" i="1" s="1"/>
  <c r="E31" i="1"/>
  <c r="F31" i="1" s="1"/>
  <c r="G31" i="1" s="1"/>
  <c r="E24" i="1"/>
  <c r="F24" i="1" s="1"/>
  <c r="E30" i="1"/>
  <c r="F30" i="1" s="1"/>
  <c r="G30" i="1" s="1"/>
  <c r="E22" i="1"/>
  <c r="F22" i="1" s="1"/>
  <c r="G22" i="1" s="1"/>
  <c r="H22" i="1" s="1"/>
  <c r="E19" i="1"/>
  <c r="F19" i="1" s="1"/>
  <c r="G19" i="1" s="1"/>
  <c r="E27" i="1"/>
  <c r="F27" i="1" s="1"/>
  <c r="G27" i="1" s="1"/>
  <c r="E29" i="1"/>
  <c r="F29" i="1" s="1"/>
  <c r="G29" i="1" s="1"/>
  <c r="E32" i="1"/>
  <c r="F32" i="1" s="1"/>
  <c r="G32" i="1" s="1"/>
  <c r="F21" i="1"/>
  <c r="F17" i="1"/>
  <c r="F20" i="1"/>
  <c r="G20" i="1" s="1"/>
  <c r="F25" i="1"/>
  <c r="G25" i="1" s="1"/>
  <c r="F35" i="1"/>
  <c r="F28" i="1"/>
  <c r="G28" i="1" s="1"/>
  <c r="F26" i="1"/>
  <c r="F23" i="1"/>
  <c r="G23" i="1" s="1"/>
  <c r="S3" i="1"/>
  <c r="Q5" i="1"/>
  <c r="S5" i="1" s="1"/>
  <c r="R5" i="1"/>
  <c r="S4" i="1"/>
  <c r="R4" i="1"/>
  <c r="V19" i="1"/>
  <c r="H417" i="1" l="1"/>
  <c r="J417" i="1" s="1"/>
  <c r="H73" i="1"/>
  <c r="J73" i="1" s="1"/>
  <c r="H281" i="1"/>
  <c r="J281" i="1" s="1"/>
  <c r="H165" i="1"/>
  <c r="J165" i="1" s="1"/>
  <c r="H374" i="1"/>
  <c r="J374" i="1" s="1"/>
  <c r="G219" i="1"/>
  <c r="H219" i="1" s="1"/>
  <c r="J219" i="1" s="1"/>
  <c r="H437" i="1"/>
  <c r="J437" i="1" s="1"/>
  <c r="H493" i="1"/>
  <c r="J493" i="1" s="1"/>
  <c r="G305" i="1"/>
  <c r="H305" i="1" s="1"/>
  <c r="J305" i="1" s="1"/>
  <c r="G203" i="1"/>
  <c r="H203" i="1" s="1"/>
  <c r="J203" i="1" s="1"/>
  <c r="H505" i="1"/>
  <c r="J505" i="1" s="1"/>
  <c r="H293" i="1"/>
  <c r="J293" i="1" s="1"/>
  <c r="G176" i="1"/>
  <c r="H176" i="1" s="1"/>
  <c r="J176" i="1" s="1"/>
  <c r="G183" i="1"/>
  <c r="H183" i="1" s="1"/>
  <c r="J183" i="1" s="1"/>
  <c r="H488" i="1"/>
  <c r="J488" i="1" s="1"/>
  <c r="H449" i="1"/>
  <c r="J449" i="1" s="1"/>
  <c r="J347" i="1"/>
  <c r="J285" i="1"/>
  <c r="J240" i="1"/>
  <c r="J343" i="1"/>
  <c r="J215" i="1"/>
  <c r="J38" i="1"/>
  <c r="J173" i="1"/>
  <c r="J319" i="1"/>
  <c r="J342" i="1"/>
  <c r="J446" i="1"/>
  <c r="J412" i="1"/>
  <c r="J288" i="1"/>
  <c r="J76" i="1"/>
  <c r="J46" i="1"/>
  <c r="J157" i="1"/>
  <c r="J163" i="1"/>
  <c r="J461" i="1"/>
  <c r="J351" i="1"/>
  <c r="J386" i="1"/>
  <c r="J122" i="1"/>
  <c r="J487" i="1"/>
  <c r="J147" i="1"/>
  <c r="J95" i="1"/>
  <c r="J390" i="1"/>
  <c r="J273" i="1"/>
  <c r="J512" i="1"/>
  <c r="J224" i="1"/>
  <c r="J128" i="1"/>
  <c r="J263" i="1"/>
  <c r="J151" i="1"/>
  <c r="J434" i="1"/>
  <c r="J85" i="1"/>
  <c r="J471" i="1"/>
  <c r="J99" i="1"/>
  <c r="J345" i="1"/>
  <c r="J382" i="1"/>
  <c r="J280" i="1"/>
  <c r="J256" i="1"/>
  <c r="J188" i="1"/>
  <c r="J112" i="1"/>
  <c r="J126" i="1"/>
  <c r="J261" i="1"/>
  <c r="J189" i="1"/>
  <c r="J141" i="1"/>
  <c r="J344" i="1"/>
  <c r="J314" i="1"/>
  <c r="J116" i="1"/>
  <c r="J331" i="1"/>
  <c r="J139" i="1"/>
  <c r="J450" i="1"/>
  <c r="J335" i="1"/>
  <c r="J258" i="1"/>
  <c r="J58" i="1"/>
  <c r="J161" i="1"/>
  <c r="J49" i="1"/>
  <c r="J307" i="1"/>
  <c r="J334" i="1"/>
  <c r="J445" i="1"/>
  <c r="J436" i="1"/>
  <c r="J408" i="1"/>
  <c r="J380" i="1"/>
  <c r="J292" i="1"/>
  <c r="J268" i="1"/>
  <c r="J120" i="1"/>
  <c r="J92" i="1"/>
  <c r="J430" i="1"/>
  <c r="J378" i="1"/>
  <c r="J50" i="1"/>
  <c r="J241" i="1"/>
  <c r="J65" i="1"/>
  <c r="J515" i="1"/>
  <c r="J459" i="1"/>
  <c r="J508" i="1"/>
  <c r="J398" i="1"/>
  <c r="J145" i="1"/>
  <c r="J360" i="1"/>
  <c r="J484" i="1"/>
  <c r="J424" i="1"/>
  <c r="J372" i="1"/>
  <c r="J284" i="1"/>
  <c r="J108" i="1"/>
  <c r="J64" i="1"/>
  <c r="J40" i="1"/>
  <c r="J250" i="1"/>
  <c r="J114" i="1"/>
  <c r="J265" i="1"/>
  <c r="J57" i="1"/>
  <c r="J479" i="1"/>
  <c r="J306" i="1"/>
  <c r="J496" i="1"/>
  <c r="J247" i="1"/>
  <c r="J135" i="1"/>
  <c r="J402" i="1"/>
  <c r="J397" i="1"/>
  <c r="J329" i="1"/>
  <c r="J272" i="1"/>
  <c r="J140" i="1"/>
  <c r="J111" i="1"/>
  <c r="J110" i="1"/>
  <c r="J133" i="1"/>
  <c r="J483" i="1"/>
  <c r="J179" i="1"/>
  <c r="J373" i="1"/>
  <c r="J232" i="1"/>
  <c r="J315" i="1"/>
  <c r="J131" i="1"/>
  <c r="J425" i="1"/>
  <c r="J396" i="1"/>
  <c r="J290" i="1"/>
  <c r="J301" i="1"/>
  <c r="J231" i="1"/>
  <c r="J143" i="1"/>
  <c r="J54" i="1"/>
  <c r="J229" i="1"/>
  <c r="J507" i="1"/>
  <c r="J255" i="1"/>
  <c r="J274" i="1"/>
  <c r="J309" i="1"/>
  <c r="J492" i="1"/>
  <c r="J420" i="1"/>
  <c r="J348" i="1"/>
  <c r="J60" i="1"/>
  <c r="J490" i="1"/>
  <c r="J352" i="1"/>
  <c r="J62" i="1"/>
  <c r="J37" i="1"/>
  <c r="J227" i="1"/>
  <c r="J511" i="1"/>
  <c r="J422" i="1"/>
  <c r="J473" i="1"/>
  <c r="J299" i="1"/>
  <c r="J59" i="1"/>
  <c r="J495" i="1"/>
  <c r="J405" i="1"/>
  <c r="J486" i="1"/>
  <c r="J464" i="1"/>
  <c r="J56" i="1"/>
  <c r="J178" i="1"/>
  <c r="J98" i="1"/>
  <c r="J115" i="1"/>
  <c r="J377" i="1"/>
  <c r="J414" i="1"/>
  <c r="J118" i="1"/>
  <c r="J67" i="1"/>
  <c r="J223" i="1"/>
  <c r="J472" i="1"/>
  <c r="J204" i="1"/>
  <c r="J458" i="1"/>
  <c r="J197" i="1"/>
  <c r="J455" i="1"/>
  <c r="J369" i="1"/>
  <c r="J136" i="1"/>
  <c r="J155" i="1"/>
  <c r="J266" i="1"/>
  <c r="J209" i="1"/>
  <c r="J191" i="1"/>
  <c r="J302" i="1"/>
  <c r="J385" i="1"/>
  <c r="J448" i="1"/>
  <c r="J164" i="1"/>
  <c r="J410" i="1"/>
  <c r="J90" i="1"/>
  <c r="J153" i="1"/>
  <c r="J423" i="1"/>
  <c r="G322" i="1"/>
  <c r="H322" i="1" s="1"/>
  <c r="J465" i="1"/>
  <c r="G313" i="1"/>
  <c r="H313" i="1" s="1"/>
  <c r="G468" i="1"/>
  <c r="H468" i="1" s="1"/>
  <c r="J208" i="1"/>
  <c r="G167" i="1"/>
  <c r="H167" i="1" s="1"/>
  <c r="J55" i="1"/>
  <c r="J159" i="1"/>
  <c r="J462" i="1"/>
  <c r="G370" i="1"/>
  <c r="H370" i="1" s="1"/>
  <c r="G278" i="1"/>
  <c r="H278" i="1" s="1"/>
  <c r="G453" i="1"/>
  <c r="H453" i="1" s="1"/>
  <c r="G452" i="1"/>
  <c r="H452" i="1" s="1"/>
  <c r="G160" i="1"/>
  <c r="H160" i="1" s="1"/>
  <c r="G80" i="1"/>
  <c r="H80" i="1" s="1"/>
  <c r="G327" i="1"/>
  <c r="H327" i="1" s="1"/>
  <c r="G199" i="1"/>
  <c r="H199" i="1" s="1"/>
  <c r="J466" i="1"/>
  <c r="J394" i="1"/>
  <c r="J254" i="1"/>
  <c r="J149" i="1"/>
  <c r="J355" i="1"/>
  <c r="J463" i="1"/>
  <c r="J326" i="1"/>
  <c r="J294" i="1"/>
  <c r="J501" i="1"/>
  <c r="J413" i="1"/>
  <c r="J365" i="1"/>
  <c r="J289" i="1"/>
  <c r="J444" i="1"/>
  <c r="J400" i="1"/>
  <c r="J384" i="1"/>
  <c r="J364" i="1"/>
  <c r="J44" i="1"/>
  <c r="J246" i="1"/>
  <c r="J237" i="1"/>
  <c r="J181" i="1"/>
  <c r="J101" i="1"/>
  <c r="G513" i="1"/>
  <c r="H513" i="1" s="1"/>
  <c r="G361" i="1"/>
  <c r="H361" i="1" s="1"/>
  <c r="G404" i="1"/>
  <c r="H404" i="1" s="1"/>
  <c r="G200" i="1"/>
  <c r="H200" i="1" s="1"/>
  <c r="G251" i="1"/>
  <c r="H251" i="1" s="1"/>
  <c r="J482" i="1"/>
  <c r="J418" i="1"/>
  <c r="J79" i="1"/>
  <c r="J170" i="1"/>
  <c r="J106" i="1"/>
  <c r="J177" i="1"/>
  <c r="J491" i="1"/>
  <c r="J318" i="1"/>
  <c r="J286" i="1"/>
  <c r="J353" i="1"/>
  <c r="J317" i="1"/>
  <c r="J406" i="1"/>
  <c r="J500" i="1"/>
  <c r="J416" i="1"/>
  <c r="J356" i="1"/>
  <c r="J252" i="1"/>
  <c r="J196" i="1"/>
  <c r="J132" i="1"/>
  <c r="J72" i="1"/>
  <c r="J474" i="1"/>
  <c r="J175" i="1"/>
  <c r="J201" i="1"/>
  <c r="J137" i="1"/>
  <c r="J97" i="1"/>
  <c r="J41" i="1"/>
  <c r="J367" i="1"/>
  <c r="J415" i="1"/>
  <c r="G441" i="1"/>
  <c r="H441" i="1" s="1"/>
  <c r="J432" i="1"/>
  <c r="G144" i="1"/>
  <c r="H144" i="1" s="1"/>
  <c r="G311" i="1"/>
  <c r="H311" i="1" s="1"/>
  <c r="J119" i="1"/>
  <c r="G71" i="1"/>
  <c r="H71" i="1" s="1"/>
  <c r="J39" i="1"/>
  <c r="J271" i="1"/>
  <c r="J214" i="1"/>
  <c r="J190" i="1"/>
  <c r="J150" i="1"/>
  <c r="J86" i="1"/>
  <c r="J253" i="1"/>
  <c r="J221" i="1"/>
  <c r="J93" i="1"/>
  <c r="J69" i="1"/>
  <c r="J407" i="1"/>
  <c r="J435" i="1"/>
  <c r="J358" i="1"/>
  <c r="J457" i="1"/>
  <c r="J336" i="1"/>
  <c r="J320" i="1"/>
  <c r="J304" i="1"/>
  <c r="J236" i="1"/>
  <c r="J172" i="1"/>
  <c r="J96" i="1"/>
  <c r="J502" i="1"/>
  <c r="J222" i="1"/>
  <c r="J182" i="1"/>
  <c r="J158" i="1"/>
  <c r="J94" i="1"/>
  <c r="J117" i="1"/>
  <c r="J395" i="1"/>
  <c r="J443" i="1"/>
  <c r="J391" i="1"/>
  <c r="J63" i="1"/>
  <c r="J419" i="1"/>
  <c r="J447" i="1"/>
  <c r="J362" i="1"/>
  <c r="G497" i="1"/>
  <c r="H497" i="1" s="1"/>
  <c r="G409" i="1"/>
  <c r="H409" i="1" s="1"/>
  <c r="J349" i="1"/>
  <c r="J321" i="1"/>
  <c r="J494" i="1"/>
  <c r="G476" i="1"/>
  <c r="H476" i="1" s="1"/>
  <c r="G184" i="1"/>
  <c r="H184" i="1" s="1"/>
  <c r="J371" i="1"/>
  <c r="J235" i="1"/>
  <c r="G171" i="1"/>
  <c r="H171" i="1" s="1"/>
  <c r="G91" i="1"/>
  <c r="H91" i="1" s="1"/>
  <c r="G43" i="1"/>
  <c r="H43" i="1" s="1"/>
  <c r="J242" i="1"/>
  <c r="J210" i="1"/>
  <c r="J130" i="1"/>
  <c r="J249" i="1"/>
  <c r="J113" i="1"/>
  <c r="J89" i="1"/>
  <c r="J287" i="1"/>
  <c r="J379" i="1"/>
  <c r="J439" i="1"/>
  <c r="J403" i="1"/>
  <c r="J431" i="1"/>
  <c r="J127" i="1"/>
  <c r="J350" i="1"/>
  <c r="J489" i="1"/>
  <c r="J332" i="1"/>
  <c r="J316" i="1"/>
  <c r="J300" i="1"/>
  <c r="J228" i="1"/>
  <c r="J218" i="1"/>
  <c r="J186" i="1"/>
  <c r="J162" i="1"/>
  <c r="J138" i="1"/>
  <c r="J74" i="1"/>
  <c r="J257" i="1"/>
  <c r="J225" i="1"/>
  <c r="J169" i="1"/>
  <c r="J387" i="1"/>
  <c r="G354" i="1"/>
  <c r="H354" i="1" s="1"/>
  <c r="G481" i="1"/>
  <c r="H481" i="1" s="1"/>
  <c r="J401" i="1"/>
  <c r="J325" i="1"/>
  <c r="G192" i="1"/>
  <c r="H192" i="1" s="1"/>
  <c r="G359" i="1"/>
  <c r="H359" i="1" s="1"/>
  <c r="J243" i="1"/>
  <c r="J259" i="1"/>
  <c r="G338" i="1"/>
  <c r="H338" i="1" s="1"/>
  <c r="G429" i="1"/>
  <c r="H429" i="1" s="1"/>
  <c r="G357" i="1"/>
  <c r="H357" i="1" s="1"/>
  <c r="J470" i="1"/>
  <c r="G480" i="1"/>
  <c r="H480" i="1" s="1"/>
  <c r="G295" i="1"/>
  <c r="H295" i="1" s="1"/>
  <c r="G103" i="1"/>
  <c r="H103" i="1" s="1"/>
  <c r="J368" i="1"/>
  <c r="J270" i="1"/>
  <c r="J205" i="1"/>
  <c r="J45" i="1"/>
  <c r="J195" i="1"/>
  <c r="J499" i="1"/>
  <c r="J363" i="1"/>
  <c r="J310" i="1"/>
  <c r="J433" i="1"/>
  <c r="J269" i="1"/>
  <c r="J456" i="1"/>
  <c r="J428" i="1"/>
  <c r="J392" i="1"/>
  <c r="J376" i="1"/>
  <c r="J248" i="1"/>
  <c r="J220" i="1"/>
  <c r="J156" i="1"/>
  <c r="J124" i="1"/>
  <c r="J88" i="1"/>
  <c r="J68" i="1"/>
  <c r="J52" i="1"/>
  <c r="J36" i="1"/>
  <c r="J454" i="1"/>
  <c r="J426" i="1"/>
  <c r="J239" i="1"/>
  <c r="J262" i="1"/>
  <c r="J213" i="1"/>
  <c r="J61" i="1"/>
  <c r="J475" i="1"/>
  <c r="G346" i="1"/>
  <c r="H346" i="1" s="1"/>
  <c r="G298" i="1"/>
  <c r="H298" i="1" s="1"/>
  <c r="G485" i="1"/>
  <c r="H485" i="1" s="1"/>
  <c r="G393" i="1"/>
  <c r="H393" i="1" s="1"/>
  <c r="J438" i="1"/>
  <c r="G504" i="1"/>
  <c r="H504" i="1" s="1"/>
  <c r="G460" i="1"/>
  <c r="H460" i="1" s="1"/>
  <c r="G168" i="1"/>
  <c r="H168" i="1" s="1"/>
  <c r="G283" i="1"/>
  <c r="H283" i="1" s="1"/>
  <c r="G123" i="1"/>
  <c r="H123" i="1" s="1"/>
  <c r="G75" i="1"/>
  <c r="H75" i="1" s="1"/>
  <c r="J207" i="1"/>
  <c r="J303" i="1"/>
  <c r="J226" i="1"/>
  <c r="J42" i="1"/>
  <c r="J233" i="1"/>
  <c r="J193" i="1"/>
  <c r="J129" i="1"/>
  <c r="J105" i="1"/>
  <c r="J53" i="1"/>
  <c r="J323" i="1"/>
  <c r="J503" i="1"/>
  <c r="J467" i="1"/>
  <c r="J509" i="1"/>
  <c r="J337" i="1"/>
  <c r="J297" i="1"/>
  <c r="J516" i="1"/>
  <c r="J388" i="1"/>
  <c r="J276" i="1"/>
  <c r="J212" i="1"/>
  <c r="J180" i="1"/>
  <c r="J148" i="1"/>
  <c r="J84" i="1"/>
  <c r="J48" i="1"/>
  <c r="J478" i="1"/>
  <c r="J442" i="1"/>
  <c r="J185" i="1"/>
  <c r="J81" i="1"/>
  <c r="J77" i="1"/>
  <c r="J211" i="1"/>
  <c r="J451" i="1"/>
  <c r="J291" i="1"/>
  <c r="G389" i="1"/>
  <c r="H389" i="1" s="1"/>
  <c r="J341" i="1"/>
  <c r="G279" i="1"/>
  <c r="H279" i="1" s="1"/>
  <c r="J87" i="1"/>
  <c r="J498" i="1"/>
  <c r="J238" i="1"/>
  <c r="J206" i="1"/>
  <c r="J166" i="1"/>
  <c r="J134" i="1"/>
  <c r="J102" i="1"/>
  <c r="J70" i="1"/>
  <c r="J125" i="1"/>
  <c r="J51" i="1"/>
  <c r="J399" i="1"/>
  <c r="J477" i="1"/>
  <c r="J328" i="1"/>
  <c r="J312" i="1"/>
  <c r="J296" i="1"/>
  <c r="J264" i="1"/>
  <c r="J104" i="1"/>
  <c r="J230" i="1"/>
  <c r="J198" i="1"/>
  <c r="J174" i="1"/>
  <c r="J142" i="1"/>
  <c r="J78" i="1"/>
  <c r="J245" i="1"/>
  <c r="J109" i="1"/>
  <c r="J427" i="1"/>
  <c r="J383" i="1"/>
  <c r="J510" i="1"/>
  <c r="G330" i="1"/>
  <c r="H330" i="1" s="1"/>
  <c r="G282" i="1"/>
  <c r="H282" i="1" s="1"/>
  <c r="J421" i="1"/>
  <c r="G381" i="1"/>
  <c r="H381" i="1" s="1"/>
  <c r="J333" i="1"/>
  <c r="G277" i="1"/>
  <c r="H277" i="1" s="1"/>
  <c r="G440" i="1"/>
  <c r="H440" i="1" s="1"/>
  <c r="G216" i="1"/>
  <c r="H216" i="1" s="1"/>
  <c r="G152" i="1"/>
  <c r="H152" i="1" s="1"/>
  <c r="G267" i="1"/>
  <c r="H267" i="1" s="1"/>
  <c r="J187" i="1"/>
  <c r="J107" i="1"/>
  <c r="J514" i="1"/>
  <c r="J194" i="1"/>
  <c r="J146" i="1"/>
  <c r="J82" i="1"/>
  <c r="J411" i="1"/>
  <c r="J375" i="1"/>
  <c r="J366" i="1"/>
  <c r="J469" i="1"/>
  <c r="J340" i="1"/>
  <c r="J324" i="1"/>
  <c r="J308" i="1"/>
  <c r="J260" i="1"/>
  <c r="J244" i="1"/>
  <c r="J100" i="1"/>
  <c r="J506" i="1"/>
  <c r="J47" i="1"/>
  <c r="J234" i="1"/>
  <c r="J202" i="1"/>
  <c r="J154" i="1"/>
  <c r="J66" i="1"/>
  <c r="J217" i="1"/>
  <c r="J121" i="1"/>
  <c r="G35" i="1"/>
  <c r="H35" i="1" s="1"/>
  <c r="H20" i="1"/>
  <c r="G21" i="1"/>
  <c r="H21" i="1" s="1"/>
  <c r="G24" i="1"/>
  <c r="H24" i="1" s="1"/>
  <c r="G17" i="1"/>
  <c r="H17" i="1" s="1"/>
  <c r="H23" i="1"/>
  <c r="H28" i="1"/>
  <c r="H25" i="1"/>
  <c r="G26" i="1"/>
  <c r="J22" i="1"/>
  <c r="H32" i="1"/>
  <c r="H27" i="1"/>
  <c r="J18" i="1"/>
  <c r="H29" i="1"/>
  <c r="H31" i="1"/>
  <c r="H30" i="1"/>
  <c r="H19" i="1"/>
  <c r="H34" i="1"/>
  <c r="H33" i="1"/>
  <c r="W16" i="1"/>
  <c r="W17" i="1" s="1"/>
  <c r="W18" i="1" s="1"/>
  <c r="W19" i="1" s="1"/>
  <c r="V20" i="1" l="1"/>
  <c r="S20" i="1"/>
  <c r="J279" i="1"/>
  <c r="J123" i="1"/>
  <c r="J152" i="1"/>
  <c r="J440" i="1"/>
  <c r="J277" i="1"/>
  <c r="J282" i="1"/>
  <c r="J75" i="1"/>
  <c r="J460" i="1"/>
  <c r="J103" i="1"/>
  <c r="J480" i="1"/>
  <c r="J357" i="1"/>
  <c r="J338" i="1"/>
  <c r="J192" i="1"/>
  <c r="J91" i="1"/>
  <c r="J476" i="1"/>
  <c r="J311" i="1"/>
  <c r="J251" i="1"/>
  <c r="J404" i="1"/>
  <c r="J513" i="1"/>
  <c r="J199" i="1"/>
  <c r="J80" i="1"/>
  <c r="J452" i="1"/>
  <c r="J278" i="1"/>
  <c r="J468" i="1"/>
  <c r="J346" i="1"/>
  <c r="J283" i="1"/>
  <c r="J485" i="1"/>
  <c r="J267" i="1"/>
  <c r="J216" i="1"/>
  <c r="J381" i="1"/>
  <c r="J330" i="1"/>
  <c r="J389" i="1"/>
  <c r="J168" i="1"/>
  <c r="J504" i="1"/>
  <c r="J393" i="1"/>
  <c r="J298" i="1"/>
  <c r="J295" i="1"/>
  <c r="J429" i="1"/>
  <c r="J359" i="1"/>
  <c r="J171" i="1"/>
  <c r="J184" i="1"/>
  <c r="J409" i="1"/>
  <c r="J497" i="1"/>
  <c r="J71" i="1"/>
  <c r="J144" i="1"/>
  <c r="J441" i="1"/>
  <c r="J200" i="1"/>
  <c r="J361" i="1"/>
  <c r="J327" i="1"/>
  <c r="J160" i="1"/>
  <c r="J167" i="1"/>
  <c r="J313" i="1"/>
  <c r="J322" i="1"/>
  <c r="J481" i="1"/>
  <c r="J354" i="1"/>
  <c r="J43" i="1"/>
  <c r="J453" i="1"/>
  <c r="J370" i="1"/>
  <c r="J29" i="1"/>
  <c r="J23" i="1"/>
  <c r="J35" i="1"/>
  <c r="J24" i="1"/>
  <c r="J34" i="1"/>
  <c r="J20" i="1"/>
  <c r="J19" i="1"/>
  <c r="J30" i="1"/>
  <c r="J27" i="1"/>
  <c r="J25" i="1"/>
  <c r="J33" i="1"/>
  <c r="J31" i="1"/>
  <c r="J32" i="1"/>
  <c r="J28" i="1"/>
  <c r="J21" i="1"/>
  <c r="J17" i="1"/>
  <c r="R17" i="1" s="1"/>
  <c r="H26" i="1"/>
  <c r="X16" i="1"/>
  <c r="X18" i="1"/>
  <c r="Y18" i="1" s="1"/>
  <c r="X17" i="1"/>
  <c r="Y17" i="1" s="1"/>
  <c r="W20" i="1"/>
  <c r="X19" i="1"/>
  <c r="Y19" i="1" s="1"/>
  <c r="V21" i="1" l="1"/>
  <c r="W21" i="1" s="1"/>
  <c r="S21" i="1"/>
  <c r="K17" i="1"/>
  <c r="S19" i="1"/>
  <c r="Y16" i="1"/>
  <c r="J26" i="1"/>
  <c r="X20" i="1"/>
  <c r="Y20" i="1" s="1"/>
  <c r="V22" i="1"/>
  <c r="L17" i="1" l="1"/>
  <c r="M17" i="1" s="1"/>
  <c r="N17" i="1"/>
  <c r="P17" i="1" s="1"/>
  <c r="T17" i="1"/>
  <c r="W22" i="1"/>
  <c r="X21" i="1"/>
  <c r="Y21" i="1" s="1"/>
  <c r="R18" i="1" l="1"/>
  <c r="V23" i="1"/>
  <c r="S23" i="1"/>
  <c r="O17" i="1"/>
  <c r="K18" i="1"/>
  <c r="L18" i="1" s="1"/>
  <c r="M18" i="1" s="1"/>
  <c r="W23" i="1"/>
  <c r="X22" i="1"/>
  <c r="Y22" i="1" s="1"/>
  <c r="V24" i="1" l="1"/>
  <c r="W24" i="1" s="1"/>
  <c r="S24" i="1"/>
  <c r="N18" i="1"/>
  <c r="T18" i="1"/>
  <c r="S22" i="1"/>
  <c r="X23" i="1"/>
  <c r="Y23" i="1" s="1"/>
  <c r="V25" i="1"/>
  <c r="R19" i="1" l="1"/>
  <c r="P18" i="1"/>
  <c r="K19" i="1"/>
  <c r="N19" i="1" s="1"/>
  <c r="O18" i="1"/>
  <c r="W25" i="1"/>
  <c r="X24" i="1"/>
  <c r="Y24" i="1" s="1"/>
  <c r="R20" i="1" l="1"/>
  <c r="P19" i="1"/>
  <c r="V26" i="1"/>
  <c r="W26" i="1" s="1"/>
  <c r="S26" i="1"/>
  <c r="L19" i="1"/>
  <c r="M19" i="1" s="1"/>
  <c r="O19" i="1"/>
  <c r="T19" i="1"/>
  <c r="K20" i="1"/>
  <c r="L20" i="1" s="1"/>
  <c r="X25" i="1"/>
  <c r="Y25" i="1" s="1"/>
  <c r="V27" i="1" l="1"/>
  <c r="W27" i="1" s="1"/>
  <c r="S27" i="1"/>
  <c r="N20" i="1"/>
  <c r="M20" i="1"/>
  <c r="S25" i="1"/>
  <c r="X26" i="1"/>
  <c r="Y26" i="1" s="1"/>
  <c r="V28" i="1"/>
  <c r="R21" i="1" l="1"/>
  <c r="P20" i="1"/>
  <c r="O20" i="1"/>
  <c r="T20" i="1"/>
  <c r="K21" i="1"/>
  <c r="W28" i="1"/>
  <c r="X27" i="1"/>
  <c r="Y27" i="1" s="1"/>
  <c r="V29" i="1" l="1"/>
  <c r="W29" i="1" s="1"/>
  <c r="S29" i="1"/>
  <c r="L21" i="1"/>
  <c r="M21" i="1" s="1"/>
  <c r="N21" i="1"/>
  <c r="X28" i="1"/>
  <c r="Y28" i="1" s="1"/>
  <c r="R22" i="1" l="1"/>
  <c r="P21" i="1"/>
  <c r="V30" i="1"/>
  <c r="W30" i="1" s="1"/>
  <c r="S30" i="1"/>
  <c r="O21" i="1"/>
  <c r="T21" i="1"/>
  <c r="S28" i="1"/>
  <c r="K22" i="1"/>
  <c r="X29" i="1"/>
  <c r="Y29" i="1" s="1"/>
  <c r="V31" i="1"/>
  <c r="N22" i="1" l="1"/>
  <c r="L22" i="1"/>
  <c r="M22" i="1" s="1"/>
  <c r="W31" i="1"/>
  <c r="X30" i="1"/>
  <c r="Y30" i="1" s="1"/>
  <c r="R23" i="1" l="1"/>
  <c r="P22" i="1"/>
  <c r="V32" i="1"/>
  <c r="W32" i="1" s="1"/>
  <c r="S32" i="1"/>
  <c r="O22" i="1"/>
  <c r="T22" i="1"/>
  <c r="K23" i="1"/>
  <c r="N23" i="1" s="1"/>
  <c r="X31" i="1"/>
  <c r="Y31" i="1" s="1"/>
  <c r="R24" i="1" l="1"/>
  <c r="P23" i="1"/>
  <c r="V33" i="1"/>
  <c r="W33" i="1" s="1"/>
  <c r="S33" i="1"/>
  <c r="L23" i="1"/>
  <c r="M23" i="1" s="1"/>
  <c r="S31" i="1"/>
  <c r="X32" i="1"/>
  <c r="Y32" i="1" s="1"/>
  <c r="V34" i="1"/>
  <c r="O23" i="1" l="1"/>
  <c r="T23" i="1"/>
  <c r="K24" i="1"/>
  <c r="W34" i="1"/>
  <c r="X33" i="1"/>
  <c r="Y33" i="1" s="1"/>
  <c r="S35" i="1" l="1"/>
  <c r="L24" i="1"/>
  <c r="M24" i="1" s="1"/>
  <c r="N24" i="1"/>
  <c r="V35" i="1"/>
  <c r="X34" i="1"/>
  <c r="Y34" i="1" s="1"/>
  <c r="R25" i="1" l="1"/>
  <c r="P24" i="1"/>
  <c r="S36" i="1"/>
  <c r="V36" i="1"/>
  <c r="O24" i="1"/>
  <c r="T24" i="1"/>
  <c r="S34" i="1"/>
  <c r="K25" i="1"/>
  <c r="L25" i="1" s="1"/>
  <c r="M25" i="1" s="1"/>
  <c r="W35" i="1"/>
  <c r="V37" i="1" l="1"/>
  <c r="N25" i="1"/>
  <c r="X35" i="1"/>
  <c r="Y35" i="1" s="1"/>
  <c r="W36" i="1"/>
  <c r="R26" i="1" l="1"/>
  <c r="P25" i="1"/>
  <c r="S38" i="1"/>
  <c r="V38" i="1"/>
  <c r="O25" i="1"/>
  <c r="T25" i="1"/>
  <c r="W37" i="1"/>
  <c r="X36" i="1"/>
  <c r="Y36" i="1" s="1"/>
  <c r="K26" i="1"/>
  <c r="L26" i="1" s="1"/>
  <c r="M26" i="1" s="1"/>
  <c r="V39" i="1" l="1"/>
  <c r="S39" i="1"/>
  <c r="N26" i="1"/>
  <c r="W38" i="1"/>
  <c r="X37" i="1"/>
  <c r="Y37" i="1" s="1"/>
  <c r="R27" i="1" l="1"/>
  <c r="P26" i="1"/>
  <c r="V40" i="1"/>
  <c r="O26" i="1"/>
  <c r="T26" i="1"/>
  <c r="S37" i="1"/>
  <c r="W39" i="1"/>
  <c r="X38" i="1"/>
  <c r="Y38" i="1" s="1"/>
  <c r="K27" i="1"/>
  <c r="S41" i="1" l="1"/>
  <c r="V41" i="1"/>
  <c r="N27" i="1"/>
  <c r="W40" i="1"/>
  <c r="X39" i="1"/>
  <c r="Y39" i="1" s="1"/>
  <c r="L27" i="1"/>
  <c r="M27" i="1" s="1"/>
  <c r="R28" i="1" l="1"/>
  <c r="P27" i="1"/>
  <c r="S42" i="1"/>
  <c r="V42" i="1"/>
  <c r="O27" i="1"/>
  <c r="T27" i="1"/>
  <c r="W41" i="1"/>
  <c r="X40" i="1"/>
  <c r="Y40" i="1" s="1"/>
  <c r="K28" i="1"/>
  <c r="N28" i="1" s="1"/>
  <c r="R29" i="1" l="1"/>
  <c r="P28" i="1"/>
  <c r="V43" i="1"/>
  <c r="L28" i="1"/>
  <c r="M28" i="1" s="1"/>
  <c r="S40" i="1"/>
  <c r="W42" i="1"/>
  <c r="X41" i="1"/>
  <c r="Y41" i="1" s="1"/>
  <c r="S44" i="1" l="1"/>
  <c r="V44" i="1"/>
  <c r="O28" i="1"/>
  <c r="T28" i="1"/>
  <c r="W43" i="1"/>
  <c r="X42" i="1"/>
  <c r="Y42" i="1" s="1"/>
  <c r="K29" i="1"/>
  <c r="N29" i="1" s="1"/>
  <c r="R30" i="1" l="1"/>
  <c r="P29" i="1"/>
  <c r="S45" i="1"/>
  <c r="V45" i="1"/>
  <c r="L29" i="1"/>
  <c r="M29" i="1" s="1"/>
  <c r="W44" i="1"/>
  <c r="X43" i="1"/>
  <c r="Y43" i="1" s="1"/>
  <c r="V46" i="1" l="1"/>
  <c r="O29" i="1"/>
  <c r="T29" i="1"/>
  <c r="S43" i="1"/>
  <c r="W45" i="1"/>
  <c r="X44" i="1"/>
  <c r="Y44" i="1" s="1"/>
  <c r="K30" i="1"/>
  <c r="S47" i="1" l="1"/>
  <c r="V47" i="1"/>
  <c r="L30" i="1"/>
  <c r="M30" i="1" s="1"/>
  <c r="N30" i="1"/>
  <c r="W46" i="1"/>
  <c r="X45" i="1"/>
  <c r="Y45" i="1" s="1"/>
  <c r="R31" i="1" l="1"/>
  <c r="P30" i="1"/>
  <c r="S48" i="1"/>
  <c r="V48" i="1"/>
  <c r="O30" i="1"/>
  <c r="T30" i="1"/>
  <c r="W47" i="1"/>
  <c r="X46" i="1"/>
  <c r="Y46" i="1" s="1"/>
  <c r="K31" i="1"/>
  <c r="V49" i="1" l="1"/>
  <c r="N31" i="1"/>
  <c r="S46" i="1"/>
  <c r="W48" i="1"/>
  <c r="X47" i="1"/>
  <c r="Y47" i="1" s="1"/>
  <c r="L31" i="1"/>
  <c r="M31" i="1" s="1"/>
  <c r="T31" i="1"/>
  <c r="R32" i="1" l="1"/>
  <c r="P31" i="1"/>
  <c r="S50" i="1"/>
  <c r="V50" i="1"/>
  <c r="W49" i="1"/>
  <c r="X48" i="1"/>
  <c r="Y48" i="1" s="1"/>
  <c r="O31" i="1"/>
  <c r="K32" i="1"/>
  <c r="V51" i="1" l="1"/>
  <c r="S51" i="1"/>
  <c r="N32" i="1"/>
  <c r="L32" i="1"/>
  <c r="M32" i="1" s="1"/>
  <c r="W50" i="1"/>
  <c r="X49" i="1"/>
  <c r="Y49" i="1" s="1"/>
  <c r="T32" i="1"/>
  <c r="R33" i="1" l="1"/>
  <c r="P32" i="1"/>
  <c r="V52" i="1"/>
  <c r="S49" i="1"/>
  <c r="W51" i="1"/>
  <c r="X50" i="1"/>
  <c r="Y50" i="1" s="1"/>
  <c r="O32" i="1"/>
  <c r="K33" i="1"/>
  <c r="N33" i="1" s="1"/>
  <c r="R34" i="1" l="1"/>
  <c r="P33" i="1"/>
  <c r="S53" i="1"/>
  <c r="V53" i="1"/>
  <c r="L33" i="1"/>
  <c r="M33" i="1" s="1"/>
  <c r="W52" i="1"/>
  <c r="X51" i="1"/>
  <c r="Y51" i="1" s="1"/>
  <c r="S54" i="1" l="1"/>
  <c r="V54" i="1"/>
  <c r="T33" i="1"/>
  <c r="W53" i="1"/>
  <c r="X52" i="1"/>
  <c r="Y52" i="1" s="1"/>
  <c r="O33" i="1"/>
  <c r="K34" i="1"/>
  <c r="V55" i="1" l="1"/>
  <c r="L34" i="1"/>
  <c r="M34" i="1" s="1"/>
  <c r="N34" i="1"/>
  <c r="S52" i="1"/>
  <c r="W54" i="1"/>
  <c r="X53" i="1"/>
  <c r="Y53" i="1" s="1"/>
  <c r="R35" i="1" l="1"/>
  <c r="P34" i="1"/>
  <c r="S56" i="1"/>
  <c r="V56" i="1"/>
  <c r="O34" i="1"/>
  <c r="T34" i="1"/>
  <c r="W55" i="1"/>
  <c r="X54" i="1"/>
  <c r="Y54" i="1" s="1"/>
  <c r="K35" i="1"/>
  <c r="T35" i="1" l="1"/>
  <c r="S57" i="1"/>
  <c r="V57" i="1"/>
  <c r="N35" i="1"/>
  <c r="W56" i="1"/>
  <c r="X55" i="1"/>
  <c r="Y55" i="1" s="1"/>
  <c r="L35" i="1"/>
  <c r="M35" i="1" s="1"/>
  <c r="R36" i="1" l="1"/>
  <c r="T36" i="1" s="1"/>
  <c r="P35" i="1"/>
  <c r="V58" i="1"/>
  <c r="O35" i="1"/>
  <c r="S55" i="1"/>
  <c r="W57" i="1"/>
  <c r="X56" i="1"/>
  <c r="Y56" i="1" s="1"/>
  <c r="K36" i="1"/>
  <c r="S59" i="1" l="1"/>
  <c r="V59" i="1"/>
  <c r="N36" i="1"/>
  <c r="L36" i="1"/>
  <c r="M36" i="1" s="1"/>
  <c r="W58" i="1"/>
  <c r="X57" i="1"/>
  <c r="Y57" i="1" s="1"/>
  <c r="R37" i="1" l="1"/>
  <c r="T37" i="1" s="1"/>
  <c r="P36" i="1"/>
  <c r="S60" i="1"/>
  <c r="V60" i="1"/>
  <c r="O36" i="1"/>
  <c r="W59" i="1"/>
  <c r="X58" i="1"/>
  <c r="Y58" i="1" s="1"/>
  <c r="K37" i="1"/>
  <c r="N37" i="1" s="1"/>
  <c r="R38" i="1" l="1"/>
  <c r="T38" i="1" s="1"/>
  <c r="P37" i="1"/>
  <c r="V61" i="1"/>
  <c r="L37" i="1"/>
  <c r="M37" i="1" s="1"/>
  <c r="S58" i="1"/>
  <c r="W60" i="1"/>
  <c r="X59" i="1"/>
  <c r="Y59" i="1" s="1"/>
  <c r="S62" i="1" l="1"/>
  <c r="V62" i="1"/>
  <c r="K38" i="1"/>
  <c r="W61" i="1"/>
  <c r="X60" i="1"/>
  <c r="Y60" i="1" s="1"/>
  <c r="O37" i="1"/>
  <c r="S63" i="1" l="1"/>
  <c r="V63" i="1"/>
  <c r="L38" i="1"/>
  <c r="M38" i="1" s="1"/>
  <c r="N38" i="1"/>
  <c r="W62" i="1"/>
  <c r="X61" i="1"/>
  <c r="Y61" i="1" s="1"/>
  <c r="R39" i="1" l="1"/>
  <c r="T39" i="1" s="1"/>
  <c r="P38" i="1"/>
  <c r="V64" i="1"/>
  <c r="O38" i="1"/>
  <c r="K39" i="1"/>
  <c r="L39" i="1" s="1"/>
  <c r="M39" i="1" s="1"/>
  <c r="S61" i="1"/>
  <c r="W63" i="1"/>
  <c r="X62" i="1"/>
  <c r="Y62" i="1" s="1"/>
  <c r="S65" i="1" l="1"/>
  <c r="V65" i="1"/>
  <c r="N39" i="1"/>
  <c r="P39" i="1" s="1"/>
  <c r="W64" i="1"/>
  <c r="X63" i="1"/>
  <c r="Y63" i="1" s="1"/>
  <c r="S66" i="1" l="1"/>
  <c r="V66" i="1"/>
  <c r="K40" i="1"/>
  <c r="N40" i="1" s="1"/>
  <c r="R40" i="1"/>
  <c r="T40" i="1" s="1"/>
  <c r="O39" i="1"/>
  <c r="W65" i="1"/>
  <c r="X64" i="1"/>
  <c r="Y64" i="1" s="1"/>
  <c r="R41" i="1" l="1"/>
  <c r="T41" i="1" s="1"/>
  <c r="P40" i="1"/>
  <c r="V67" i="1"/>
  <c r="L40" i="1"/>
  <c r="M40" i="1" s="1"/>
  <c r="S64" i="1"/>
  <c r="W66" i="1"/>
  <c r="X65" i="1"/>
  <c r="Y65" i="1" s="1"/>
  <c r="O40" i="1"/>
  <c r="K41" i="1"/>
  <c r="S68" i="1" l="1"/>
  <c r="V68" i="1"/>
  <c r="N41" i="1"/>
  <c r="L41" i="1"/>
  <c r="M41" i="1" s="1"/>
  <c r="W67" i="1"/>
  <c r="X66" i="1"/>
  <c r="Y66" i="1" s="1"/>
  <c r="R42" i="1" l="1"/>
  <c r="T42" i="1" s="1"/>
  <c r="P41" i="1"/>
  <c r="S69" i="1"/>
  <c r="V69" i="1"/>
  <c r="W68" i="1"/>
  <c r="X67" i="1"/>
  <c r="Y67" i="1" s="1"/>
  <c r="K42" i="1"/>
  <c r="N42" i="1" s="1"/>
  <c r="O41" i="1"/>
  <c r="R43" i="1" l="1"/>
  <c r="T43" i="1" s="1"/>
  <c r="P42" i="1"/>
  <c r="V70" i="1"/>
  <c r="L42" i="1"/>
  <c r="M42" i="1" s="1"/>
  <c r="S67" i="1"/>
  <c r="W69" i="1"/>
  <c r="X68" i="1"/>
  <c r="Y68" i="1" s="1"/>
  <c r="S71" i="1" l="1"/>
  <c r="V71" i="1"/>
  <c r="K43" i="1"/>
  <c r="W70" i="1"/>
  <c r="X69" i="1"/>
  <c r="Y69" i="1" s="1"/>
  <c r="O42" i="1"/>
  <c r="S72" i="1" l="1"/>
  <c r="V72" i="1"/>
  <c r="L43" i="1"/>
  <c r="M43" i="1" s="1"/>
  <c r="N43" i="1"/>
  <c r="W71" i="1"/>
  <c r="X70" i="1"/>
  <c r="Y70" i="1" s="1"/>
  <c r="R44" i="1" l="1"/>
  <c r="T44" i="1" s="1"/>
  <c r="P43" i="1"/>
  <c r="V73" i="1"/>
  <c r="O43" i="1"/>
  <c r="K44" i="1"/>
  <c r="L44" i="1" s="1"/>
  <c r="M44" i="1" s="1"/>
  <c r="S70" i="1"/>
  <c r="W72" i="1"/>
  <c r="X71" i="1"/>
  <c r="Y71" i="1" s="1"/>
  <c r="S74" i="1" l="1"/>
  <c r="V74" i="1"/>
  <c r="N44" i="1"/>
  <c r="W73" i="1"/>
  <c r="X72" i="1"/>
  <c r="Y72" i="1" s="1"/>
  <c r="R45" i="1" l="1"/>
  <c r="T45" i="1" s="1"/>
  <c r="P44" i="1"/>
  <c r="V75" i="1"/>
  <c r="S75" i="1"/>
  <c r="K45" i="1"/>
  <c r="L45" i="1" s="1"/>
  <c r="M45" i="1" s="1"/>
  <c r="O44" i="1"/>
  <c r="W74" i="1"/>
  <c r="X73" i="1"/>
  <c r="Y73" i="1" s="1"/>
  <c r="V76" i="1" l="1"/>
  <c r="N45" i="1"/>
  <c r="P45" i="1" s="1"/>
  <c r="S73" i="1"/>
  <c r="W75" i="1"/>
  <c r="X74" i="1"/>
  <c r="Y74" i="1" s="1"/>
  <c r="S77" i="1" l="1"/>
  <c r="V77" i="1"/>
  <c r="O45" i="1"/>
  <c r="R46" i="1"/>
  <c r="T46" i="1" s="1"/>
  <c r="K46" i="1"/>
  <c r="N46" i="1" s="1"/>
  <c r="W76" i="1"/>
  <c r="X75" i="1"/>
  <c r="Y75" i="1" s="1"/>
  <c r="R47" i="1" l="1"/>
  <c r="T47" i="1" s="1"/>
  <c r="P46" i="1"/>
  <c r="S78" i="1"/>
  <c r="V78" i="1"/>
  <c r="L46" i="1"/>
  <c r="M46" i="1" s="1"/>
  <c r="O46" i="1"/>
  <c r="W77" i="1"/>
  <c r="X76" i="1"/>
  <c r="Y76" i="1" s="1"/>
  <c r="K47" i="1"/>
  <c r="V79" i="1" l="1"/>
  <c r="N47" i="1"/>
  <c r="L47" i="1"/>
  <c r="M47" i="1" s="1"/>
  <c r="S76" i="1"/>
  <c r="W78" i="1"/>
  <c r="X77" i="1"/>
  <c r="Y77" i="1" s="1"/>
  <c r="R48" i="1" l="1"/>
  <c r="T48" i="1" s="1"/>
  <c r="P47" i="1"/>
  <c r="S80" i="1"/>
  <c r="V80" i="1"/>
  <c r="W79" i="1"/>
  <c r="X78" i="1"/>
  <c r="Y78" i="1" s="1"/>
  <c r="K48" i="1"/>
  <c r="N48" i="1" s="1"/>
  <c r="O47" i="1"/>
  <c r="R49" i="1" l="1"/>
  <c r="T49" i="1" s="1"/>
  <c r="P48" i="1"/>
  <c r="S81" i="1"/>
  <c r="V81" i="1"/>
  <c r="L48" i="1"/>
  <c r="M48" i="1" s="1"/>
  <c r="W80" i="1"/>
  <c r="X79" i="1"/>
  <c r="Y79" i="1" s="1"/>
  <c r="V82" i="1" l="1"/>
  <c r="K49" i="1"/>
  <c r="S79" i="1"/>
  <c r="W81" i="1"/>
  <c r="X80" i="1"/>
  <c r="Y80" i="1" s="1"/>
  <c r="O48" i="1"/>
  <c r="S83" i="1" l="1"/>
  <c r="V83" i="1"/>
  <c r="L49" i="1"/>
  <c r="M49" i="1" s="1"/>
  <c r="N49" i="1"/>
  <c r="W82" i="1"/>
  <c r="X81" i="1"/>
  <c r="Y81" i="1" s="1"/>
  <c r="R50" i="1" l="1"/>
  <c r="T50" i="1" s="1"/>
  <c r="P49" i="1"/>
  <c r="S84" i="1"/>
  <c r="V84" i="1"/>
  <c r="K50" i="1"/>
  <c r="L50" i="1" s="1"/>
  <c r="M50" i="1" s="1"/>
  <c r="O49" i="1"/>
  <c r="W83" i="1"/>
  <c r="X82" i="1"/>
  <c r="Y82" i="1" s="1"/>
  <c r="V85" i="1" l="1"/>
  <c r="N50" i="1"/>
  <c r="P50" i="1" s="1"/>
  <c r="S82" i="1"/>
  <c r="W84" i="1"/>
  <c r="X83" i="1"/>
  <c r="Y83" i="1" s="1"/>
  <c r="S86" i="1" l="1"/>
  <c r="V86" i="1"/>
  <c r="K51" i="1"/>
  <c r="L51" i="1" s="1"/>
  <c r="M51" i="1" s="1"/>
  <c r="R51" i="1"/>
  <c r="T51" i="1" s="1"/>
  <c r="O50" i="1"/>
  <c r="W85" i="1"/>
  <c r="X84" i="1"/>
  <c r="Y84" i="1" s="1"/>
  <c r="S87" i="1" l="1"/>
  <c r="V87" i="1"/>
  <c r="N51" i="1"/>
  <c r="W86" i="1"/>
  <c r="X85" i="1"/>
  <c r="Y85" i="1" s="1"/>
  <c r="R52" i="1" l="1"/>
  <c r="T52" i="1" s="1"/>
  <c r="P51" i="1"/>
  <c r="V88" i="1"/>
  <c r="O51" i="1"/>
  <c r="K52" i="1"/>
  <c r="L52" i="1" s="1"/>
  <c r="M52" i="1" s="1"/>
  <c r="S85" i="1"/>
  <c r="W87" i="1"/>
  <c r="X86" i="1"/>
  <c r="Y86" i="1" s="1"/>
  <c r="S89" i="1" l="1"/>
  <c r="V89" i="1"/>
  <c r="N52" i="1"/>
  <c r="W88" i="1"/>
  <c r="X87" i="1"/>
  <c r="Y87" i="1" s="1"/>
  <c r="R53" i="1" l="1"/>
  <c r="T53" i="1" s="1"/>
  <c r="P52" i="1"/>
  <c r="S90" i="1"/>
  <c r="V90" i="1"/>
  <c r="K53" i="1"/>
  <c r="L53" i="1" s="1"/>
  <c r="M53" i="1" s="1"/>
  <c r="O52" i="1"/>
  <c r="W89" i="1"/>
  <c r="X88" i="1"/>
  <c r="Y88" i="1" s="1"/>
  <c r="V91" i="1" l="1"/>
  <c r="N53" i="1"/>
  <c r="S88" i="1"/>
  <c r="W90" i="1"/>
  <c r="X89" i="1"/>
  <c r="Y89" i="1" s="1"/>
  <c r="K54" i="1" l="1"/>
  <c r="L54" i="1" s="1"/>
  <c r="M54" i="1" s="1"/>
  <c r="P53" i="1"/>
  <c r="S92" i="1"/>
  <c r="V92" i="1"/>
  <c r="O53" i="1"/>
  <c r="R54" i="1"/>
  <c r="T54" i="1" s="1"/>
  <c r="W91" i="1"/>
  <c r="X90" i="1"/>
  <c r="Y90" i="1" s="1"/>
  <c r="N54" i="1" l="1"/>
  <c r="O54" i="1" s="1"/>
  <c r="S93" i="1"/>
  <c r="V93" i="1"/>
  <c r="W92" i="1"/>
  <c r="X91" i="1"/>
  <c r="Y91" i="1" s="1"/>
  <c r="K55" i="1" l="1"/>
  <c r="L55" i="1" s="1"/>
  <c r="M55" i="1" s="1"/>
  <c r="R55" i="1"/>
  <c r="T55" i="1" s="1"/>
  <c r="P54" i="1"/>
  <c r="V94" i="1"/>
  <c r="N55" i="1"/>
  <c r="S91" i="1"/>
  <c r="W93" i="1"/>
  <c r="X92" i="1"/>
  <c r="Y92" i="1" s="1"/>
  <c r="R56" i="1" l="1"/>
  <c r="T56" i="1" s="1"/>
  <c r="P55" i="1"/>
  <c r="S95" i="1"/>
  <c r="V95" i="1"/>
  <c r="O55" i="1"/>
  <c r="K56" i="1"/>
  <c r="L56" i="1" s="1"/>
  <c r="M56" i="1" s="1"/>
  <c r="W94" i="1"/>
  <c r="X93" i="1"/>
  <c r="Y93" i="1" s="1"/>
  <c r="S96" i="1" l="1"/>
  <c r="V96" i="1"/>
  <c r="N56" i="1"/>
  <c r="W95" i="1"/>
  <c r="X94" i="1"/>
  <c r="Y94" i="1" s="1"/>
  <c r="K57" i="1" l="1"/>
  <c r="L57" i="1" s="1"/>
  <c r="M57" i="1" s="1"/>
  <c r="P56" i="1"/>
  <c r="V97" i="1"/>
  <c r="O56" i="1"/>
  <c r="R57" i="1"/>
  <c r="T57" i="1" s="1"/>
  <c r="S94" i="1"/>
  <c r="W96" i="1"/>
  <c r="X95" i="1"/>
  <c r="Y95" i="1" s="1"/>
  <c r="N57" i="1" l="1"/>
  <c r="R58" i="1" s="1"/>
  <c r="T58" i="1" s="1"/>
  <c r="S98" i="1"/>
  <c r="V98" i="1"/>
  <c r="W97" i="1"/>
  <c r="X96" i="1"/>
  <c r="Y96" i="1" s="1"/>
  <c r="K58" i="1" l="1"/>
  <c r="L58" i="1" s="1"/>
  <c r="M58" i="1" s="1"/>
  <c r="O57" i="1"/>
  <c r="P57" i="1"/>
  <c r="V99" i="1"/>
  <c r="S99" i="1"/>
  <c r="W98" i="1"/>
  <c r="X97" i="1"/>
  <c r="Y97" i="1" s="1"/>
  <c r="N58" i="1" l="1"/>
  <c r="R59" i="1" s="1"/>
  <c r="T59" i="1" s="1"/>
  <c r="V100" i="1"/>
  <c r="S97" i="1"/>
  <c r="W99" i="1"/>
  <c r="X98" i="1"/>
  <c r="Y98" i="1" s="1"/>
  <c r="O58" i="1" l="1"/>
  <c r="P58" i="1"/>
  <c r="K59" i="1"/>
  <c r="L59" i="1" s="1"/>
  <c r="M59" i="1" s="1"/>
  <c r="S101" i="1"/>
  <c r="V101" i="1"/>
  <c r="W100" i="1"/>
  <c r="X99" i="1"/>
  <c r="Y99" i="1" s="1"/>
  <c r="N59" i="1" l="1"/>
  <c r="P59" i="1" s="1"/>
  <c r="S102" i="1"/>
  <c r="V102" i="1"/>
  <c r="W101" i="1"/>
  <c r="X100" i="1"/>
  <c r="Y100" i="1" s="1"/>
  <c r="K60" i="1" l="1"/>
  <c r="L60" i="1" s="1"/>
  <c r="M60" i="1" s="1"/>
  <c r="R60" i="1"/>
  <c r="T60" i="1" s="1"/>
  <c r="O59" i="1"/>
  <c r="V103" i="1"/>
  <c r="S100" i="1"/>
  <c r="W102" i="1"/>
  <c r="X101" i="1"/>
  <c r="Y101" i="1" s="1"/>
  <c r="N60" i="1" l="1"/>
  <c r="R61" i="1" s="1"/>
  <c r="T61" i="1" s="1"/>
  <c r="S104" i="1"/>
  <c r="V104" i="1"/>
  <c r="W103" i="1"/>
  <c r="X102" i="1"/>
  <c r="Y102" i="1" s="1"/>
  <c r="O60" i="1" l="1"/>
  <c r="P60" i="1"/>
  <c r="K61" i="1"/>
  <c r="L61" i="1" s="1"/>
  <c r="M61" i="1" s="1"/>
  <c r="S105" i="1"/>
  <c r="V105" i="1"/>
  <c r="W104" i="1"/>
  <c r="X103" i="1"/>
  <c r="Y103" i="1" s="1"/>
  <c r="N61" i="1" l="1"/>
  <c r="R62" i="1" s="1"/>
  <c r="T62" i="1" s="1"/>
  <c r="V106" i="1"/>
  <c r="K62" i="1"/>
  <c r="L62" i="1" s="1"/>
  <c r="M62" i="1" s="1"/>
  <c r="O61" i="1"/>
  <c r="S103" i="1"/>
  <c r="W105" i="1"/>
  <c r="X104" i="1"/>
  <c r="Y104" i="1" s="1"/>
  <c r="P61" i="1" l="1"/>
  <c r="S107" i="1"/>
  <c r="V107" i="1"/>
  <c r="N62" i="1"/>
  <c r="W106" i="1"/>
  <c r="X105" i="1"/>
  <c r="Y105" i="1" s="1"/>
  <c r="R63" i="1" l="1"/>
  <c r="T63" i="1" s="1"/>
  <c r="P62" i="1"/>
  <c r="S108" i="1"/>
  <c r="V108" i="1"/>
  <c r="O62" i="1"/>
  <c r="K63" i="1"/>
  <c r="L63" i="1" s="1"/>
  <c r="M63" i="1" s="1"/>
  <c r="W107" i="1"/>
  <c r="X106" i="1"/>
  <c r="Y106" i="1" s="1"/>
  <c r="V109" i="1" l="1"/>
  <c r="N63" i="1"/>
  <c r="S106" i="1"/>
  <c r="W108" i="1"/>
  <c r="X107" i="1"/>
  <c r="Y107" i="1" s="1"/>
  <c r="R64" i="1" l="1"/>
  <c r="T64" i="1" s="1"/>
  <c r="P63" i="1"/>
  <c r="S110" i="1"/>
  <c r="V110" i="1"/>
  <c r="O63" i="1"/>
  <c r="K64" i="1"/>
  <c r="L64" i="1" s="1"/>
  <c r="M64" i="1" s="1"/>
  <c r="W109" i="1"/>
  <c r="X108" i="1"/>
  <c r="Y108" i="1" s="1"/>
  <c r="S111" i="1" l="1"/>
  <c r="V111" i="1"/>
  <c r="N64" i="1"/>
  <c r="W110" i="1"/>
  <c r="X109" i="1"/>
  <c r="Y109" i="1" s="1"/>
  <c r="R65" i="1" l="1"/>
  <c r="T65" i="1" s="1"/>
  <c r="P64" i="1"/>
  <c r="V112" i="1"/>
  <c r="O64" i="1"/>
  <c r="K65" i="1"/>
  <c r="L65" i="1" s="1"/>
  <c r="M65" i="1" s="1"/>
  <c r="S109" i="1"/>
  <c r="W111" i="1"/>
  <c r="X110" i="1"/>
  <c r="Y110" i="1" s="1"/>
  <c r="S113" i="1" l="1"/>
  <c r="V113" i="1"/>
  <c r="N65" i="1"/>
  <c r="W112" i="1"/>
  <c r="X111" i="1"/>
  <c r="Y111" i="1" s="1"/>
  <c r="R66" i="1" l="1"/>
  <c r="T66" i="1" s="1"/>
  <c r="P65" i="1"/>
  <c r="S114" i="1"/>
  <c r="V114" i="1"/>
  <c r="K66" i="1"/>
  <c r="L66" i="1" s="1"/>
  <c r="M66" i="1" s="1"/>
  <c r="O65" i="1"/>
  <c r="W113" i="1"/>
  <c r="X112" i="1"/>
  <c r="Y112" i="1" s="1"/>
  <c r="V115" i="1" l="1"/>
  <c r="N66" i="1"/>
  <c r="S112" i="1"/>
  <c r="W114" i="1"/>
  <c r="X113" i="1"/>
  <c r="Y113" i="1" s="1"/>
  <c r="R67" i="1" l="1"/>
  <c r="T67" i="1" s="1"/>
  <c r="P66" i="1"/>
  <c r="S116" i="1"/>
  <c r="V116" i="1"/>
  <c r="K67" i="1"/>
  <c r="N67" i="1" s="1"/>
  <c r="O66" i="1"/>
  <c r="W115" i="1"/>
  <c r="X114" i="1"/>
  <c r="Y114" i="1" s="1"/>
  <c r="R68" i="1" l="1"/>
  <c r="T68" i="1" s="1"/>
  <c r="P67" i="1"/>
  <c r="S117" i="1"/>
  <c r="V117" i="1"/>
  <c r="O67" i="1"/>
  <c r="L67" i="1"/>
  <c r="M67" i="1" s="1"/>
  <c r="K68" i="1"/>
  <c r="L68" i="1" s="1"/>
  <c r="W116" i="1"/>
  <c r="X115" i="1"/>
  <c r="Y115" i="1" s="1"/>
  <c r="V118" i="1" l="1"/>
  <c r="N68" i="1"/>
  <c r="M68" i="1"/>
  <c r="S115" i="1"/>
  <c r="W117" i="1"/>
  <c r="X116" i="1"/>
  <c r="Y116" i="1" s="1"/>
  <c r="R69" i="1" l="1"/>
  <c r="T69" i="1" s="1"/>
  <c r="P68" i="1"/>
  <c r="S119" i="1"/>
  <c r="V119" i="1"/>
  <c r="O68" i="1"/>
  <c r="K69" i="1"/>
  <c r="L69" i="1" s="1"/>
  <c r="M69" i="1" s="1"/>
  <c r="W118" i="1"/>
  <c r="X117" i="1"/>
  <c r="Y117" i="1" s="1"/>
  <c r="S120" i="1" l="1"/>
  <c r="V120" i="1"/>
  <c r="N69" i="1"/>
  <c r="W119" i="1"/>
  <c r="X118" i="1"/>
  <c r="Y118" i="1" s="1"/>
  <c r="R70" i="1" l="1"/>
  <c r="T70" i="1" s="1"/>
  <c r="P69" i="1"/>
  <c r="V121" i="1"/>
  <c r="K70" i="1"/>
  <c r="L70" i="1" s="1"/>
  <c r="M70" i="1" s="1"/>
  <c r="O69" i="1"/>
  <c r="S118" i="1"/>
  <c r="W120" i="1"/>
  <c r="X119" i="1"/>
  <c r="Y119" i="1" s="1"/>
  <c r="S122" i="1" l="1"/>
  <c r="V122" i="1"/>
  <c r="N70" i="1"/>
  <c r="W121" i="1"/>
  <c r="X120" i="1"/>
  <c r="Y120" i="1" s="1"/>
  <c r="R71" i="1" l="1"/>
  <c r="T71" i="1" s="1"/>
  <c r="P70" i="1"/>
  <c r="V123" i="1"/>
  <c r="S123" i="1"/>
  <c r="O70" i="1"/>
  <c r="K71" i="1"/>
  <c r="L71" i="1" s="1"/>
  <c r="M71" i="1" s="1"/>
  <c r="W122" i="1"/>
  <c r="X121" i="1"/>
  <c r="Y121" i="1" s="1"/>
  <c r="V124" i="1" l="1"/>
  <c r="N71" i="1"/>
  <c r="S121" i="1"/>
  <c r="W123" i="1"/>
  <c r="X122" i="1"/>
  <c r="Y122" i="1" s="1"/>
  <c r="R72" i="1" l="1"/>
  <c r="T72" i="1" s="1"/>
  <c r="P71" i="1"/>
  <c r="S125" i="1"/>
  <c r="V125" i="1"/>
  <c r="O71" i="1"/>
  <c r="K72" i="1"/>
  <c r="L72" i="1" s="1"/>
  <c r="M72" i="1" s="1"/>
  <c r="W124" i="1"/>
  <c r="X123" i="1"/>
  <c r="Y123" i="1" s="1"/>
  <c r="S126" i="1" l="1"/>
  <c r="V126" i="1"/>
  <c r="N72" i="1"/>
  <c r="W125" i="1"/>
  <c r="X124" i="1"/>
  <c r="Y124" i="1" s="1"/>
  <c r="K73" i="1" l="1"/>
  <c r="L73" i="1" s="1"/>
  <c r="M73" i="1" s="1"/>
  <c r="P72" i="1"/>
  <c r="V127" i="1"/>
  <c r="O72" i="1"/>
  <c r="R73" i="1"/>
  <c r="T73" i="1" s="1"/>
  <c r="S124" i="1"/>
  <c r="W126" i="1"/>
  <c r="X125" i="1"/>
  <c r="Y125" i="1" s="1"/>
  <c r="N73" i="1" l="1"/>
  <c r="O73" i="1" s="1"/>
  <c r="S128" i="1"/>
  <c r="V128" i="1"/>
  <c r="W127" i="1"/>
  <c r="X126" i="1"/>
  <c r="Y126" i="1" s="1"/>
  <c r="K74" i="1" l="1"/>
  <c r="L74" i="1" s="1"/>
  <c r="M74" i="1" s="1"/>
  <c r="R74" i="1"/>
  <c r="T74" i="1" s="1"/>
  <c r="P73" i="1"/>
  <c r="S129" i="1"/>
  <c r="V129" i="1"/>
  <c r="W128" i="1"/>
  <c r="X127" i="1"/>
  <c r="Y127" i="1" s="1"/>
  <c r="N74" i="1" l="1"/>
  <c r="R75" i="1" s="1"/>
  <c r="T75" i="1" s="1"/>
  <c r="V130" i="1"/>
  <c r="S127" i="1"/>
  <c r="W129" i="1"/>
  <c r="X128" i="1"/>
  <c r="Y128" i="1" s="1"/>
  <c r="K75" i="1" l="1"/>
  <c r="L75" i="1" s="1"/>
  <c r="M75" i="1" s="1"/>
  <c r="P74" i="1"/>
  <c r="O74" i="1"/>
  <c r="S131" i="1"/>
  <c r="V131" i="1"/>
  <c r="W130" i="1"/>
  <c r="X129" i="1"/>
  <c r="Y129" i="1" s="1"/>
  <c r="N75" i="1" l="1"/>
  <c r="R76" i="1" s="1"/>
  <c r="T76" i="1" s="1"/>
  <c r="S132" i="1"/>
  <c r="V132" i="1"/>
  <c r="W131" i="1"/>
  <c r="X130" i="1"/>
  <c r="Y130" i="1" s="1"/>
  <c r="K76" i="1" l="1"/>
  <c r="L76" i="1" s="1"/>
  <c r="M76" i="1" s="1"/>
  <c r="P75" i="1"/>
  <c r="O75" i="1"/>
  <c r="V133" i="1"/>
  <c r="S130" i="1"/>
  <c r="W132" i="1"/>
  <c r="X131" i="1"/>
  <c r="Y131" i="1" s="1"/>
  <c r="N76" i="1" l="1"/>
  <c r="R77" i="1" s="1"/>
  <c r="T77" i="1" s="1"/>
  <c r="S134" i="1"/>
  <c r="V134" i="1"/>
  <c r="W133" i="1"/>
  <c r="X132" i="1"/>
  <c r="Y132" i="1" s="1"/>
  <c r="O76" i="1" l="1"/>
  <c r="P76" i="1"/>
  <c r="K77" i="1"/>
  <c r="L77" i="1" s="1"/>
  <c r="M77" i="1" s="1"/>
  <c r="S135" i="1"/>
  <c r="V135" i="1"/>
  <c r="W134" i="1"/>
  <c r="X133" i="1"/>
  <c r="Y133" i="1" s="1"/>
  <c r="N77" i="1" l="1"/>
  <c r="O77" i="1" s="1"/>
  <c r="V136" i="1"/>
  <c r="S133" i="1"/>
  <c r="W135" i="1"/>
  <c r="X134" i="1"/>
  <c r="Y134" i="1" s="1"/>
  <c r="R78" i="1" l="1"/>
  <c r="T78" i="1" s="1"/>
  <c r="K78" i="1"/>
  <c r="L78" i="1" s="1"/>
  <c r="M78" i="1" s="1"/>
  <c r="P77" i="1"/>
  <c r="S137" i="1"/>
  <c r="V137" i="1"/>
  <c r="N78" i="1"/>
  <c r="W136" i="1"/>
  <c r="X135" i="1"/>
  <c r="Y135" i="1" s="1"/>
  <c r="R79" i="1" l="1"/>
  <c r="T79" i="1" s="1"/>
  <c r="P78" i="1"/>
  <c r="S138" i="1"/>
  <c r="V138" i="1"/>
  <c r="K79" i="1"/>
  <c r="L79" i="1" s="1"/>
  <c r="M79" i="1" s="1"/>
  <c r="O78" i="1"/>
  <c r="W137" i="1"/>
  <c r="X136" i="1"/>
  <c r="Y136" i="1" s="1"/>
  <c r="V139" i="1" l="1"/>
  <c r="N79" i="1"/>
  <c r="S136" i="1"/>
  <c r="W138" i="1"/>
  <c r="X137" i="1"/>
  <c r="Y137" i="1" s="1"/>
  <c r="O79" i="1" l="1"/>
  <c r="P79" i="1"/>
  <c r="S140" i="1"/>
  <c r="V140" i="1"/>
  <c r="K80" i="1"/>
  <c r="L80" i="1" s="1"/>
  <c r="M80" i="1" s="1"/>
  <c r="R80" i="1"/>
  <c r="T80" i="1" s="1"/>
  <c r="W139" i="1"/>
  <c r="X138" i="1"/>
  <c r="Y138" i="1" s="1"/>
  <c r="S141" i="1" l="1"/>
  <c r="V141" i="1"/>
  <c r="N80" i="1"/>
  <c r="W140" i="1"/>
  <c r="X139" i="1"/>
  <c r="Y139" i="1" s="1"/>
  <c r="R81" i="1" l="1"/>
  <c r="T81" i="1" s="1"/>
  <c r="P80" i="1"/>
  <c r="V142" i="1"/>
  <c r="K81" i="1"/>
  <c r="L81" i="1" s="1"/>
  <c r="M81" i="1" s="1"/>
  <c r="O80" i="1"/>
  <c r="S139" i="1"/>
  <c r="W141" i="1"/>
  <c r="X140" i="1"/>
  <c r="Y140" i="1" s="1"/>
  <c r="S143" i="1" l="1"/>
  <c r="V143" i="1"/>
  <c r="N81" i="1"/>
  <c r="W142" i="1"/>
  <c r="X141" i="1"/>
  <c r="Y141" i="1" s="1"/>
  <c r="R82" i="1" l="1"/>
  <c r="T82" i="1" s="1"/>
  <c r="P81" i="1"/>
  <c r="S144" i="1"/>
  <c r="V144" i="1"/>
  <c r="O81" i="1"/>
  <c r="K82" i="1"/>
  <c r="L82" i="1" s="1"/>
  <c r="M82" i="1" s="1"/>
  <c r="W143" i="1"/>
  <c r="X142" i="1"/>
  <c r="Y142" i="1" s="1"/>
  <c r="V145" i="1" l="1"/>
  <c r="N82" i="1"/>
  <c r="S142" i="1"/>
  <c r="W144" i="1"/>
  <c r="X143" i="1"/>
  <c r="Y143" i="1" s="1"/>
  <c r="K83" i="1" l="1"/>
  <c r="N83" i="1" s="1"/>
  <c r="K84" i="1" s="1"/>
  <c r="L84" i="1" s="1"/>
  <c r="P82" i="1"/>
  <c r="S146" i="1"/>
  <c r="V146" i="1"/>
  <c r="O82" i="1"/>
  <c r="R83" i="1"/>
  <c r="T83" i="1" s="1"/>
  <c r="W145" i="1"/>
  <c r="X144" i="1"/>
  <c r="Y144" i="1" s="1"/>
  <c r="O83" i="1" l="1"/>
  <c r="L83" i="1"/>
  <c r="M83" i="1" s="1"/>
  <c r="M84" i="1" s="1"/>
  <c r="R84" i="1"/>
  <c r="T84" i="1" s="1"/>
  <c r="P83" i="1"/>
  <c r="V147" i="1"/>
  <c r="S147" i="1"/>
  <c r="N84" i="1"/>
  <c r="P84" i="1" s="1"/>
  <c r="W146" i="1"/>
  <c r="X145" i="1"/>
  <c r="Y145" i="1" s="1"/>
  <c r="V148" i="1" l="1"/>
  <c r="K85" i="1"/>
  <c r="L85" i="1" s="1"/>
  <c r="M85" i="1" s="1"/>
  <c r="R85" i="1"/>
  <c r="T85" i="1" s="1"/>
  <c r="O84" i="1"/>
  <c r="S145" i="1"/>
  <c r="W147" i="1"/>
  <c r="X146" i="1"/>
  <c r="Y146" i="1" s="1"/>
  <c r="S149" i="1" l="1"/>
  <c r="V149" i="1"/>
  <c r="N85" i="1"/>
  <c r="W148" i="1"/>
  <c r="X147" i="1"/>
  <c r="Y147" i="1" s="1"/>
  <c r="R86" i="1" l="1"/>
  <c r="T86" i="1" s="1"/>
  <c r="P85" i="1"/>
  <c r="S150" i="1"/>
  <c r="V150" i="1"/>
  <c r="K86" i="1"/>
  <c r="L86" i="1" s="1"/>
  <c r="M86" i="1" s="1"/>
  <c r="O85" i="1"/>
  <c r="W149" i="1"/>
  <c r="X148" i="1"/>
  <c r="Y148" i="1" s="1"/>
  <c r="V151" i="1" l="1"/>
  <c r="N86" i="1"/>
  <c r="S148" i="1"/>
  <c r="W150" i="1"/>
  <c r="X149" i="1"/>
  <c r="Y149" i="1" s="1"/>
  <c r="R87" i="1" l="1"/>
  <c r="T87" i="1" s="1"/>
  <c r="P86" i="1"/>
  <c r="S152" i="1"/>
  <c r="V152" i="1"/>
  <c r="K87" i="1"/>
  <c r="L87" i="1" s="1"/>
  <c r="M87" i="1" s="1"/>
  <c r="O86" i="1"/>
  <c r="W151" i="1"/>
  <c r="X150" i="1"/>
  <c r="Y150" i="1" s="1"/>
  <c r="S153" i="1" l="1"/>
  <c r="V153" i="1"/>
  <c r="N87" i="1"/>
  <c r="W152" i="1"/>
  <c r="X151" i="1"/>
  <c r="Y151" i="1" s="1"/>
  <c r="R88" i="1" l="1"/>
  <c r="T88" i="1" s="1"/>
  <c r="P87" i="1"/>
  <c r="V154" i="1"/>
  <c r="K88" i="1"/>
  <c r="L88" i="1" s="1"/>
  <c r="M88" i="1" s="1"/>
  <c r="O87" i="1"/>
  <c r="S151" i="1"/>
  <c r="W153" i="1"/>
  <c r="X152" i="1"/>
  <c r="Y152" i="1" s="1"/>
  <c r="S155" i="1" l="1"/>
  <c r="V155" i="1"/>
  <c r="N88" i="1"/>
  <c r="W154" i="1"/>
  <c r="X153" i="1"/>
  <c r="Y153" i="1" s="1"/>
  <c r="R89" i="1" l="1"/>
  <c r="T89" i="1" s="1"/>
  <c r="P88" i="1"/>
  <c r="S156" i="1"/>
  <c r="V156" i="1"/>
  <c r="O88" i="1"/>
  <c r="K89" i="1"/>
  <c r="L89" i="1" s="1"/>
  <c r="M89" i="1" s="1"/>
  <c r="W155" i="1"/>
  <c r="X154" i="1"/>
  <c r="Y154" i="1" s="1"/>
  <c r="V157" i="1" l="1"/>
  <c r="N89" i="1"/>
  <c r="S154" i="1"/>
  <c r="W156" i="1"/>
  <c r="X155" i="1"/>
  <c r="Y155" i="1" s="1"/>
  <c r="R90" i="1" l="1"/>
  <c r="T90" i="1" s="1"/>
  <c r="P89" i="1"/>
  <c r="S158" i="1"/>
  <c r="V158" i="1"/>
  <c r="K90" i="1"/>
  <c r="L90" i="1" s="1"/>
  <c r="M90" i="1" s="1"/>
  <c r="O89" i="1"/>
  <c r="W157" i="1"/>
  <c r="X156" i="1"/>
  <c r="Y156" i="1" s="1"/>
  <c r="S159" i="1" l="1"/>
  <c r="V159" i="1"/>
  <c r="N90" i="1"/>
  <c r="W158" i="1"/>
  <c r="X157" i="1"/>
  <c r="Y157" i="1" s="1"/>
  <c r="O90" i="1" l="1"/>
  <c r="P90" i="1"/>
  <c r="V160" i="1"/>
  <c r="K91" i="1"/>
  <c r="L91" i="1" s="1"/>
  <c r="M91" i="1" s="1"/>
  <c r="R91" i="1"/>
  <c r="T91" i="1" s="1"/>
  <c r="S157" i="1"/>
  <c r="W159" i="1"/>
  <c r="X158" i="1"/>
  <c r="Y158" i="1" s="1"/>
  <c r="S161" i="1" l="1"/>
  <c r="V161" i="1"/>
  <c r="N91" i="1"/>
  <c r="W160" i="1"/>
  <c r="X159" i="1"/>
  <c r="Y159" i="1" s="1"/>
  <c r="K92" i="1" l="1"/>
  <c r="L92" i="1" s="1"/>
  <c r="M92" i="1" s="1"/>
  <c r="P91" i="1"/>
  <c r="S162" i="1"/>
  <c r="V162" i="1"/>
  <c r="O91" i="1"/>
  <c r="R92" i="1"/>
  <c r="T92" i="1" s="1"/>
  <c r="W161" i="1"/>
  <c r="X160" i="1"/>
  <c r="Y160" i="1" s="1"/>
  <c r="N92" i="1" l="1"/>
  <c r="P92" i="1" s="1"/>
  <c r="V163" i="1"/>
  <c r="S160" i="1"/>
  <c r="W162" i="1"/>
  <c r="X161" i="1"/>
  <c r="Y161" i="1" s="1"/>
  <c r="K93" i="1" l="1"/>
  <c r="L93" i="1" s="1"/>
  <c r="M93" i="1" s="1"/>
  <c r="R93" i="1"/>
  <c r="T93" i="1" s="1"/>
  <c r="O92" i="1"/>
  <c r="S164" i="1"/>
  <c r="V164" i="1"/>
  <c r="W163" i="1"/>
  <c r="X162" i="1"/>
  <c r="Y162" i="1" s="1"/>
  <c r="N93" i="1" l="1"/>
  <c r="R94" i="1" s="1"/>
  <c r="T94" i="1" s="1"/>
  <c r="S165" i="1"/>
  <c r="V165" i="1"/>
  <c r="W164" i="1"/>
  <c r="X163" i="1"/>
  <c r="Y163" i="1" s="1"/>
  <c r="O93" i="1" l="1"/>
  <c r="K94" i="1"/>
  <c r="L94" i="1" s="1"/>
  <c r="M94" i="1" s="1"/>
  <c r="P93" i="1"/>
  <c r="V166" i="1"/>
  <c r="S163" i="1"/>
  <c r="W165" i="1"/>
  <c r="X164" i="1"/>
  <c r="Y164" i="1" s="1"/>
  <c r="N94" i="1" l="1"/>
  <c r="R95" i="1" s="1"/>
  <c r="T95" i="1" s="1"/>
  <c r="S167" i="1"/>
  <c r="V167" i="1"/>
  <c r="W166" i="1"/>
  <c r="X165" i="1"/>
  <c r="Y165" i="1" s="1"/>
  <c r="K95" i="1" l="1"/>
  <c r="L95" i="1" s="1"/>
  <c r="M95" i="1" s="1"/>
  <c r="P94" i="1"/>
  <c r="O94" i="1"/>
  <c r="S168" i="1"/>
  <c r="V168" i="1"/>
  <c r="W167" i="1"/>
  <c r="X166" i="1"/>
  <c r="Y166" i="1" s="1"/>
  <c r="N95" i="1" l="1"/>
  <c r="R96" i="1" s="1"/>
  <c r="T96" i="1" s="1"/>
  <c r="V169" i="1"/>
  <c r="S166" i="1"/>
  <c r="W168" i="1"/>
  <c r="X167" i="1"/>
  <c r="Y167" i="1" s="1"/>
  <c r="K96" i="1" l="1"/>
  <c r="L96" i="1" s="1"/>
  <c r="M96" i="1" s="1"/>
  <c r="P95" i="1"/>
  <c r="O95" i="1"/>
  <c r="S170" i="1"/>
  <c r="V170" i="1"/>
  <c r="W169" i="1"/>
  <c r="X168" i="1"/>
  <c r="Y168" i="1" s="1"/>
  <c r="N96" i="1" l="1"/>
  <c r="R97" i="1" s="1"/>
  <c r="T97" i="1" s="1"/>
  <c r="V171" i="1"/>
  <c r="S171" i="1"/>
  <c r="W170" i="1"/>
  <c r="X169" i="1"/>
  <c r="Y169" i="1" s="1"/>
  <c r="K97" i="1" l="1"/>
  <c r="N97" i="1" s="1"/>
  <c r="P97" i="1" s="1"/>
  <c r="P96" i="1"/>
  <c r="O96" i="1"/>
  <c r="V172" i="1"/>
  <c r="S169" i="1"/>
  <c r="W171" i="1"/>
  <c r="X170" i="1"/>
  <c r="Y170" i="1" s="1"/>
  <c r="O97" i="1" l="1"/>
  <c r="R98" i="1"/>
  <c r="T98" i="1" s="1"/>
  <c r="L97" i="1"/>
  <c r="M97" i="1" s="1"/>
  <c r="K98" i="1"/>
  <c r="L98" i="1" s="1"/>
  <c r="M98" i="1" s="1"/>
  <c r="S173" i="1"/>
  <c r="V173" i="1"/>
  <c r="W172" i="1"/>
  <c r="X171" i="1"/>
  <c r="Y171" i="1" s="1"/>
  <c r="N98" i="1" l="1"/>
  <c r="R99" i="1" s="1"/>
  <c r="T99" i="1" s="1"/>
  <c r="S174" i="1"/>
  <c r="V174" i="1"/>
  <c r="W173" i="1"/>
  <c r="X172" i="1"/>
  <c r="Y172" i="1" s="1"/>
  <c r="K99" i="1" l="1"/>
  <c r="L99" i="1" s="1"/>
  <c r="M99" i="1" s="1"/>
  <c r="P98" i="1"/>
  <c r="O98" i="1"/>
  <c r="V175" i="1"/>
  <c r="N99" i="1"/>
  <c r="S172" i="1"/>
  <c r="W174" i="1"/>
  <c r="X173" i="1"/>
  <c r="Y173" i="1" s="1"/>
  <c r="R100" i="1" l="1"/>
  <c r="T100" i="1" s="1"/>
  <c r="P99" i="1"/>
  <c r="S176" i="1"/>
  <c r="V176" i="1"/>
  <c r="K100" i="1"/>
  <c r="N100" i="1" s="1"/>
  <c r="O99" i="1"/>
  <c r="W175" i="1"/>
  <c r="X174" i="1"/>
  <c r="Y174" i="1" s="1"/>
  <c r="R101" i="1" l="1"/>
  <c r="T101" i="1" s="1"/>
  <c r="P100" i="1"/>
  <c r="S177" i="1"/>
  <c r="V177" i="1"/>
  <c r="L100" i="1"/>
  <c r="M100" i="1" s="1"/>
  <c r="O100" i="1"/>
  <c r="K101" i="1"/>
  <c r="N101" i="1" s="1"/>
  <c r="W176" i="1"/>
  <c r="X175" i="1"/>
  <c r="Y175" i="1" s="1"/>
  <c r="R102" i="1" l="1"/>
  <c r="T102" i="1" s="1"/>
  <c r="P101" i="1"/>
  <c r="V178" i="1"/>
  <c r="K102" i="1"/>
  <c r="N102" i="1" s="1"/>
  <c r="L101" i="1"/>
  <c r="M101" i="1" s="1"/>
  <c r="O101" i="1"/>
  <c r="S175" i="1"/>
  <c r="W177" i="1"/>
  <c r="X176" i="1"/>
  <c r="Y176" i="1" s="1"/>
  <c r="R103" i="1" l="1"/>
  <c r="T103" i="1" s="1"/>
  <c r="P102" i="1"/>
  <c r="S179" i="1"/>
  <c r="V179" i="1"/>
  <c r="L102" i="1"/>
  <c r="M102" i="1" s="1"/>
  <c r="K103" i="1"/>
  <c r="N103" i="1" s="1"/>
  <c r="O102" i="1"/>
  <c r="W178" i="1"/>
  <c r="X177" i="1"/>
  <c r="Y177" i="1" s="1"/>
  <c r="R104" i="1" l="1"/>
  <c r="T104" i="1" s="1"/>
  <c r="P103" i="1"/>
  <c r="S180" i="1"/>
  <c r="V180" i="1"/>
  <c r="L103" i="1"/>
  <c r="M103" i="1" s="1"/>
  <c r="K104" i="1"/>
  <c r="L104" i="1" s="1"/>
  <c r="O103" i="1"/>
  <c r="W179" i="1"/>
  <c r="X178" i="1"/>
  <c r="Y178" i="1" s="1"/>
  <c r="V181" i="1" l="1"/>
  <c r="M104" i="1"/>
  <c r="N104" i="1"/>
  <c r="S178" i="1"/>
  <c r="W180" i="1"/>
  <c r="X179" i="1"/>
  <c r="Y179" i="1" s="1"/>
  <c r="R105" i="1" l="1"/>
  <c r="T105" i="1" s="1"/>
  <c r="P104" i="1"/>
  <c r="S182" i="1"/>
  <c r="V182" i="1"/>
  <c r="K105" i="1"/>
  <c r="O104" i="1"/>
  <c r="W181" i="1"/>
  <c r="X180" i="1"/>
  <c r="Y180" i="1" s="1"/>
  <c r="S183" i="1" l="1"/>
  <c r="V183" i="1"/>
  <c r="L105" i="1"/>
  <c r="M105" i="1" s="1"/>
  <c r="N105" i="1"/>
  <c r="W182" i="1"/>
  <c r="X181" i="1"/>
  <c r="Y181" i="1" s="1"/>
  <c r="R106" i="1" l="1"/>
  <c r="T106" i="1" s="1"/>
  <c r="P105" i="1"/>
  <c r="V184" i="1"/>
  <c r="O105" i="1"/>
  <c r="K106" i="1"/>
  <c r="L106" i="1" s="1"/>
  <c r="M106" i="1" s="1"/>
  <c r="S181" i="1"/>
  <c r="W183" i="1"/>
  <c r="X182" i="1"/>
  <c r="Y182" i="1" s="1"/>
  <c r="S185" i="1" l="1"/>
  <c r="V185" i="1"/>
  <c r="N106" i="1"/>
  <c r="W184" i="1"/>
  <c r="X183" i="1"/>
  <c r="Y183" i="1" s="1"/>
  <c r="R107" i="1" l="1"/>
  <c r="T107" i="1" s="1"/>
  <c r="P106" i="1"/>
  <c r="S186" i="1"/>
  <c r="V186" i="1"/>
  <c r="O106" i="1"/>
  <c r="K107" i="1"/>
  <c r="L107" i="1" s="1"/>
  <c r="M107" i="1" s="1"/>
  <c r="W185" i="1"/>
  <c r="X184" i="1"/>
  <c r="Y184" i="1" s="1"/>
  <c r="V187" i="1" l="1"/>
  <c r="N107" i="1"/>
  <c r="S184" i="1"/>
  <c r="W186" i="1"/>
  <c r="X185" i="1"/>
  <c r="Y185" i="1" s="1"/>
  <c r="R108" i="1" l="1"/>
  <c r="T108" i="1" s="1"/>
  <c r="P107" i="1"/>
  <c r="S188" i="1"/>
  <c r="V188" i="1"/>
  <c r="O107" i="1"/>
  <c r="K108" i="1"/>
  <c r="L108" i="1" s="1"/>
  <c r="M108" i="1" s="1"/>
  <c r="W187" i="1"/>
  <c r="X186" i="1"/>
  <c r="Y186" i="1" s="1"/>
  <c r="S189" i="1" l="1"/>
  <c r="V189" i="1"/>
  <c r="N108" i="1"/>
  <c r="W188" i="1"/>
  <c r="X187" i="1"/>
  <c r="Y187" i="1" s="1"/>
  <c r="R109" i="1" l="1"/>
  <c r="T109" i="1" s="1"/>
  <c r="P108" i="1"/>
  <c r="V190" i="1"/>
  <c r="K109" i="1"/>
  <c r="O108" i="1"/>
  <c r="S187" i="1"/>
  <c r="W189" i="1"/>
  <c r="X188" i="1"/>
  <c r="Y188" i="1" s="1"/>
  <c r="S191" i="1" l="1"/>
  <c r="V191" i="1"/>
  <c r="L109" i="1"/>
  <c r="M109" i="1" s="1"/>
  <c r="N109" i="1"/>
  <c r="W190" i="1"/>
  <c r="X189" i="1"/>
  <c r="Y189" i="1" s="1"/>
  <c r="R110" i="1" l="1"/>
  <c r="T110" i="1" s="1"/>
  <c r="P109" i="1"/>
  <c r="S192" i="1"/>
  <c r="V192" i="1"/>
  <c r="K110" i="1"/>
  <c r="N110" i="1" s="1"/>
  <c r="O109" i="1"/>
  <c r="W191" i="1"/>
  <c r="X190" i="1"/>
  <c r="Y190" i="1" s="1"/>
  <c r="R111" i="1" l="1"/>
  <c r="T111" i="1" s="1"/>
  <c r="P110" i="1"/>
  <c r="V193" i="1"/>
  <c r="L110" i="1"/>
  <c r="M110" i="1" s="1"/>
  <c r="O110" i="1"/>
  <c r="K111" i="1"/>
  <c r="L111" i="1" s="1"/>
  <c r="S190" i="1"/>
  <c r="W192" i="1"/>
  <c r="X191" i="1"/>
  <c r="Y191" i="1" s="1"/>
  <c r="S194" i="1" l="1"/>
  <c r="V194" i="1"/>
  <c r="M111" i="1"/>
  <c r="N111" i="1"/>
  <c r="P111" i="1" s="1"/>
  <c r="W193" i="1"/>
  <c r="X192" i="1"/>
  <c r="Y192" i="1" s="1"/>
  <c r="V195" i="1" l="1"/>
  <c r="S195" i="1"/>
  <c r="O111" i="1"/>
  <c r="R112" i="1"/>
  <c r="T112" i="1" s="1"/>
  <c r="K112" i="1"/>
  <c r="N112" i="1" s="1"/>
  <c r="W194" i="1"/>
  <c r="X193" i="1"/>
  <c r="Y193" i="1" s="1"/>
  <c r="R113" i="1" l="1"/>
  <c r="T113" i="1" s="1"/>
  <c r="P112" i="1"/>
  <c r="V196" i="1"/>
  <c r="L112" i="1"/>
  <c r="M112" i="1" s="1"/>
  <c r="K113" i="1"/>
  <c r="L113" i="1" s="1"/>
  <c r="O112" i="1"/>
  <c r="S193" i="1"/>
  <c r="W195" i="1"/>
  <c r="X194" i="1"/>
  <c r="Y194" i="1" s="1"/>
  <c r="S197" i="1" l="1"/>
  <c r="V197" i="1"/>
  <c r="M113" i="1"/>
  <c r="N113" i="1"/>
  <c r="W196" i="1"/>
  <c r="X195" i="1"/>
  <c r="Y195" i="1" s="1"/>
  <c r="R114" i="1" l="1"/>
  <c r="T114" i="1" s="1"/>
  <c r="P113" i="1"/>
  <c r="S198" i="1"/>
  <c r="V198" i="1"/>
  <c r="O113" i="1"/>
  <c r="K114" i="1"/>
  <c r="L114" i="1" s="1"/>
  <c r="M114" i="1" s="1"/>
  <c r="W197" i="1"/>
  <c r="X196" i="1"/>
  <c r="Y196" i="1" s="1"/>
  <c r="V199" i="1" l="1"/>
  <c r="N114" i="1"/>
  <c r="S196" i="1"/>
  <c r="W198" i="1"/>
  <c r="X197" i="1"/>
  <c r="Y197" i="1" s="1"/>
  <c r="R115" i="1" l="1"/>
  <c r="T115" i="1" s="1"/>
  <c r="P114" i="1"/>
  <c r="S200" i="1"/>
  <c r="V200" i="1"/>
  <c r="K115" i="1"/>
  <c r="N115" i="1" s="1"/>
  <c r="O114" i="1"/>
  <c r="W199" i="1"/>
  <c r="X198" i="1"/>
  <c r="Y198" i="1" s="1"/>
  <c r="R116" i="1" l="1"/>
  <c r="T116" i="1" s="1"/>
  <c r="P115" i="1"/>
  <c r="S201" i="1"/>
  <c r="V201" i="1"/>
  <c r="L115" i="1"/>
  <c r="M115" i="1" s="1"/>
  <c r="K116" i="1"/>
  <c r="N116" i="1" s="1"/>
  <c r="O115" i="1"/>
  <c r="W200" i="1"/>
  <c r="X199" i="1"/>
  <c r="Y199" i="1" s="1"/>
  <c r="R117" i="1" l="1"/>
  <c r="T117" i="1" s="1"/>
  <c r="P116" i="1"/>
  <c r="V202" i="1"/>
  <c r="L116" i="1"/>
  <c r="M116" i="1" s="1"/>
  <c r="S199" i="1"/>
  <c r="W201" i="1"/>
  <c r="X200" i="1"/>
  <c r="Y200" i="1" s="1"/>
  <c r="S203" i="1" l="1"/>
  <c r="V203" i="1"/>
  <c r="K117" i="1"/>
  <c r="N117" i="1" s="1"/>
  <c r="O116" i="1"/>
  <c r="W202" i="1"/>
  <c r="X201" i="1"/>
  <c r="Y201" i="1" s="1"/>
  <c r="R118" i="1" l="1"/>
  <c r="T118" i="1" s="1"/>
  <c r="P117" i="1"/>
  <c r="S204" i="1"/>
  <c r="V204" i="1"/>
  <c r="L117" i="1"/>
  <c r="M117" i="1" s="1"/>
  <c r="W203" i="1"/>
  <c r="X202" i="1"/>
  <c r="Y202" i="1" s="1"/>
  <c r="V205" i="1" l="1"/>
  <c r="K118" i="1"/>
  <c r="N118" i="1" s="1"/>
  <c r="O117" i="1"/>
  <c r="S202" i="1"/>
  <c r="W204" i="1"/>
  <c r="X203" i="1"/>
  <c r="Y203" i="1" s="1"/>
  <c r="R119" i="1" l="1"/>
  <c r="T119" i="1" s="1"/>
  <c r="P118" i="1"/>
  <c r="S206" i="1"/>
  <c r="V206" i="1"/>
  <c r="L118" i="1"/>
  <c r="M118" i="1" s="1"/>
  <c r="W205" i="1"/>
  <c r="X204" i="1"/>
  <c r="Y204" i="1" s="1"/>
  <c r="S207" i="1" l="1"/>
  <c r="V207" i="1"/>
  <c r="K119" i="1"/>
  <c r="O118" i="1"/>
  <c r="W206" i="1"/>
  <c r="X205" i="1"/>
  <c r="Y205" i="1" s="1"/>
  <c r="V208" i="1" l="1"/>
  <c r="L119" i="1"/>
  <c r="M119" i="1" s="1"/>
  <c r="N119" i="1"/>
  <c r="S205" i="1"/>
  <c r="W207" i="1"/>
  <c r="X206" i="1"/>
  <c r="Y206" i="1" s="1"/>
  <c r="R120" i="1" l="1"/>
  <c r="T120" i="1" s="1"/>
  <c r="P119" i="1"/>
  <c r="S209" i="1"/>
  <c r="V209" i="1"/>
  <c r="K120" i="1"/>
  <c r="L120" i="1" s="1"/>
  <c r="M120" i="1" s="1"/>
  <c r="O119" i="1"/>
  <c r="W208" i="1"/>
  <c r="X207" i="1"/>
  <c r="Y207" i="1" s="1"/>
  <c r="S210" i="1" l="1"/>
  <c r="V210" i="1"/>
  <c r="N120" i="1"/>
  <c r="W209" i="1"/>
  <c r="X208" i="1"/>
  <c r="Y208" i="1" s="1"/>
  <c r="R121" i="1" l="1"/>
  <c r="T121" i="1" s="1"/>
  <c r="P120" i="1"/>
  <c r="V211" i="1"/>
  <c r="O120" i="1"/>
  <c r="K121" i="1"/>
  <c r="S208" i="1"/>
  <c r="W210" i="1"/>
  <c r="X209" i="1"/>
  <c r="Y209" i="1" s="1"/>
  <c r="S212" i="1" l="1"/>
  <c r="V212" i="1"/>
  <c r="L121" i="1"/>
  <c r="M121" i="1" s="1"/>
  <c r="N121" i="1"/>
  <c r="W211" i="1"/>
  <c r="X210" i="1"/>
  <c r="Y210" i="1" s="1"/>
  <c r="R122" i="1" l="1"/>
  <c r="T122" i="1" s="1"/>
  <c r="P121" i="1"/>
  <c r="S213" i="1"/>
  <c r="V213" i="1"/>
  <c r="K122" i="1"/>
  <c r="L122" i="1" s="1"/>
  <c r="M122" i="1" s="1"/>
  <c r="O121" i="1"/>
  <c r="W212" i="1"/>
  <c r="X211" i="1"/>
  <c r="Y211" i="1" s="1"/>
  <c r="V214" i="1" l="1"/>
  <c r="N122" i="1"/>
  <c r="S211" i="1"/>
  <c r="W213" i="1"/>
  <c r="X212" i="1"/>
  <c r="Y212" i="1" s="1"/>
  <c r="R123" i="1" l="1"/>
  <c r="T123" i="1" s="1"/>
  <c r="P122" i="1"/>
  <c r="S215" i="1"/>
  <c r="V215" i="1"/>
  <c r="K123" i="1"/>
  <c r="N123" i="1" s="1"/>
  <c r="O122" i="1"/>
  <c r="W214" i="1"/>
  <c r="X213" i="1"/>
  <c r="Y213" i="1" s="1"/>
  <c r="R124" i="1" l="1"/>
  <c r="T124" i="1" s="1"/>
  <c r="P123" i="1"/>
  <c r="S216" i="1"/>
  <c r="V216" i="1"/>
  <c r="L123" i="1"/>
  <c r="M123" i="1" s="1"/>
  <c r="O123" i="1"/>
  <c r="K124" i="1"/>
  <c r="N124" i="1" s="1"/>
  <c r="W215" i="1"/>
  <c r="X214" i="1"/>
  <c r="Y214" i="1" s="1"/>
  <c r="R125" i="1" l="1"/>
  <c r="T125" i="1" s="1"/>
  <c r="P124" i="1"/>
  <c r="V217" i="1"/>
  <c r="L124" i="1"/>
  <c r="M124" i="1" s="1"/>
  <c r="S214" i="1"/>
  <c r="W216" i="1"/>
  <c r="X215" i="1"/>
  <c r="Y215" i="1" s="1"/>
  <c r="S218" i="1" l="1"/>
  <c r="V218" i="1"/>
  <c r="K125" i="1"/>
  <c r="N125" i="1" s="1"/>
  <c r="O124" i="1"/>
  <c r="W217" i="1"/>
  <c r="X216" i="1"/>
  <c r="Y216" i="1" s="1"/>
  <c r="R126" i="1" l="1"/>
  <c r="T126" i="1" s="1"/>
  <c r="P125" i="1"/>
  <c r="V219" i="1"/>
  <c r="S219" i="1"/>
  <c r="L125" i="1"/>
  <c r="M125" i="1" s="1"/>
  <c r="W218" i="1"/>
  <c r="X217" i="1"/>
  <c r="Y217" i="1" s="1"/>
  <c r="V220" i="1" l="1"/>
  <c r="O125" i="1"/>
  <c r="K126" i="1"/>
  <c r="N126" i="1" s="1"/>
  <c r="S217" i="1"/>
  <c r="W219" i="1"/>
  <c r="X218" i="1"/>
  <c r="Y218" i="1" s="1"/>
  <c r="R127" i="1" l="1"/>
  <c r="T127" i="1" s="1"/>
  <c r="P126" i="1"/>
  <c r="S221" i="1"/>
  <c r="V221" i="1"/>
  <c r="L126" i="1"/>
  <c r="M126" i="1" s="1"/>
  <c r="W220" i="1"/>
  <c r="X219" i="1"/>
  <c r="Y219" i="1" s="1"/>
  <c r="S222" i="1" l="1"/>
  <c r="V222" i="1"/>
  <c r="O126" i="1"/>
  <c r="K127" i="1"/>
  <c r="N127" i="1" s="1"/>
  <c r="W221" i="1"/>
  <c r="X220" i="1"/>
  <c r="Y220" i="1" s="1"/>
  <c r="R128" i="1" l="1"/>
  <c r="T128" i="1" s="1"/>
  <c r="P127" i="1"/>
  <c r="V223" i="1"/>
  <c r="L127" i="1"/>
  <c r="M127" i="1" s="1"/>
  <c r="S220" i="1"/>
  <c r="W222" i="1"/>
  <c r="X221" i="1"/>
  <c r="Y221" i="1" s="1"/>
  <c r="S224" i="1" l="1"/>
  <c r="V224" i="1"/>
  <c r="O127" i="1"/>
  <c r="K128" i="1"/>
  <c r="N128" i="1" s="1"/>
  <c r="W223" i="1"/>
  <c r="X222" i="1"/>
  <c r="Y222" i="1" s="1"/>
  <c r="R129" i="1" l="1"/>
  <c r="T129" i="1" s="1"/>
  <c r="P128" i="1"/>
  <c r="S225" i="1"/>
  <c r="V225" i="1"/>
  <c r="L128" i="1"/>
  <c r="M128" i="1" s="1"/>
  <c r="W224" i="1"/>
  <c r="X223" i="1"/>
  <c r="Y223" i="1" s="1"/>
  <c r="V226" i="1" l="1"/>
  <c r="O128" i="1"/>
  <c r="K129" i="1"/>
  <c r="N129" i="1" s="1"/>
  <c r="S223" i="1"/>
  <c r="W225" i="1"/>
  <c r="X224" i="1"/>
  <c r="Y224" i="1" s="1"/>
  <c r="R130" i="1" l="1"/>
  <c r="T130" i="1" s="1"/>
  <c r="P129" i="1"/>
  <c r="S227" i="1"/>
  <c r="V227" i="1"/>
  <c r="L129" i="1"/>
  <c r="M129" i="1" s="1"/>
  <c r="W226" i="1"/>
  <c r="X225" i="1"/>
  <c r="Y225" i="1" s="1"/>
  <c r="S228" i="1" l="1"/>
  <c r="V228" i="1"/>
  <c r="K130" i="1"/>
  <c r="N130" i="1" s="1"/>
  <c r="O129" i="1"/>
  <c r="W227" i="1"/>
  <c r="X226" i="1"/>
  <c r="Y226" i="1" s="1"/>
  <c r="R131" i="1" l="1"/>
  <c r="T131" i="1" s="1"/>
  <c r="P130" i="1"/>
  <c r="V229" i="1"/>
  <c r="L130" i="1"/>
  <c r="M130" i="1" s="1"/>
  <c r="S226" i="1"/>
  <c r="W228" i="1"/>
  <c r="X227" i="1"/>
  <c r="Y227" i="1" s="1"/>
  <c r="S230" i="1" l="1"/>
  <c r="V230" i="1"/>
  <c r="K131" i="1"/>
  <c r="N131" i="1" s="1"/>
  <c r="O130" i="1"/>
  <c r="W229" i="1"/>
  <c r="X228" i="1"/>
  <c r="Y228" i="1" s="1"/>
  <c r="R132" i="1" l="1"/>
  <c r="T132" i="1" s="1"/>
  <c r="P131" i="1"/>
  <c r="S231" i="1"/>
  <c r="V231" i="1"/>
  <c r="L131" i="1"/>
  <c r="M131" i="1" s="1"/>
  <c r="W230" i="1"/>
  <c r="X229" i="1"/>
  <c r="Y229" i="1" s="1"/>
  <c r="V232" i="1" l="1"/>
  <c r="K132" i="1"/>
  <c r="O131" i="1"/>
  <c r="S229" i="1"/>
  <c r="W231" i="1"/>
  <c r="X230" i="1"/>
  <c r="Y230" i="1" s="1"/>
  <c r="S233" i="1" l="1"/>
  <c r="V233" i="1"/>
  <c r="L132" i="1"/>
  <c r="M132" i="1" s="1"/>
  <c r="N132" i="1"/>
  <c r="P132" i="1" s="1"/>
  <c r="W232" i="1"/>
  <c r="X231" i="1"/>
  <c r="Y231" i="1" s="1"/>
  <c r="S234" i="1" l="1"/>
  <c r="V234" i="1"/>
  <c r="K133" i="1"/>
  <c r="L133" i="1" s="1"/>
  <c r="M133" i="1" s="1"/>
  <c r="R133" i="1"/>
  <c r="T133" i="1" s="1"/>
  <c r="O132" i="1"/>
  <c r="W233" i="1"/>
  <c r="X232" i="1"/>
  <c r="Y232" i="1" s="1"/>
  <c r="V235" i="1" l="1"/>
  <c r="N133" i="1"/>
  <c r="P133" i="1" s="1"/>
  <c r="S232" i="1"/>
  <c r="W234" i="1"/>
  <c r="X233" i="1"/>
  <c r="Y233" i="1" s="1"/>
  <c r="S236" i="1" l="1"/>
  <c r="V236" i="1"/>
  <c r="R134" i="1"/>
  <c r="T134" i="1" s="1"/>
  <c r="K134" i="1"/>
  <c r="L134" i="1" s="1"/>
  <c r="M134" i="1" s="1"/>
  <c r="O133" i="1"/>
  <c r="W235" i="1"/>
  <c r="X234" i="1"/>
  <c r="Y234" i="1" s="1"/>
  <c r="S237" i="1" l="1"/>
  <c r="V237" i="1"/>
  <c r="N134" i="1"/>
  <c r="P134" i="1" s="1"/>
  <c r="W236" i="1"/>
  <c r="X235" i="1"/>
  <c r="Y235" i="1" s="1"/>
  <c r="V238" i="1" l="1"/>
  <c r="R135" i="1"/>
  <c r="T135" i="1" s="1"/>
  <c r="K135" i="1"/>
  <c r="O134" i="1"/>
  <c r="S235" i="1"/>
  <c r="W237" i="1"/>
  <c r="X236" i="1"/>
  <c r="Y236" i="1" s="1"/>
  <c r="S239" i="1" l="1"/>
  <c r="V239" i="1"/>
  <c r="N135" i="1"/>
  <c r="P135" i="1" s="1"/>
  <c r="L135" i="1"/>
  <c r="M135" i="1" s="1"/>
  <c r="W238" i="1"/>
  <c r="X237" i="1"/>
  <c r="Y237" i="1" s="1"/>
  <c r="S240" i="1" l="1"/>
  <c r="V240" i="1"/>
  <c r="R136" i="1"/>
  <c r="T136" i="1" s="1"/>
  <c r="O135" i="1"/>
  <c r="K136" i="1"/>
  <c r="W239" i="1"/>
  <c r="X238" i="1"/>
  <c r="Y238" i="1" s="1"/>
  <c r="V241" i="1" l="1"/>
  <c r="L136" i="1"/>
  <c r="M136" i="1" s="1"/>
  <c r="N136" i="1"/>
  <c r="P136" i="1" s="1"/>
  <c r="S238" i="1"/>
  <c r="W240" i="1"/>
  <c r="X239" i="1"/>
  <c r="Y239" i="1" s="1"/>
  <c r="S242" i="1" l="1"/>
  <c r="V242" i="1"/>
  <c r="R137" i="1"/>
  <c r="T137" i="1" s="1"/>
  <c r="K137" i="1"/>
  <c r="O136" i="1"/>
  <c r="W241" i="1"/>
  <c r="X240" i="1"/>
  <c r="Y240" i="1" s="1"/>
  <c r="V243" i="1" l="1"/>
  <c r="S243" i="1"/>
  <c r="N137" i="1"/>
  <c r="P137" i="1" s="1"/>
  <c r="L137" i="1"/>
  <c r="M137" i="1" s="1"/>
  <c r="W242" i="1"/>
  <c r="X241" i="1"/>
  <c r="Y241" i="1" s="1"/>
  <c r="V244" i="1" l="1"/>
  <c r="R138" i="1"/>
  <c r="T138" i="1" s="1"/>
  <c r="K138" i="1"/>
  <c r="O137" i="1"/>
  <c r="S241" i="1"/>
  <c r="W243" i="1"/>
  <c r="X242" i="1"/>
  <c r="Y242" i="1" s="1"/>
  <c r="S245" i="1" l="1"/>
  <c r="V245" i="1"/>
  <c r="N138" i="1"/>
  <c r="P138" i="1" s="1"/>
  <c r="L138" i="1"/>
  <c r="M138" i="1" s="1"/>
  <c r="W244" i="1"/>
  <c r="X243" i="1"/>
  <c r="Y243" i="1" s="1"/>
  <c r="S246" i="1" l="1"/>
  <c r="V246" i="1"/>
  <c r="R139" i="1"/>
  <c r="T139" i="1" s="1"/>
  <c r="K139" i="1"/>
  <c r="L139" i="1" s="1"/>
  <c r="M139" i="1" s="1"/>
  <c r="O138" i="1"/>
  <c r="W245" i="1"/>
  <c r="X244" i="1"/>
  <c r="Y244" i="1" s="1"/>
  <c r="V247" i="1" l="1"/>
  <c r="N139" i="1"/>
  <c r="S244" i="1"/>
  <c r="W246" i="1"/>
  <c r="X245" i="1"/>
  <c r="Y245" i="1" s="1"/>
  <c r="R140" i="1" l="1"/>
  <c r="T140" i="1" s="1"/>
  <c r="P139" i="1"/>
  <c r="S248" i="1"/>
  <c r="V248" i="1"/>
  <c r="O139" i="1"/>
  <c r="K140" i="1"/>
  <c r="N140" i="1" s="1"/>
  <c r="W247" i="1"/>
  <c r="X246" i="1"/>
  <c r="Y246" i="1" s="1"/>
  <c r="R141" i="1" l="1"/>
  <c r="T141" i="1" s="1"/>
  <c r="P140" i="1"/>
  <c r="S249" i="1"/>
  <c r="V249" i="1"/>
  <c r="K141" i="1"/>
  <c r="N141" i="1" s="1"/>
  <c r="L140" i="1"/>
  <c r="M140" i="1" s="1"/>
  <c r="O140" i="1"/>
  <c r="W248" i="1"/>
  <c r="X247" i="1"/>
  <c r="Y247" i="1" s="1"/>
  <c r="R142" i="1" l="1"/>
  <c r="T142" i="1" s="1"/>
  <c r="P141" i="1"/>
  <c r="V250" i="1"/>
  <c r="L141" i="1"/>
  <c r="M141" i="1" s="1"/>
  <c r="S247" i="1"/>
  <c r="W249" i="1"/>
  <c r="X248" i="1"/>
  <c r="Y248" i="1" s="1"/>
  <c r="K142" i="1"/>
  <c r="O141" i="1"/>
  <c r="S251" i="1" l="1"/>
  <c r="V251" i="1"/>
  <c r="N142" i="1"/>
  <c r="L142" i="1"/>
  <c r="M142" i="1" s="1"/>
  <c r="W250" i="1"/>
  <c r="X249" i="1"/>
  <c r="Y249" i="1" s="1"/>
  <c r="R143" i="1" l="1"/>
  <c r="T143" i="1" s="1"/>
  <c r="P142" i="1"/>
  <c r="S252" i="1"/>
  <c r="V252" i="1"/>
  <c r="O142" i="1"/>
  <c r="K143" i="1"/>
  <c r="N143" i="1" s="1"/>
  <c r="W251" i="1"/>
  <c r="X250" i="1"/>
  <c r="Y250" i="1" s="1"/>
  <c r="R144" i="1" l="1"/>
  <c r="T144" i="1" s="1"/>
  <c r="P143" i="1"/>
  <c r="V253" i="1"/>
  <c r="L143" i="1"/>
  <c r="M143" i="1" s="1"/>
  <c r="S250" i="1"/>
  <c r="W252" i="1"/>
  <c r="X251" i="1"/>
  <c r="Y251" i="1" s="1"/>
  <c r="S254" i="1" l="1"/>
  <c r="V254" i="1"/>
  <c r="O143" i="1"/>
  <c r="K144" i="1"/>
  <c r="W253" i="1"/>
  <c r="X252" i="1"/>
  <c r="Y252" i="1" s="1"/>
  <c r="S255" i="1" l="1"/>
  <c r="V255" i="1"/>
  <c r="L144" i="1"/>
  <c r="M144" i="1" s="1"/>
  <c r="N144" i="1"/>
  <c r="W254" i="1"/>
  <c r="X253" i="1"/>
  <c r="Y253" i="1" s="1"/>
  <c r="R145" i="1" l="1"/>
  <c r="T145" i="1" s="1"/>
  <c r="P144" i="1"/>
  <c r="V256" i="1"/>
  <c r="S253" i="1"/>
  <c r="K145" i="1"/>
  <c r="O144" i="1"/>
  <c r="W255" i="1"/>
  <c r="X254" i="1"/>
  <c r="Y254" i="1" s="1"/>
  <c r="S257" i="1" l="1"/>
  <c r="V257" i="1"/>
  <c r="N145" i="1"/>
  <c r="L145" i="1"/>
  <c r="M145" i="1" s="1"/>
  <c r="W256" i="1"/>
  <c r="X255" i="1"/>
  <c r="Y255" i="1" s="1"/>
  <c r="R146" i="1" l="1"/>
  <c r="T146" i="1" s="1"/>
  <c r="P145" i="1"/>
  <c r="S258" i="1"/>
  <c r="V258" i="1"/>
  <c r="K146" i="1"/>
  <c r="N146" i="1" s="1"/>
  <c r="O145" i="1"/>
  <c r="W257" i="1"/>
  <c r="X256" i="1"/>
  <c r="Y256" i="1" s="1"/>
  <c r="R147" i="1" l="1"/>
  <c r="T147" i="1" s="1"/>
  <c r="P146" i="1"/>
  <c r="V259" i="1"/>
  <c r="S256" i="1"/>
  <c r="L146" i="1"/>
  <c r="M146" i="1" s="1"/>
  <c r="W258" i="1"/>
  <c r="X257" i="1"/>
  <c r="Y257" i="1" s="1"/>
  <c r="S260" i="1" l="1"/>
  <c r="V260" i="1"/>
  <c r="O146" i="1"/>
  <c r="K147" i="1"/>
  <c r="W259" i="1"/>
  <c r="X258" i="1"/>
  <c r="Y258" i="1" s="1"/>
  <c r="S261" i="1" l="1"/>
  <c r="V261" i="1"/>
  <c r="N147" i="1"/>
  <c r="L147" i="1"/>
  <c r="M147" i="1" s="1"/>
  <c r="W260" i="1"/>
  <c r="X259" i="1"/>
  <c r="Y259" i="1" s="1"/>
  <c r="R148" i="1" l="1"/>
  <c r="T148" i="1" s="1"/>
  <c r="P147" i="1"/>
  <c r="V262" i="1"/>
  <c r="S259" i="1"/>
  <c r="O147" i="1"/>
  <c r="K148" i="1"/>
  <c r="W261" i="1"/>
  <c r="X260" i="1"/>
  <c r="Y260" i="1" s="1"/>
  <c r="S263" i="1" l="1"/>
  <c r="V263" i="1"/>
  <c r="N148" i="1"/>
  <c r="L148" i="1"/>
  <c r="M148" i="1" s="1"/>
  <c r="W262" i="1"/>
  <c r="X261" i="1"/>
  <c r="Y261" i="1" s="1"/>
  <c r="R149" i="1" l="1"/>
  <c r="T149" i="1" s="1"/>
  <c r="P148" i="1"/>
  <c r="S264" i="1"/>
  <c r="V264" i="1"/>
  <c r="O148" i="1"/>
  <c r="K149" i="1"/>
  <c r="W263" i="1"/>
  <c r="X262" i="1"/>
  <c r="Y262" i="1" s="1"/>
  <c r="V265" i="1" l="1"/>
  <c r="N149" i="1"/>
  <c r="L149" i="1"/>
  <c r="M149" i="1" s="1"/>
  <c r="S262" i="1"/>
  <c r="W264" i="1"/>
  <c r="X263" i="1"/>
  <c r="Y263" i="1" s="1"/>
  <c r="R150" i="1" l="1"/>
  <c r="T150" i="1" s="1"/>
  <c r="P149" i="1"/>
  <c r="S266" i="1"/>
  <c r="V266" i="1"/>
  <c r="K150" i="1"/>
  <c r="N150" i="1" s="1"/>
  <c r="O149" i="1"/>
  <c r="W265" i="1"/>
  <c r="X264" i="1"/>
  <c r="Y264" i="1" s="1"/>
  <c r="R151" i="1" l="1"/>
  <c r="T151" i="1" s="1"/>
  <c r="P150" i="1"/>
  <c r="V267" i="1"/>
  <c r="S267" i="1"/>
  <c r="L150" i="1"/>
  <c r="M150" i="1" s="1"/>
  <c r="W266" i="1"/>
  <c r="X265" i="1"/>
  <c r="Y265" i="1" s="1"/>
  <c r="V268" i="1" l="1"/>
  <c r="S265" i="1"/>
  <c r="O150" i="1"/>
  <c r="K151" i="1"/>
  <c r="W267" i="1"/>
  <c r="X266" i="1"/>
  <c r="Y266" i="1" s="1"/>
  <c r="S269" i="1" l="1"/>
  <c r="V269" i="1"/>
  <c r="N151" i="1"/>
  <c r="L151" i="1"/>
  <c r="M151" i="1" s="1"/>
  <c r="W268" i="1"/>
  <c r="X267" i="1"/>
  <c r="Y267" i="1" s="1"/>
  <c r="R152" i="1" l="1"/>
  <c r="T152" i="1" s="1"/>
  <c r="P151" i="1"/>
  <c r="S270" i="1"/>
  <c r="V270" i="1"/>
  <c r="O151" i="1"/>
  <c r="K152" i="1"/>
  <c r="N152" i="1" s="1"/>
  <c r="W269" i="1"/>
  <c r="X268" i="1"/>
  <c r="Y268" i="1" s="1"/>
  <c r="R153" i="1" l="1"/>
  <c r="T153" i="1" s="1"/>
  <c r="P152" i="1"/>
  <c r="V271" i="1"/>
  <c r="L152" i="1"/>
  <c r="M152" i="1" s="1"/>
  <c r="S268" i="1"/>
  <c r="W270" i="1"/>
  <c r="X269" i="1"/>
  <c r="Y269" i="1" s="1"/>
  <c r="S272" i="1" l="1"/>
  <c r="V272" i="1"/>
  <c r="K153" i="1"/>
  <c r="O152" i="1"/>
  <c r="W271" i="1"/>
  <c r="X270" i="1"/>
  <c r="Y270" i="1" s="1"/>
  <c r="S273" i="1" l="1"/>
  <c r="V273" i="1"/>
  <c r="N153" i="1"/>
  <c r="L153" i="1"/>
  <c r="M153" i="1" s="1"/>
  <c r="W272" i="1"/>
  <c r="X271" i="1"/>
  <c r="Y271" i="1" s="1"/>
  <c r="R154" i="1" l="1"/>
  <c r="T154" i="1" s="1"/>
  <c r="P153" i="1"/>
  <c r="V274" i="1"/>
  <c r="S271" i="1"/>
  <c r="K154" i="1"/>
  <c r="O153" i="1"/>
  <c r="W273" i="1"/>
  <c r="X272" i="1"/>
  <c r="Y272" i="1" s="1"/>
  <c r="S275" i="1" l="1"/>
  <c r="V275" i="1"/>
  <c r="N154" i="1"/>
  <c r="L154" i="1"/>
  <c r="M154" i="1" s="1"/>
  <c r="W274" i="1"/>
  <c r="X273" i="1"/>
  <c r="Y273" i="1" s="1"/>
  <c r="R155" i="1" l="1"/>
  <c r="T155" i="1" s="1"/>
  <c r="P154" i="1"/>
  <c r="S276" i="1"/>
  <c r="V276" i="1"/>
  <c r="K155" i="1"/>
  <c r="O154" i="1"/>
  <c r="W275" i="1"/>
  <c r="X274" i="1"/>
  <c r="Y274" i="1" s="1"/>
  <c r="V277" i="1" l="1"/>
  <c r="N155" i="1"/>
  <c r="S274" i="1"/>
  <c r="L155" i="1"/>
  <c r="M155" i="1" s="1"/>
  <c r="W276" i="1"/>
  <c r="X275" i="1"/>
  <c r="Y275" i="1" s="1"/>
  <c r="R156" i="1" l="1"/>
  <c r="T156" i="1" s="1"/>
  <c r="P155" i="1"/>
  <c r="S278" i="1"/>
  <c r="V278" i="1"/>
  <c r="K156" i="1"/>
  <c r="O155" i="1"/>
  <c r="W277" i="1"/>
  <c r="X276" i="1"/>
  <c r="Y276" i="1" s="1"/>
  <c r="S279" i="1" l="1"/>
  <c r="V279" i="1"/>
  <c r="N156" i="1"/>
  <c r="L156" i="1"/>
  <c r="M156" i="1" s="1"/>
  <c r="W278" i="1"/>
  <c r="X277" i="1"/>
  <c r="Y277" i="1" s="1"/>
  <c r="R157" i="1" l="1"/>
  <c r="T157" i="1" s="1"/>
  <c r="P156" i="1"/>
  <c r="V280" i="1"/>
  <c r="O156" i="1"/>
  <c r="S277" i="1"/>
  <c r="K157" i="1"/>
  <c r="N157" i="1" s="1"/>
  <c r="W279" i="1"/>
  <c r="X278" i="1"/>
  <c r="Y278" i="1" s="1"/>
  <c r="R158" i="1" l="1"/>
  <c r="T158" i="1" s="1"/>
  <c r="P157" i="1"/>
  <c r="S281" i="1"/>
  <c r="V281" i="1"/>
  <c r="L157" i="1"/>
  <c r="M157" i="1" s="1"/>
  <c r="W280" i="1"/>
  <c r="X279" i="1"/>
  <c r="Y279" i="1" s="1"/>
  <c r="S282" i="1" l="1"/>
  <c r="V282" i="1"/>
  <c r="K158" i="1"/>
  <c r="O157" i="1"/>
  <c r="W281" i="1"/>
  <c r="X280" i="1"/>
  <c r="Y280" i="1" s="1"/>
  <c r="V283" i="1" l="1"/>
  <c r="L158" i="1"/>
  <c r="M158" i="1" s="1"/>
  <c r="N158" i="1"/>
  <c r="S280" i="1"/>
  <c r="W282" i="1"/>
  <c r="X281" i="1"/>
  <c r="Y281" i="1" s="1"/>
  <c r="R159" i="1" l="1"/>
  <c r="T159" i="1" s="1"/>
  <c r="P158" i="1"/>
  <c r="S284" i="1"/>
  <c r="V284" i="1"/>
  <c r="K159" i="1"/>
  <c r="L159" i="1" s="1"/>
  <c r="M159" i="1" s="1"/>
  <c r="O158" i="1"/>
  <c r="W283" i="1"/>
  <c r="X282" i="1"/>
  <c r="Y282" i="1" s="1"/>
  <c r="S285" i="1" l="1"/>
  <c r="V285" i="1"/>
  <c r="N159" i="1"/>
  <c r="W284" i="1"/>
  <c r="X283" i="1"/>
  <c r="Y283" i="1" s="1"/>
  <c r="R160" i="1" l="1"/>
  <c r="T160" i="1" s="1"/>
  <c r="P159" i="1"/>
  <c r="V286" i="1"/>
  <c r="K160" i="1"/>
  <c r="L160" i="1" s="1"/>
  <c r="M160" i="1" s="1"/>
  <c r="O159" i="1"/>
  <c r="S283" i="1"/>
  <c r="W285" i="1"/>
  <c r="X284" i="1"/>
  <c r="Y284" i="1" s="1"/>
  <c r="S287" i="1" l="1"/>
  <c r="V287" i="1"/>
  <c r="N160" i="1"/>
  <c r="W286" i="1"/>
  <c r="X285" i="1"/>
  <c r="Y285" i="1" s="1"/>
  <c r="R161" i="1" l="1"/>
  <c r="T161" i="1" s="1"/>
  <c r="P160" i="1"/>
  <c r="S288" i="1"/>
  <c r="V288" i="1"/>
  <c r="O160" i="1"/>
  <c r="K161" i="1"/>
  <c r="L161" i="1" s="1"/>
  <c r="M161" i="1" s="1"/>
  <c r="W287" i="1"/>
  <c r="X286" i="1"/>
  <c r="Y286" i="1" s="1"/>
  <c r="V289" i="1" l="1"/>
  <c r="N161" i="1"/>
  <c r="P161" i="1" s="1"/>
  <c r="S286" i="1"/>
  <c r="W288" i="1"/>
  <c r="X287" i="1"/>
  <c r="Y287" i="1" s="1"/>
  <c r="S290" i="1" l="1"/>
  <c r="V290" i="1"/>
  <c r="K162" i="1"/>
  <c r="L162" i="1" s="1"/>
  <c r="M162" i="1" s="1"/>
  <c r="R162" i="1"/>
  <c r="T162" i="1" s="1"/>
  <c r="O161" i="1"/>
  <c r="W289" i="1"/>
  <c r="X288" i="1"/>
  <c r="Y288" i="1" s="1"/>
  <c r="V291" i="1" l="1"/>
  <c r="S291" i="1"/>
  <c r="N162" i="1"/>
  <c r="P162" i="1" s="1"/>
  <c r="W290" i="1"/>
  <c r="X289" i="1"/>
  <c r="Y289" i="1" s="1"/>
  <c r="V292" i="1" l="1"/>
  <c r="R163" i="1"/>
  <c r="T163" i="1" s="1"/>
  <c r="O162" i="1"/>
  <c r="K163" i="1"/>
  <c r="L163" i="1" s="1"/>
  <c r="M163" i="1" s="1"/>
  <c r="S289" i="1"/>
  <c r="W291" i="1"/>
  <c r="X290" i="1"/>
  <c r="Y290" i="1" s="1"/>
  <c r="S293" i="1" l="1"/>
  <c r="V293" i="1"/>
  <c r="N163" i="1"/>
  <c r="P163" i="1" s="1"/>
  <c r="W292" i="1"/>
  <c r="X291" i="1"/>
  <c r="Y291" i="1" s="1"/>
  <c r="S294" i="1" l="1"/>
  <c r="V294" i="1"/>
  <c r="R164" i="1"/>
  <c r="T164" i="1" s="1"/>
  <c r="O163" i="1"/>
  <c r="K164" i="1"/>
  <c r="L164" i="1" s="1"/>
  <c r="M164" i="1" s="1"/>
  <c r="W293" i="1"/>
  <c r="X292" i="1"/>
  <c r="Y292" i="1" s="1"/>
  <c r="V295" i="1" l="1"/>
  <c r="N164" i="1"/>
  <c r="P164" i="1" s="1"/>
  <c r="S292" i="1"/>
  <c r="W294" i="1"/>
  <c r="X293" i="1"/>
  <c r="Y293" i="1" s="1"/>
  <c r="S296" i="1" l="1"/>
  <c r="V296" i="1"/>
  <c r="R165" i="1"/>
  <c r="T165" i="1" s="1"/>
  <c r="K165" i="1"/>
  <c r="O164" i="1"/>
  <c r="W295" i="1"/>
  <c r="X294" i="1"/>
  <c r="Y294" i="1" s="1"/>
  <c r="S297" i="1" l="1"/>
  <c r="V297" i="1"/>
  <c r="L165" i="1"/>
  <c r="M165" i="1" s="1"/>
  <c r="N165" i="1"/>
  <c r="P165" i="1" s="1"/>
  <c r="W296" i="1"/>
  <c r="X295" i="1"/>
  <c r="Y295" i="1" s="1"/>
  <c r="V298" i="1" l="1"/>
  <c r="R166" i="1"/>
  <c r="T166" i="1" s="1"/>
  <c r="K166" i="1"/>
  <c r="O165" i="1"/>
  <c r="S295" i="1"/>
  <c r="W297" i="1"/>
  <c r="X296" i="1"/>
  <c r="Y296" i="1" s="1"/>
  <c r="S299" i="1" l="1"/>
  <c r="V299" i="1"/>
  <c r="N166" i="1"/>
  <c r="P166" i="1" s="1"/>
  <c r="L166" i="1"/>
  <c r="M166" i="1" s="1"/>
  <c r="W298" i="1"/>
  <c r="X297" i="1"/>
  <c r="Y297" i="1" s="1"/>
  <c r="S300" i="1" l="1"/>
  <c r="V300" i="1"/>
  <c r="R167" i="1"/>
  <c r="T167" i="1" s="1"/>
  <c r="K167" i="1"/>
  <c r="O166" i="1"/>
  <c r="W299" i="1"/>
  <c r="X298" i="1"/>
  <c r="Y298" i="1" s="1"/>
  <c r="V301" i="1" l="1"/>
  <c r="L167" i="1"/>
  <c r="M167" i="1" s="1"/>
  <c r="N167" i="1"/>
  <c r="P167" i="1" s="1"/>
  <c r="S298" i="1"/>
  <c r="W300" i="1"/>
  <c r="X299" i="1"/>
  <c r="Y299" i="1" s="1"/>
  <c r="S302" i="1" l="1"/>
  <c r="V302" i="1"/>
  <c r="R168" i="1"/>
  <c r="T168" i="1" s="1"/>
  <c r="K168" i="1"/>
  <c r="O167" i="1"/>
  <c r="W301" i="1"/>
  <c r="X300" i="1"/>
  <c r="Y300" i="1" s="1"/>
  <c r="S303" i="1" l="1"/>
  <c r="V303" i="1"/>
  <c r="L168" i="1"/>
  <c r="M168" i="1" s="1"/>
  <c r="N168" i="1"/>
  <c r="P168" i="1" s="1"/>
  <c r="W302" i="1"/>
  <c r="X301" i="1"/>
  <c r="Y301" i="1" s="1"/>
  <c r="V304" i="1" l="1"/>
  <c r="R169" i="1"/>
  <c r="T169" i="1" s="1"/>
  <c r="O168" i="1"/>
  <c r="K169" i="1"/>
  <c r="S301" i="1"/>
  <c r="W303" i="1"/>
  <c r="X302" i="1"/>
  <c r="Y302" i="1" s="1"/>
  <c r="S305" i="1" l="1"/>
  <c r="V305" i="1"/>
  <c r="L169" i="1"/>
  <c r="M169" i="1" s="1"/>
  <c r="N169" i="1"/>
  <c r="P169" i="1" s="1"/>
  <c r="W304" i="1"/>
  <c r="X303" i="1"/>
  <c r="Y303" i="1" s="1"/>
  <c r="S306" i="1" l="1"/>
  <c r="V306" i="1"/>
  <c r="R170" i="1"/>
  <c r="T170" i="1" s="1"/>
  <c r="K170" i="1"/>
  <c r="L170" i="1" s="1"/>
  <c r="M170" i="1" s="1"/>
  <c r="O169" i="1"/>
  <c r="W305" i="1"/>
  <c r="X304" i="1"/>
  <c r="Y304" i="1" s="1"/>
  <c r="V307" i="1" l="1"/>
  <c r="N170" i="1"/>
  <c r="P170" i="1" s="1"/>
  <c r="S304" i="1"/>
  <c r="W306" i="1"/>
  <c r="X305" i="1"/>
  <c r="Y305" i="1" s="1"/>
  <c r="S308" i="1" l="1"/>
  <c r="V308" i="1"/>
  <c r="R171" i="1"/>
  <c r="T171" i="1" s="1"/>
  <c r="K171" i="1"/>
  <c r="L171" i="1" s="1"/>
  <c r="M171" i="1" s="1"/>
  <c r="O170" i="1"/>
  <c r="W307" i="1"/>
  <c r="X306" i="1"/>
  <c r="Y306" i="1" s="1"/>
  <c r="S309" i="1" l="1"/>
  <c r="V309" i="1"/>
  <c r="N171" i="1"/>
  <c r="P171" i="1" s="1"/>
  <c r="W308" i="1"/>
  <c r="X307" i="1"/>
  <c r="Y307" i="1" s="1"/>
  <c r="V310" i="1" l="1"/>
  <c r="R172" i="1"/>
  <c r="T172" i="1" s="1"/>
  <c r="K172" i="1"/>
  <c r="L172" i="1" s="1"/>
  <c r="M172" i="1" s="1"/>
  <c r="O171" i="1"/>
  <c r="S307" i="1"/>
  <c r="W309" i="1"/>
  <c r="X308" i="1"/>
  <c r="Y308" i="1" s="1"/>
  <c r="S311" i="1" l="1"/>
  <c r="V311" i="1"/>
  <c r="N172" i="1"/>
  <c r="P172" i="1" s="1"/>
  <c r="W310" i="1"/>
  <c r="X309" i="1"/>
  <c r="Y309" i="1" s="1"/>
  <c r="S312" i="1" l="1"/>
  <c r="V312" i="1"/>
  <c r="R173" i="1"/>
  <c r="T173" i="1" s="1"/>
  <c r="K173" i="1"/>
  <c r="L173" i="1" s="1"/>
  <c r="M173" i="1" s="1"/>
  <c r="O172" i="1"/>
  <c r="W311" i="1"/>
  <c r="X310" i="1"/>
  <c r="Y310" i="1" s="1"/>
  <c r="V313" i="1" l="1"/>
  <c r="N173" i="1"/>
  <c r="S310" i="1"/>
  <c r="W312" i="1"/>
  <c r="X311" i="1"/>
  <c r="Y311" i="1" s="1"/>
  <c r="R174" i="1" l="1"/>
  <c r="T174" i="1" s="1"/>
  <c r="P173" i="1"/>
  <c r="S314" i="1"/>
  <c r="V314" i="1"/>
  <c r="O173" i="1"/>
  <c r="K174" i="1"/>
  <c r="L174" i="1" s="1"/>
  <c r="M174" i="1" s="1"/>
  <c r="W313" i="1"/>
  <c r="X312" i="1"/>
  <c r="Y312" i="1" s="1"/>
  <c r="S315" i="1" l="1"/>
  <c r="V315" i="1"/>
  <c r="N174" i="1"/>
  <c r="W314" i="1"/>
  <c r="X313" i="1"/>
  <c r="Y313" i="1" s="1"/>
  <c r="O174" i="1" l="1"/>
  <c r="P174" i="1"/>
  <c r="V316" i="1"/>
  <c r="R175" i="1"/>
  <c r="T175" i="1" s="1"/>
  <c r="K175" i="1"/>
  <c r="L175" i="1" s="1"/>
  <c r="M175" i="1" s="1"/>
  <c r="S313" i="1"/>
  <c r="W315" i="1"/>
  <c r="X314" i="1"/>
  <c r="Y314" i="1" s="1"/>
  <c r="S317" i="1" l="1"/>
  <c r="V317" i="1"/>
  <c r="N175" i="1"/>
  <c r="W316" i="1"/>
  <c r="X315" i="1"/>
  <c r="Y315" i="1" s="1"/>
  <c r="K176" i="1" l="1"/>
  <c r="L176" i="1" s="1"/>
  <c r="M176" i="1" s="1"/>
  <c r="P175" i="1"/>
  <c r="S318" i="1"/>
  <c r="V318" i="1"/>
  <c r="R176" i="1"/>
  <c r="T176" i="1" s="1"/>
  <c r="O175" i="1"/>
  <c r="W317" i="1"/>
  <c r="X316" i="1"/>
  <c r="Y316" i="1" s="1"/>
  <c r="N176" i="1" l="1"/>
  <c r="P176" i="1" s="1"/>
  <c r="V319" i="1"/>
  <c r="S316" i="1"/>
  <c r="W318" i="1"/>
  <c r="X317" i="1"/>
  <c r="Y317" i="1" s="1"/>
  <c r="K177" i="1" l="1"/>
  <c r="L177" i="1" s="1"/>
  <c r="M177" i="1" s="1"/>
  <c r="O176" i="1"/>
  <c r="R177" i="1"/>
  <c r="T177" i="1" s="1"/>
  <c r="S320" i="1"/>
  <c r="V320" i="1"/>
  <c r="W319" i="1"/>
  <c r="X318" i="1"/>
  <c r="Y318" i="1" s="1"/>
  <c r="N177" i="1" l="1"/>
  <c r="P177" i="1" s="1"/>
  <c r="S321" i="1"/>
  <c r="V321" i="1"/>
  <c r="W320" i="1"/>
  <c r="X319" i="1"/>
  <c r="Y319" i="1" s="1"/>
  <c r="O177" i="1" l="1"/>
  <c r="R178" i="1"/>
  <c r="T178" i="1" s="1"/>
  <c r="K178" i="1"/>
  <c r="L178" i="1" s="1"/>
  <c r="M178" i="1" s="1"/>
  <c r="V322" i="1"/>
  <c r="S319" i="1"/>
  <c r="W321" i="1"/>
  <c r="X320" i="1"/>
  <c r="Y320" i="1" s="1"/>
  <c r="N178" i="1" l="1"/>
  <c r="P178" i="1" s="1"/>
  <c r="S323" i="1"/>
  <c r="V323" i="1"/>
  <c r="W322" i="1"/>
  <c r="X321" i="1"/>
  <c r="Y321" i="1" s="1"/>
  <c r="R179" i="1" l="1"/>
  <c r="T179" i="1" s="1"/>
  <c r="O178" i="1"/>
  <c r="K179" i="1"/>
  <c r="L179" i="1" s="1"/>
  <c r="M179" i="1" s="1"/>
  <c r="S324" i="1"/>
  <c r="V324" i="1"/>
  <c r="W323" i="1"/>
  <c r="X322" i="1"/>
  <c r="Y322" i="1" s="1"/>
  <c r="N179" i="1" l="1"/>
  <c r="P179" i="1" s="1"/>
  <c r="V325" i="1"/>
  <c r="S322" i="1"/>
  <c r="W324" i="1"/>
  <c r="X323" i="1"/>
  <c r="Y323" i="1" s="1"/>
  <c r="O179" i="1" l="1"/>
  <c r="K180" i="1"/>
  <c r="L180" i="1" s="1"/>
  <c r="M180" i="1" s="1"/>
  <c r="R180" i="1"/>
  <c r="T180" i="1" s="1"/>
  <c r="S326" i="1"/>
  <c r="V326" i="1"/>
  <c r="N180" i="1"/>
  <c r="P180" i="1" s="1"/>
  <c r="W325" i="1"/>
  <c r="X324" i="1"/>
  <c r="Y324" i="1" s="1"/>
  <c r="S327" i="1" l="1"/>
  <c r="V327" i="1"/>
  <c r="R181" i="1"/>
  <c r="T181" i="1" s="1"/>
  <c r="O180" i="1"/>
  <c r="K181" i="1"/>
  <c r="W326" i="1"/>
  <c r="X325" i="1"/>
  <c r="Y325" i="1" s="1"/>
  <c r="V328" i="1" l="1"/>
  <c r="N181" i="1"/>
  <c r="P181" i="1" s="1"/>
  <c r="L181" i="1"/>
  <c r="M181" i="1" s="1"/>
  <c r="S325" i="1"/>
  <c r="W327" i="1"/>
  <c r="X326" i="1"/>
  <c r="Y326" i="1" s="1"/>
  <c r="S329" i="1" l="1"/>
  <c r="V329" i="1"/>
  <c r="R182" i="1"/>
  <c r="T182" i="1" s="1"/>
  <c r="K182" i="1"/>
  <c r="L182" i="1" s="1"/>
  <c r="M182" i="1" s="1"/>
  <c r="O181" i="1"/>
  <c r="W328" i="1"/>
  <c r="X327" i="1"/>
  <c r="Y327" i="1" s="1"/>
  <c r="S330" i="1" l="1"/>
  <c r="V330" i="1"/>
  <c r="N182" i="1"/>
  <c r="P182" i="1" s="1"/>
  <c r="W329" i="1"/>
  <c r="X328" i="1"/>
  <c r="Y328" i="1" s="1"/>
  <c r="V331" i="1" l="1"/>
  <c r="R183" i="1"/>
  <c r="T183" i="1" s="1"/>
  <c r="K183" i="1"/>
  <c r="L183" i="1" s="1"/>
  <c r="M183" i="1" s="1"/>
  <c r="O182" i="1"/>
  <c r="S328" i="1"/>
  <c r="W330" i="1"/>
  <c r="X329" i="1"/>
  <c r="Y329" i="1" s="1"/>
  <c r="S332" i="1" l="1"/>
  <c r="V332" i="1"/>
  <c r="N183" i="1"/>
  <c r="P183" i="1" s="1"/>
  <c r="W331" i="1"/>
  <c r="X330" i="1"/>
  <c r="Y330" i="1" s="1"/>
  <c r="S333" i="1" l="1"/>
  <c r="V333" i="1"/>
  <c r="R184" i="1"/>
  <c r="T184" i="1" s="1"/>
  <c r="O183" i="1"/>
  <c r="K184" i="1"/>
  <c r="L184" i="1" s="1"/>
  <c r="M184" i="1" s="1"/>
  <c r="W332" i="1"/>
  <c r="X331" i="1"/>
  <c r="Y331" i="1" s="1"/>
  <c r="V334" i="1" l="1"/>
  <c r="N184" i="1"/>
  <c r="P184" i="1" s="1"/>
  <c r="S331" i="1"/>
  <c r="W333" i="1"/>
  <c r="X332" i="1"/>
  <c r="Y332" i="1" s="1"/>
  <c r="S335" i="1" l="1"/>
  <c r="V335" i="1"/>
  <c r="R185" i="1"/>
  <c r="T185" i="1" s="1"/>
  <c r="K185" i="1"/>
  <c r="O184" i="1"/>
  <c r="W334" i="1"/>
  <c r="X333" i="1"/>
  <c r="Y333" i="1" s="1"/>
  <c r="S336" i="1" l="1"/>
  <c r="V336" i="1"/>
  <c r="L185" i="1"/>
  <c r="M185" i="1" s="1"/>
  <c r="N185" i="1"/>
  <c r="P185" i="1" s="1"/>
  <c r="W335" i="1"/>
  <c r="X334" i="1"/>
  <c r="Y334" i="1" s="1"/>
  <c r="V337" i="1" l="1"/>
  <c r="R186" i="1"/>
  <c r="T186" i="1" s="1"/>
  <c r="O185" i="1"/>
  <c r="K186" i="1"/>
  <c r="L186" i="1" s="1"/>
  <c r="M186" i="1" s="1"/>
  <c r="S334" i="1"/>
  <c r="W336" i="1"/>
  <c r="X335" i="1"/>
  <c r="Y335" i="1" s="1"/>
  <c r="S338" i="1" l="1"/>
  <c r="V338" i="1"/>
  <c r="N186" i="1"/>
  <c r="P186" i="1" s="1"/>
  <c r="W337" i="1"/>
  <c r="X336" i="1"/>
  <c r="Y336" i="1" s="1"/>
  <c r="S339" i="1" l="1"/>
  <c r="V339" i="1"/>
  <c r="R187" i="1"/>
  <c r="T187" i="1" s="1"/>
  <c r="K187" i="1"/>
  <c r="L187" i="1" s="1"/>
  <c r="M187" i="1" s="1"/>
  <c r="O186" i="1"/>
  <c r="W338" i="1"/>
  <c r="X337" i="1"/>
  <c r="Y337" i="1" s="1"/>
  <c r="V340" i="1" l="1"/>
  <c r="N187" i="1"/>
  <c r="S337" i="1"/>
  <c r="W339" i="1"/>
  <c r="X338" i="1"/>
  <c r="Y338" i="1" s="1"/>
  <c r="R188" i="1" l="1"/>
  <c r="T188" i="1" s="1"/>
  <c r="P187" i="1"/>
  <c r="S341" i="1"/>
  <c r="V341" i="1"/>
  <c r="K188" i="1"/>
  <c r="N188" i="1" s="1"/>
  <c r="O187" i="1"/>
  <c r="W340" i="1"/>
  <c r="X339" i="1"/>
  <c r="Y339" i="1" s="1"/>
  <c r="R189" i="1" l="1"/>
  <c r="T189" i="1" s="1"/>
  <c r="P188" i="1"/>
  <c r="S342" i="1"/>
  <c r="V342" i="1"/>
  <c r="O188" i="1"/>
  <c r="L188" i="1"/>
  <c r="M188" i="1" s="1"/>
  <c r="K189" i="1"/>
  <c r="L189" i="1" s="1"/>
  <c r="W341" i="1"/>
  <c r="X340" i="1"/>
  <c r="Y340" i="1" s="1"/>
  <c r="V343" i="1" l="1"/>
  <c r="M189" i="1"/>
  <c r="N189" i="1"/>
  <c r="S340" i="1"/>
  <c r="W342" i="1"/>
  <c r="X341" i="1"/>
  <c r="Y341" i="1" s="1"/>
  <c r="R190" i="1" l="1"/>
  <c r="T190" i="1" s="1"/>
  <c r="P189" i="1"/>
  <c r="S344" i="1"/>
  <c r="V344" i="1"/>
  <c r="O189" i="1"/>
  <c r="K190" i="1"/>
  <c r="L190" i="1" s="1"/>
  <c r="M190" i="1" s="1"/>
  <c r="W343" i="1"/>
  <c r="X342" i="1"/>
  <c r="Y342" i="1" s="1"/>
  <c r="S345" i="1" l="1"/>
  <c r="V345" i="1"/>
  <c r="N190" i="1"/>
  <c r="W344" i="1"/>
  <c r="X343" i="1"/>
  <c r="Y343" i="1" s="1"/>
  <c r="R191" i="1" l="1"/>
  <c r="T191" i="1" s="1"/>
  <c r="P190" i="1"/>
  <c r="V346" i="1"/>
  <c r="O190" i="1"/>
  <c r="K191" i="1"/>
  <c r="N191" i="1" s="1"/>
  <c r="S343" i="1"/>
  <c r="W345" i="1"/>
  <c r="X344" i="1"/>
  <c r="Y344" i="1" s="1"/>
  <c r="R192" i="1" l="1"/>
  <c r="T192" i="1" s="1"/>
  <c r="P191" i="1"/>
  <c r="S347" i="1"/>
  <c r="V347" i="1"/>
  <c r="L191" i="1"/>
  <c r="M191" i="1" s="1"/>
  <c r="W346" i="1"/>
  <c r="X345" i="1"/>
  <c r="Y345" i="1" s="1"/>
  <c r="O191" i="1"/>
  <c r="K192" i="1"/>
  <c r="S348" i="1" l="1"/>
  <c r="V348" i="1"/>
  <c r="L192" i="1"/>
  <c r="M192" i="1" s="1"/>
  <c r="N192" i="1"/>
  <c r="W347" i="1"/>
  <c r="X346" i="1"/>
  <c r="Y346" i="1" s="1"/>
  <c r="R193" i="1" l="1"/>
  <c r="T193" i="1" s="1"/>
  <c r="P192" i="1"/>
  <c r="V349" i="1"/>
  <c r="S346" i="1"/>
  <c r="W348" i="1"/>
  <c r="X347" i="1"/>
  <c r="Y347" i="1" s="1"/>
  <c r="O192" i="1"/>
  <c r="K193" i="1"/>
  <c r="L193" i="1" s="1"/>
  <c r="M193" i="1" s="1"/>
  <c r="S350" i="1" l="1"/>
  <c r="V350" i="1"/>
  <c r="N193" i="1"/>
  <c r="W349" i="1"/>
  <c r="X348" i="1"/>
  <c r="Y348" i="1" s="1"/>
  <c r="R194" i="1" l="1"/>
  <c r="T194" i="1" s="1"/>
  <c r="P193" i="1"/>
  <c r="S351" i="1"/>
  <c r="V351" i="1"/>
  <c r="W350" i="1"/>
  <c r="X349" i="1"/>
  <c r="Y349" i="1" s="1"/>
  <c r="K194" i="1"/>
  <c r="L194" i="1" s="1"/>
  <c r="M194" i="1" s="1"/>
  <c r="O193" i="1"/>
  <c r="V352" i="1" l="1"/>
  <c r="N194" i="1"/>
  <c r="S349" i="1"/>
  <c r="W351" i="1"/>
  <c r="X350" i="1"/>
  <c r="Y350" i="1" s="1"/>
  <c r="R195" i="1" l="1"/>
  <c r="T195" i="1" s="1"/>
  <c r="P194" i="1"/>
  <c r="S353" i="1"/>
  <c r="V353" i="1"/>
  <c r="W352" i="1"/>
  <c r="X351" i="1"/>
  <c r="Y351" i="1" s="1"/>
  <c r="O194" i="1"/>
  <c r="K195" i="1"/>
  <c r="L195" i="1" s="1"/>
  <c r="M195" i="1" s="1"/>
  <c r="S354" i="1" l="1"/>
  <c r="V354" i="1"/>
  <c r="N195" i="1"/>
  <c r="W353" i="1"/>
  <c r="X352" i="1"/>
  <c r="Y352" i="1" s="1"/>
  <c r="R196" i="1" l="1"/>
  <c r="T196" i="1" s="1"/>
  <c r="P195" i="1"/>
  <c r="V355" i="1"/>
  <c r="S352" i="1"/>
  <c r="W354" i="1"/>
  <c r="X353" i="1"/>
  <c r="Y353" i="1" s="1"/>
  <c r="O195" i="1"/>
  <c r="K196" i="1"/>
  <c r="L196" i="1" s="1"/>
  <c r="M196" i="1" s="1"/>
  <c r="S356" i="1" l="1"/>
  <c r="V356" i="1"/>
  <c r="N196" i="1"/>
  <c r="W355" i="1"/>
  <c r="X354" i="1"/>
  <c r="Y354" i="1" s="1"/>
  <c r="R197" i="1" l="1"/>
  <c r="T197" i="1" s="1"/>
  <c r="P196" i="1"/>
  <c r="S357" i="1"/>
  <c r="V357" i="1"/>
  <c r="W356" i="1"/>
  <c r="X355" i="1"/>
  <c r="Y355" i="1" s="1"/>
  <c r="K197" i="1"/>
  <c r="L197" i="1" s="1"/>
  <c r="M197" i="1" s="1"/>
  <c r="O196" i="1"/>
  <c r="V358" i="1" l="1"/>
  <c r="N197" i="1"/>
  <c r="S355" i="1"/>
  <c r="W357" i="1"/>
  <c r="X356" i="1"/>
  <c r="Y356" i="1" s="1"/>
  <c r="R198" i="1" l="1"/>
  <c r="T198" i="1" s="1"/>
  <c r="P197" i="1"/>
  <c r="S359" i="1"/>
  <c r="V359" i="1"/>
  <c r="W358" i="1"/>
  <c r="X357" i="1"/>
  <c r="Y357" i="1" s="1"/>
  <c r="O197" i="1"/>
  <c r="K198" i="1"/>
  <c r="N198" i="1" s="1"/>
  <c r="R199" i="1" l="1"/>
  <c r="T199" i="1" s="1"/>
  <c r="P198" i="1"/>
  <c r="S360" i="1"/>
  <c r="V360" i="1"/>
  <c r="L198" i="1"/>
  <c r="M198" i="1" s="1"/>
  <c r="W359" i="1"/>
  <c r="X358" i="1"/>
  <c r="Y358" i="1" s="1"/>
  <c r="V361" i="1" l="1"/>
  <c r="S358" i="1"/>
  <c r="W360" i="1"/>
  <c r="X359" i="1"/>
  <c r="Y359" i="1" s="1"/>
  <c r="O198" i="1"/>
  <c r="K199" i="1"/>
  <c r="S362" i="1" l="1"/>
  <c r="V362" i="1"/>
  <c r="L199" i="1"/>
  <c r="M199" i="1" s="1"/>
  <c r="N199" i="1"/>
  <c r="W361" i="1"/>
  <c r="X360" i="1"/>
  <c r="Y360" i="1" s="1"/>
  <c r="R200" i="1" l="1"/>
  <c r="T200" i="1" s="1"/>
  <c r="P199" i="1"/>
  <c r="S363" i="1"/>
  <c r="V363" i="1"/>
  <c r="W362" i="1"/>
  <c r="X361" i="1"/>
  <c r="Y361" i="1" s="1"/>
  <c r="O199" i="1"/>
  <c r="K200" i="1"/>
  <c r="L200" i="1" s="1"/>
  <c r="M200" i="1" s="1"/>
  <c r="V364" i="1" l="1"/>
  <c r="N200" i="1"/>
  <c r="S361" i="1"/>
  <c r="W363" i="1"/>
  <c r="X362" i="1"/>
  <c r="Y362" i="1" s="1"/>
  <c r="R201" i="1" l="1"/>
  <c r="T201" i="1" s="1"/>
  <c r="P200" i="1"/>
  <c r="S365" i="1"/>
  <c r="V365" i="1"/>
  <c r="W364" i="1"/>
  <c r="X363" i="1"/>
  <c r="Y363" i="1" s="1"/>
  <c r="K201" i="1"/>
  <c r="O200" i="1"/>
  <c r="S366" i="1" l="1"/>
  <c r="V366" i="1"/>
  <c r="L201" i="1"/>
  <c r="M201" i="1" s="1"/>
  <c r="N201" i="1"/>
  <c r="W365" i="1"/>
  <c r="X364" i="1"/>
  <c r="Y364" i="1" s="1"/>
  <c r="R202" i="1" l="1"/>
  <c r="T202" i="1" s="1"/>
  <c r="P201" i="1"/>
  <c r="V367" i="1"/>
  <c r="S364" i="1"/>
  <c r="W366" i="1"/>
  <c r="X365" i="1"/>
  <c r="Y365" i="1" s="1"/>
  <c r="O201" i="1"/>
  <c r="K202" i="1"/>
  <c r="L202" i="1" s="1"/>
  <c r="M202" i="1" s="1"/>
  <c r="S368" i="1" l="1"/>
  <c r="V368" i="1"/>
  <c r="N202" i="1"/>
  <c r="W367" i="1"/>
  <c r="X366" i="1"/>
  <c r="Y366" i="1" s="1"/>
  <c r="R203" i="1" l="1"/>
  <c r="T203" i="1" s="1"/>
  <c r="P202" i="1"/>
  <c r="S369" i="1"/>
  <c r="V369" i="1"/>
  <c r="W368" i="1"/>
  <c r="X367" i="1"/>
  <c r="Y367" i="1" s="1"/>
  <c r="K203" i="1"/>
  <c r="N203" i="1" s="1"/>
  <c r="O202" i="1"/>
  <c r="R204" i="1" l="1"/>
  <c r="T204" i="1" s="1"/>
  <c r="P203" i="1"/>
  <c r="V370" i="1"/>
  <c r="L203" i="1"/>
  <c r="M203" i="1" s="1"/>
  <c r="S367" i="1"/>
  <c r="W369" i="1"/>
  <c r="X368" i="1"/>
  <c r="Y368" i="1" s="1"/>
  <c r="S371" i="1" l="1"/>
  <c r="V371" i="1"/>
  <c r="W370" i="1"/>
  <c r="X369" i="1"/>
  <c r="Y369" i="1" s="1"/>
  <c r="O203" i="1"/>
  <c r="K204" i="1"/>
  <c r="S372" i="1" l="1"/>
  <c r="V372" i="1"/>
  <c r="L204" i="1"/>
  <c r="M204" i="1" s="1"/>
  <c r="N204" i="1"/>
  <c r="W371" i="1"/>
  <c r="X370" i="1"/>
  <c r="Y370" i="1" s="1"/>
  <c r="R205" i="1" l="1"/>
  <c r="T205" i="1" s="1"/>
  <c r="P204" i="1"/>
  <c r="V373" i="1"/>
  <c r="S370" i="1"/>
  <c r="W372" i="1"/>
  <c r="X371" i="1"/>
  <c r="Y371" i="1" s="1"/>
  <c r="K205" i="1"/>
  <c r="L205" i="1" s="1"/>
  <c r="M205" i="1" s="1"/>
  <c r="O204" i="1"/>
  <c r="S374" i="1" l="1"/>
  <c r="V374" i="1"/>
  <c r="N205" i="1"/>
  <c r="W373" i="1"/>
  <c r="X372" i="1"/>
  <c r="Y372" i="1" s="1"/>
  <c r="R206" i="1" l="1"/>
  <c r="T206" i="1" s="1"/>
  <c r="P205" i="1"/>
  <c r="S375" i="1"/>
  <c r="V375" i="1"/>
  <c r="W374" i="1"/>
  <c r="X373" i="1"/>
  <c r="Y373" i="1" s="1"/>
  <c r="O205" i="1"/>
  <c r="K206" i="1"/>
  <c r="L206" i="1" s="1"/>
  <c r="M206" i="1" s="1"/>
  <c r="V376" i="1" l="1"/>
  <c r="N206" i="1"/>
  <c r="S373" i="1"/>
  <c r="W375" i="1"/>
  <c r="X374" i="1"/>
  <c r="Y374" i="1" s="1"/>
  <c r="R207" i="1" l="1"/>
  <c r="T207" i="1" s="1"/>
  <c r="P206" i="1"/>
  <c r="S377" i="1"/>
  <c r="V377" i="1"/>
  <c r="W376" i="1"/>
  <c r="X375" i="1"/>
  <c r="Y375" i="1" s="1"/>
  <c r="K207" i="1"/>
  <c r="L207" i="1" s="1"/>
  <c r="M207" i="1" s="1"/>
  <c r="O206" i="1"/>
  <c r="S378" i="1" l="1"/>
  <c r="V378" i="1"/>
  <c r="N207" i="1"/>
  <c r="W377" i="1"/>
  <c r="X376" i="1"/>
  <c r="Y376" i="1" s="1"/>
  <c r="R208" i="1" l="1"/>
  <c r="T208" i="1" s="1"/>
  <c r="P207" i="1"/>
  <c r="V379" i="1"/>
  <c r="S376" i="1"/>
  <c r="W378" i="1"/>
  <c r="X377" i="1"/>
  <c r="Y377" i="1" s="1"/>
  <c r="K208" i="1"/>
  <c r="L208" i="1" s="1"/>
  <c r="M208" i="1" s="1"/>
  <c r="O207" i="1"/>
  <c r="S380" i="1" l="1"/>
  <c r="V380" i="1"/>
  <c r="N208" i="1"/>
  <c r="W379" i="1"/>
  <c r="X378" i="1"/>
  <c r="Y378" i="1" s="1"/>
  <c r="R209" i="1" l="1"/>
  <c r="T209" i="1" s="1"/>
  <c r="P208" i="1"/>
  <c r="S381" i="1"/>
  <c r="V381" i="1"/>
  <c r="W380" i="1"/>
  <c r="X379" i="1"/>
  <c r="Y379" i="1" s="1"/>
  <c r="O208" i="1"/>
  <c r="K209" i="1"/>
  <c r="L209" i="1" s="1"/>
  <c r="M209" i="1" s="1"/>
  <c r="V382" i="1" l="1"/>
  <c r="N209" i="1"/>
  <c r="S379" i="1"/>
  <c r="W381" i="1"/>
  <c r="X380" i="1"/>
  <c r="Y380" i="1" s="1"/>
  <c r="R210" i="1" l="1"/>
  <c r="T210" i="1" s="1"/>
  <c r="P209" i="1"/>
  <c r="S383" i="1"/>
  <c r="V383" i="1"/>
  <c r="W382" i="1"/>
  <c r="X381" i="1"/>
  <c r="Y381" i="1" s="1"/>
  <c r="O209" i="1"/>
  <c r="K210" i="1"/>
  <c r="L210" i="1" s="1"/>
  <c r="M210" i="1" s="1"/>
  <c r="S384" i="1" l="1"/>
  <c r="V384" i="1"/>
  <c r="N210" i="1"/>
  <c r="W383" i="1"/>
  <c r="X382" i="1"/>
  <c r="Y382" i="1" s="1"/>
  <c r="R211" i="1" l="1"/>
  <c r="T211" i="1" s="1"/>
  <c r="P210" i="1"/>
  <c r="V385" i="1"/>
  <c r="S382" i="1"/>
  <c r="W384" i="1"/>
  <c r="X383" i="1"/>
  <c r="Y383" i="1" s="1"/>
  <c r="O210" i="1"/>
  <c r="K211" i="1"/>
  <c r="L211" i="1" s="1"/>
  <c r="M211" i="1" s="1"/>
  <c r="S386" i="1" l="1"/>
  <c r="V386" i="1"/>
  <c r="N211" i="1"/>
  <c r="W385" i="1"/>
  <c r="X384" i="1"/>
  <c r="Y384" i="1" s="1"/>
  <c r="R212" i="1" l="1"/>
  <c r="T212" i="1" s="1"/>
  <c r="P211" i="1"/>
  <c r="S387" i="1"/>
  <c r="V387" i="1"/>
  <c r="W386" i="1"/>
  <c r="X385" i="1"/>
  <c r="Y385" i="1" s="1"/>
  <c r="O211" i="1"/>
  <c r="K212" i="1"/>
  <c r="N212" i="1" s="1"/>
  <c r="R213" i="1" l="1"/>
  <c r="T213" i="1" s="1"/>
  <c r="P212" i="1"/>
  <c r="V388" i="1"/>
  <c r="L212" i="1"/>
  <c r="M212" i="1" s="1"/>
  <c r="S385" i="1"/>
  <c r="W387" i="1"/>
  <c r="X386" i="1"/>
  <c r="Y386" i="1" s="1"/>
  <c r="S389" i="1" l="1"/>
  <c r="V389" i="1"/>
  <c r="W388" i="1"/>
  <c r="X387" i="1"/>
  <c r="Y387" i="1" s="1"/>
  <c r="K213" i="1"/>
  <c r="O212" i="1"/>
  <c r="S390" i="1" l="1"/>
  <c r="V390" i="1"/>
  <c r="L213" i="1"/>
  <c r="M213" i="1" s="1"/>
  <c r="N213" i="1"/>
  <c r="W389" i="1"/>
  <c r="X388" i="1"/>
  <c r="Y388" i="1" s="1"/>
  <c r="R214" i="1" l="1"/>
  <c r="T214" i="1" s="1"/>
  <c r="P213" i="1"/>
  <c r="V391" i="1"/>
  <c r="S388" i="1"/>
  <c r="W390" i="1"/>
  <c r="X389" i="1"/>
  <c r="Y389" i="1" s="1"/>
  <c r="K214" i="1"/>
  <c r="L214" i="1" s="1"/>
  <c r="M214" i="1" s="1"/>
  <c r="O213" i="1"/>
  <c r="S392" i="1" l="1"/>
  <c r="V392" i="1"/>
  <c r="N214" i="1"/>
  <c r="W391" i="1"/>
  <c r="X390" i="1"/>
  <c r="Y390" i="1" s="1"/>
  <c r="R215" i="1" l="1"/>
  <c r="T215" i="1" s="1"/>
  <c r="P214" i="1"/>
  <c r="S393" i="1"/>
  <c r="V393" i="1"/>
  <c r="W392" i="1"/>
  <c r="X391" i="1"/>
  <c r="Y391" i="1" s="1"/>
  <c r="K215" i="1"/>
  <c r="L215" i="1" s="1"/>
  <c r="M215" i="1" s="1"/>
  <c r="O214" i="1"/>
  <c r="V394" i="1" l="1"/>
  <c r="N215" i="1"/>
  <c r="S391" i="1"/>
  <c r="W393" i="1"/>
  <c r="X392" i="1"/>
  <c r="Y392" i="1" s="1"/>
  <c r="R216" i="1" l="1"/>
  <c r="T216" i="1" s="1"/>
  <c r="P215" i="1"/>
  <c r="S395" i="1"/>
  <c r="V395" i="1"/>
  <c r="W394" i="1"/>
  <c r="X393" i="1"/>
  <c r="Y393" i="1" s="1"/>
  <c r="K216" i="1"/>
  <c r="L216" i="1" s="1"/>
  <c r="M216" i="1" s="1"/>
  <c r="O215" i="1"/>
  <c r="S396" i="1" l="1"/>
  <c r="V396" i="1"/>
  <c r="N216" i="1"/>
  <c r="W395" i="1"/>
  <c r="X394" i="1"/>
  <c r="Y394" i="1" s="1"/>
  <c r="R217" i="1" l="1"/>
  <c r="T217" i="1" s="1"/>
  <c r="P216" i="1"/>
  <c r="V397" i="1"/>
  <c r="S394" i="1"/>
  <c r="W396" i="1"/>
  <c r="X395" i="1"/>
  <c r="Y395" i="1" s="1"/>
  <c r="K217" i="1"/>
  <c r="L217" i="1" s="1"/>
  <c r="M217" i="1" s="1"/>
  <c r="O216" i="1"/>
  <c r="S398" i="1" l="1"/>
  <c r="V398" i="1"/>
  <c r="N217" i="1"/>
  <c r="W397" i="1"/>
  <c r="X396" i="1"/>
  <c r="Y396" i="1" s="1"/>
  <c r="R218" i="1" l="1"/>
  <c r="T218" i="1" s="1"/>
  <c r="P217" i="1"/>
  <c r="S399" i="1"/>
  <c r="V399" i="1"/>
  <c r="W398" i="1"/>
  <c r="X397" i="1"/>
  <c r="Y397" i="1" s="1"/>
  <c r="K218" i="1"/>
  <c r="O217" i="1"/>
  <c r="V400" i="1" l="1"/>
  <c r="L218" i="1"/>
  <c r="M218" i="1" s="1"/>
  <c r="N218" i="1"/>
  <c r="S397" i="1"/>
  <c r="W399" i="1"/>
  <c r="X398" i="1"/>
  <c r="Y398" i="1" s="1"/>
  <c r="R219" i="1" l="1"/>
  <c r="T219" i="1" s="1"/>
  <c r="P218" i="1"/>
  <c r="S401" i="1"/>
  <c r="V401" i="1"/>
  <c r="W400" i="1"/>
  <c r="X399" i="1"/>
  <c r="Y399" i="1" s="1"/>
  <c r="O218" i="1"/>
  <c r="K219" i="1"/>
  <c r="L219" i="1" s="1"/>
  <c r="M219" i="1" s="1"/>
  <c r="S402" i="1" l="1"/>
  <c r="V402" i="1"/>
  <c r="N219" i="1"/>
  <c r="W401" i="1"/>
  <c r="X400" i="1"/>
  <c r="Y400" i="1" s="1"/>
  <c r="R220" i="1" l="1"/>
  <c r="T220" i="1" s="1"/>
  <c r="P219" i="1"/>
  <c r="V403" i="1"/>
  <c r="S400" i="1"/>
  <c r="W402" i="1"/>
  <c r="X401" i="1"/>
  <c r="Y401" i="1" s="1"/>
  <c r="K220" i="1"/>
  <c r="L220" i="1" s="1"/>
  <c r="M220" i="1" s="1"/>
  <c r="O219" i="1"/>
  <c r="S404" i="1" l="1"/>
  <c r="V404" i="1"/>
  <c r="N220" i="1"/>
  <c r="W403" i="1"/>
  <c r="X402" i="1"/>
  <c r="Y402" i="1" s="1"/>
  <c r="R221" i="1" l="1"/>
  <c r="T221" i="1" s="1"/>
  <c r="P220" i="1"/>
  <c r="S405" i="1"/>
  <c r="V405" i="1"/>
  <c r="W404" i="1"/>
  <c r="X403" i="1"/>
  <c r="Y403" i="1" s="1"/>
  <c r="O220" i="1"/>
  <c r="K221" i="1"/>
  <c r="N221" i="1" s="1"/>
  <c r="R222" i="1" l="1"/>
  <c r="T222" i="1" s="1"/>
  <c r="P221" i="1"/>
  <c r="V406" i="1"/>
  <c r="L221" i="1"/>
  <c r="M221" i="1" s="1"/>
  <c r="S403" i="1"/>
  <c r="W405" i="1"/>
  <c r="X404" i="1"/>
  <c r="Y404" i="1" s="1"/>
  <c r="S407" i="1" l="1"/>
  <c r="V407" i="1"/>
  <c r="W406" i="1"/>
  <c r="X405" i="1"/>
  <c r="Y405" i="1" s="1"/>
  <c r="O221" i="1"/>
  <c r="K222" i="1"/>
  <c r="S408" i="1" l="1"/>
  <c r="V408" i="1"/>
  <c r="L222" i="1"/>
  <c r="M222" i="1" s="1"/>
  <c r="N222" i="1"/>
  <c r="W407" i="1"/>
  <c r="X406" i="1"/>
  <c r="Y406" i="1" s="1"/>
  <c r="R223" i="1" l="1"/>
  <c r="T223" i="1" s="1"/>
  <c r="P222" i="1"/>
  <c r="V409" i="1"/>
  <c r="S406" i="1"/>
  <c r="W408" i="1"/>
  <c r="X407" i="1"/>
  <c r="Y407" i="1" s="1"/>
  <c r="O222" i="1"/>
  <c r="K223" i="1"/>
  <c r="L223" i="1" s="1"/>
  <c r="M223" i="1" s="1"/>
  <c r="S410" i="1" l="1"/>
  <c r="V410" i="1"/>
  <c r="N223" i="1"/>
  <c r="W409" i="1"/>
  <c r="X408" i="1"/>
  <c r="Y408" i="1" s="1"/>
  <c r="R224" i="1" l="1"/>
  <c r="T224" i="1" s="1"/>
  <c r="P223" i="1"/>
  <c r="S411" i="1"/>
  <c r="V411" i="1"/>
  <c r="W410" i="1"/>
  <c r="X409" i="1"/>
  <c r="Y409" i="1" s="1"/>
  <c r="K224" i="1"/>
  <c r="L224" i="1" s="1"/>
  <c r="M224" i="1" s="1"/>
  <c r="O223" i="1"/>
  <c r="V412" i="1" l="1"/>
  <c r="N224" i="1"/>
  <c r="S409" i="1"/>
  <c r="W411" i="1"/>
  <c r="X410" i="1"/>
  <c r="Y410" i="1" s="1"/>
  <c r="R225" i="1" l="1"/>
  <c r="T225" i="1" s="1"/>
  <c r="P224" i="1"/>
  <c r="S413" i="1"/>
  <c r="V413" i="1"/>
  <c r="W412" i="1"/>
  <c r="X411" i="1"/>
  <c r="Y411" i="1" s="1"/>
  <c r="K225" i="1"/>
  <c r="L225" i="1" s="1"/>
  <c r="M225" i="1" s="1"/>
  <c r="O224" i="1"/>
  <c r="S414" i="1" l="1"/>
  <c r="V414" i="1"/>
  <c r="N225" i="1"/>
  <c r="W413" i="1"/>
  <c r="X412" i="1"/>
  <c r="Y412" i="1" s="1"/>
  <c r="R226" i="1" l="1"/>
  <c r="T226" i="1" s="1"/>
  <c r="P225" i="1"/>
  <c r="V415" i="1"/>
  <c r="S412" i="1"/>
  <c r="W414" i="1"/>
  <c r="X413" i="1"/>
  <c r="Y413" i="1" s="1"/>
  <c r="O225" i="1"/>
  <c r="K226" i="1"/>
  <c r="L226" i="1" s="1"/>
  <c r="M226" i="1" s="1"/>
  <c r="S416" i="1" l="1"/>
  <c r="V416" i="1"/>
  <c r="N226" i="1"/>
  <c r="W415" i="1"/>
  <c r="X414" i="1"/>
  <c r="Y414" i="1" s="1"/>
  <c r="R227" i="1" l="1"/>
  <c r="T227" i="1" s="1"/>
  <c r="P226" i="1"/>
  <c r="S417" i="1"/>
  <c r="V417" i="1"/>
  <c r="W416" i="1"/>
  <c r="X415" i="1"/>
  <c r="Y415" i="1" s="1"/>
  <c r="K227" i="1"/>
  <c r="L227" i="1" s="1"/>
  <c r="M227" i="1" s="1"/>
  <c r="O226" i="1"/>
  <c r="V418" i="1" l="1"/>
  <c r="N227" i="1"/>
  <c r="S415" i="1"/>
  <c r="W417" i="1"/>
  <c r="X416" i="1"/>
  <c r="Y416" i="1" s="1"/>
  <c r="R228" i="1" l="1"/>
  <c r="T228" i="1" s="1"/>
  <c r="P227" i="1"/>
  <c r="S419" i="1"/>
  <c r="V419" i="1"/>
  <c r="W418" i="1"/>
  <c r="X417" i="1"/>
  <c r="Y417" i="1" s="1"/>
  <c r="O227" i="1"/>
  <c r="K228" i="1"/>
  <c r="L228" i="1" s="1"/>
  <c r="M228" i="1" s="1"/>
  <c r="S420" i="1" l="1"/>
  <c r="V420" i="1"/>
  <c r="N228" i="1"/>
  <c r="W419" i="1"/>
  <c r="X418" i="1"/>
  <c r="Y418" i="1" s="1"/>
  <c r="R229" i="1" l="1"/>
  <c r="T229" i="1" s="1"/>
  <c r="P228" i="1"/>
  <c r="V421" i="1"/>
  <c r="S418" i="1"/>
  <c r="W420" i="1"/>
  <c r="X419" i="1"/>
  <c r="Y419" i="1" s="1"/>
  <c r="O228" i="1"/>
  <c r="K229" i="1"/>
  <c r="L229" i="1" s="1"/>
  <c r="M229" i="1" s="1"/>
  <c r="S422" i="1" l="1"/>
  <c r="V422" i="1"/>
  <c r="N229" i="1"/>
  <c r="W421" i="1"/>
  <c r="X420" i="1"/>
  <c r="Y420" i="1" s="1"/>
  <c r="R230" i="1" l="1"/>
  <c r="T230" i="1" s="1"/>
  <c r="P229" i="1"/>
  <c r="S423" i="1"/>
  <c r="V423" i="1"/>
  <c r="W422" i="1"/>
  <c r="X421" i="1"/>
  <c r="Y421" i="1" s="1"/>
  <c r="O229" i="1"/>
  <c r="K230" i="1"/>
  <c r="L230" i="1" s="1"/>
  <c r="M230" i="1" s="1"/>
  <c r="V424" i="1" l="1"/>
  <c r="N230" i="1"/>
  <c r="S421" i="1"/>
  <c r="W423" i="1"/>
  <c r="X422" i="1"/>
  <c r="Y422" i="1" s="1"/>
  <c r="R231" i="1" l="1"/>
  <c r="T231" i="1" s="1"/>
  <c r="P230" i="1"/>
  <c r="S425" i="1"/>
  <c r="V425" i="1"/>
  <c r="W424" i="1"/>
  <c r="X423" i="1"/>
  <c r="Y423" i="1" s="1"/>
  <c r="K231" i="1"/>
  <c r="L231" i="1" s="1"/>
  <c r="M231" i="1" s="1"/>
  <c r="O230" i="1"/>
  <c r="S426" i="1" l="1"/>
  <c r="V426" i="1"/>
  <c r="N231" i="1"/>
  <c r="W425" i="1"/>
  <c r="X424" i="1"/>
  <c r="Y424" i="1" s="1"/>
  <c r="R232" i="1" l="1"/>
  <c r="T232" i="1" s="1"/>
  <c r="P231" i="1"/>
  <c r="V427" i="1"/>
  <c r="S424" i="1"/>
  <c r="W426" i="1"/>
  <c r="X425" i="1"/>
  <c r="Y425" i="1" s="1"/>
  <c r="O231" i="1"/>
  <c r="K232" i="1"/>
  <c r="L232" i="1" s="1"/>
  <c r="M232" i="1" s="1"/>
  <c r="S428" i="1" l="1"/>
  <c r="V428" i="1"/>
  <c r="N232" i="1"/>
  <c r="W427" i="1"/>
  <c r="X426" i="1"/>
  <c r="Y426" i="1" s="1"/>
  <c r="R233" i="1" l="1"/>
  <c r="T233" i="1" s="1"/>
  <c r="P232" i="1"/>
  <c r="S429" i="1"/>
  <c r="V429" i="1"/>
  <c r="W428" i="1"/>
  <c r="X427" i="1"/>
  <c r="Y427" i="1" s="1"/>
  <c r="K233" i="1"/>
  <c r="L233" i="1" s="1"/>
  <c r="M233" i="1" s="1"/>
  <c r="O232" i="1"/>
  <c r="V430" i="1" l="1"/>
  <c r="N233" i="1"/>
  <c r="S427" i="1"/>
  <c r="W429" i="1"/>
  <c r="X428" i="1"/>
  <c r="Y428" i="1" s="1"/>
  <c r="R234" i="1" l="1"/>
  <c r="T234" i="1" s="1"/>
  <c r="P233" i="1"/>
  <c r="S431" i="1"/>
  <c r="V431" i="1"/>
  <c r="W430" i="1"/>
  <c r="X429" i="1"/>
  <c r="Y429" i="1" s="1"/>
  <c r="O233" i="1"/>
  <c r="K234" i="1"/>
  <c r="L234" i="1" s="1"/>
  <c r="M234" i="1" s="1"/>
  <c r="S432" i="1" l="1"/>
  <c r="V432" i="1"/>
  <c r="N234" i="1"/>
  <c r="W431" i="1"/>
  <c r="X430" i="1"/>
  <c r="Y430" i="1" s="1"/>
  <c r="R235" i="1" l="1"/>
  <c r="T235" i="1" s="1"/>
  <c r="P234" i="1"/>
  <c r="V433" i="1"/>
  <c r="S430" i="1"/>
  <c r="W432" i="1"/>
  <c r="X431" i="1"/>
  <c r="Y431" i="1" s="1"/>
  <c r="K235" i="1"/>
  <c r="L235" i="1" s="1"/>
  <c r="M235" i="1" s="1"/>
  <c r="O234" i="1"/>
  <c r="S434" i="1" l="1"/>
  <c r="V434" i="1"/>
  <c r="N235" i="1"/>
  <c r="W433" i="1"/>
  <c r="X432" i="1"/>
  <c r="Y432" i="1" s="1"/>
  <c r="R236" i="1" l="1"/>
  <c r="T236" i="1" s="1"/>
  <c r="P235" i="1"/>
  <c r="S435" i="1"/>
  <c r="V435" i="1"/>
  <c r="W434" i="1"/>
  <c r="X433" i="1"/>
  <c r="Y433" i="1" s="1"/>
  <c r="K236" i="1"/>
  <c r="L236" i="1" s="1"/>
  <c r="M236" i="1" s="1"/>
  <c r="O235" i="1"/>
  <c r="V436" i="1" l="1"/>
  <c r="N236" i="1"/>
  <c r="S433" i="1"/>
  <c r="W435" i="1"/>
  <c r="X434" i="1"/>
  <c r="Y434" i="1" s="1"/>
  <c r="R237" i="1" l="1"/>
  <c r="T237" i="1" s="1"/>
  <c r="P236" i="1"/>
  <c r="S437" i="1"/>
  <c r="V437" i="1"/>
  <c r="W436" i="1"/>
  <c r="X435" i="1"/>
  <c r="Y435" i="1" s="1"/>
  <c r="K237" i="1"/>
  <c r="N237" i="1" s="1"/>
  <c r="O236" i="1"/>
  <c r="R238" i="1" l="1"/>
  <c r="T238" i="1" s="1"/>
  <c r="P237" i="1"/>
  <c r="S438" i="1"/>
  <c r="V438" i="1"/>
  <c r="L237" i="1"/>
  <c r="M237" i="1" s="1"/>
  <c r="W437" i="1"/>
  <c r="X436" i="1"/>
  <c r="Y436" i="1" s="1"/>
  <c r="V439" i="1" l="1"/>
  <c r="S436" i="1"/>
  <c r="W438" i="1"/>
  <c r="X437" i="1"/>
  <c r="Y437" i="1" s="1"/>
  <c r="K238" i="1"/>
  <c r="O237" i="1"/>
  <c r="S440" i="1" l="1"/>
  <c r="V440" i="1"/>
  <c r="L238" i="1"/>
  <c r="M238" i="1" s="1"/>
  <c r="N238" i="1"/>
  <c r="W439" i="1"/>
  <c r="X438" i="1"/>
  <c r="Y438" i="1" s="1"/>
  <c r="R239" i="1" l="1"/>
  <c r="T239" i="1" s="1"/>
  <c r="P238" i="1"/>
  <c r="S441" i="1"/>
  <c r="V441" i="1"/>
  <c r="W440" i="1"/>
  <c r="X439" i="1"/>
  <c r="Y439" i="1" s="1"/>
  <c r="O238" i="1"/>
  <c r="K239" i="1"/>
  <c r="L239" i="1" s="1"/>
  <c r="M239" i="1" s="1"/>
  <c r="V442" i="1" l="1"/>
  <c r="N239" i="1"/>
  <c r="S439" i="1"/>
  <c r="W441" i="1"/>
  <c r="X440" i="1"/>
  <c r="Y440" i="1" s="1"/>
  <c r="R240" i="1" l="1"/>
  <c r="T240" i="1" s="1"/>
  <c r="P239" i="1"/>
  <c r="S443" i="1"/>
  <c r="V443" i="1"/>
  <c r="W442" i="1"/>
  <c r="X441" i="1"/>
  <c r="Y441" i="1" s="1"/>
  <c r="O239" i="1"/>
  <c r="K240" i="1"/>
  <c r="L240" i="1" s="1"/>
  <c r="M240" i="1" s="1"/>
  <c r="S444" i="1" l="1"/>
  <c r="V444" i="1"/>
  <c r="N240" i="1"/>
  <c r="W443" i="1"/>
  <c r="X442" i="1"/>
  <c r="Y442" i="1" s="1"/>
  <c r="R241" i="1" l="1"/>
  <c r="T241" i="1" s="1"/>
  <c r="P240" i="1"/>
  <c r="V445" i="1"/>
  <c r="S442" i="1"/>
  <c r="W444" i="1"/>
  <c r="X443" i="1"/>
  <c r="Y443" i="1" s="1"/>
  <c r="K241" i="1"/>
  <c r="L241" i="1" s="1"/>
  <c r="M241" i="1" s="1"/>
  <c r="O240" i="1"/>
  <c r="S446" i="1" l="1"/>
  <c r="V446" i="1"/>
  <c r="N241" i="1"/>
  <c r="W445" i="1"/>
  <c r="X444" i="1"/>
  <c r="Y444" i="1" s="1"/>
  <c r="R242" i="1" l="1"/>
  <c r="T242" i="1" s="1"/>
  <c r="P241" i="1"/>
  <c r="S447" i="1"/>
  <c r="V447" i="1"/>
  <c r="W446" i="1"/>
  <c r="X445" i="1"/>
  <c r="Y445" i="1" s="1"/>
  <c r="K242" i="1"/>
  <c r="O241" i="1"/>
  <c r="V448" i="1" l="1"/>
  <c r="L242" i="1"/>
  <c r="M242" i="1" s="1"/>
  <c r="N242" i="1"/>
  <c r="S445" i="1"/>
  <c r="W447" i="1"/>
  <c r="X446" i="1"/>
  <c r="Y446" i="1" s="1"/>
  <c r="R243" i="1" l="1"/>
  <c r="T243" i="1" s="1"/>
  <c r="P242" i="1"/>
  <c r="S449" i="1"/>
  <c r="V449" i="1"/>
  <c r="W448" i="1"/>
  <c r="X447" i="1"/>
  <c r="Y447" i="1" s="1"/>
  <c r="K243" i="1"/>
  <c r="N243" i="1" s="1"/>
  <c r="O242" i="1"/>
  <c r="R244" i="1" l="1"/>
  <c r="T244" i="1" s="1"/>
  <c r="P243" i="1"/>
  <c r="S450" i="1"/>
  <c r="V450" i="1"/>
  <c r="L243" i="1"/>
  <c r="M243" i="1" s="1"/>
  <c r="W449" i="1"/>
  <c r="X448" i="1"/>
  <c r="Y448" i="1" s="1"/>
  <c r="V451" i="1" l="1"/>
  <c r="S448" i="1"/>
  <c r="W450" i="1"/>
  <c r="X449" i="1"/>
  <c r="Y449" i="1" s="1"/>
  <c r="O243" i="1"/>
  <c r="K244" i="1"/>
  <c r="S452" i="1" l="1"/>
  <c r="V452" i="1"/>
  <c r="L244" i="1"/>
  <c r="M244" i="1" s="1"/>
  <c r="N244" i="1"/>
  <c r="W451" i="1"/>
  <c r="X450" i="1"/>
  <c r="Y450" i="1" s="1"/>
  <c r="R245" i="1" l="1"/>
  <c r="T245" i="1" s="1"/>
  <c r="P244" i="1"/>
  <c r="S453" i="1"/>
  <c r="V453" i="1"/>
  <c r="W452" i="1"/>
  <c r="X451" i="1"/>
  <c r="Y451" i="1" s="1"/>
  <c r="O244" i="1"/>
  <c r="K245" i="1"/>
  <c r="N245" i="1" s="1"/>
  <c r="R246" i="1" l="1"/>
  <c r="T246" i="1" s="1"/>
  <c r="P245" i="1"/>
  <c r="V454" i="1"/>
  <c r="L245" i="1"/>
  <c r="M245" i="1" s="1"/>
  <c r="S451" i="1"/>
  <c r="W453" i="1"/>
  <c r="X452" i="1"/>
  <c r="Y452" i="1" s="1"/>
  <c r="S455" i="1" l="1"/>
  <c r="V455" i="1"/>
  <c r="W454" i="1"/>
  <c r="X453" i="1"/>
  <c r="Y453" i="1" s="1"/>
  <c r="K246" i="1"/>
  <c r="O245" i="1"/>
  <c r="S456" i="1" l="1"/>
  <c r="V456" i="1"/>
  <c r="L246" i="1"/>
  <c r="M246" i="1" s="1"/>
  <c r="N246" i="1"/>
  <c r="W455" i="1"/>
  <c r="X454" i="1"/>
  <c r="Y454" i="1" s="1"/>
  <c r="R247" i="1" l="1"/>
  <c r="T247" i="1" s="1"/>
  <c r="P246" i="1"/>
  <c r="V457" i="1"/>
  <c r="S454" i="1"/>
  <c r="W456" i="1"/>
  <c r="X455" i="1"/>
  <c r="Y455" i="1" s="1"/>
  <c r="K247" i="1"/>
  <c r="L247" i="1" s="1"/>
  <c r="M247" i="1" s="1"/>
  <c r="O246" i="1"/>
  <c r="S458" i="1" l="1"/>
  <c r="V458" i="1"/>
  <c r="N247" i="1"/>
  <c r="W457" i="1"/>
  <c r="X456" i="1"/>
  <c r="Y456" i="1" s="1"/>
  <c r="R248" i="1" l="1"/>
  <c r="T248" i="1" s="1"/>
  <c r="P247" i="1"/>
  <c r="S459" i="1"/>
  <c r="V459" i="1"/>
  <c r="W458" i="1"/>
  <c r="X457" i="1"/>
  <c r="Y457" i="1" s="1"/>
  <c r="O247" i="1"/>
  <c r="K248" i="1"/>
  <c r="N248" i="1" s="1"/>
  <c r="R249" i="1" l="1"/>
  <c r="T249" i="1" s="1"/>
  <c r="P248" i="1"/>
  <c r="V460" i="1"/>
  <c r="L248" i="1"/>
  <c r="M248" i="1" s="1"/>
  <c r="S457" i="1"/>
  <c r="W459" i="1"/>
  <c r="X458" i="1"/>
  <c r="Y458" i="1" s="1"/>
  <c r="S461" i="1" l="1"/>
  <c r="V461" i="1"/>
  <c r="W460" i="1"/>
  <c r="X459" i="1"/>
  <c r="Y459" i="1" s="1"/>
  <c r="K249" i="1"/>
  <c r="O248" i="1"/>
  <c r="S462" i="1" l="1"/>
  <c r="V462" i="1"/>
  <c r="L249" i="1"/>
  <c r="M249" i="1" s="1"/>
  <c r="N249" i="1"/>
  <c r="W461" i="1"/>
  <c r="X460" i="1"/>
  <c r="Y460" i="1" s="1"/>
  <c r="R250" i="1" l="1"/>
  <c r="T250" i="1" s="1"/>
  <c r="P249" i="1"/>
  <c r="V463" i="1"/>
  <c r="S460" i="1"/>
  <c r="W462" i="1"/>
  <c r="X461" i="1"/>
  <c r="Y461" i="1" s="1"/>
  <c r="K250" i="1"/>
  <c r="L250" i="1" s="1"/>
  <c r="M250" i="1" s="1"/>
  <c r="O249" i="1"/>
  <c r="S464" i="1" l="1"/>
  <c r="V464" i="1"/>
  <c r="N250" i="1"/>
  <c r="W463" i="1"/>
  <c r="X462" i="1"/>
  <c r="Y462" i="1" s="1"/>
  <c r="R251" i="1" l="1"/>
  <c r="T251" i="1" s="1"/>
  <c r="P250" i="1"/>
  <c r="S465" i="1"/>
  <c r="V465" i="1"/>
  <c r="W464" i="1"/>
  <c r="X463" i="1"/>
  <c r="Y463" i="1" s="1"/>
  <c r="O250" i="1"/>
  <c r="K251" i="1"/>
  <c r="V466" i="1" l="1"/>
  <c r="L251" i="1"/>
  <c r="M251" i="1" s="1"/>
  <c r="N251" i="1"/>
  <c r="S463" i="1"/>
  <c r="W465" i="1"/>
  <c r="X464" i="1"/>
  <c r="Y464" i="1" s="1"/>
  <c r="R252" i="1" l="1"/>
  <c r="T252" i="1" s="1"/>
  <c r="P251" i="1"/>
  <c r="S467" i="1"/>
  <c r="V467" i="1"/>
  <c r="W466" i="1"/>
  <c r="X465" i="1"/>
  <c r="Y465" i="1" s="1"/>
  <c r="O251" i="1"/>
  <c r="K252" i="1"/>
  <c r="N252" i="1" s="1"/>
  <c r="R253" i="1" l="1"/>
  <c r="T253" i="1" s="1"/>
  <c r="P252" i="1"/>
  <c r="S468" i="1"/>
  <c r="V468" i="1"/>
  <c r="L252" i="1"/>
  <c r="M252" i="1" s="1"/>
  <c r="W467" i="1"/>
  <c r="X466" i="1"/>
  <c r="Y466" i="1" s="1"/>
  <c r="V469" i="1" l="1"/>
  <c r="S466" i="1"/>
  <c r="W468" i="1"/>
  <c r="X467" i="1"/>
  <c r="Y467" i="1" s="1"/>
  <c r="K253" i="1"/>
  <c r="O252" i="1"/>
  <c r="S470" i="1" l="1"/>
  <c r="V470" i="1"/>
  <c r="L253" i="1"/>
  <c r="M253" i="1" s="1"/>
  <c r="N253" i="1"/>
  <c r="W469" i="1"/>
  <c r="X468" i="1"/>
  <c r="Y468" i="1" s="1"/>
  <c r="R254" i="1" l="1"/>
  <c r="T254" i="1" s="1"/>
  <c r="P253" i="1"/>
  <c r="S471" i="1"/>
  <c r="V471" i="1"/>
  <c r="W470" i="1"/>
  <c r="X469" i="1"/>
  <c r="Y469" i="1" s="1"/>
  <c r="O253" i="1"/>
  <c r="K254" i="1"/>
  <c r="N254" i="1" s="1"/>
  <c r="R255" i="1" l="1"/>
  <c r="T255" i="1" s="1"/>
  <c r="P254" i="1"/>
  <c r="V472" i="1"/>
  <c r="L254" i="1"/>
  <c r="M254" i="1" s="1"/>
  <c r="S469" i="1"/>
  <c r="W471" i="1"/>
  <c r="X470" i="1"/>
  <c r="Y470" i="1" s="1"/>
  <c r="S473" i="1" l="1"/>
  <c r="V473" i="1"/>
  <c r="W472" i="1"/>
  <c r="X471" i="1"/>
  <c r="Y471" i="1" s="1"/>
  <c r="O254" i="1"/>
  <c r="K255" i="1"/>
  <c r="S474" i="1" l="1"/>
  <c r="V474" i="1"/>
  <c r="L255" i="1"/>
  <c r="M255" i="1" s="1"/>
  <c r="N255" i="1"/>
  <c r="W473" i="1"/>
  <c r="X472" i="1"/>
  <c r="Y472" i="1" s="1"/>
  <c r="R256" i="1" l="1"/>
  <c r="T256" i="1" s="1"/>
  <c r="P255" i="1"/>
  <c r="V475" i="1"/>
  <c r="S472" i="1"/>
  <c r="W474" i="1"/>
  <c r="X473" i="1"/>
  <c r="Y473" i="1" s="1"/>
  <c r="O255" i="1"/>
  <c r="K256" i="1"/>
  <c r="L256" i="1" s="1"/>
  <c r="M256" i="1" s="1"/>
  <c r="S476" i="1" l="1"/>
  <c r="V476" i="1"/>
  <c r="N256" i="1"/>
  <c r="W475" i="1"/>
  <c r="X474" i="1"/>
  <c r="Y474" i="1" s="1"/>
  <c r="R257" i="1" l="1"/>
  <c r="T257" i="1" s="1"/>
  <c r="P256" i="1"/>
  <c r="S477" i="1"/>
  <c r="V477" i="1"/>
  <c r="W476" i="1"/>
  <c r="X475" i="1"/>
  <c r="Y475" i="1" s="1"/>
  <c r="K257" i="1"/>
  <c r="L257" i="1" s="1"/>
  <c r="M257" i="1" s="1"/>
  <c r="O256" i="1"/>
  <c r="V478" i="1" l="1"/>
  <c r="N257" i="1"/>
  <c r="S475" i="1"/>
  <c r="W477" i="1"/>
  <c r="X476" i="1"/>
  <c r="Y476" i="1" s="1"/>
  <c r="R258" i="1" l="1"/>
  <c r="T258" i="1" s="1"/>
  <c r="P257" i="1"/>
  <c r="S479" i="1"/>
  <c r="V479" i="1"/>
  <c r="W478" i="1"/>
  <c r="X477" i="1"/>
  <c r="Y477" i="1" s="1"/>
  <c r="K258" i="1"/>
  <c r="L258" i="1" s="1"/>
  <c r="M258" i="1" s="1"/>
  <c r="O257" i="1"/>
  <c r="S480" i="1" l="1"/>
  <c r="V480" i="1"/>
  <c r="N258" i="1"/>
  <c r="W479" i="1"/>
  <c r="X478" i="1"/>
  <c r="Y478" i="1" s="1"/>
  <c r="R259" i="1" l="1"/>
  <c r="T259" i="1" s="1"/>
  <c r="P258" i="1"/>
  <c r="V481" i="1"/>
  <c r="S478" i="1"/>
  <c r="W480" i="1"/>
  <c r="X479" i="1"/>
  <c r="Y479" i="1" s="1"/>
  <c r="O258" i="1"/>
  <c r="K259" i="1"/>
  <c r="L259" i="1" s="1"/>
  <c r="M259" i="1" s="1"/>
  <c r="S482" i="1" l="1"/>
  <c r="V482" i="1"/>
  <c r="N259" i="1"/>
  <c r="W481" i="1"/>
  <c r="X480" i="1"/>
  <c r="Y480" i="1" s="1"/>
  <c r="R260" i="1" l="1"/>
  <c r="T260" i="1" s="1"/>
  <c r="P259" i="1"/>
  <c r="S483" i="1"/>
  <c r="V483" i="1"/>
  <c r="W482" i="1"/>
  <c r="X481" i="1"/>
  <c r="Y481" i="1" s="1"/>
  <c r="K260" i="1"/>
  <c r="L260" i="1" s="1"/>
  <c r="M260" i="1" s="1"/>
  <c r="O259" i="1"/>
  <c r="V484" i="1" l="1"/>
  <c r="N260" i="1"/>
  <c r="S481" i="1"/>
  <c r="W483" i="1"/>
  <c r="X482" i="1"/>
  <c r="Y482" i="1" s="1"/>
  <c r="R261" i="1" l="1"/>
  <c r="T261" i="1" s="1"/>
  <c r="P260" i="1"/>
  <c r="S485" i="1"/>
  <c r="V485" i="1"/>
  <c r="W484" i="1"/>
  <c r="X483" i="1"/>
  <c r="Y483" i="1" s="1"/>
  <c r="O260" i="1"/>
  <c r="K261" i="1"/>
  <c r="L261" i="1" s="1"/>
  <c r="M261" i="1" s="1"/>
  <c r="S486" i="1" l="1"/>
  <c r="V486" i="1"/>
  <c r="N261" i="1"/>
  <c r="W485" i="1"/>
  <c r="X484" i="1"/>
  <c r="Y484" i="1" s="1"/>
  <c r="R262" i="1" l="1"/>
  <c r="T262" i="1" s="1"/>
  <c r="P261" i="1"/>
  <c r="V487" i="1"/>
  <c r="S484" i="1"/>
  <c r="W486" i="1"/>
  <c r="X485" i="1"/>
  <c r="Y485" i="1" s="1"/>
  <c r="K262" i="1"/>
  <c r="O261" i="1"/>
  <c r="S488" i="1" l="1"/>
  <c r="V488" i="1"/>
  <c r="L262" i="1"/>
  <c r="M262" i="1" s="1"/>
  <c r="N262" i="1"/>
  <c r="W487" i="1"/>
  <c r="X486" i="1"/>
  <c r="Y486" i="1" s="1"/>
  <c r="R263" i="1" l="1"/>
  <c r="T263" i="1" s="1"/>
  <c r="P262" i="1"/>
  <c r="S489" i="1"/>
  <c r="V489" i="1"/>
  <c r="W488" i="1"/>
  <c r="X487" i="1"/>
  <c r="Y487" i="1" s="1"/>
  <c r="K263" i="1"/>
  <c r="N263" i="1" s="1"/>
  <c r="O262" i="1"/>
  <c r="R264" i="1" l="1"/>
  <c r="T264" i="1" s="1"/>
  <c r="P263" i="1"/>
  <c r="V490" i="1"/>
  <c r="L263" i="1"/>
  <c r="M263" i="1" s="1"/>
  <c r="S487" i="1"/>
  <c r="W489" i="1"/>
  <c r="X488" i="1"/>
  <c r="Y488" i="1" s="1"/>
  <c r="S491" i="1" l="1"/>
  <c r="V491" i="1"/>
  <c r="W490" i="1"/>
  <c r="X489" i="1"/>
  <c r="Y489" i="1" s="1"/>
  <c r="O263" i="1"/>
  <c r="K264" i="1"/>
  <c r="S492" i="1" l="1"/>
  <c r="V492" i="1"/>
  <c r="L264" i="1"/>
  <c r="M264" i="1" s="1"/>
  <c r="N264" i="1"/>
  <c r="W491" i="1"/>
  <c r="X490" i="1"/>
  <c r="Y490" i="1" s="1"/>
  <c r="R265" i="1" l="1"/>
  <c r="T265" i="1" s="1"/>
  <c r="P264" i="1"/>
  <c r="V493" i="1"/>
  <c r="S490" i="1"/>
  <c r="W492" i="1"/>
  <c r="X491" i="1"/>
  <c r="Y491" i="1" s="1"/>
  <c r="K265" i="1"/>
  <c r="L265" i="1" s="1"/>
  <c r="M265" i="1" s="1"/>
  <c r="O264" i="1"/>
  <c r="S494" i="1" l="1"/>
  <c r="V494" i="1"/>
  <c r="N265" i="1"/>
  <c r="W493" i="1"/>
  <c r="X492" i="1"/>
  <c r="Y492" i="1" s="1"/>
  <c r="R266" i="1" l="1"/>
  <c r="T266" i="1" s="1"/>
  <c r="P265" i="1"/>
  <c r="S495" i="1"/>
  <c r="V495" i="1"/>
  <c r="W494" i="1"/>
  <c r="X493" i="1"/>
  <c r="Y493" i="1" s="1"/>
  <c r="K266" i="1"/>
  <c r="L266" i="1" s="1"/>
  <c r="M266" i="1" s="1"/>
  <c r="O265" i="1"/>
  <c r="V496" i="1" l="1"/>
  <c r="N266" i="1"/>
  <c r="S493" i="1"/>
  <c r="W495" i="1"/>
  <c r="X494" i="1"/>
  <c r="Y494" i="1" s="1"/>
  <c r="R267" i="1" l="1"/>
  <c r="T267" i="1" s="1"/>
  <c r="P266" i="1"/>
  <c r="S497" i="1"/>
  <c r="V497" i="1"/>
  <c r="W496" i="1"/>
  <c r="X495" i="1"/>
  <c r="Y495" i="1" s="1"/>
  <c r="K267" i="1"/>
  <c r="L267" i="1" s="1"/>
  <c r="M267" i="1" s="1"/>
  <c r="O266" i="1"/>
  <c r="S498" i="1" l="1"/>
  <c r="V498" i="1"/>
  <c r="N267" i="1"/>
  <c r="W497" i="1"/>
  <c r="X496" i="1"/>
  <c r="Y496" i="1" s="1"/>
  <c r="R268" i="1" l="1"/>
  <c r="T268" i="1" s="1"/>
  <c r="P267" i="1"/>
  <c r="V499" i="1"/>
  <c r="S496" i="1"/>
  <c r="W498" i="1"/>
  <c r="X497" i="1"/>
  <c r="Y497" i="1" s="1"/>
  <c r="K268" i="1"/>
  <c r="N268" i="1" s="1"/>
  <c r="O267" i="1"/>
  <c r="R269" i="1" l="1"/>
  <c r="T269" i="1" s="1"/>
  <c r="P268" i="1"/>
  <c r="S500" i="1"/>
  <c r="V500" i="1"/>
  <c r="L268" i="1"/>
  <c r="M268" i="1" s="1"/>
  <c r="W499" i="1"/>
  <c r="X498" i="1"/>
  <c r="Y498" i="1" s="1"/>
  <c r="S501" i="1" l="1"/>
  <c r="V501" i="1"/>
  <c r="W500" i="1"/>
  <c r="X499" i="1"/>
  <c r="Y499" i="1" s="1"/>
  <c r="O268" i="1"/>
  <c r="K269" i="1"/>
  <c r="V502" i="1" l="1"/>
  <c r="L269" i="1"/>
  <c r="M269" i="1" s="1"/>
  <c r="N269" i="1"/>
  <c r="S499" i="1"/>
  <c r="W501" i="1"/>
  <c r="X500" i="1"/>
  <c r="Y500" i="1" s="1"/>
  <c r="R270" i="1" l="1"/>
  <c r="T270" i="1" s="1"/>
  <c r="P269" i="1"/>
  <c r="S503" i="1"/>
  <c r="V503" i="1"/>
  <c r="W502" i="1"/>
  <c r="X501" i="1"/>
  <c r="Y501" i="1" s="1"/>
  <c r="K270" i="1"/>
  <c r="L270" i="1" s="1"/>
  <c r="M270" i="1" s="1"/>
  <c r="O269" i="1"/>
  <c r="S504" i="1" l="1"/>
  <c r="V504" i="1"/>
  <c r="N270" i="1"/>
  <c r="W503" i="1"/>
  <c r="X502" i="1"/>
  <c r="Y502" i="1" s="1"/>
  <c r="R271" i="1" l="1"/>
  <c r="T271" i="1" s="1"/>
  <c r="P270" i="1"/>
  <c r="V505" i="1"/>
  <c r="S502" i="1"/>
  <c r="W504" i="1"/>
  <c r="X503" i="1"/>
  <c r="Y503" i="1" s="1"/>
  <c r="O270" i="1"/>
  <c r="K271" i="1"/>
  <c r="L271" i="1" s="1"/>
  <c r="M271" i="1" s="1"/>
  <c r="S506" i="1" l="1"/>
  <c r="V506" i="1"/>
  <c r="N271" i="1"/>
  <c r="W505" i="1"/>
  <c r="X504" i="1"/>
  <c r="Y504" i="1" s="1"/>
  <c r="R272" i="1" l="1"/>
  <c r="T272" i="1" s="1"/>
  <c r="P271" i="1"/>
  <c r="S507" i="1"/>
  <c r="V507" i="1"/>
  <c r="W506" i="1"/>
  <c r="X505" i="1"/>
  <c r="Y505" i="1" s="1"/>
  <c r="K272" i="1"/>
  <c r="L272" i="1" s="1"/>
  <c r="M272" i="1" s="1"/>
  <c r="O271" i="1"/>
  <c r="V508" i="1" l="1"/>
  <c r="N272" i="1"/>
  <c r="S505" i="1"/>
  <c r="W507" i="1"/>
  <c r="X506" i="1"/>
  <c r="Y506" i="1" s="1"/>
  <c r="R273" i="1" l="1"/>
  <c r="T273" i="1" s="1"/>
  <c r="P272" i="1"/>
  <c r="S509" i="1"/>
  <c r="V509" i="1"/>
  <c r="W508" i="1"/>
  <c r="X507" i="1"/>
  <c r="Y507" i="1" s="1"/>
  <c r="O272" i="1"/>
  <c r="K273" i="1"/>
  <c r="N273" i="1" s="1"/>
  <c r="R274" i="1" l="1"/>
  <c r="T274" i="1" s="1"/>
  <c r="P273" i="1"/>
  <c r="S510" i="1"/>
  <c r="V510" i="1"/>
  <c r="L273" i="1"/>
  <c r="M273" i="1" s="1"/>
  <c r="W509" i="1"/>
  <c r="X508" i="1"/>
  <c r="Y508" i="1" s="1"/>
  <c r="V511" i="1" l="1"/>
  <c r="S508" i="1"/>
  <c r="W510" i="1"/>
  <c r="X509" i="1"/>
  <c r="Y509" i="1" s="1"/>
  <c r="O273" i="1"/>
  <c r="K274" i="1"/>
  <c r="S512" i="1" l="1"/>
  <c r="V512" i="1"/>
  <c r="L274" i="1"/>
  <c r="M274" i="1" s="1"/>
  <c r="N274" i="1"/>
  <c r="W511" i="1"/>
  <c r="X510" i="1"/>
  <c r="Y510" i="1" s="1"/>
  <c r="R275" i="1" l="1"/>
  <c r="T275" i="1" s="1"/>
  <c r="P274" i="1"/>
  <c r="S513" i="1"/>
  <c r="V513" i="1"/>
  <c r="W512" i="1"/>
  <c r="X511" i="1"/>
  <c r="Y511" i="1" s="1"/>
  <c r="O274" i="1"/>
  <c r="K275" i="1"/>
  <c r="L275" i="1" s="1"/>
  <c r="M275" i="1" s="1"/>
  <c r="V514" i="1" l="1"/>
  <c r="N275" i="1"/>
  <c r="S511" i="1"/>
  <c r="W513" i="1"/>
  <c r="X512" i="1"/>
  <c r="Y512" i="1" s="1"/>
  <c r="R276" i="1" l="1"/>
  <c r="T276" i="1" s="1"/>
  <c r="P275" i="1"/>
  <c r="S515" i="1"/>
  <c r="V515" i="1"/>
  <c r="W514" i="1"/>
  <c r="X513" i="1"/>
  <c r="Y513" i="1" s="1"/>
  <c r="K276" i="1"/>
  <c r="L276" i="1" s="1"/>
  <c r="M276" i="1" s="1"/>
  <c r="O275" i="1"/>
  <c r="S516" i="1" l="1"/>
  <c r="V516" i="1"/>
  <c r="N276" i="1"/>
  <c r="W515" i="1"/>
  <c r="X514" i="1"/>
  <c r="Y514" i="1" s="1"/>
  <c r="R277" i="1" l="1"/>
  <c r="T277" i="1" s="1"/>
  <c r="P276" i="1"/>
  <c r="S514" i="1"/>
  <c r="W516" i="1"/>
  <c r="X516" i="1" s="1"/>
  <c r="Y516" i="1" s="1"/>
  <c r="X515" i="1"/>
  <c r="Y515" i="1" s="1"/>
  <c r="O276" i="1"/>
  <c r="K277" i="1"/>
  <c r="L277" i="1" s="1"/>
  <c r="M277" i="1" s="1"/>
  <c r="N277" i="1" l="1"/>
  <c r="R278" i="1" l="1"/>
  <c r="T278" i="1" s="1"/>
  <c r="P277" i="1"/>
  <c r="K278" i="1"/>
  <c r="L278" i="1" s="1"/>
  <c r="M278" i="1" s="1"/>
  <c r="O277" i="1"/>
  <c r="N278" i="1" l="1"/>
  <c r="K279" i="1" l="1"/>
  <c r="L279" i="1" s="1"/>
  <c r="M279" i="1" s="1"/>
  <c r="P278" i="1"/>
  <c r="O278" i="1"/>
  <c r="R279" i="1"/>
  <c r="T279" i="1" s="1"/>
  <c r="N279" i="1" l="1"/>
  <c r="O279" i="1" s="1"/>
  <c r="K280" i="1" l="1"/>
  <c r="L280" i="1" s="1"/>
  <c r="M280" i="1" s="1"/>
  <c r="R280" i="1"/>
  <c r="T280" i="1" s="1"/>
  <c r="P279" i="1"/>
  <c r="N280" i="1" l="1"/>
  <c r="R281" i="1" s="1"/>
  <c r="T281" i="1" s="1"/>
  <c r="O280" i="1" l="1"/>
  <c r="K281" i="1"/>
  <c r="L281" i="1" s="1"/>
  <c r="M281" i="1" s="1"/>
  <c r="P280" i="1"/>
  <c r="N281" i="1" l="1"/>
  <c r="R282" i="1" s="1"/>
  <c r="T282" i="1" s="1"/>
  <c r="K282" i="1" l="1"/>
  <c r="L282" i="1" s="1"/>
  <c r="M282" i="1" s="1"/>
  <c r="P281" i="1"/>
  <c r="O281" i="1"/>
  <c r="N282" i="1"/>
  <c r="R283" i="1" l="1"/>
  <c r="T283" i="1" s="1"/>
  <c r="P282" i="1"/>
  <c r="O282" i="1"/>
  <c r="K283" i="1"/>
  <c r="L283" i="1" s="1"/>
  <c r="M283" i="1" s="1"/>
  <c r="N283" i="1" l="1"/>
  <c r="R284" i="1" l="1"/>
  <c r="T284" i="1" s="1"/>
  <c r="P283" i="1"/>
  <c r="O283" i="1"/>
  <c r="K284" i="1"/>
  <c r="L284" i="1" s="1"/>
  <c r="M284" i="1" s="1"/>
  <c r="N284" i="1" l="1"/>
  <c r="R285" i="1" l="1"/>
  <c r="T285" i="1" s="1"/>
  <c r="P284" i="1"/>
  <c r="O284" i="1"/>
  <c r="K285" i="1"/>
  <c r="L285" i="1" s="1"/>
  <c r="M285" i="1" s="1"/>
  <c r="N285" i="1" l="1"/>
  <c r="R286" i="1" l="1"/>
  <c r="T286" i="1" s="1"/>
  <c r="P285" i="1"/>
  <c r="K286" i="1"/>
  <c r="L286" i="1" s="1"/>
  <c r="M286" i="1" s="1"/>
  <c r="O285" i="1"/>
  <c r="N286" i="1" l="1"/>
  <c r="R287" i="1" l="1"/>
  <c r="T287" i="1" s="1"/>
  <c r="P286" i="1"/>
  <c r="O286" i="1"/>
  <c r="K287" i="1"/>
  <c r="L287" i="1" s="1"/>
  <c r="M287" i="1" s="1"/>
  <c r="N287" i="1" l="1"/>
  <c r="O287" i="1" l="1"/>
  <c r="P287" i="1"/>
  <c r="R288" i="1"/>
  <c r="T288" i="1" s="1"/>
  <c r="K288" i="1"/>
  <c r="L288" i="1" l="1"/>
  <c r="M288" i="1" s="1"/>
  <c r="N288" i="1"/>
  <c r="P288" i="1" s="1"/>
  <c r="R289" i="1" l="1"/>
  <c r="T289" i="1" s="1"/>
  <c r="K289" i="1"/>
  <c r="L289" i="1" s="1"/>
  <c r="M289" i="1" s="1"/>
  <c r="O288" i="1"/>
  <c r="N289" i="1" l="1"/>
  <c r="O289" i="1" l="1"/>
  <c r="P289" i="1"/>
  <c r="R290" i="1"/>
  <c r="T290" i="1" s="1"/>
  <c r="K290" i="1"/>
  <c r="L290" i="1" s="1"/>
  <c r="M290" i="1" s="1"/>
  <c r="N290" i="1" l="1"/>
  <c r="P290" i="1" s="1"/>
  <c r="R291" i="1" l="1"/>
  <c r="T291" i="1" s="1"/>
  <c r="O290" i="1"/>
  <c r="K291" i="1"/>
  <c r="L291" i="1" l="1"/>
  <c r="M291" i="1" s="1"/>
  <c r="N291" i="1"/>
  <c r="P291" i="1" s="1"/>
  <c r="R292" i="1" l="1"/>
  <c r="T292" i="1" s="1"/>
  <c r="K292" i="1"/>
  <c r="L292" i="1" s="1"/>
  <c r="M292" i="1" s="1"/>
  <c r="O291" i="1"/>
  <c r="N292" i="1" l="1"/>
  <c r="P292" i="1" s="1"/>
  <c r="R293" i="1" l="1"/>
  <c r="T293" i="1" s="1"/>
  <c r="K293" i="1"/>
  <c r="L293" i="1" s="1"/>
  <c r="M293" i="1" s="1"/>
  <c r="O292" i="1"/>
  <c r="N293" i="1" l="1"/>
  <c r="P293" i="1" s="1"/>
  <c r="R294" i="1" l="1"/>
  <c r="T294" i="1" s="1"/>
  <c r="K294" i="1"/>
  <c r="L294" i="1" s="1"/>
  <c r="M294" i="1" s="1"/>
  <c r="O293" i="1"/>
  <c r="N294" i="1" l="1"/>
  <c r="R295" i="1" l="1"/>
  <c r="T295" i="1" s="1"/>
  <c r="P294" i="1"/>
  <c r="K295" i="1"/>
  <c r="L295" i="1" s="1"/>
  <c r="M295" i="1" s="1"/>
  <c r="O294" i="1"/>
  <c r="N295" i="1" l="1"/>
  <c r="R296" i="1" l="1"/>
  <c r="T296" i="1" s="1"/>
  <c r="P295" i="1"/>
  <c r="O295" i="1"/>
  <c r="K296" i="1"/>
  <c r="L296" i="1" s="1"/>
  <c r="M296" i="1" s="1"/>
  <c r="N296" i="1" l="1"/>
  <c r="R297" i="1" l="1"/>
  <c r="T297" i="1" s="1"/>
  <c r="P296" i="1"/>
  <c r="K297" i="1"/>
  <c r="L297" i="1" s="1"/>
  <c r="M297" i="1" s="1"/>
  <c r="O296" i="1"/>
  <c r="N297" i="1" l="1"/>
  <c r="R298" i="1" l="1"/>
  <c r="T298" i="1" s="1"/>
  <c r="P297" i="1"/>
  <c r="O297" i="1"/>
  <c r="K298" i="1"/>
  <c r="L298" i="1" s="1"/>
  <c r="M298" i="1" s="1"/>
  <c r="N298" i="1" l="1"/>
  <c r="R299" i="1" l="1"/>
  <c r="T299" i="1" s="1"/>
  <c r="P298" i="1"/>
  <c r="K299" i="1"/>
  <c r="L299" i="1" s="1"/>
  <c r="M299" i="1" s="1"/>
  <c r="O298" i="1"/>
  <c r="N299" i="1" l="1"/>
  <c r="K300" i="1" l="1"/>
  <c r="L300" i="1" s="1"/>
  <c r="M300" i="1" s="1"/>
  <c r="P299" i="1"/>
  <c r="R300" i="1"/>
  <c r="T300" i="1" s="1"/>
  <c r="O299" i="1"/>
  <c r="N300" i="1" l="1"/>
  <c r="R301" i="1" s="1"/>
  <c r="T301" i="1" s="1"/>
  <c r="O300" i="1" l="1"/>
  <c r="K301" i="1"/>
  <c r="L301" i="1" s="1"/>
  <c r="M301" i="1" s="1"/>
  <c r="P300" i="1"/>
  <c r="N301" i="1"/>
  <c r="R302" i="1" l="1"/>
  <c r="T302" i="1" s="1"/>
  <c r="P301" i="1"/>
  <c r="O301" i="1"/>
  <c r="K302" i="1"/>
  <c r="L302" i="1" s="1"/>
  <c r="M302" i="1" s="1"/>
  <c r="N302" i="1" l="1"/>
  <c r="R303" i="1" l="1"/>
  <c r="T303" i="1" s="1"/>
  <c r="P302" i="1"/>
  <c r="O302" i="1"/>
  <c r="K303" i="1"/>
  <c r="L303" i="1" s="1"/>
  <c r="M303" i="1" s="1"/>
  <c r="N303" i="1" l="1"/>
  <c r="R304" i="1" l="1"/>
  <c r="T304" i="1" s="1"/>
  <c r="P303" i="1"/>
  <c r="K304" i="1"/>
  <c r="L304" i="1" s="1"/>
  <c r="M304" i="1" s="1"/>
  <c r="O303" i="1"/>
  <c r="N304" i="1" l="1"/>
  <c r="R305" i="1" l="1"/>
  <c r="T305" i="1" s="1"/>
  <c r="P304" i="1"/>
  <c r="O304" i="1"/>
  <c r="K305" i="1"/>
  <c r="L305" i="1" s="1"/>
  <c r="M305" i="1" s="1"/>
  <c r="N305" i="1" l="1"/>
  <c r="R306" i="1" l="1"/>
  <c r="T306" i="1" s="1"/>
  <c r="P305" i="1"/>
  <c r="O305" i="1"/>
  <c r="K306" i="1"/>
  <c r="L306" i="1" s="1"/>
  <c r="M306" i="1" s="1"/>
  <c r="N306" i="1" l="1"/>
  <c r="R307" i="1" l="1"/>
  <c r="T307" i="1" s="1"/>
  <c r="P306" i="1"/>
  <c r="O306" i="1"/>
  <c r="K307" i="1"/>
  <c r="L307" i="1" s="1"/>
  <c r="M307" i="1" s="1"/>
  <c r="N307" i="1" l="1"/>
  <c r="R308" i="1" l="1"/>
  <c r="T308" i="1" s="1"/>
  <c r="P307" i="1"/>
  <c r="K308" i="1"/>
  <c r="L308" i="1" s="1"/>
  <c r="M308" i="1" s="1"/>
  <c r="O307" i="1"/>
  <c r="N308" i="1" l="1"/>
  <c r="R309" i="1" l="1"/>
  <c r="T309" i="1" s="1"/>
  <c r="P308" i="1"/>
  <c r="O308" i="1"/>
  <c r="K309" i="1"/>
  <c r="L309" i="1" s="1"/>
  <c r="M309" i="1" s="1"/>
  <c r="N309" i="1" l="1"/>
  <c r="R310" i="1" l="1"/>
  <c r="T310" i="1" s="1"/>
  <c r="P309" i="1"/>
  <c r="K310" i="1"/>
  <c r="L310" i="1" s="1"/>
  <c r="M310" i="1" s="1"/>
  <c r="O309" i="1"/>
  <c r="N310" i="1" l="1"/>
  <c r="R311" i="1" l="1"/>
  <c r="T311" i="1" s="1"/>
  <c r="P310" i="1"/>
  <c r="K311" i="1"/>
  <c r="L311" i="1" s="1"/>
  <c r="M311" i="1" s="1"/>
  <c r="O310" i="1"/>
  <c r="N311" i="1" l="1"/>
  <c r="R312" i="1" l="1"/>
  <c r="T312" i="1" s="1"/>
  <c r="P311" i="1"/>
  <c r="O311" i="1"/>
  <c r="K312" i="1"/>
  <c r="L312" i="1" s="1"/>
  <c r="M312" i="1" s="1"/>
  <c r="N312" i="1" l="1"/>
  <c r="R313" i="1" l="1"/>
  <c r="T313" i="1" s="1"/>
  <c r="P312" i="1"/>
  <c r="K313" i="1"/>
  <c r="L313" i="1" s="1"/>
  <c r="M313" i="1" s="1"/>
  <c r="O312" i="1"/>
  <c r="N313" i="1" l="1"/>
  <c r="R314" i="1" l="1"/>
  <c r="T314" i="1" s="1"/>
  <c r="P313" i="1"/>
  <c r="O313" i="1"/>
  <c r="K314" i="1"/>
  <c r="L314" i="1" s="1"/>
  <c r="M314" i="1" s="1"/>
  <c r="N314" i="1" l="1"/>
  <c r="R315" i="1" l="1"/>
  <c r="T315" i="1" s="1"/>
  <c r="P314" i="1"/>
  <c r="O314" i="1"/>
  <c r="K315" i="1"/>
  <c r="L315" i="1" s="1"/>
  <c r="M315" i="1" s="1"/>
  <c r="N315" i="1" l="1"/>
  <c r="R316" i="1" l="1"/>
  <c r="T316" i="1" s="1"/>
  <c r="P315" i="1"/>
  <c r="K316" i="1"/>
  <c r="L316" i="1" s="1"/>
  <c r="M316" i="1" s="1"/>
  <c r="O315" i="1"/>
  <c r="N316" i="1" l="1"/>
  <c r="R317" i="1" l="1"/>
  <c r="T317" i="1" s="1"/>
  <c r="P316" i="1"/>
  <c r="K317" i="1"/>
  <c r="L317" i="1" s="1"/>
  <c r="M317" i="1" s="1"/>
  <c r="O316" i="1"/>
  <c r="N317" i="1" l="1"/>
  <c r="R318" i="1" l="1"/>
  <c r="T318" i="1" s="1"/>
  <c r="P317" i="1"/>
  <c r="K318" i="1"/>
  <c r="L318" i="1" s="1"/>
  <c r="M318" i="1" s="1"/>
  <c r="O317" i="1"/>
  <c r="N318" i="1" l="1"/>
  <c r="P318" i="1" s="1"/>
  <c r="R319" i="1" l="1"/>
  <c r="T319" i="1" s="1"/>
  <c r="K319" i="1"/>
  <c r="N319" i="1" s="1"/>
  <c r="P319" i="1" s="1"/>
  <c r="O318" i="1"/>
  <c r="L319" i="1" l="1"/>
  <c r="M319" i="1" s="1"/>
  <c r="K320" i="1"/>
  <c r="O319" i="1"/>
  <c r="R320" i="1"/>
  <c r="T320" i="1" s="1"/>
  <c r="N320" i="1" l="1"/>
  <c r="P320" i="1" s="1"/>
  <c r="L320" i="1"/>
  <c r="M320" i="1" s="1"/>
  <c r="O320" i="1" l="1"/>
  <c r="K321" i="1"/>
  <c r="L321" i="1" s="1"/>
  <c r="M321" i="1" s="1"/>
  <c r="R321" i="1"/>
  <c r="T321" i="1" s="1"/>
  <c r="N321" i="1" l="1"/>
  <c r="K322" i="1" l="1"/>
  <c r="L322" i="1" s="1"/>
  <c r="M322" i="1" s="1"/>
  <c r="P321" i="1"/>
  <c r="R322" i="1"/>
  <c r="T322" i="1" s="1"/>
  <c r="O321" i="1"/>
  <c r="N322" i="1" l="1"/>
  <c r="O322" i="1" s="1"/>
  <c r="K323" i="1" l="1"/>
  <c r="L323" i="1" s="1"/>
  <c r="M323" i="1" s="1"/>
  <c r="R323" i="1"/>
  <c r="T323" i="1" s="1"/>
  <c r="P322" i="1"/>
  <c r="N323" i="1" l="1"/>
  <c r="R324" i="1" s="1"/>
  <c r="T324" i="1" s="1"/>
  <c r="O323" i="1" l="1"/>
  <c r="K324" i="1"/>
  <c r="L324" i="1" s="1"/>
  <c r="M324" i="1" s="1"/>
  <c r="P323" i="1"/>
  <c r="N324" i="1" l="1"/>
  <c r="R325" i="1" s="1"/>
  <c r="T325" i="1" s="1"/>
  <c r="O324" i="1" l="1"/>
  <c r="K325" i="1"/>
  <c r="L325" i="1" s="1"/>
  <c r="M325" i="1" s="1"/>
  <c r="P324" i="1"/>
  <c r="N325" i="1"/>
  <c r="R326" i="1" l="1"/>
  <c r="T326" i="1" s="1"/>
  <c r="P325" i="1"/>
  <c r="O325" i="1"/>
  <c r="K326" i="1"/>
  <c r="L326" i="1" s="1"/>
  <c r="M326" i="1" s="1"/>
  <c r="N326" i="1" l="1"/>
  <c r="R327" i="1" l="1"/>
  <c r="T327" i="1" s="1"/>
  <c r="P326" i="1"/>
  <c r="O326" i="1"/>
  <c r="K327" i="1"/>
  <c r="L327" i="1" s="1"/>
  <c r="M327" i="1" s="1"/>
  <c r="N327" i="1" l="1"/>
  <c r="R328" i="1" l="1"/>
  <c r="T328" i="1" s="1"/>
  <c r="P327" i="1"/>
  <c r="O327" i="1"/>
  <c r="K328" i="1"/>
  <c r="L328" i="1" s="1"/>
  <c r="M328" i="1" s="1"/>
  <c r="N328" i="1" l="1"/>
  <c r="R329" i="1" l="1"/>
  <c r="T329" i="1" s="1"/>
  <c r="P328" i="1"/>
  <c r="K329" i="1"/>
  <c r="L329" i="1" s="1"/>
  <c r="M329" i="1" s="1"/>
  <c r="O328" i="1"/>
  <c r="N329" i="1" l="1"/>
  <c r="R330" i="1" l="1"/>
  <c r="T330" i="1" s="1"/>
  <c r="P329" i="1"/>
  <c r="O329" i="1"/>
  <c r="K330" i="1"/>
  <c r="L330" i="1" s="1"/>
  <c r="M330" i="1" s="1"/>
  <c r="N330" i="1" l="1"/>
  <c r="R331" i="1" l="1"/>
  <c r="T331" i="1" s="1"/>
  <c r="P330" i="1"/>
  <c r="K331" i="1"/>
  <c r="L331" i="1" s="1"/>
  <c r="M331" i="1" s="1"/>
  <c r="O330" i="1"/>
  <c r="N331" i="1" l="1"/>
  <c r="K332" i="1" l="1"/>
  <c r="L332" i="1" s="1"/>
  <c r="M332" i="1" s="1"/>
  <c r="P331" i="1"/>
  <c r="R332" i="1"/>
  <c r="T332" i="1" s="1"/>
  <c r="O331" i="1"/>
  <c r="N332" i="1" l="1"/>
  <c r="K333" i="1" s="1"/>
  <c r="L333" i="1" s="1"/>
  <c r="M333" i="1" s="1"/>
  <c r="O332" i="1" l="1"/>
  <c r="R333" i="1"/>
  <c r="T333" i="1" s="1"/>
  <c r="P332" i="1"/>
  <c r="N333" i="1"/>
  <c r="R334" i="1" l="1"/>
  <c r="T334" i="1" s="1"/>
  <c r="P333" i="1"/>
  <c r="O333" i="1"/>
  <c r="K334" i="1"/>
  <c r="L334" i="1" s="1"/>
  <c r="M334" i="1" s="1"/>
  <c r="N334" i="1" l="1"/>
  <c r="R335" i="1" l="1"/>
  <c r="T335" i="1" s="1"/>
  <c r="P334" i="1"/>
  <c r="O334" i="1"/>
  <c r="K335" i="1"/>
  <c r="L335" i="1" s="1"/>
  <c r="M335" i="1" s="1"/>
  <c r="N335" i="1" l="1"/>
  <c r="R336" i="1" l="1"/>
  <c r="T336" i="1" s="1"/>
  <c r="P335" i="1"/>
  <c r="K336" i="1"/>
  <c r="L336" i="1" s="1"/>
  <c r="M336" i="1" s="1"/>
  <c r="O335" i="1"/>
  <c r="N336" i="1" l="1"/>
  <c r="R337" i="1" l="1"/>
  <c r="T337" i="1" s="1"/>
  <c r="P336" i="1"/>
  <c r="K337" i="1"/>
  <c r="L337" i="1" s="1"/>
  <c r="M337" i="1" s="1"/>
  <c r="O336" i="1"/>
  <c r="N337" i="1" l="1"/>
  <c r="R338" i="1" l="1"/>
  <c r="T338" i="1" s="1"/>
  <c r="P337" i="1"/>
  <c r="O337" i="1"/>
  <c r="K338" i="1"/>
  <c r="L338" i="1" s="1"/>
  <c r="M338" i="1" s="1"/>
  <c r="N338" i="1" l="1"/>
  <c r="R339" i="1" l="1"/>
  <c r="T339" i="1" s="1"/>
  <c r="P338" i="1"/>
  <c r="O338" i="1"/>
  <c r="K339" i="1"/>
  <c r="L339" i="1" s="1"/>
  <c r="M339" i="1" s="1"/>
  <c r="N339" i="1" l="1"/>
  <c r="R340" i="1" l="1"/>
  <c r="T340" i="1" s="1"/>
  <c r="P339" i="1"/>
  <c r="K340" i="1"/>
  <c r="L340" i="1" s="1"/>
  <c r="M340" i="1" s="1"/>
  <c r="O339" i="1"/>
  <c r="N340" i="1" l="1"/>
  <c r="R341" i="1" l="1"/>
  <c r="T341" i="1" s="1"/>
  <c r="P340" i="1"/>
  <c r="O340" i="1"/>
  <c r="K341" i="1"/>
  <c r="L341" i="1" s="1"/>
  <c r="M341" i="1" s="1"/>
  <c r="N341" i="1" l="1"/>
  <c r="R342" i="1" l="1"/>
  <c r="T342" i="1" s="1"/>
  <c r="P341" i="1"/>
  <c r="K342" i="1"/>
  <c r="L342" i="1" s="1"/>
  <c r="M342" i="1" s="1"/>
  <c r="O341" i="1"/>
  <c r="N342" i="1" l="1"/>
  <c r="R343" i="1" l="1"/>
  <c r="T343" i="1" s="1"/>
  <c r="P342" i="1"/>
  <c r="K343" i="1"/>
  <c r="L343" i="1" s="1"/>
  <c r="M343" i="1" s="1"/>
  <c r="O342" i="1"/>
  <c r="N343" i="1" l="1"/>
  <c r="R344" i="1" l="1"/>
  <c r="T344" i="1" s="1"/>
  <c r="P343" i="1"/>
  <c r="K344" i="1"/>
  <c r="L344" i="1" s="1"/>
  <c r="M344" i="1" s="1"/>
  <c r="O343" i="1"/>
  <c r="N344" i="1" l="1"/>
  <c r="R345" i="1" l="1"/>
  <c r="T345" i="1" s="1"/>
  <c r="P344" i="1"/>
  <c r="K345" i="1"/>
  <c r="L345" i="1" s="1"/>
  <c r="M345" i="1" s="1"/>
  <c r="O344" i="1"/>
  <c r="N345" i="1" l="1"/>
  <c r="R346" i="1" l="1"/>
  <c r="T346" i="1" s="1"/>
  <c r="P345" i="1"/>
  <c r="K346" i="1"/>
  <c r="L346" i="1" s="1"/>
  <c r="M346" i="1" s="1"/>
  <c r="O345" i="1"/>
  <c r="N346" i="1" l="1"/>
  <c r="R347" i="1" l="1"/>
  <c r="T347" i="1" s="1"/>
  <c r="P346" i="1"/>
  <c r="O346" i="1"/>
  <c r="K347" i="1"/>
  <c r="L347" i="1" s="1"/>
  <c r="M347" i="1" s="1"/>
  <c r="N347" i="1" l="1"/>
  <c r="R348" i="1" l="1"/>
  <c r="T348" i="1" s="1"/>
  <c r="P347" i="1"/>
  <c r="K348" i="1"/>
  <c r="L348" i="1" s="1"/>
  <c r="M348" i="1" s="1"/>
  <c r="O347" i="1"/>
  <c r="N348" i="1" l="1"/>
  <c r="O348" i="1" l="1"/>
  <c r="P348" i="1"/>
  <c r="R349" i="1"/>
  <c r="T349" i="1" s="1"/>
  <c r="K349" i="1"/>
  <c r="L349" i="1" s="1"/>
  <c r="M349" i="1" s="1"/>
  <c r="N349" i="1" l="1"/>
  <c r="O349" i="1" s="1"/>
  <c r="R350" i="1" l="1"/>
  <c r="T350" i="1" s="1"/>
  <c r="P349" i="1"/>
  <c r="K350" i="1"/>
  <c r="L350" i="1" s="1"/>
  <c r="M350" i="1" s="1"/>
  <c r="N350" i="1" l="1"/>
  <c r="K351" i="1" s="1"/>
  <c r="L351" i="1" s="1"/>
  <c r="M351" i="1" s="1"/>
  <c r="O350" i="1" l="1"/>
  <c r="R351" i="1"/>
  <c r="T351" i="1" s="1"/>
  <c r="P350" i="1"/>
  <c r="N351" i="1"/>
  <c r="K352" i="1" l="1"/>
  <c r="L352" i="1" s="1"/>
  <c r="M352" i="1" s="1"/>
  <c r="P351" i="1"/>
  <c r="R352" i="1"/>
  <c r="T352" i="1" s="1"/>
  <c r="O351" i="1"/>
  <c r="N352" i="1" l="1"/>
  <c r="R353" i="1" s="1"/>
  <c r="T353" i="1" s="1"/>
  <c r="K353" i="1" l="1"/>
  <c r="L353" i="1" s="1"/>
  <c r="M353" i="1" s="1"/>
  <c r="O352" i="1"/>
  <c r="P352" i="1"/>
  <c r="N353" i="1" l="1"/>
  <c r="R354" i="1" s="1"/>
  <c r="T354" i="1" s="1"/>
  <c r="K354" i="1" l="1"/>
  <c r="L354" i="1" s="1"/>
  <c r="M354" i="1" s="1"/>
  <c r="O353" i="1"/>
  <c r="P353" i="1"/>
  <c r="N354" i="1" l="1"/>
  <c r="R355" i="1" s="1"/>
  <c r="T355" i="1" s="1"/>
  <c r="K355" i="1" l="1"/>
  <c r="L355" i="1" s="1"/>
  <c r="M355" i="1" s="1"/>
  <c r="O354" i="1"/>
  <c r="P354" i="1"/>
  <c r="N355" i="1" l="1"/>
  <c r="R356" i="1" s="1"/>
  <c r="T356" i="1" s="1"/>
  <c r="K356" i="1" l="1"/>
  <c r="L356" i="1" s="1"/>
  <c r="M356" i="1" s="1"/>
  <c r="O355" i="1"/>
  <c r="P355" i="1"/>
  <c r="N356" i="1" l="1"/>
  <c r="R357" i="1" s="1"/>
  <c r="T357" i="1" s="1"/>
  <c r="K357" i="1" l="1"/>
  <c r="L357" i="1" s="1"/>
  <c r="M357" i="1" s="1"/>
  <c r="O356" i="1"/>
  <c r="P356" i="1"/>
  <c r="N357" i="1" l="1"/>
  <c r="R358" i="1" s="1"/>
  <c r="T358" i="1" s="1"/>
  <c r="O357" i="1" l="1"/>
  <c r="K358" i="1"/>
  <c r="L358" i="1" s="1"/>
  <c r="M358" i="1" s="1"/>
  <c r="P357" i="1"/>
  <c r="N358" i="1" l="1"/>
  <c r="R359" i="1" s="1"/>
  <c r="T359" i="1" s="1"/>
  <c r="O358" i="1" l="1"/>
  <c r="K359" i="1"/>
  <c r="L359" i="1" s="1"/>
  <c r="M359" i="1" s="1"/>
  <c r="P358" i="1"/>
  <c r="N359" i="1" l="1"/>
  <c r="R360" i="1" s="1"/>
  <c r="T360" i="1" s="1"/>
  <c r="K360" i="1" l="1"/>
  <c r="L360" i="1" s="1"/>
  <c r="M360" i="1" s="1"/>
  <c r="P359" i="1"/>
  <c r="O359" i="1"/>
  <c r="N360" i="1"/>
  <c r="O360" i="1" l="1"/>
  <c r="P360" i="1"/>
  <c r="R361" i="1"/>
  <c r="T361" i="1" s="1"/>
  <c r="K361" i="1"/>
  <c r="L361" i="1" s="1"/>
  <c r="M361" i="1" s="1"/>
  <c r="N361" i="1" l="1"/>
  <c r="O361" i="1" l="1"/>
  <c r="P361" i="1"/>
  <c r="R362" i="1"/>
  <c r="T362" i="1" s="1"/>
  <c r="K362" i="1"/>
  <c r="L362" i="1" s="1"/>
  <c r="M362" i="1" s="1"/>
  <c r="N362" i="1" l="1"/>
  <c r="O362" i="1" l="1"/>
  <c r="P362" i="1"/>
  <c r="K363" i="1"/>
  <c r="L363" i="1" s="1"/>
  <c r="M363" i="1" s="1"/>
  <c r="R363" i="1"/>
  <c r="T363" i="1" s="1"/>
  <c r="N363" i="1" l="1"/>
  <c r="R364" i="1" l="1"/>
  <c r="T364" i="1" s="1"/>
  <c r="P363" i="1"/>
  <c r="O363" i="1"/>
  <c r="K364" i="1"/>
  <c r="L364" i="1" s="1"/>
  <c r="M364" i="1" s="1"/>
  <c r="N364" i="1" l="1"/>
  <c r="R365" i="1" l="1"/>
  <c r="T365" i="1" s="1"/>
  <c r="P364" i="1"/>
  <c r="O364" i="1"/>
  <c r="K365" i="1"/>
  <c r="L365" i="1" s="1"/>
  <c r="M365" i="1" s="1"/>
  <c r="N365" i="1" l="1"/>
  <c r="O365" i="1" l="1"/>
  <c r="P365" i="1"/>
  <c r="K366" i="1"/>
  <c r="L366" i="1" s="1"/>
  <c r="M366" i="1" s="1"/>
  <c r="R366" i="1"/>
  <c r="T366" i="1" s="1"/>
  <c r="N366" i="1" l="1"/>
  <c r="R367" i="1" l="1"/>
  <c r="T367" i="1" s="1"/>
  <c r="P366" i="1"/>
  <c r="K367" i="1"/>
  <c r="L367" i="1" s="1"/>
  <c r="M367" i="1" s="1"/>
  <c r="O366" i="1"/>
  <c r="N367" i="1" l="1"/>
  <c r="R368" i="1" l="1"/>
  <c r="T368" i="1" s="1"/>
  <c r="P367" i="1"/>
  <c r="K368" i="1"/>
  <c r="L368" i="1" s="1"/>
  <c r="M368" i="1" s="1"/>
  <c r="O367" i="1"/>
  <c r="N368" i="1" l="1"/>
  <c r="R369" i="1" l="1"/>
  <c r="T369" i="1" s="1"/>
  <c r="P368" i="1"/>
  <c r="K369" i="1"/>
  <c r="L369" i="1" s="1"/>
  <c r="M369" i="1" s="1"/>
  <c r="O368" i="1"/>
  <c r="N369" i="1" l="1"/>
  <c r="R370" i="1" l="1"/>
  <c r="T370" i="1" s="1"/>
  <c r="P369" i="1"/>
  <c r="O369" i="1"/>
  <c r="K370" i="1"/>
  <c r="L370" i="1" s="1"/>
  <c r="M370" i="1" s="1"/>
  <c r="N370" i="1" l="1"/>
  <c r="R371" i="1" l="1"/>
  <c r="T371" i="1" s="1"/>
  <c r="P370" i="1"/>
  <c r="K371" i="1"/>
  <c r="L371" i="1" s="1"/>
  <c r="M371" i="1" s="1"/>
  <c r="O370" i="1"/>
  <c r="N371" i="1" l="1"/>
  <c r="R372" i="1" s="1"/>
  <c r="T372" i="1" s="1"/>
  <c r="K372" i="1" l="1"/>
  <c r="L372" i="1" s="1"/>
  <c r="M372" i="1" s="1"/>
  <c r="O371" i="1"/>
  <c r="P371" i="1"/>
  <c r="N372" i="1" l="1"/>
  <c r="R373" i="1" s="1"/>
  <c r="T373" i="1" s="1"/>
  <c r="O372" i="1" l="1"/>
  <c r="K373" i="1"/>
  <c r="L373" i="1" s="1"/>
  <c r="M373" i="1" s="1"/>
  <c r="P372" i="1"/>
  <c r="N373" i="1" l="1"/>
  <c r="R374" i="1" s="1"/>
  <c r="T374" i="1" s="1"/>
  <c r="K374" i="1" l="1"/>
  <c r="L374" i="1" s="1"/>
  <c r="M374" i="1" s="1"/>
  <c r="O373" i="1"/>
  <c r="P373" i="1"/>
  <c r="N374" i="1" l="1"/>
  <c r="R375" i="1" s="1"/>
  <c r="T375" i="1" s="1"/>
  <c r="K375" i="1" l="1"/>
  <c r="L375" i="1" s="1"/>
  <c r="M375" i="1" s="1"/>
  <c r="O374" i="1"/>
  <c r="P374" i="1"/>
  <c r="N375" i="1" l="1"/>
  <c r="R376" i="1" s="1"/>
  <c r="T376" i="1" s="1"/>
  <c r="O375" i="1" l="1"/>
  <c r="K376" i="1"/>
  <c r="L376" i="1" s="1"/>
  <c r="M376" i="1" s="1"/>
  <c r="P375" i="1"/>
  <c r="N376" i="1" l="1"/>
  <c r="R377" i="1" s="1"/>
  <c r="T377" i="1" s="1"/>
  <c r="O376" i="1" l="1"/>
  <c r="P376" i="1"/>
  <c r="K377" i="1"/>
  <c r="L377" i="1" s="1"/>
  <c r="M377" i="1" s="1"/>
  <c r="N377" i="1" l="1"/>
  <c r="R378" i="1" s="1"/>
  <c r="T378" i="1" s="1"/>
  <c r="K378" i="1" l="1"/>
  <c r="L378" i="1" s="1"/>
  <c r="M378" i="1" s="1"/>
  <c r="O377" i="1"/>
  <c r="P377" i="1"/>
  <c r="N378" i="1" l="1"/>
  <c r="R379" i="1" s="1"/>
  <c r="T379" i="1" s="1"/>
  <c r="K379" i="1" l="1"/>
  <c r="L379" i="1" s="1"/>
  <c r="M379" i="1" s="1"/>
  <c r="O378" i="1"/>
  <c r="P378" i="1"/>
  <c r="N379" i="1" l="1"/>
  <c r="R380" i="1"/>
  <c r="T380" i="1" s="1"/>
  <c r="P379" i="1"/>
  <c r="K380" i="1"/>
  <c r="L380" i="1" s="1"/>
  <c r="M380" i="1" s="1"/>
  <c r="O379" i="1"/>
  <c r="N380" i="1" l="1"/>
  <c r="R381" i="1" l="1"/>
  <c r="T381" i="1" s="1"/>
  <c r="P380" i="1"/>
  <c r="K381" i="1"/>
  <c r="L381" i="1" s="1"/>
  <c r="M381" i="1" s="1"/>
  <c r="O380" i="1"/>
  <c r="N381" i="1" l="1"/>
  <c r="R382" i="1" l="1"/>
  <c r="T382" i="1" s="1"/>
  <c r="P381" i="1"/>
  <c r="K382" i="1"/>
  <c r="L382" i="1" s="1"/>
  <c r="M382" i="1" s="1"/>
  <c r="O381" i="1"/>
  <c r="N382" i="1" l="1"/>
  <c r="R383" i="1" l="1"/>
  <c r="T383" i="1" s="1"/>
  <c r="P382" i="1"/>
  <c r="O382" i="1"/>
  <c r="K383" i="1"/>
  <c r="L383" i="1" s="1"/>
  <c r="M383" i="1" s="1"/>
  <c r="N383" i="1" l="1"/>
  <c r="R384" i="1" l="1"/>
  <c r="T384" i="1" s="1"/>
  <c r="P383" i="1"/>
  <c r="K384" i="1"/>
  <c r="L384" i="1" s="1"/>
  <c r="M384" i="1" s="1"/>
  <c r="O383" i="1"/>
  <c r="N384" i="1" l="1"/>
  <c r="K385" i="1" l="1"/>
  <c r="L385" i="1" s="1"/>
  <c r="M385" i="1" s="1"/>
  <c r="P384" i="1"/>
  <c r="R385" i="1"/>
  <c r="T385" i="1" s="1"/>
  <c r="O384" i="1"/>
  <c r="N385" i="1" l="1"/>
  <c r="R386" i="1" s="1"/>
  <c r="T386" i="1" s="1"/>
  <c r="O385" i="1" l="1"/>
  <c r="P385" i="1"/>
  <c r="K386" i="1"/>
  <c r="L386" i="1" s="1"/>
  <c r="M386" i="1" s="1"/>
  <c r="N386" i="1" l="1"/>
  <c r="R387" i="1" s="1"/>
  <c r="T387" i="1" s="1"/>
  <c r="K387" i="1" l="1"/>
  <c r="L387" i="1" s="1"/>
  <c r="M387" i="1" s="1"/>
  <c r="O386" i="1"/>
  <c r="P386" i="1"/>
  <c r="N387" i="1" l="1"/>
  <c r="R388" i="1" s="1"/>
  <c r="T388" i="1" s="1"/>
  <c r="O387" i="1" l="1"/>
  <c r="K388" i="1"/>
  <c r="L388" i="1" s="1"/>
  <c r="M388" i="1" s="1"/>
  <c r="P387" i="1"/>
  <c r="N388" i="1" l="1"/>
  <c r="R389" i="1" s="1"/>
  <c r="T389" i="1" s="1"/>
  <c r="K389" i="1" l="1"/>
  <c r="L389" i="1" s="1"/>
  <c r="M389" i="1" s="1"/>
  <c r="O388" i="1"/>
  <c r="P388" i="1"/>
  <c r="N389" i="1" l="1"/>
  <c r="R390" i="1" s="1"/>
  <c r="T390" i="1" s="1"/>
  <c r="O389" i="1" l="1"/>
  <c r="K390" i="1"/>
  <c r="L390" i="1" s="1"/>
  <c r="M390" i="1" s="1"/>
  <c r="P389" i="1"/>
  <c r="N390" i="1" l="1"/>
  <c r="P390" i="1" s="1"/>
  <c r="R391" i="1" l="1"/>
  <c r="T391" i="1" s="1"/>
  <c r="O390" i="1"/>
  <c r="K391" i="1"/>
  <c r="L391" i="1" s="1"/>
  <c r="M391" i="1" s="1"/>
  <c r="N391" i="1" l="1"/>
  <c r="R392" i="1" s="1"/>
  <c r="T392" i="1" s="1"/>
  <c r="K392" i="1" l="1"/>
  <c r="L392" i="1" s="1"/>
  <c r="M392" i="1" s="1"/>
  <c r="O391" i="1"/>
  <c r="P391" i="1"/>
  <c r="N392" i="1" l="1"/>
  <c r="P392" i="1" s="1"/>
  <c r="R393" i="1" l="1"/>
  <c r="T393" i="1" s="1"/>
  <c r="K393" i="1"/>
  <c r="N393" i="1" s="1"/>
  <c r="P393" i="1" s="1"/>
  <c r="O392" i="1"/>
  <c r="L393" i="1" l="1"/>
  <c r="M393" i="1" s="1"/>
  <c r="K394" i="1"/>
  <c r="L394" i="1" s="1"/>
  <c r="M394" i="1" s="1"/>
  <c r="O393" i="1"/>
  <c r="R394" i="1"/>
  <c r="T394" i="1" s="1"/>
  <c r="N394" i="1" l="1"/>
  <c r="P394" i="1" s="1"/>
  <c r="O394" i="1" l="1"/>
  <c r="K395" i="1"/>
  <c r="L395" i="1" s="1"/>
  <c r="M395" i="1" s="1"/>
  <c r="R395" i="1"/>
  <c r="T395" i="1" s="1"/>
  <c r="N395" i="1" l="1"/>
  <c r="P395" i="1" s="1"/>
  <c r="K396" i="1" l="1"/>
  <c r="O395" i="1"/>
  <c r="R396" i="1"/>
  <c r="T396" i="1" s="1"/>
  <c r="L396" i="1"/>
  <c r="M396" i="1" s="1"/>
  <c r="N396" i="1"/>
  <c r="P396" i="1" s="1"/>
  <c r="R397" i="1" l="1"/>
  <c r="T397" i="1" s="1"/>
  <c r="O396" i="1"/>
  <c r="K397" i="1"/>
  <c r="L397" i="1" s="1"/>
  <c r="M397" i="1" s="1"/>
  <c r="N397" i="1" l="1"/>
  <c r="R398" i="1" l="1"/>
  <c r="T398" i="1" s="1"/>
  <c r="P397" i="1"/>
  <c r="K398" i="1"/>
  <c r="L398" i="1" s="1"/>
  <c r="M398" i="1" s="1"/>
  <c r="O397" i="1"/>
  <c r="N398" i="1" l="1"/>
  <c r="R399" i="1" l="1"/>
  <c r="T399" i="1" s="1"/>
  <c r="P398" i="1"/>
  <c r="K399" i="1"/>
  <c r="L399" i="1" s="1"/>
  <c r="M399" i="1" s="1"/>
  <c r="O398" i="1"/>
  <c r="N399" i="1" l="1"/>
  <c r="R400" i="1" l="1"/>
  <c r="T400" i="1" s="1"/>
  <c r="P399" i="1"/>
  <c r="O399" i="1"/>
  <c r="K400" i="1"/>
  <c r="L400" i="1" s="1"/>
  <c r="M400" i="1" s="1"/>
  <c r="N400" i="1" l="1"/>
  <c r="R401" i="1" l="1"/>
  <c r="T401" i="1" s="1"/>
  <c r="P400" i="1"/>
  <c r="K401" i="1"/>
  <c r="L401" i="1" s="1"/>
  <c r="M401" i="1" s="1"/>
  <c r="O400" i="1"/>
  <c r="N401" i="1" l="1"/>
  <c r="R402" i="1" l="1"/>
  <c r="T402" i="1" s="1"/>
  <c r="P401" i="1"/>
  <c r="K402" i="1"/>
  <c r="L402" i="1" s="1"/>
  <c r="M402" i="1" s="1"/>
  <c r="O401" i="1"/>
  <c r="N402" i="1" l="1"/>
  <c r="R403" i="1" l="1"/>
  <c r="T403" i="1" s="1"/>
  <c r="P402" i="1"/>
  <c r="K403" i="1"/>
  <c r="L403" i="1" s="1"/>
  <c r="M403" i="1" s="1"/>
  <c r="O402" i="1"/>
  <c r="N403" i="1" l="1"/>
  <c r="R404" i="1" l="1"/>
  <c r="T404" i="1" s="1"/>
  <c r="P403" i="1"/>
  <c r="K404" i="1"/>
  <c r="L404" i="1" s="1"/>
  <c r="M404" i="1" s="1"/>
  <c r="O403" i="1"/>
  <c r="N404" i="1" l="1"/>
  <c r="K405" i="1" l="1"/>
  <c r="L405" i="1" s="1"/>
  <c r="M405" i="1" s="1"/>
  <c r="P404" i="1"/>
  <c r="O404" i="1"/>
  <c r="R405" i="1"/>
  <c r="T405" i="1" s="1"/>
  <c r="N405" i="1" l="1"/>
  <c r="R406" i="1" s="1"/>
  <c r="T406" i="1" s="1"/>
  <c r="K406" i="1" l="1"/>
  <c r="N406" i="1" s="1"/>
  <c r="K407" i="1" s="1"/>
  <c r="L407" i="1" s="1"/>
  <c r="P405" i="1"/>
  <c r="O405" i="1"/>
  <c r="L406" i="1" l="1"/>
  <c r="M406" i="1" s="1"/>
  <c r="M407" i="1" s="1"/>
  <c r="P406" i="1"/>
  <c r="O406" i="1"/>
  <c r="R407" i="1"/>
  <c r="T407" i="1" s="1"/>
  <c r="N407" i="1"/>
  <c r="R408" i="1" l="1"/>
  <c r="T408" i="1" s="1"/>
  <c r="P407" i="1"/>
  <c r="O407" i="1"/>
  <c r="K408" i="1"/>
  <c r="L408" i="1" s="1"/>
  <c r="M408" i="1" s="1"/>
  <c r="N408" i="1" l="1"/>
  <c r="R409" i="1" l="1"/>
  <c r="T409" i="1" s="1"/>
  <c r="P408" i="1"/>
  <c r="O408" i="1"/>
  <c r="K409" i="1"/>
  <c r="L409" i="1" s="1"/>
  <c r="M409" i="1" s="1"/>
  <c r="N409" i="1" l="1"/>
  <c r="R410" i="1" l="1"/>
  <c r="T410" i="1" s="1"/>
  <c r="P409" i="1"/>
  <c r="O409" i="1"/>
  <c r="K410" i="1"/>
  <c r="L410" i="1" s="1"/>
  <c r="M410" i="1" s="1"/>
  <c r="N410" i="1" l="1"/>
  <c r="R411" i="1" l="1"/>
  <c r="T411" i="1" s="1"/>
  <c r="P410" i="1"/>
  <c r="O410" i="1"/>
  <c r="K411" i="1"/>
  <c r="L411" i="1" s="1"/>
  <c r="M411" i="1" s="1"/>
  <c r="N411" i="1" l="1"/>
  <c r="R412" i="1" l="1"/>
  <c r="T412" i="1" s="1"/>
  <c r="P411" i="1"/>
  <c r="K412" i="1"/>
  <c r="L412" i="1" s="1"/>
  <c r="M412" i="1" s="1"/>
  <c r="O411" i="1"/>
  <c r="N412" i="1" l="1"/>
  <c r="R413" i="1" l="1"/>
  <c r="T413" i="1" s="1"/>
  <c r="P412" i="1"/>
  <c r="K413" i="1"/>
  <c r="L413" i="1" s="1"/>
  <c r="M413" i="1" s="1"/>
  <c r="O412" i="1"/>
  <c r="N413" i="1" l="1"/>
  <c r="R414" i="1" l="1"/>
  <c r="T414" i="1" s="1"/>
  <c r="P413" i="1"/>
  <c r="O413" i="1"/>
  <c r="K414" i="1"/>
  <c r="L414" i="1" s="1"/>
  <c r="M414" i="1" s="1"/>
  <c r="N414" i="1" l="1"/>
  <c r="R415" i="1" l="1"/>
  <c r="T415" i="1" s="1"/>
  <c r="P414" i="1"/>
  <c r="K415" i="1"/>
  <c r="L415" i="1" s="1"/>
  <c r="M415" i="1" s="1"/>
  <c r="O414" i="1"/>
  <c r="N415" i="1" l="1"/>
  <c r="K416" i="1" s="1"/>
  <c r="N416" i="1" s="1"/>
  <c r="P416" i="1" s="1"/>
  <c r="R416" i="1" l="1"/>
  <c r="T416" i="1" s="1"/>
  <c r="P415" i="1"/>
  <c r="L416" i="1"/>
  <c r="M416" i="1" s="1"/>
  <c r="O415" i="1"/>
  <c r="R417" i="1"/>
  <c r="O416" i="1"/>
  <c r="K417" i="1"/>
  <c r="T417" i="1" l="1"/>
  <c r="L417" i="1"/>
  <c r="M417" i="1" s="1"/>
  <c r="N417" i="1"/>
  <c r="R418" i="1" l="1"/>
  <c r="T418" i="1" s="1"/>
  <c r="P417" i="1"/>
  <c r="O417" i="1"/>
  <c r="K418" i="1"/>
  <c r="L418" i="1" l="1"/>
  <c r="M418" i="1" s="1"/>
  <c r="N418" i="1"/>
  <c r="P418" i="1" s="1"/>
  <c r="R419" i="1" l="1"/>
  <c r="T419" i="1" s="1"/>
  <c r="O418" i="1"/>
  <c r="K419" i="1"/>
  <c r="L419" i="1" l="1"/>
  <c r="M419" i="1" s="1"/>
  <c r="N419" i="1"/>
  <c r="R420" i="1" l="1"/>
  <c r="T420" i="1" s="1"/>
  <c r="P419" i="1"/>
  <c r="O419" i="1"/>
  <c r="K420" i="1"/>
  <c r="L420" i="1" l="1"/>
  <c r="M420" i="1" s="1"/>
  <c r="N420" i="1"/>
  <c r="R421" i="1" l="1"/>
  <c r="T421" i="1" s="1"/>
  <c r="P420" i="1"/>
  <c r="O420" i="1"/>
  <c r="K421" i="1"/>
  <c r="N421" i="1" s="1"/>
  <c r="R422" i="1" l="1"/>
  <c r="T422" i="1" s="1"/>
  <c r="P421" i="1"/>
  <c r="K422" i="1"/>
  <c r="O421" i="1"/>
  <c r="L421" i="1"/>
  <c r="M421" i="1" s="1"/>
  <c r="L422" i="1" l="1"/>
  <c r="M422" i="1" s="1"/>
  <c r="N422" i="1"/>
  <c r="P422" i="1" s="1"/>
  <c r="R423" i="1" l="1"/>
  <c r="T423" i="1" s="1"/>
  <c r="O422" i="1"/>
  <c r="K423" i="1"/>
  <c r="L423" i="1" l="1"/>
  <c r="M423" i="1" s="1"/>
  <c r="N423" i="1"/>
  <c r="R424" i="1" l="1"/>
  <c r="T424" i="1" s="1"/>
  <c r="P423" i="1"/>
  <c r="K424" i="1"/>
  <c r="O423" i="1"/>
  <c r="L424" i="1" l="1"/>
  <c r="M424" i="1" s="1"/>
  <c r="N424" i="1"/>
  <c r="R425" i="1" l="1"/>
  <c r="T425" i="1" s="1"/>
  <c r="P424" i="1"/>
  <c r="K425" i="1"/>
  <c r="O424" i="1"/>
  <c r="L425" i="1" l="1"/>
  <c r="M425" i="1" s="1"/>
  <c r="N425" i="1"/>
  <c r="R426" i="1" l="1"/>
  <c r="T426" i="1" s="1"/>
  <c r="P425" i="1"/>
  <c r="O425" i="1"/>
  <c r="K426" i="1"/>
  <c r="L426" i="1" l="1"/>
  <c r="M426" i="1" s="1"/>
  <c r="N426" i="1"/>
  <c r="R427" i="1" l="1"/>
  <c r="T427" i="1" s="1"/>
  <c r="P426" i="1"/>
  <c r="O426" i="1"/>
  <c r="K427" i="1"/>
  <c r="L427" i="1" l="1"/>
  <c r="M427" i="1" s="1"/>
  <c r="N427" i="1"/>
  <c r="R428" i="1" l="1"/>
  <c r="T428" i="1" s="1"/>
  <c r="P427" i="1"/>
  <c r="O427" i="1"/>
  <c r="K428" i="1"/>
  <c r="L428" i="1" l="1"/>
  <c r="M428" i="1" s="1"/>
  <c r="N428" i="1"/>
  <c r="R429" i="1" l="1"/>
  <c r="T429" i="1" s="1"/>
  <c r="P428" i="1"/>
  <c r="K429" i="1"/>
  <c r="O428" i="1"/>
  <c r="L429" i="1" l="1"/>
  <c r="M429" i="1" s="1"/>
  <c r="N429" i="1"/>
  <c r="R430" i="1" l="1"/>
  <c r="T430" i="1" s="1"/>
  <c r="P429" i="1"/>
  <c r="O429" i="1"/>
  <c r="K430" i="1"/>
  <c r="L430" i="1" l="1"/>
  <c r="M430" i="1" s="1"/>
  <c r="N430" i="1"/>
  <c r="R431" i="1" l="1"/>
  <c r="T431" i="1" s="1"/>
  <c r="P430" i="1"/>
  <c r="K431" i="1"/>
  <c r="O430" i="1"/>
  <c r="L431" i="1" l="1"/>
  <c r="M431" i="1" s="1"/>
  <c r="N431" i="1"/>
  <c r="R432" i="1" l="1"/>
  <c r="T432" i="1" s="1"/>
  <c r="P431" i="1"/>
  <c r="K432" i="1"/>
  <c r="O431" i="1"/>
  <c r="L432" i="1" l="1"/>
  <c r="M432" i="1" s="1"/>
  <c r="N432" i="1"/>
  <c r="R433" i="1" l="1"/>
  <c r="T433" i="1" s="1"/>
  <c r="P432" i="1"/>
  <c r="K433" i="1"/>
  <c r="O432" i="1"/>
  <c r="L433" i="1" l="1"/>
  <c r="M433" i="1" s="1"/>
  <c r="N433" i="1"/>
  <c r="R434" i="1" l="1"/>
  <c r="T434" i="1" s="1"/>
  <c r="P433" i="1"/>
  <c r="O433" i="1"/>
  <c r="K434" i="1"/>
  <c r="L434" i="1" l="1"/>
  <c r="M434" i="1" s="1"/>
  <c r="N434" i="1"/>
  <c r="R435" i="1" l="1"/>
  <c r="T435" i="1" s="1"/>
  <c r="P434" i="1"/>
  <c r="O434" i="1"/>
  <c r="K435" i="1"/>
  <c r="L435" i="1" l="1"/>
  <c r="M435" i="1" s="1"/>
  <c r="N435" i="1"/>
  <c r="R436" i="1" l="1"/>
  <c r="T436" i="1" s="1"/>
  <c r="P435" i="1"/>
  <c r="K436" i="1"/>
  <c r="O435" i="1"/>
  <c r="L436" i="1" l="1"/>
  <c r="M436" i="1" s="1"/>
  <c r="N436" i="1"/>
  <c r="R437" i="1" l="1"/>
  <c r="T437" i="1" s="1"/>
  <c r="P436" i="1"/>
  <c r="K437" i="1"/>
  <c r="O436" i="1"/>
  <c r="L437" i="1" l="1"/>
  <c r="M437" i="1" s="1"/>
  <c r="N437" i="1"/>
  <c r="R438" i="1" l="1"/>
  <c r="T438" i="1" s="1"/>
  <c r="P437" i="1"/>
  <c r="O437" i="1"/>
  <c r="K438" i="1"/>
  <c r="L438" i="1" l="1"/>
  <c r="M438" i="1" s="1"/>
  <c r="N438" i="1"/>
  <c r="R439" i="1" l="1"/>
  <c r="T439" i="1" s="1"/>
  <c r="P438" i="1"/>
  <c r="O438" i="1"/>
  <c r="K439" i="1"/>
  <c r="L439" i="1" l="1"/>
  <c r="M439" i="1" s="1"/>
  <c r="N439" i="1"/>
  <c r="R440" i="1" l="1"/>
  <c r="T440" i="1" s="1"/>
  <c r="P439" i="1"/>
  <c r="K440" i="1"/>
  <c r="O439" i="1"/>
  <c r="L440" i="1" l="1"/>
  <c r="M440" i="1" s="1"/>
  <c r="N440" i="1"/>
  <c r="R441" i="1" l="1"/>
  <c r="T441" i="1" s="1"/>
  <c r="P440" i="1"/>
  <c r="K441" i="1"/>
  <c r="N441" i="1" s="1"/>
  <c r="O440" i="1"/>
  <c r="R442" i="1" l="1"/>
  <c r="T442" i="1" s="1"/>
  <c r="P441" i="1"/>
  <c r="O441" i="1"/>
  <c r="K442" i="1"/>
  <c r="N442" i="1" s="1"/>
  <c r="L441" i="1"/>
  <c r="M441" i="1" s="1"/>
  <c r="R443" i="1" l="1"/>
  <c r="T443" i="1" s="1"/>
  <c r="P442" i="1"/>
  <c r="L442" i="1"/>
  <c r="M442" i="1" s="1"/>
  <c r="K443" i="1"/>
  <c r="O442" i="1"/>
  <c r="L443" i="1" l="1"/>
  <c r="M443" i="1" s="1"/>
  <c r="N443" i="1"/>
  <c r="R444" i="1" l="1"/>
  <c r="T444" i="1" s="1"/>
  <c r="P443" i="1"/>
  <c r="K444" i="1"/>
  <c r="O443" i="1"/>
  <c r="L444" i="1" l="1"/>
  <c r="M444" i="1" s="1"/>
  <c r="N444" i="1"/>
  <c r="R445" i="1" l="1"/>
  <c r="T445" i="1" s="1"/>
  <c r="P444" i="1"/>
  <c r="O444" i="1"/>
  <c r="K445" i="1"/>
  <c r="L445" i="1" l="1"/>
  <c r="M445" i="1" s="1"/>
  <c r="N445" i="1"/>
  <c r="R446" i="1" l="1"/>
  <c r="T446" i="1" s="1"/>
  <c r="P445" i="1"/>
  <c r="O445" i="1"/>
  <c r="K446" i="1"/>
  <c r="L446" i="1" l="1"/>
  <c r="M446" i="1" s="1"/>
  <c r="N446" i="1"/>
  <c r="P446" i="1" s="1"/>
  <c r="R447" i="1" l="1"/>
  <c r="T447" i="1" s="1"/>
  <c r="K447" i="1"/>
  <c r="N447" i="1" s="1"/>
  <c r="O446" i="1"/>
  <c r="R448" i="1" l="1"/>
  <c r="T448" i="1" s="1"/>
  <c r="P447" i="1"/>
  <c r="K448" i="1"/>
  <c r="O447" i="1"/>
  <c r="L447" i="1"/>
  <c r="M447" i="1" s="1"/>
  <c r="L448" i="1" l="1"/>
  <c r="M448" i="1" s="1"/>
  <c r="N448" i="1"/>
  <c r="R449" i="1" l="1"/>
  <c r="T449" i="1" s="1"/>
  <c r="P448" i="1"/>
  <c r="O448" i="1"/>
  <c r="K449" i="1"/>
  <c r="L449" i="1" l="1"/>
  <c r="M449" i="1" s="1"/>
  <c r="N449" i="1"/>
  <c r="R450" i="1" l="1"/>
  <c r="T450" i="1" s="1"/>
  <c r="P449" i="1"/>
  <c r="K450" i="1"/>
  <c r="L450" i="1" s="1"/>
  <c r="M450" i="1" s="1"/>
  <c r="O449" i="1"/>
  <c r="N450" i="1" l="1"/>
  <c r="R451" i="1" l="1"/>
  <c r="T451" i="1" s="1"/>
  <c r="P450" i="1"/>
  <c r="K451" i="1"/>
  <c r="O450" i="1"/>
  <c r="L451" i="1" l="1"/>
  <c r="M451" i="1" s="1"/>
  <c r="N451" i="1"/>
  <c r="R452" i="1" l="1"/>
  <c r="T452" i="1" s="1"/>
  <c r="P451" i="1"/>
  <c r="O451" i="1"/>
  <c r="K452" i="1"/>
  <c r="L452" i="1" s="1"/>
  <c r="M452" i="1" s="1"/>
  <c r="N452" i="1" l="1"/>
  <c r="R453" i="1" l="1"/>
  <c r="T453" i="1" s="1"/>
  <c r="P452" i="1"/>
  <c r="K453" i="1"/>
  <c r="L453" i="1" s="1"/>
  <c r="M453" i="1" s="1"/>
  <c r="O452" i="1"/>
  <c r="N453" i="1" l="1"/>
  <c r="R454" i="1" l="1"/>
  <c r="T454" i="1" s="1"/>
  <c r="P453" i="1"/>
  <c r="K454" i="1"/>
  <c r="L454" i="1" s="1"/>
  <c r="M454" i="1" s="1"/>
  <c r="O453" i="1"/>
  <c r="N454" i="1" l="1"/>
  <c r="R455" i="1" l="1"/>
  <c r="T455" i="1" s="1"/>
  <c r="P454" i="1"/>
  <c r="O454" i="1"/>
  <c r="K455" i="1"/>
  <c r="L455" i="1" s="1"/>
  <c r="M455" i="1" s="1"/>
  <c r="N455" i="1" l="1"/>
  <c r="R456" i="1" l="1"/>
  <c r="T456" i="1" s="1"/>
  <c r="P455" i="1"/>
  <c r="O455" i="1"/>
  <c r="K456" i="1"/>
  <c r="L456" i="1" s="1"/>
  <c r="M456" i="1" s="1"/>
  <c r="N456" i="1" l="1"/>
  <c r="R457" i="1" l="1"/>
  <c r="T457" i="1" s="1"/>
  <c r="P456" i="1"/>
  <c r="O456" i="1"/>
  <c r="K457" i="1"/>
  <c r="L457" i="1" s="1"/>
  <c r="M457" i="1" s="1"/>
  <c r="N457" i="1" l="1"/>
  <c r="R458" i="1" l="1"/>
  <c r="T458" i="1" s="1"/>
  <c r="P457" i="1"/>
  <c r="O457" i="1"/>
  <c r="K458" i="1"/>
  <c r="L458" i="1" s="1"/>
  <c r="M458" i="1" s="1"/>
  <c r="N458" i="1" l="1"/>
  <c r="R459" i="1" l="1"/>
  <c r="T459" i="1" s="1"/>
  <c r="P458" i="1"/>
  <c r="O458" i="1"/>
  <c r="K459" i="1"/>
  <c r="L459" i="1" s="1"/>
  <c r="M459" i="1" s="1"/>
  <c r="N459" i="1" l="1"/>
  <c r="R460" i="1" l="1"/>
  <c r="T460" i="1" s="1"/>
  <c r="P459" i="1"/>
  <c r="O459" i="1"/>
  <c r="K460" i="1"/>
  <c r="L460" i="1" s="1"/>
  <c r="M460" i="1" s="1"/>
  <c r="N460" i="1" l="1"/>
  <c r="R461" i="1" l="1"/>
  <c r="T461" i="1" s="1"/>
  <c r="P460" i="1"/>
  <c r="K461" i="1"/>
  <c r="L461" i="1" s="1"/>
  <c r="M461" i="1" s="1"/>
  <c r="O460" i="1"/>
  <c r="N461" i="1" l="1"/>
  <c r="R462" i="1" l="1"/>
  <c r="T462" i="1" s="1"/>
  <c r="P461" i="1"/>
  <c r="K462" i="1"/>
  <c r="L462" i="1" s="1"/>
  <c r="M462" i="1" s="1"/>
  <c r="O461" i="1"/>
  <c r="N462" i="1" l="1"/>
  <c r="R463" i="1" l="1"/>
  <c r="T463" i="1" s="1"/>
  <c r="P462" i="1"/>
  <c r="O462" i="1"/>
  <c r="K463" i="1"/>
  <c r="L463" i="1" s="1"/>
  <c r="M463" i="1" s="1"/>
  <c r="N463" i="1" l="1"/>
  <c r="R464" i="1" l="1"/>
  <c r="T464" i="1" s="1"/>
  <c r="P463" i="1"/>
  <c r="K464" i="1"/>
  <c r="L464" i="1" s="1"/>
  <c r="M464" i="1" s="1"/>
  <c r="O463" i="1"/>
  <c r="N464" i="1" l="1"/>
  <c r="R465" i="1" l="1"/>
  <c r="T465" i="1" s="1"/>
  <c r="P464" i="1"/>
  <c r="K465" i="1"/>
  <c r="L465" i="1" s="1"/>
  <c r="M465" i="1" s="1"/>
  <c r="O464" i="1"/>
  <c r="N465" i="1" l="1"/>
  <c r="R466" i="1" l="1"/>
  <c r="T466" i="1" s="1"/>
  <c r="P465" i="1"/>
  <c r="O465" i="1"/>
  <c r="K466" i="1"/>
  <c r="L466" i="1" s="1"/>
  <c r="M466" i="1" s="1"/>
  <c r="N466" i="1" l="1"/>
  <c r="R467" i="1" l="1"/>
  <c r="T467" i="1" s="1"/>
  <c r="P466" i="1"/>
  <c r="K467" i="1"/>
  <c r="L467" i="1" s="1"/>
  <c r="M467" i="1" s="1"/>
  <c r="O466" i="1"/>
  <c r="N467" i="1" l="1"/>
  <c r="R468" i="1" l="1"/>
  <c r="T468" i="1" s="1"/>
  <c r="P467" i="1"/>
  <c r="K468" i="1"/>
  <c r="L468" i="1" s="1"/>
  <c r="M468" i="1" s="1"/>
  <c r="O467" i="1"/>
  <c r="N468" i="1" l="1"/>
  <c r="R469" i="1" l="1"/>
  <c r="T469" i="1" s="1"/>
  <c r="P468" i="1"/>
  <c r="K469" i="1"/>
  <c r="L469" i="1" s="1"/>
  <c r="M469" i="1" s="1"/>
  <c r="O468" i="1"/>
  <c r="N469" i="1" l="1"/>
  <c r="R470" i="1" l="1"/>
  <c r="T470" i="1" s="1"/>
  <c r="P469" i="1"/>
  <c r="K470" i="1"/>
  <c r="L470" i="1" s="1"/>
  <c r="M470" i="1" s="1"/>
  <c r="O469" i="1"/>
  <c r="N470" i="1" l="1"/>
  <c r="R471" i="1" l="1"/>
  <c r="T471" i="1" s="1"/>
  <c r="P470" i="1"/>
  <c r="O470" i="1"/>
  <c r="K471" i="1"/>
  <c r="L471" i="1" s="1"/>
  <c r="M471" i="1" s="1"/>
  <c r="N471" i="1" l="1"/>
  <c r="P471" i="1" s="1"/>
  <c r="K472" i="1" l="1"/>
  <c r="L472" i="1" s="1"/>
  <c r="M472" i="1" s="1"/>
  <c r="R472" i="1"/>
  <c r="T472" i="1" s="1"/>
  <c r="O471" i="1"/>
  <c r="N472" i="1" l="1"/>
  <c r="R473" i="1" l="1"/>
  <c r="T473" i="1" s="1"/>
  <c r="P472" i="1"/>
  <c r="O472" i="1"/>
  <c r="K473" i="1"/>
  <c r="L473" i="1" s="1"/>
  <c r="M473" i="1" s="1"/>
  <c r="N473" i="1" l="1"/>
  <c r="R474" i="1" l="1"/>
  <c r="T474" i="1" s="1"/>
  <c r="P473" i="1"/>
  <c r="O473" i="1"/>
  <c r="K474" i="1"/>
  <c r="L474" i="1" s="1"/>
  <c r="M474" i="1" s="1"/>
  <c r="N474" i="1" l="1"/>
  <c r="R475" i="1" l="1"/>
  <c r="T475" i="1" s="1"/>
  <c r="P474" i="1"/>
  <c r="K475" i="1"/>
  <c r="L475" i="1" s="1"/>
  <c r="M475" i="1" s="1"/>
  <c r="O474" i="1"/>
  <c r="N475" i="1" l="1"/>
  <c r="R476" i="1" l="1"/>
  <c r="T476" i="1" s="1"/>
  <c r="P475" i="1"/>
  <c r="O475" i="1"/>
  <c r="K476" i="1"/>
  <c r="L476" i="1" s="1"/>
  <c r="M476" i="1" s="1"/>
  <c r="N476" i="1" l="1"/>
  <c r="R477" i="1" l="1"/>
  <c r="T477" i="1" s="1"/>
  <c r="P476" i="1"/>
  <c r="K477" i="1"/>
  <c r="L477" i="1" s="1"/>
  <c r="M477" i="1" s="1"/>
  <c r="O476" i="1"/>
  <c r="N477" i="1" l="1"/>
  <c r="R478" i="1" l="1"/>
  <c r="T478" i="1" s="1"/>
  <c r="P477" i="1"/>
  <c r="O477" i="1"/>
  <c r="K478" i="1"/>
  <c r="L478" i="1" s="1"/>
  <c r="M478" i="1" s="1"/>
  <c r="N478" i="1" l="1"/>
  <c r="R479" i="1" l="1"/>
  <c r="T479" i="1" s="1"/>
  <c r="P478" i="1"/>
  <c r="O478" i="1"/>
  <c r="K479" i="1"/>
  <c r="L479" i="1" s="1"/>
  <c r="M479" i="1" s="1"/>
  <c r="N479" i="1" l="1"/>
  <c r="R480" i="1" l="1"/>
  <c r="T480" i="1" s="1"/>
  <c r="P479" i="1"/>
  <c r="K480" i="1"/>
  <c r="L480" i="1" s="1"/>
  <c r="M480" i="1" s="1"/>
  <c r="O479" i="1"/>
  <c r="N480" i="1" l="1"/>
  <c r="R481" i="1" l="1"/>
  <c r="T481" i="1" s="1"/>
  <c r="P480" i="1"/>
  <c r="O480" i="1"/>
  <c r="K481" i="1"/>
  <c r="L481" i="1" s="1"/>
  <c r="M481" i="1" s="1"/>
  <c r="N481" i="1" l="1"/>
  <c r="R482" i="1" l="1"/>
  <c r="T482" i="1" s="1"/>
  <c r="P481" i="1"/>
  <c r="K482" i="1"/>
  <c r="L482" i="1" s="1"/>
  <c r="M482" i="1" s="1"/>
  <c r="O481" i="1"/>
  <c r="N482" i="1" l="1"/>
  <c r="R483" i="1" l="1"/>
  <c r="T483" i="1" s="1"/>
  <c r="P482" i="1"/>
  <c r="K483" i="1"/>
  <c r="L483" i="1" s="1"/>
  <c r="M483" i="1" s="1"/>
  <c r="O482" i="1"/>
  <c r="N483" i="1" l="1"/>
  <c r="R484" i="1" l="1"/>
  <c r="T484" i="1" s="1"/>
  <c r="P483" i="1"/>
  <c r="O483" i="1"/>
  <c r="K484" i="1"/>
  <c r="L484" i="1" s="1"/>
  <c r="M484" i="1" s="1"/>
  <c r="N484" i="1" l="1"/>
  <c r="R485" i="1" l="1"/>
  <c r="T485" i="1" s="1"/>
  <c r="P484" i="1"/>
  <c r="O484" i="1"/>
  <c r="K485" i="1"/>
  <c r="L485" i="1" s="1"/>
  <c r="M485" i="1" s="1"/>
  <c r="N485" i="1" l="1"/>
  <c r="K486" i="1" l="1"/>
  <c r="L486" i="1" s="1"/>
  <c r="M486" i="1" s="1"/>
  <c r="P485" i="1"/>
  <c r="R486" i="1"/>
  <c r="T486" i="1" s="1"/>
  <c r="O485" i="1"/>
  <c r="N486" i="1" l="1"/>
  <c r="R487" i="1" s="1"/>
  <c r="T487" i="1" s="1"/>
  <c r="O486" i="1" l="1"/>
  <c r="K487" i="1"/>
  <c r="L487" i="1" s="1"/>
  <c r="M487" i="1" s="1"/>
  <c r="P486" i="1"/>
  <c r="N487" i="1" l="1"/>
  <c r="R488" i="1" s="1"/>
  <c r="T488" i="1" s="1"/>
  <c r="O487" i="1" l="1"/>
  <c r="K488" i="1"/>
  <c r="L488" i="1" s="1"/>
  <c r="M488" i="1" s="1"/>
  <c r="P487" i="1"/>
  <c r="N488" i="1" l="1"/>
  <c r="R489" i="1" s="1"/>
  <c r="T489" i="1" s="1"/>
  <c r="K489" i="1" l="1"/>
  <c r="L489" i="1" s="1"/>
  <c r="M489" i="1" s="1"/>
  <c r="O488" i="1"/>
  <c r="P488" i="1"/>
  <c r="N489" i="1"/>
  <c r="R490" i="1" l="1"/>
  <c r="T490" i="1" s="1"/>
  <c r="P489" i="1"/>
  <c r="O489" i="1"/>
  <c r="K490" i="1"/>
  <c r="L490" i="1" s="1"/>
  <c r="M490" i="1" s="1"/>
  <c r="N490" i="1" l="1"/>
  <c r="R491" i="1" l="1"/>
  <c r="T491" i="1" s="1"/>
  <c r="P490" i="1"/>
  <c r="O490" i="1"/>
  <c r="K491" i="1"/>
  <c r="L491" i="1" s="1"/>
  <c r="M491" i="1" s="1"/>
  <c r="N491" i="1" l="1"/>
  <c r="R492" i="1" l="1"/>
  <c r="T492" i="1" s="1"/>
  <c r="P491" i="1"/>
  <c r="K492" i="1"/>
  <c r="L492" i="1" s="1"/>
  <c r="M492" i="1" s="1"/>
  <c r="O491" i="1"/>
  <c r="N492" i="1" l="1"/>
  <c r="R493" i="1" l="1"/>
  <c r="T493" i="1" s="1"/>
  <c r="P492" i="1"/>
  <c r="O492" i="1"/>
  <c r="K493" i="1"/>
  <c r="L493" i="1" s="1"/>
  <c r="M493" i="1" s="1"/>
  <c r="N493" i="1" l="1"/>
  <c r="K494" i="1" l="1"/>
  <c r="L494" i="1" s="1"/>
  <c r="M494" i="1" s="1"/>
  <c r="P493" i="1"/>
  <c r="R494" i="1"/>
  <c r="T494" i="1" s="1"/>
  <c r="O493" i="1"/>
  <c r="N494" i="1" l="1"/>
  <c r="P494" i="1" s="1"/>
  <c r="O494" i="1" l="1"/>
  <c r="R495" i="1"/>
  <c r="T495" i="1" s="1"/>
  <c r="K495" i="1"/>
  <c r="L495" i="1" s="1"/>
  <c r="M495" i="1" s="1"/>
  <c r="N495" i="1" l="1"/>
  <c r="P495" i="1" s="1"/>
  <c r="R496" i="1" l="1"/>
  <c r="T496" i="1" s="1"/>
  <c r="O495" i="1"/>
  <c r="K496" i="1"/>
  <c r="L496" i="1" s="1"/>
  <c r="M496" i="1" s="1"/>
  <c r="N496" i="1" l="1"/>
  <c r="K497" i="1" s="1"/>
  <c r="L497" i="1" s="1"/>
  <c r="M497" i="1" s="1"/>
  <c r="O496" i="1" l="1"/>
  <c r="R497" i="1"/>
  <c r="T497" i="1" s="1"/>
  <c r="P496" i="1"/>
  <c r="N497" i="1"/>
  <c r="R498" i="1" s="1"/>
  <c r="T498" i="1" s="1"/>
  <c r="O497" i="1" l="1"/>
  <c r="K498" i="1"/>
  <c r="L498" i="1" s="1"/>
  <c r="M498" i="1" s="1"/>
  <c r="P497" i="1"/>
  <c r="N498" i="1" l="1"/>
  <c r="P498" i="1" s="1"/>
  <c r="O498" i="1" l="1"/>
  <c r="K499" i="1"/>
  <c r="L499" i="1" s="1"/>
  <c r="M499" i="1" s="1"/>
  <c r="R499" i="1"/>
  <c r="T499" i="1" s="1"/>
  <c r="N499" i="1" l="1"/>
  <c r="P499" i="1" s="1"/>
  <c r="O499" i="1" l="1"/>
  <c r="K500" i="1"/>
  <c r="L500" i="1" s="1"/>
  <c r="M500" i="1" s="1"/>
  <c r="R500" i="1"/>
  <c r="T500" i="1" s="1"/>
  <c r="N500" i="1" l="1"/>
  <c r="K501" i="1" s="1"/>
  <c r="N501" i="1" s="1"/>
  <c r="O500" i="1" l="1"/>
  <c r="R501" i="1"/>
  <c r="T501" i="1" s="1"/>
  <c r="P500" i="1"/>
  <c r="L501" i="1"/>
  <c r="M501" i="1" s="1"/>
  <c r="O501" i="1"/>
  <c r="P501" i="1"/>
  <c r="R502" i="1"/>
  <c r="T502" i="1" s="1"/>
  <c r="K502" i="1"/>
  <c r="L502" i="1" s="1"/>
  <c r="M502" i="1" s="1"/>
  <c r="N502" i="1" l="1"/>
  <c r="R503" i="1" l="1"/>
  <c r="T503" i="1" s="1"/>
  <c r="P502" i="1"/>
  <c r="O502" i="1"/>
  <c r="K503" i="1"/>
  <c r="L503" i="1" s="1"/>
  <c r="M503" i="1" s="1"/>
  <c r="N503" i="1" l="1"/>
  <c r="R504" i="1" l="1"/>
  <c r="T504" i="1" s="1"/>
  <c r="P503" i="1"/>
  <c r="O503" i="1"/>
  <c r="K504" i="1"/>
  <c r="L504" i="1" s="1"/>
  <c r="M504" i="1" s="1"/>
  <c r="N504" i="1" l="1"/>
  <c r="R505" i="1" l="1"/>
  <c r="T505" i="1" s="1"/>
  <c r="P504" i="1"/>
  <c r="O504" i="1"/>
  <c r="K505" i="1"/>
  <c r="L505" i="1" s="1"/>
  <c r="M505" i="1" s="1"/>
  <c r="N505" i="1" l="1"/>
  <c r="R506" i="1" l="1"/>
  <c r="T506" i="1" s="1"/>
  <c r="P505" i="1"/>
  <c r="O505" i="1"/>
  <c r="K506" i="1"/>
  <c r="L506" i="1" s="1"/>
  <c r="M506" i="1" s="1"/>
  <c r="N506" i="1" l="1"/>
  <c r="K507" i="1" l="1"/>
  <c r="L507" i="1" s="1"/>
  <c r="M507" i="1" s="1"/>
  <c r="P506" i="1"/>
  <c r="R507" i="1"/>
  <c r="T507" i="1" s="1"/>
  <c r="O506" i="1"/>
  <c r="N507" i="1" l="1"/>
  <c r="K508" i="1" s="1"/>
  <c r="L508" i="1" s="1"/>
  <c r="M508" i="1" s="1"/>
  <c r="O507" i="1" l="1"/>
  <c r="R508" i="1"/>
  <c r="T508" i="1" s="1"/>
  <c r="P507" i="1"/>
  <c r="N508" i="1"/>
  <c r="R509" i="1" l="1"/>
  <c r="T509" i="1" s="1"/>
  <c r="P508" i="1"/>
  <c r="K509" i="1"/>
  <c r="L509" i="1" s="1"/>
  <c r="M509" i="1" s="1"/>
  <c r="O508" i="1"/>
  <c r="N509" i="1" l="1"/>
  <c r="P509" i="1" s="1"/>
  <c r="R510" i="1" l="1"/>
  <c r="T510" i="1" s="1"/>
  <c r="K510" i="1"/>
  <c r="O509" i="1"/>
  <c r="L510" i="1" l="1"/>
  <c r="M510" i="1" s="1"/>
  <c r="N510" i="1"/>
  <c r="P510" i="1" s="1"/>
  <c r="R511" i="1" l="1"/>
  <c r="T511" i="1" s="1"/>
  <c r="O510" i="1"/>
  <c r="K511" i="1"/>
  <c r="L511" i="1" s="1"/>
  <c r="M511" i="1" s="1"/>
  <c r="N511" i="1" l="1"/>
  <c r="P511" i="1" s="1"/>
  <c r="R512" i="1" l="1"/>
  <c r="T512" i="1" s="1"/>
  <c r="K512" i="1"/>
  <c r="L512" i="1" s="1"/>
  <c r="M512" i="1" s="1"/>
  <c r="O511" i="1"/>
  <c r="N512" i="1" l="1"/>
  <c r="P512" i="1" s="1"/>
  <c r="R513" i="1" l="1"/>
  <c r="T513" i="1" s="1"/>
  <c r="O512" i="1"/>
  <c r="K513" i="1"/>
  <c r="L513" i="1" l="1"/>
  <c r="M513" i="1" s="1"/>
  <c r="N513" i="1"/>
  <c r="P513" i="1" s="1"/>
  <c r="R514" i="1" l="1"/>
  <c r="T514" i="1" s="1"/>
  <c r="K514" i="1"/>
  <c r="L514" i="1" s="1"/>
  <c r="M514" i="1" s="1"/>
  <c r="O513" i="1"/>
  <c r="N514" i="1" l="1"/>
  <c r="P514" i="1" s="1"/>
  <c r="R515" i="1" l="1"/>
  <c r="T515" i="1" s="1"/>
  <c r="O514" i="1"/>
  <c r="K515" i="1"/>
  <c r="L515" i="1" l="1"/>
  <c r="M515" i="1" s="1"/>
  <c r="N515" i="1"/>
  <c r="P515" i="1" s="1"/>
  <c r="R516" i="1" l="1"/>
  <c r="T516" i="1" s="1"/>
  <c r="F11" i="1" s="1"/>
  <c r="O515" i="1"/>
  <c r="K516" i="1"/>
  <c r="L516" i="1" s="1"/>
  <c r="M516" i="1" s="1"/>
  <c r="F10" i="1" s="1"/>
  <c r="N516" i="1" l="1"/>
  <c r="O516" i="1" l="1"/>
  <c r="P516" i="1"/>
</calcChain>
</file>

<file path=xl/sharedStrings.xml><?xml version="1.0" encoding="utf-8"?>
<sst xmlns="http://schemas.openxmlformats.org/spreadsheetml/2006/main" count="71" uniqueCount="58">
  <si>
    <t>Costos</t>
  </si>
  <si>
    <t>Frasco</t>
  </si>
  <si>
    <t>Faltante</t>
  </si>
  <si>
    <t>Ganancia</t>
  </si>
  <si>
    <t>Cantidad (gramos)</t>
  </si>
  <si>
    <t>Probabilidad</t>
  </si>
  <si>
    <t>media 75 g desv 15g</t>
  </si>
  <si>
    <t>media 70 g</t>
  </si>
  <si>
    <t>Distribucion demanda mañana</t>
  </si>
  <si>
    <t>Distribucion demanda tarde</t>
  </si>
  <si>
    <t>Distribución demora</t>
  </si>
  <si>
    <t>Demora (dias)</t>
  </si>
  <si>
    <t>Acumulada</t>
  </si>
  <si>
    <t>Rand min</t>
  </si>
  <si>
    <t>Rand max</t>
  </si>
  <si>
    <t>Cap Almac</t>
  </si>
  <si>
    <t>Horarios Turnos</t>
  </si>
  <si>
    <t>Mañana</t>
  </si>
  <si>
    <t>Turno</t>
  </si>
  <si>
    <t>Tarde</t>
  </si>
  <si>
    <t>demora</t>
  </si>
  <si>
    <t>compra</t>
  </si>
  <si>
    <t>Rand</t>
  </si>
  <si>
    <t>Demanda</t>
  </si>
  <si>
    <t>Rand normal 1</t>
  </si>
  <si>
    <t>Rand normal 2</t>
  </si>
  <si>
    <t>Horas</t>
  </si>
  <si>
    <t>prob</t>
  </si>
  <si>
    <t>z</t>
  </si>
  <si>
    <t>Media Mañana</t>
  </si>
  <si>
    <t>Sigma</t>
  </si>
  <si>
    <t xml:space="preserve">Random Mañana </t>
  </si>
  <si>
    <t>Mañana normal</t>
  </si>
  <si>
    <t>Mañana cte</t>
  </si>
  <si>
    <t>Total dia</t>
  </si>
  <si>
    <t>Demanda Mañana</t>
  </si>
  <si>
    <t>Demanda Tarde</t>
  </si>
  <si>
    <t>Dia</t>
  </si>
  <si>
    <t>Gramos frasco</t>
  </si>
  <si>
    <t>Disponible (frascos)</t>
  </si>
  <si>
    <t>Disponible (gramos)</t>
  </si>
  <si>
    <t>Orden</t>
  </si>
  <si>
    <t>Stock inicial</t>
  </si>
  <si>
    <t>Stock remanente (gramos)</t>
  </si>
  <si>
    <t>Ventas</t>
  </si>
  <si>
    <t>Stock remanente (frascos)</t>
  </si>
  <si>
    <t>Compra</t>
  </si>
  <si>
    <t>Acumulado</t>
  </si>
  <si>
    <t>por cada 1g</t>
  </si>
  <si>
    <t>Ventas (g)</t>
  </si>
  <si>
    <t>Ganancia acum</t>
  </si>
  <si>
    <t>Ganancia Acum</t>
  </si>
  <si>
    <t>Gasto Acum</t>
  </si>
  <si>
    <t>por frasco</t>
  </si>
  <si>
    <t>Proxima compra</t>
  </si>
  <si>
    <t>Stock</t>
  </si>
  <si>
    <t>Porcentaje almacenado</t>
  </si>
  <si>
    <t>% dias con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</si>
</sst>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0" xfId="0" applyFont="1" applyFill="1" applyBorder="1" applyAlignment="1">
      <alignment horizontal="center"/>
    </xf>
    <xf numFmtId="0" fontId="2" fillId="0" borderId="0" xfId="0" applyFont="1"/>
    <xf numFmtId="172" fontId="0" fillId="0" borderId="0" xfId="0" applyNumberFormat="1"/>
    <xf numFmtId="2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4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2" fontId="0" fillId="0" borderId="6" xfId="0" applyNumberFormat="1" applyBorder="1"/>
    <xf numFmtId="172" fontId="0" fillId="0" borderId="0" xfId="0" applyNumberFormat="1" applyBorder="1"/>
    <xf numFmtId="172" fontId="0" fillId="0" borderId="0" xfId="0" applyNumberFormat="1" applyBorder="1" applyAlignment="1">
      <alignment horizontal="center"/>
    </xf>
    <xf numFmtId="172" fontId="4" fillId="0" borderId="5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5" fillId="2" borderId="2" xfId="0" applyFont="1" applyFill="1" applyBorder="1"/>
    <xf numFmtId="0" fontId="5" fillId="3" borderId="7" xfId="0" applyFont="1" applyFill="1" applyBorder="1"/>
    <xf numFmtId="2" fontId="6" fillId="0" borderId="4" xfId="0" applyNumberFormat="1" applyFont="1" applyBorder="1"/>
    <xf numFmtId="2" fontId="2" fillId="0" borderId="8" xfId="0" applyNumberFormat="1" applyFont="1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9" fontId="0" fillId="0" borderId="0" xfId="1" applyFont="1"/>
    <xf numFmtId="0" fontId="0" fillId="7" borderId="10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6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13.85546875" customWidth="1"/>
    <col min="2" max="2" width="16.7109375" customWidth="1"/>
    <col min="3" max="3" width="15.28515625" customWidth="1"/>
    <col min="4" max="4" width="14.5703125" customWidth="1"/>
    <col min="5" max="5" width="18.7109375" customWidth="1"/>
    <col min="6" max="6" width="15.85546875" customWidth="1"/>
    <col min="7" max="7" width="17.5703125" customWidth="1"/>
    <col min="8" max="8" width="17.85546875" customWidth="1"/>
    <col min="9" max="9" width="16" customWidth="1"/>
    <col min="10" max="10" width="9.5703125" customWidth="1"/>
    <col min="11" max="11" width="15.140625" customWidth="1"/>
    <col min="12" max="13" width="14.42578125" customWidth="1"/>
    <col min="14" max="14" width="26.28515625" customWidth="1"/>
    <col min="15" max="17" width="24.5703125" customWidth="1"/>
    <col min="18" max="18" width="32.140625" customWidth="1"/>
    <col min="19" max="19" width="16" customWidth="1"/>
    <col min="20" max="20" width="13.28515625" customWidth="1"/>
    <col min="21" max="21" width="8.7109375" customWidth="1"/>
    <col min="22" max="22" width="13.28515625" customWidth="1"/>
    <col min="23" max="23" width="8.140625" customWidth="1"/>
    <col min="24" max="24" width="22.7109375" style="1" customWidth="1"/>
    <col min="25" max="25" width="19.5703125" customWidth="1"/>
    <col min="26" max="26" width="18.42578125" customWidth="1"/>
    <col min="27" max="27" width="18.85546875" customWidth="1"/>
    <col min="28" max="29" width="17.7109375" customWidth="1"/>
    <col min="30" max="30" width="15" customWidth="1"/>
  </cols>
  <sheetData>
    <row r="1" spans="1:32" x14ac:dyDescent="0.25">
      <c r="A1" s="5" t="s">
        <v>0</v>
      </c>
      <c r="B1" s="6"/>
      <c r="C1" s="7"/>
      <c r="E1" s="84" t="s">
        <v>8</v>
      </c>
      <c r="F1" s="85"/>
      <c r="G1" s="85"/>
      <c r="H1" s="85"/>
      <c r="I1" s="86"/>
      <c r="J1" s="24"/>
      <c r="K1" s="67" t="s">
        <v>9</v>
      </c>
      <c r="L1" s="69"/>
      <c r="M1" s="26"/>
      <c r="O1" s="5" t="s">
        <v>10</v>
      </c>
      <c r="P1" s="6"/>
      <c r="Q1" s="6"/>
      <c r="R1" s="6"/>
      <c r="S1" s="7"/>
    </row>
    <row r="2" spans="1:32" x14ac:dyDescent="0.25">
      <c r="A2" s="10" t="s">
        <v>1</v>
      </c>
      <c r="B2" s="3">
        <v>-250</v>
      </c>
      <c r="C2" s="11" t="s">
        <v>53</v>
      </c>
      <c r="E2" s="70" t="s">
        <v>4</v>
      </c>
      <c r="F2" s="71" t="s">
        <v>5</v>
      </c>
      <c r="G2" s="71" t="s">
        <v>12</v>
      </c>
      <c r="H2" s="71" t="s">
        <v>13</v>
      </c>
      <c r="I2" s="72" t="s">
        <v>14</v>
      </c>
      <c r="J2" s="24"/>
      <c r="K2" s="81" t="s">
        <v>4</v>
      </c>
      <c r="L2" s="82" t="s">
        <v>5</v>
      </c>
      <c r="M2" s="83"/>
      <c r="O2" s="8" t="s">
        <v>11</v>
      </c>
      <c r="P2" s="2" t="s">
        <v>5</v>
      </c>
      <c r="Q2" s="2" t="s">
        <v>12</v>
      </c>
      <c r="R2" s="2" t="s">
        <v>13</v>
      </c>
      <c r="S2" s="9" t="s">
        <v>14</v>
      </c>
      <c r="X2" s="17"/>
    </row>
    <row r="3" spans="1:32" x14ac:dyDescent="0.25">
      <c r="A3" s="10" t="s">
        <v>2</v>
      </c>
      <c r="B3" s="3">
        <v>1</v>
      </c>
      <c r="C3" s="11" t="s">
        <v>48</v>
      </c>
      <c r="E3" s="31">
        <v>50</v>
      </c>
      <c r="F3" s="26">
        <v>0.5</v>
      </c>
      <c r="G3" s="26">
        <v>0.5</v>
      </c>
      <c r="H3" s="26">
        <v>0</v>
      </c>
      <c r="I3" s="73">
        <f>G3</f>
        <v>0.5</v>
      </c>
      <c r="J3" s="24"/>
      <c r="K3" s="32" t="s">
        <v>7</v>
      </c>
      <c r="L3" s="74">
        <v>1</v>
      </c>
      <c r="M3" s="26"/>
      <c r="O3" s="10">
        <v>0</v>
      </c>
      <c r="P3" s="3">
        <v>0.5</v>
      </c>
      <c r="Q3" s="3">
        <f>P3</f>
        <v>0.5</v>
      </c>
      <c r="R3" s="3">
        <v>0</v>
      </c>
      <c r="S3" s="11">
        <f>Q3</f>
        <v>0.5</v>
      </c>
    </row>
    <row r="4" spans="1:32" x14ac:dyDescent="0.25">
      <c r="A4" s="12" t="s">
        <v>3</v>
      </c>
      <c r="B4" s="4">
        <v>1.5</v>
      </c>
      <c r="C4" s="13" t="s">
        <v>48</v>
      </c>
      <c r="E4" s="32" t="s">
        <v>6</v>
      </c>
      <c r="F4" s="27">
        <v>0.5</v>
      </c>
      <c r="G4" s="27">
        <v>1</v>
      </c>
      <c r="H4" s="27">
        <f>F4</f>
        <v>0.5</v>
      </c>
      <c r="I4" s="74">
        <f>G4</f>
        <v>1</v>
      </c>
      <c r="J4" s="24"/>
      <c r="K4" s="24"/>
      <c r="L4" s="24"/>
      <c r="M4" s="24"/>
      <c r="O4" s="10">
        <v>1</v>
      </c>
      <c r="P4" s="3">
        <v>0.25</v>
      </c>
      <c r="Q4" s="3">
        <f>P4+Q3</f>
        <v>0.75</v>
      </c>
      <c r="R4" s="3">
        <f>Q3</f>
        <v>0.5</v>
      </c>
      <c r="S4" s="11">
        <f>Q4</f>
        <v>0.75</v>
      </c>
      <c r="AA4" s="67" t="s">
        <v>16</v>
      </c>
      <c r="AB4" s="68"/>
      <c r="AC4" s="68"/>
      <c r="AD4" s="68"/>
      <c r="AE4" s="68"/>
      <c r="AF4" s="69"/>
    </row>
    <row r="5" spans="1:32" x14ac:dyDescent="0.25">
      <c r="E5" s="24"/>
      <c r="F5" s="24"/>
      <c r="G5" s="24"/>
      <c r="H5" s="24"/>
      <c r="I5" s="24"/>
      <c r="J5" s="24"/>
      <c r="K5" s="24"/>
      <c r="L5" s="24"/>
      <c r="M5" s="24"/>
      <c r="O5" s="12">
        <v>2</v>
      </c>
      <c r="P5" s="4">
        <v>0.25</v>
      </c>
      <c r="Q5" s="4">
        <f>P5+Q4</f>
        <v>1</v>
      </c>
      <c r="R5" s="4">
        <f>Q4</f>
        <v>0.75</v>
      </c>
      <c r="S5" s="13">
        <f>Q5</f>
        <v>1</v>
      </c>
      <c r="AA5" s="75" t="s">
        <v>18</v>
      </c>
      <c r="AB5" s="76" t="s">
        <v>26</v>
      </c>
      <c r="AC5" s="76" t="s">
        <v>27</v>
      </c>
      <c r="AD5" s="77" t="s">
        <v>12</v>
      </c>
      <c r="AE5" s="78" t="s">
        <v>13</v>
      </c>
      <c r="AF5" s="77" t="s">
        <v>14</v>
      </c>
    </row>
    <row r="6" spans="1:32" x14ac:dyDescent="0.25">
      <c r="A6" s="15" t="s">
        <v>15</v>
      </c>
      <c r="B6" s="16">
        <v>10</v>
      </c>
      <c r="C6" s="14">
        <f>10*_GramosXFrasco</f>
        <v>1700</v>
      </c>
      <c r="K6" s="18"/>
      <c r="AA6" s="79" t="s">
        <v>17</v>
      </c>
      <c r="AB6" s="26">
        <v>8</v>
      </c>
      <c r="AC6" s="26">
        <f>AB6/($AB$6+$AB$7)</f>
        <v>0.5</v>
      </c>
      <c r="AD6" s="73">
        <f>AC6</f>
        <v>0.5</v>
      </c>
      <c r="AE6" s="31">
        <v>0</v>
      </c>
      <c r="AF6" s="73">
        <f>AD6</f>
        <v>0.5</v>
      </c>
    </row>
    <row r="7" spans="1:32" x14ac:dyDescent="0.25">
      <c r="A7" s="10" t="s">
        <v>38</v>
      </c>
      <c r="B7" s="3">
        <v>170</v>
      </c>
      <c r="C7" s="11"/>
      <c r="K7" s="18"/>
      <c r="AA7" s="80" t="s">
        <v>19</v>
      </c>
      <c r="AB7" s="27">
        <v>8</v>
      </c>
      <c r="AC7" s="27">
        <f>AB7/($AB$6+$AB$7)</f>
        <v>0.5</v>
      </c>
      <c r="AD7" s="74">
        <f>AC7+AD6</f>
        <v>1</v>
      </c>
      <c r="AE7" s="32">
        <f>AF6</f>
        <v>0.5</v>
      </c>
      <c r="AF7" s="74">
        <f>AD7</f>
        <v>1</v>
      </c>
    </row>
    <row r="8" spans="1:32" x14ac:dyDescent="0.25">
      <c r="A8" s="10" t="s">
        <v>29</v>
      </c>
      <c r="B8" s="3">
        <v>75</v>
      </c>
      <c r="C8" s="11"/>
      <c r="K8" s="18"/>
      <c r="L8" s="18"/>
      <c r="M8" s="18"/>
      <c r="AA8" s="18"/>
      <c r="AB8" s="18"/>
      <c r="AC8" s="18"/>
      <c r="AD8" s="18"/>
      <c r="AE8" s="18"/>
      <c r="AF8" s="18"/>
    </row>
    <row r="9" spans="1:32" x14ac:dyDescent="0.25">
      <c r="A9" s="10" t="s">
        <v>30</v>
      </c>
      <c r="B9" s="3">
        <v>15</v>
      </c>
      <c r="C9" s="11"/>
      <c r="K9" s="18"/>
      <c r="N9" s="18"/>
    </row>
    <row r="10" spans="1:32" x14ac:dyDescent="0.25">
      <c r="A10" s="10" t="s">
        <v>54</v>
      </c>
      <c r="B10" s="23">
        <v>2</v>
      </c>
      <c r="C10" s="11"/>
      <c r="E10" s="54" t="s">
        <v>51</v>
      </c>
      <c r="F10" s="56">
        <f ca="1">M516</f>
        <v>71025.531621454953</v>
      </c>
      <c r="K10" s="18"/>
      <c r="N10" s="18"/>
    </row>
    <row r="11" spans="1:32" x14ac:dyDescent="0.25">
      <c r="A11" s="12" t="s">
        <v>42</v>
      </c>
      <c r="B11" s="4">
        <v>10</v>
      </c>
      <c r="C11" s="13"/>
      <c r="E11" s="55" t="s">
        <v>52</v>
      </c>
      <c r="F11" s="57">
        <f ca="1">T516</f>
        <v>-48077.89173507681</v>
      </c>
      <c r="G11" s="18"/>
      <c r="H11" s="18"/>
      <c r="I11" s="18"/>
      <c r="J11" s="18"/>
      <c r="K11" s="18"/>
      <c r="N11" s="18"/>
    </row>
    <row r="12" spans="1:32" x14ac:dyDescent="0.25">
      <c r="N12" s="18"/>
    </row>
    <row r="13" spans="1:32" x14ac:dyDescent="0.25">
      <c r="N13" s="18"/>
    </row>
    <row r="14" spans="1:32" x14ac:dyDescent="0.25">
      <c r="B14" s="45" t="s">
        <v>23</v>
      </c>
      <c r="C14" s="46"/>
      <c r="D14" s="46"/>
      <c r="E14" s="46"/>
      <c r="F14" s="46"/>
      <c r="G14" s="46"/>
      <c r="H14" s="46"/>
      <c r="I14" s="46"/>
      <c r="J14" s="47"/>
      <c r="K14" s="58" t="s">
        <v>44</v>
      </c>
      <c r="L14" s="59"/>
      <c r="M14" s="59"/>
      <c r="N14" s="60" t="s">
        <v>55</v>
      </c>
      <c r="O14" s="64"/>
      <c r="P14" s="61"/>
      <c r="Q14" s="62"/>
      <c r="R14" s="48" t="s">
        <v>0</v>
      </c>
      <c r="S14" s="49"/>
      <c r="T14" s="50"/>
      <c r="U14" s="51" t="s">
        <v>41</v>
      </c>
      <c r="V14" s="52"/>
      <c r="W14" s="52"/>
      <c r="X14" s="52"/>
      <c r="Y14" s="53"/>
    </row>
    <row r="15" spans="1:32" x14ac:dyDescent="0.25">
      <c r="A15" s="65" t="s">
        <v>37</v>
      </c>
      <c r="B15" s="39" t="s">
        <v>31</v>
      </c>
      <c r="C15" s="40" t="s">
        <v>24</v>
      </c>
      <c r="D15" s="40" t="s">
        <v>25</v>
      </c>
      <c r="E15" s="40" t="s">
        <v>28</v>
      </c>
      <c r="F15" s="40" t="s">
        <v>32</v>
      </c>
      <c r="G15" s="40" t="s">
        <v>33</v>
      </c>
      <c r="H15" s="40" t="s">
        <v>35</v>
      </c>
      <c r="I15" s="40" t="s">
        <v>36</v>
      </c>
      <c r="J15" s="41" t="s">
        <v>34</v>
      </c>
      <c r="K15" s="42" t="s">
        <v>49</v>
      </c>
      <c r="L15" s="43" t="s">
        <v>3</v>
      </c>
      <c r="M15" s="44" t="s">
        <v>50</v>
      </c>
      <c r="N15" s="43" t="s">
        <v>43</v>
      </c>
      <c r="O15" s="44" t="s">
        <v>45</v>
      </c>
      <c r="P15" s="43" t="s">
        <v>56</v>
      </c>
      <c r="Q15" s="43" t="s">
        <v>57</v>
      </c>
      <c r="R15" s="42" t="s">
        <v>2</v>
      </c>
      <c r="S15" s="43" t="s">
        <v>46</v>
      </c>
      <c r="T15" s="44" t="s">
        <v>47</v>
      </c>
      <c r="U15" s="21" t="s">
        <v>21</v>
      </c>
      <c r="V15" s="22" t="s">
        <v>22</v>
      </c>
      <c r="W15" s="22" t="s">
        <v>20</v>
      </c>
      <c r="X15" s="33" t="s">
        <v>39</v>
      </c>
      <c r="Y15" s="34" t="s">
        <v>40</v>
      </c>
    </row>
    <row r="16" spans="1:32" x14ac:dyDescent="0.25">
      <c r="A16" s="30">
        <v>0</v>
      </c>
      <c r="B16" s="38"/>
      <c r="C16" s="36"/>
      <c r="D16" s="36"/>
      <c r="E16" s="36"/>
      <c r="F16" s="37"/>
      <c r="G16" s="3"/>
      <c r="H16" s="36"/>
      <c r="I16" s="36"/>
      <c r="J16" s="35"/>
      <c r="N16">
        <f>O16*_GramosXFrasco</f>
        <v>340</v>
      </c>
      <c r="O16">
        <v>2</v>
      </c>
      <c r="R16" s="15"/>
      <c r="U16" s="10">
        <v>0</v>
      </c>
      <c r="V16" s="3">
        <f ca="1">IF(U16=0,RAND(),-1)</f>
        <v>9.1688699280788821E-2</v>
      </c>
      <c r="W16" s="3">
        <f ca="1">IF(V16&gt;0,LOOKUP(V16,$R$3:$R$5,$O$3:$O$5),-1)</f>
        <v>0</v>
      </c>
      <c r="X16" s="25">
        <f ca="1">IF(W16=0,2,)</f>
        <v>2</v>
      </c>
      <c r="Y16" s="29">
        <f ca="1">X16*_GramosXFrasco</f>
        <v>340</v>
      </c>
    </row>
    <row r="17" spans="1:25" x14ac:dyDescent="0.25">
      <c r="A17" s="30">
        <f>A16+1</f>
        <v>1</v>
      </c>
      <c r="B17" s="38">
        <f t="shared" ref="B17:B80" ca="1" si="0">RAND()</f>
        <v>0.32838492196882652</v>
      </c>
      <c r="C17" s="36">
        <f t="shared" ref="C17:C80" ca="1" si="1">IF(B17&gt;0.5,RAND(),-1)</f>
        <v>-1</v>
      </c>
      <c r="D17" s="36">
        <f t="shared" ref="D17:D80" ca="1" si="2">IF(B17&gt;0.5,RAND(),-1)</f>
        <v>-1</v>
      </c>
      <c r="E17" s="36">
        <f t="shared" ref="E17:E35" ca="1" si="3">IF(D17&gt;0,SQRT(-2*LOG(1-C17)) * COS(2*PI()*D17),-1)</f>
        <v>-1</v>
      </c>
      <c r="F17" s="37">
        <f ca="1">IF(E17&lt;&gt;-1,_Media_M + E17*_Sigma,-1)</f>
        <v>-1</v>
      </c>
      <c r="G17" s="3">
        <f t="shared" ref="G17:G80" ca="1" si="4">IF(F17=-1,50,-1)</f>
        <v>50</v>
      </c>
      <c r="H17" s="36">
        <f t="shared" ref="H17:H35" ca="1" si="5">IF(F17=-1,G17,F17)</f>
        <v>50</v>
      </c>
      <c r="I17" s="36">
        <f t="shared" ref="I17:I80" ca="1" si="6">(-1/(1/70)*(LOG(1-RAND())))</f>
        <v>3.5326198699622324</v>
      </c>
      <c r="J17" s="35">
        <f t="shared" ref="J17:J35" ca="1" si="7">H17+I17</f>
        <v>53.532619869962232</v>
      </c>
      <c r="K17" s="19">
        <f ca="1">IF(J17&lt;N16,J17,N16)</f>
        <v>53.532619869962232</v>
      </c>
      <c r="L17" s="20">
        <f ca="1" xml:space="preserve"> K17*_Precio_cafe</f>
        <v>80.298929804943356</v>
      </c>
      <c r="M17" s="20">
        <f ca="1">L17+M16</f>
        <v>80.298929804943356</v>
      </c>
      <c r="N17" s="20">
        <f ca="1">IF((N16-K17+Y17)&gt;_Max_Stock_Gramos,_Max_Stock_Gramos,N16-K17+Y17)</f>
        <v>286.46738013003778</v>
      </c>
      <c r="O17" s="20">
        <f ca="1">N17/_GramosXFrasco</f>
        <v>1.6851022360590457</v>
      </c>
      <c r="P17" s="63">
        <f ca="1">(N17/_Max_Stock_Gramos)</f>
        <v>0.16851022360590459</v>
      </c>
      <c r="Q17" s="63"/>
      <c r="R17" s="10">
        <f ca="1">IF((N16-J17)&lt;0,(N16-J17)*_Costo_Faltante,0)</f>
        <v>0</v>
      </c>
      <c r="S17">
        <f>IF(U17=0,X17*_Costo_Frasco,0)</f>
        <v>0</v>
      </c>
      <c r="T17">
        <f ca="1">R17+S17+T16</f>
        <v>0</v>
      </c>
      <c r="U17" s="10">
        <f>IF(U16=0,_Proxima_Compra,U16-1)</f>
        <v>2</v>
      </c>
      <c r="V17" s="3">
        <f t="shared" ref="V17:V80" ca="1" si="8">IF(U17=0,RAND(),-1)</f>
        <v>-1</v>
      </c>
      <c r="W17" s="3">
        <f ca="1">IF(W16&gt;0,W16-1,IF(V17&gt;0,LOOKUP(V17,$R$3:$R$5,$O$3:$O$5),-1))</f>
        <v>-1</v>
      </c>
      <c r="X17" s="25">
        <f t="shared" ref="X17:X80" ca="1" si="9">IF(W17=0,2,)</f>
        <v>0</v>
      </c>
      <c r="Y17" s="28">
        <f ca="1">X17*_GramosXFrasco</f>
        <v>0</v>
      </c>
    </row>
    <row r="18" spans="1:25" x14ac:dyDescent="0.25">
      <c r="A18" s="30">
        <f t="shared" ref="A18:A81" si="10">A17+1</f>
        <v>2</v>
      </c>
      <c r="B18" s="38">
        <f t="shared" ca="1" si="0"/>
        <v>0.9685867220235429</v>
      </c>
      <c r="C18" s="36">
        <f t="shared" ca="1" si="1"/>
        <v>0.82975548767802421</v>
      </c>
      <c r="D18" s="36">
        <f t="shared" ca="1" si="2"/>
        <v>0.61141059825755428</v>
      </c>
      <c r="E18" s="36">
        <f t="shared" ca="1" si="3"/>
        <v>-0.94847183608837438</v>
      </c>
      <c r="F18" s="37">
        <f ca="1">IF(E18&lt;&gt;-1,_Media_M + E18*_Sigma,-1)</f>
        <v>60.772922458674387</v>
      </c>
      <c r="G18" s="3">
        <f t="shared" ca="1" si="4"/>
        <v>-1</v>
      </c>
      <c r="H18" s="36">
        <f t="shared" ca="1" si="5"/>
        <v>60.772922458674387</v>
      </c>
      <c r="I18" s="36">
        <f t="shared" ca="1" si="6"/>
        <v>49.914695722334571</v>
      </c>
      <c r="J18" s="35">
        <f t="shared" ca="1" si="7"/>
        <v>110.68761818100896</v>
      </c>
      <c r="K18" s="19">
        <f t="shared" ref="K18:K81" ca="1" si="11">IF(J18&lt;N17,J18,N17)</f>
        <v>110.68761818100896</v>
      </c>
      <c r="L18" s="20">
        <f ca="1" xml:space="preserve"> K18*_Precio_cafe</f>
        <v>166.03142727151345</v>
      </c>
      <c r="M18" s="20">
        <f t="shared" ref="M18:M81" ca="1" si="12">L18+M17</f>
        <v>246.33035707645681</v>
      </c>
      <c r="N18" s="20">
        <f ca="1">IF((N17-K18+Y18)&gt;_Max_Stock_Gramos,_Max_Stock_Gramos,N17-K18+Y18)</f>
        <v>175.77976194902882</v>
      </c>
      <c r="O18" s="20">
        <f ca="1">N18/_GramosXFrasco</f>
        <v>1.0339985997001695</v>
      </c>
      <c r="P18" s="63">
        <f ca="1">(N18/_Max_Stock_Gramos)</f>
        <v>0.10339985997001695</v>
      </c>
      <c r="Q18" s="63"/>
      <c r="R18" s="10">
        <f ca="1">IF((N17-J18)&lt;0,(N17-J18)*_Costo_Faltante,0)</f>
        <v>0</v>
      </c>
      <c r="S18">
        <f>IF(U18=0,X18*_Costo_Frasco,0)</f>
        <v>0</v>
      </c>
      <c r="T18">
        <f t="shared" ref="T18:T81" ca="1" si="13">R18+S18+T17</f>
        <v>0</v>
      </c>
      <c r="U18" s="10">
        <f>IF(U17=0,_Proxima_Compra,U17-1)</f>
        <v>1</v>
      </c>
      <c r="V18" s="3">
        <f t="shared" ca="1" si="8"/>
        <v>-1</v>
      </c>
      <c r="W18" s="3">
        <f ca="1">IF(W17&gt;0,W17-1,IF(V18&gt;0,LOOKUP(V18,$R$3:$R$5,$O$3:$O$5),-1))</f>
        <v>-1</v>
      </c>
      <c r="X18" s="25">
        <f t="shared" ca="1" si="9"/>
        <v>0</v>
      </c>
      <c r="Y18" s="28">
        <f ca="1">X18*_GramosXFrasco</f>
        <v>0</v>
      </c>
    </row>
    <row r="19" spans="1:25" x14ac:dyDescent="0.25">
      <c r="A19" s="30">
        <f t="shared" si="10"/>
        <v>3</v>
      </c>
      <c r="B19" s="38">
        <f t="shared" ca="1" si="0"/>
        <v>1.2421305220214007E-2</v>
      </c>
      <c r="C19" s="36">
        <f t="shared" ca="1" si="1"/>
        <v>-1</v>
      </c>
      <c r="D19" s="36">
        <f t="shared" ca="1" si="2"/>
        <v>-1</v>
      </c>
      <c r="E19" s="36">
        <f t="shared" ca="1" si="3"/>
        <v>-1</v>
      </c>
      <c r="F19" s="37">
        <f ca="1">IF(E19&lt;&gt;-1,_Media_M + E19*_Sigma,-1)</f>
        <v>-1</v>
      </c>
      <c r="G19" s="3">
        <f t="shared" ca="1" si="4"/>
        <v>50</v>
      </c>
      <c r="H19" s="36">
        <f t="shared" ca="1" si="5"/>
        <v>50</v>
      </c>
      <c r="I19" s="36">
        <f t="shared" ca="1" si="6"/>
        <v>41.880844238903094</v>
      </c>
      <c r="J19" s="35">
        <f t="shared" ca="1" si="7"/>
        <v>91.880844238903094</v>
      </c>
      <c r="K19" s="19">
        <f t="shared" ca="1" si="11"/>
        <v>91.880844238903094</v>
      </c>
      <c r="L19" s="20">
        <f ca="1" xml:space="preserve"> K19*_Precio_cafe</f>
        <v>137.82126635835465</v>
      </c>
      <c r="M19" s="20">
        <f t="shared" ca="1" si="12"/>
        <v>384.15162343481143</v>
      </c>
      <c r="N19" s="20">
        <f ca="1">IF((N18-K19+Y19)&gt;_Max_Stock_Gramos,_Max_Stock_Gramos,N18-K19+Y19)</f>
        <v>83.89891771012573</v>
      </c>
      <c r="O19" s="20">
        <f ca="1">N19/_GramosXFrasco</f>
        <v>0.49352304535368074</v>
      </c>
      <c r="P19" s="63">
        <f ca="1">(N19/_Max_Stock_Gramos)</f>
        <v>4.9352304535368076E-2</v>
      </c>
      <c r="Q19" s="63"/>
      <c r="R19" s="10">
        <f ca="1">IF((N18-J19)&lt;0,(N18-J19)*_Costo_Faltante,0)</f>
        <v>0</v>
      </c>
      <c r="S19">
        <f ca="1">IF(U19=0,X19*_Costo_Frasco,0)</f>
        <v>0</v>
      </c>
      <c r="T19">
        <f t="shared" ca="1" si="13"/>
        <v>0</v>
      </c>
      <c r="U19" s="10">
        <f>IF(U18=0,_Proxima_Compra,U18-1)</f>
        <v>0</v>
      </c>
      <c r="V19" s="3">
        <f t="shared" ca="1" si="8"/>
        <v>0.82116251799069151</v>
      </c>
      <c r="W19" s="3">
        <f ca="1">IF(W18&gt;0,W18-1,IF(V19&gt;0,LOOKUP(V19,$R$3:$R$5,$O$3:$O$5),-1))</f>
        <v>2</v>
      </c>
      <c r="X19" s="25">
        <f t="shared" ca="1" si="9"/>
        <v>0</v>
      </c>
      <c r="Y19" s="28">
        <f ca="1">X19*_GramosXFrasco</f>
        <v>0</v>
      </c>
    </row>
    <row r="20" spans="1:25" x14ac:dyDescent="0.25">
      <c r="A20" s="30">
        <f t="shared" si="10"/>
        <v>4</v>
      </c>
      <c r="B20" s="38">
        <f t="shared" ca="1" si="0"/>
        <v>0.98187305314015283</v>
      </c>
      <c r="C20" s="36">
        <f t="shared" ca="1" si="1"/>
        <v>0.3772968904820807</v>
      </c>
      <c r="D20" s="36">
        <f t="shared" ca="1" si="2"/>
        <v>0.55672555835480853</v>
      </c>
      <c r="E20" s="36">
        <f t="shared" ca="1" si="3"/>
        <v>-0.6011220207631347</v>
      </c>
      <c r="F20" s="37">
        <f ca="1">IF(E20&lt;&gt;-1,_Media_M + E20*_Sigma,-1)</f>
        <v>65.983169688552977</v>
      </c>
      <c r="G20" s="3">
        <f t="shared" ca="1" si="4"/>
        <v>-1</v>
      </c>
      <c r="H20" s="36">
        <f t="shared" ca="1" si="5"/>
        <v>65.983169688552977</v>
      </c>
      <c r="I20" s="36">
        <f t="shared" ca="1" si="6"/>
        <v>8.926327747364093</v>
      </c>
      <c r="J20" s="35">
        <f t="shared" ca="1" si="7"/>
        <v>74.909497435917075</v>
      </c>
      <c r="K20" s="19">
        <f t="shared" ca="1" si="11"/>
        <v>74.909497435917075</v>
      </c>
      <c r="L20" s="20">
        <f ca="1" xml:space="preserve"> K20*_Precio_cafe</f>
        <v>112.36424615387561</v>
      </c>
      <c r="M20" s="20">
        <f t="shared" ca="1" si="12"/>
        <v>496.51586958868705</v>
      </c>
      <c r="N20" s="20">
        <f ca="1">IF((N19-K20+Y20)&gt;_Max_Stock_Gramos,_Max_Stock_Gramos,N19-K20+Y20)</f>
        <v>8.9894202742086549</v>
      </c>
      <c r="O20" s="20">
        <f ca="1">N20/_GramosXFrasco</f>
        <v>5.2878942789462674E-2</v>
      </c>
      <c r="P20" s="63">
        <f ca="1">(N20/_Max_Stock_Gramos)</f>
        <v>5.2878942789462676E-3</v>
      </c>
      <c r="Q20" s="63"/>
      <c r="R20" s="10">
        <f ca="1">IF((N19-J20)&lt;0,(N19-J20)*_Costo_Faltante,0)</f>
        <v>0</v>
      </c>
      <c r="S20">
        <f>IF(U20=0,X20*_Costo_Frasco,0)</f>
        <v>0</v>
      </c>
      <c r="T20">
        <f t="shared" ca="1" si="13"/>
        <v>0</v>
      </c>
      <c r="U20" s="10">
        <f>IF(U19=0,_Proxima_Compra,U19-1)</f>
        <v>2</v>
      </c>
      <c r="V20" s="3">
        <f t="shared" ca="1" si="8"/>
        <v>-1</v>
      </c>
      <c r="W20" s="3">
        <f ca="1">IF(W19&gt;0,W19-1,IF(V20&gt;0,LOOKUP(V20,$R$3:$R$5,$O$3:$O$5),-1))</f>
        <v>1</v>
      </c>
      <c r="X20" s="25">
        <f t="shared" ca="1" si="9"/>
        <v>0</v>
      </c>
      <c r="Y20" s="28">
        <f ca="1">X20*_GramosXFrasco</f>
        <v>0</v>
      </c>
    </row>
    <row r="21" spans="1:25" x14ac:dyDescent="0.25">
      <c r="A21" s="30">
        <f t="shared" si="10"/>
        <v>5</v>
      </c>
      <c r="B21" s="38">
        <f t="shared" ca="1" si="0"/>
        <v>0.28065502611076876</v>
      </c>
      <c r="C21" s="36">
        <f t="shared" ca="1" si="1"/>
        <v>-1</v>
      </c>
      <c r="D21" s="36">
        <f t="shared" ca="1" si="2"/>
        <v>-1</v>
      </c>
      <c r="E21" s="36">
        <f t="shared" ca="1" si="3"/>
        <v>-1</v>
      </c>
      <c r="F21" s="37">
        <f ca="1">IF(E21&lt;&gt;-1,_Media_M + E21*_Sigma,-1)</f>
        <v>-1</v>
      </c>
      <c r="G21" s="3">
        <f t="shared" ca="1" si="4"/>
        <v>50</v>
      </c>
      <c r="H21" s="36">
        <f t="shared" ca="1" si="5"/>
        <v>50</v>
      </c>
      <c r="I21" s="36">
        <f t="shared" ca="1" si="6"/>
        <v>36.881155351017078</v>
      </c>
      <c r="J21" s="35">
        <f t="shared" ca="1" si="7"/>
        <v>86.881155351017071</v>
      </c>
      <c r="K21" s="19">
        <f t="shared" ca="1" si="11"/>
        <v>8.9894202742086549</v>
      </c>
      <c r="L21" s="20">
        <f ca="1" xml:space="preserve"> K21*_Precio_cafe</f>
        <v>13.484130411312982</v>
      </c>
      <c r="M21" s="20">
        <f t="shared" ca="1" si="12"/>
        <v>510.00000000000006</v>
      </c>
      <c r="N21" s="20">
        <f ca="1">IF((N20-K21+Y21)&gt;_Max_Stock_Gramos,_Max_Stock_Gramos,N20-K21+Y21)</f>
        <v>340</v>
      </c>
      <c r="O21" s="20">
        <f ca="1">N21/_GramosXFrasco</f>
        <v>2</v>
      </c>
      <c r="P21" s="63">
        <f ca="1">(N21/_Max_Stock_Gramos)</f>
        <v>0.2</v>
      </c>
      <c r="Q21" s="63"/>
      <c r="R21" s="10">
        <f ca="1">IF((N20-J21)&lt;0,(N20-J21)*_Costo_Faltante,0)</f>
        <v>-77.891735076808416</v>
      </c>
      <c r="S21">
        <f>IF(U21=0,X21*_Costo_Frasco,0)</f>
        <v>0</v>
      </c>
      <c r="T21">
        <f t="shared" ca="1" si="13"/>
        <v>-77.891735076808416</v>
      </c>
      <c r="U21" s="10">
        <f>IF(U20=0,_Proxima_Compra,U20-1)</f>
        <v>1</v>
      </c>
      <c r="V21" s="3">
        <f t="shared" ca="1" si="8"/>
        <v>-1</v>
      </c>
      <c r="W21" s="3">
        <f ca="1">IF(W20&gt;0,W20-1,IF(V21&gt;0,LOOKUP(V21,$R$3:$R$5,$O$3:$O$5),-1))</f>
        <v>0</v>
      </c>
      <c r="X21" s="25">
        <f t="shared" ca="1" si="9"/>
        <v>2</v>
      </c>
      <c r="Y21" s="28">
        <f ca="1">X21*_GramosXFrasco</f>
        <v>340</v>
      </c>
    </row>
    <row r="22" spans="1:25" x14ac:dyDescent="0.25">
      <c r="A22" s="30">
        <f t="shared" si="10"/>
        <v>6</v>
      </c>
      <c r="B22" s="38">
        <f t="shared" ca="1" si="0"/>
        <v>2.0463678428188303E-2</v>
      </c>
      <c r="C22" s="36">
        <f t="shared" ca="1" si="1"/>
        <v>-1</v>
      </c>
      <c r="D22" s="36">
        <f t="shared" ca="1" si="2"/>
        <v>-1</v>
      </c>
      <c r="E22" s="36">
        <f t="shared" ca="1" si="3"/>
        <v>-1</v>
      </c>
      <c r="F22" s="37">
        <f ca="1">IF(E22&lt;&gt;-1,_Media_M + E22*_Sigma,-1)</f>
        <v>-1</v>
      </c>
      <c r="G22" s="3">
        <f t="shared" ca="1" si="4"/>
        <v>50</v>
      </c>
      <c r="H22" s="36">
        <f t="shared" ca="1" si="5"/>
        <v>50</v>
      </c>
      <c r="I22" s="36">
        <f t="shared" ca="1" si="6"/>
        <v>55.043905878578606</v>
      </c>
      <c r="J22" s="35">
        <f t="shared" ca="1" si="7"/>
        <v>105.04390587857861</v>
      </c>
      <c r="K22" s="19">
        <f t="shared" ca="1" si="11"/>
        <v>105.04390587857861</v>
      </c>
      <c r="L22" s="20">
        <f ca="1" xml:space="preserve"> K22*_Precio_cafe</f>
        <v>157.56585881786793</v>
      </c>
      <c r="M22" s="20">
        <f t="shared" ca="1" si="12"/>
        <v>667.56585881786805</v>
      </c>
      <c r="N22" s="20">
        <f ca="1">IF((N21-K22+Y22)&gt;_Max_Stock_Gramos,_Max_Stock_Gramos,N21-K22+Y22)</f>
        <v>574.95609412142142</v>
      </c>
      <c r="O22" s="20">
        <f ca="1">N22/_GramosXFrasco</f>
        <v>3.3820946713024789</v>
      </c>
      <c r="P22" s="63">
        <f ca="1">(N22/_Max_Stock_Gramos)</f>
        <v>0.33820946713024791</v>
      </c>
      <c r="Q22" s="63"/>
      <c r="R22" s="10">
        <f ca="1">IF((N21-J22)&lt;0,(N21-J22)*_Costo_Faltante,0)</f>
        <v>0</v>
      </c>
      <c r="S22">
        <f ca="1">IF(U22=0,X22*_Costo_Frasco,0)</f>
        <v>-500</v>
      </c>
      <c r="T22">
        <f t="shared" ca="1" si="13"/>
        <v>-577.89173507680846</v>
      </c>
      <c r="U22" s="10">
        <f>IF(U21=0,_Proxima_Compra,U21-1)</f>
        <v>0</v>
      </c>
      <c r="V22" s="3">
        <f t="shared" ca="1" si="8"/>
        <v>0.1716454003773944</v>
      </c>
      <c r="W22" s="3">
        <f ca="1">IF(W21&gt;0,W21-1,IF(V22&gt;0,LOOKUP(V22,$R$3:$R$5,$O$3:$O$5),-1))</f>
        <v>0</v>
      </c>
      <c r="X22" s="25">
        <f t="shared" ca="1" si="9"/>
        <v>2</v>
      </c>
      <c r="Y22" s="28">
        <f ca="1">X22*_GramosXFrasco</f>
        <v>340</v>
      </c>
    </row>
    <row r="23" spans="1:25" x14ac:dyDescent="0.25">
      <c r="A23" s="30">
        <f t="shared" si="10"/>
        <v>7</v>
      </c>
      <c r="B23" s="38">
        <f t="shared" ca="1" si="0"/>
        <v>0.24704432806048138</v>
      </c>
      <c r="C23" s="36">
        <f t="shared" ca="1" si="1"/>
        <v>-1</v>
      </c>
      <c r="D23" s="36">
        <f t="shared" ca="1" si="2"/>
        <v>-1</v>
      </c>
      <c r="E23" s="36">
        <f t="shared" ca="1" si="3"/>
        <v>-1</v>
      </c>
      <c r="F23" s="37">
        <f ca="1">IF(E23&lt;&gt;-1,_Media_M + E23*_Sigma,-1)</f>
        <v>-1</v>
      </c>
      <c r="G23" s="3">
        <f t="shared" ca="1" si="4"/>
        <v>50</v>
      </c>
      <c r="H23" s="36">
        <f t="shared" ca="1" si="5"/>
        <v>50</v>
      </c>
      <c r="I23" s="36">
        <f t="shared" ca="1" si="6"/>
        <v>17.234707532827404</v>
      </c>
      <c r="J23" s="35">
        <f t="shared" ca="1" si="7"/>
        <v>67.2347075328274</v>
      </c>
      <c r="K23" s="19">
        <f t="shared" ca="1" si="11"/>
        <v>67.2347075328274</v>
      </c>
      <c r="L23" s="20">
        <f ca="1" xml:space="preserve"> K23*_Precio_cafe</f>
        <v>100.8520612992411</v>
      </c>
      <c r="M23" s="20">
        <f t="shared" ca="1" si="12"/>
        <v>768.41792011710913</v>
      </c>
      <c r="N23" s="20">
        <f ca="1">IF((N22-K23+Y23)&gt;_Max_Stock_Gramos,_Max_Stock_Gramos,N22-K23+Y23)</f>
        <v>507.72138658859399</v>
      </c>
      <c r="O23" s="20">
        <f ca="1">N23/_GramosXFrasco</f>
        <v>2.9865963916976117</v>
      </c>
      <c r="P23" s="63">
        <f ca="1">(N23/_Max_Stock_Gramos)</f>
        <v>0.29865963916976118</v>
      </c>
      <c r="Q23" s="63"/>
      <c r="R23" s="10">
        <f ca="1">IF((N22-J23)&lt;0,(N22-J23)*_Costo_Faltante,0)</f>
        <v>0</v>
      </c>
      <c r="S23">
        <f>IF(U23=0,X23*_Costo_Frasco,0)</f>
        <v>0</v>
      </c>
      <c r="T23">
        <f t="shared" ca="1" si="13"/>
        <v>-577.89173507680846</v>
      </c>
      <c r="U23" s="10">
        <f>IF(U22=0,_Proxima_Compra,U22-1)</f>
        <v>2</v>
      </c>
      <c r="V23" s="3">
        <f t="shared" ca="1" si="8"/>
        <v>-1</v>
      </c>
      <c r="W23" s="3">
        <f ca="1">IF(W22&gt;0,W22-1,IF(V23&gt;0,LOOKUP(V23,$R$3:$R$5,$O$3:$O$5),-1))</f>
        <v>-1</v>
      </c>
      <c r="X23" s="25">
        <f t="shared" ca="1" si="9"/>
        <v>0</v>
      </c>
      <c r="Y23" s="28">
        <f ca="1">X23*_GramosXFrasco</f>
        <v>0</v>
      </c>
    </row>
    <row r="24" spans="1:25" x14ac:dyDescent="0.25">
      <c r="A24" s="30">
        <f t="shared" si="10"/>
        <v>8</v>
      </c>
      <c r="B24" s="38">
        <f t="shared" ca="1" si="0"/>
        <v>0.39884227289285012</v>
      </c>
      <c r="C24" s="36">
        <f t="shared" ca="1" si="1"/>
        <v>-1</v>
      </c>
      <c r="D24" s="36">
        <f t="shared" ca="1" si="2"/>
        <v>-1</v>
      </c>
      <c r="E24" s="36">
        <f t="shared" ca="1" si="3"/>
        <v>-1</v>
      </c>
      <c r="F24" s="37">
        <f ca="1">IF(E24&lt;&gt;-1,_Media_M + E24*_Sigma,-1)</f>
        <v>-1</v>
      </c>
      <c r="G24" s="3">
        <f t="shared" ca="1" si="4"/>
        <v>50</v>
      </c>
      <c r="H24" s="36">
        <f t="shared" ca="1" si="5"/>
        <v>50</v>
      </c>
      <c r="I24" s="36">
        <f t="shared" ca="1" si="6"/>
        <v>14.892375487370392</v>
      </c>
      <c r="J24" s="35">
        <f t="shared" ca="1" si="7"/>
        <v>64.892375487370387</v>
      </c>
      <c r="K24" s="19">
        <f t="shared" ca="1" si="11"/>
        <v>64.892375487370387</v>
      </c>
      <c r="L24" s="20">
        <f ca="1" xml:space="preserve"> K24*_Precio_cafe</f>
        <v>97.338563231055588</v>
      </c>
      <c r="M24" s="20">
        <f t="shared" ca="1" si="12"/>
        <v>865.75648334816469</v>
      </c>
      <c r="N24" s="20">
        <f ca="1">IF((N23-K24+Y24)&gt;_Max_Stock_Gramos,_Max_Stock_Gramos,N23-K24+Y24)</f>
        <v>442.82901110122361</v>
      </c>
      <c r="O24" s="20">
        <f ca="1">N24/_GramosXFrasco</f>
        <v>2.6048765358895505</v>
      </c>
      <c r="P24" s="63">
        <f ca="1">(N24/_Max_Stock_Gramos)</f>
        <v>0.26048765358895509</v>
      </c>
      <c r="Q24" s="63"/>
      <c r="R24" s="10">
        <f ca="1">IF((N23-J24)&lt;0,(N23-J24)*_Costo_Faltante,0)</f>
        <v>0</v>
      </c>
      <c r="S24">
        <f>IF(U24=0,X24*_Costo_Frasco,0)</f>
        <v>0</v>
      </c>
      <c r="T24">
        <f t="shared" ca="1" si="13"/>
        <v>-577.89173507680846</v>
      </c>
      <c r="U24" s="10">
        <f>IF(U23=0,_Proxima_Compra,U23-1)</f>
        <v>1</v>
      </c>
      <c r="V24" s="3">
        <f t="shared" ca="1" si="8"/>
        <v>-1</v>
      </c>
      <c r="W24" s="3">
        <f ca="1">IF(W23&gt;0,W23-1,IF(V24&gt;0,LOOKUP(V24,$R$3:$R$5,$O$3:$O$5),-1))</f>
        <v>-1</v>
      </c>
      <c r="X24" s="25">
        <f t="shared" ca="1" si="9"/>
        <v>0</v>
      </c>
      <c r="Y24" s="28">
        <f ca="1">X24*_GramosXFrasco</f>
        <v>0</v>
      </c>
    </row>
    <row r="25" spans="1:25" x14ac:dyDescent="0.25">
      <c r="A25" s="30">
        <f t="shared" si="10"/>
        <v>9</v>
      </c>
      <c r="B25" s="38">
        <f t="shared" ca="1" si="0"/>
        <v>0.26116191669734734</v>
      </c>
      <c r="C25" s="36">
        <f t="shared" ca="1" si="1"/>
        <v>-1</v>
      </c>
      <c r="D25" s="36">
        <f t="shared" ca="1" si="2"/>
        <v>-1</v>
      </c>
      <c r="E25" s="36">
        <f t="shared" ca="1" si="3"/>
        <v>-1</v>
      </c>
      <c r="F25" s="37">
        <f ca="1">IF(E25&lt;&gt;-1,_Media_M + E25*_Sigma,-1)</f>
        <v>-1</v>
      </c>
      <c r="G25" s="3">
        <f t="shared" ca="1" si="4"/>
        <v>50</v>
      </c>
      <c r="H25" s="36">
        <f t="shared" ca="1" si="5"/>
        <v>50</v>
      </c>
      <c r="I25" s="36">
        <f t="shared" ca="1" si="6"/>
        <v>24.122713177340707</v>
      </c>
      <c r="J25" s="35">
        <f t="shared" ca="1" si="7"/>
        <v>74.1227131773407</v>
      </c>
      <c r="K25" s="19">
        <f t="shared" ca="1" si="11"/>
        <v>74.1227131773407</v>
      </c>
      <c r="L25" s="20">
        <f ca="1" xml:space="preserve"> K25*_Precio_cafe</f>
        <v>111.18406976601105</v>
      </c>
      <c r="M25" s="20">
        <f t="shared" ca="1" si="12"/>
        <v>976.94055311417571</v>
      </c>
      <c r="N25" s="20">
        <f ca="1">IF((N24-K25+Y25)&gt;_Max_Stock_Gramos,_Max_Stock_Gramos,N24-K25+Y25)</f>
        <v>708.70629792388286</v>
      </c>
      <c r="O25" s="20">
        <f ca="1">N25/_GramosXFrasco</f>
        <v>4.1688605760228405</v>
      </c>
      <c r="P25" s="63">
        <f ca="1">(N25/_Max_Stock_Gramos)</f>
        <v>0.41688605760228403</v>
      </c>
      <c r="Q25" s="63"/>
      <c r="R25" s="10">
        <f ca="1">IF((N24-J25)&lt;0,(N24-J25)*_Costo_Faltante,0)</f>
        <v>0</v>
      </c>
      <c r="S25">
        <f ca="1">IF(U25=0,X25*_Costo_Frasco,0)</f>
        <v>-500</v>
      </c>
      <c r="T25">
        <f t="shared" ca="1" si="13"/>
        <v>-1077.8917350768083</v>
      </c>
      <c r="U25" s="10">
        <f>IF(U24=0,_Proxima_Compra,U24-1)</f>
        <v>0</v>
      </c>
      <c r="V25" s="3">
        <f t="shared" ca="1" si="8"/>
        <v>0.46038564577735119</v>
      </c>
      <c r="W25" s="3">
        <f ca="1">IF(W24&gt;0,W24-1,IF(V25&gt;0,LOOKUP(V25,$R$3:$R$5,$O$3:$O$5),-1))</f>
        <v>0</v>
      </c>
      <c r="X25" s="25">
        <f t="shared" ca="1" si="9"/>
        <v>2</v>
      </c>
      <c r="Y25" s="28">
        <f ca="1">X25*_GramosXFrasco</f>
        <v>340</v>
      </c>
    </row>
    <row r="26" spans="1:25" x14ac:dyDescent="0.25">
      <c r="A26" s="30">
        <f t="shared" si="10"/>
        <v>10</v>
      </c>
      <c r="B26" s="38">
        <f t="shared" ca="1" si="0"/>
        <v>0.82305674006155261</v>
      </c>
      <c r="C26" s="36">
        <f t="shared" ca="1" si="1"/>
        <v>0.35083243334396763</v>
      </c>
      <c r="D26" s="36">
        <f t="shared" ca="1" si="2"/>
        <v>0.34393424919783355</v>
      </c>
      <c r="E26" s="36">
        <f t="shared" ca="1" si="3"/>
        <v>-0.34093522419747319</v>
      </c>
      <c r="F26" s="37">
        <f ca="1">IF(E26&lt;&gt;-1,_Media_M + E26*_Sigma,-1)</f>
        <v>69.885971637037898</v>
      </c>
      <c r="G26" s="3">
        <f t="shared" ca="1" si="4"/>
        <v>-1</v>
      </c>
      <c r="H26" s="36">
        <f t="shared" ca="1" si="5"/>
        <v>69.885971637037898</v>
      </c>
      <c r="I26" s="36">
        <f t="shared" ca="1" si="6"/>
        <v>26.383369603063134</v>
      </c>
      <c r="J26" s="35">
        <f t="shared" ca="1" si="7"/>
        <v>96.269341240101028</v>
      </c>
      <c r="K26" s="19">
        <f t="shared" ca="1" si="11"/>
        <v>96.269341240101028</v>
      </c>
      <c r="L26" s="20">
        <f ca="1" xml:space="preserve"> K26*_Precio_cafe</f>
        <v>144.40401186015154</v>
      </c>
      <c r="M26" s="20">
        <f t="shared" ca="1" si="12"/>
        <v>1121.3445649743273</v>
      </c>
      <c r="N26" s="20">
        <f ca="1">IF((N25-K26+Y26)&gt;_Max_Stock_Gramos,_Max_Stock_Gramos,N25-K26+Y26)</f>
        <v>612.43695668378177</v>
      </c>
      <c r="O26" s="20">
        <f ca="1">N26/_GramosXFrasco</f>
        <v>3.6025703334340102</v>
      </c>
      <c r="P26" s="63">
        <f ca="1">(N26/_Max_Stock_Gramos)</f>
        <v>0.36025703334340103</v>
      </c>
      <c r="Q26" s="63"/>
      <c r="R26" s="10">
        <f ca="1">IF((N25-J26)&lt;0,(N25-J26)*_Costo_Faltante,0)</f>
        <v>0</v>
      </c>
      <c r="S26">
        <f>IF(U26=0,X26*_Costo_Frasco,0)</f>
        <v>0</v>
      </c>
      <c r="T26">
        <f t="shared" ca="1" si="13"/>
        <v>-1077.8917350768083</v>
      </c>
      <c r="U26" s="10">
        <f>IF(U25=0,_Proxima_Compra,U25-1)</f>
        <v>2</v>
      </c>
      <c r="V26" s="3">
        <f t="shared" ca="1" si="8"/>
        <v>-1</v>
      </c>
      <c r="W26" s="3">
        <f ca="1">IF(W25&gt;0,W25-1,IF(V26&gt;0,LOOKUP(V26,$R$3:$R$5,$O$3:$O$5),-1))</f>
        <v>-1</v>
      </c>
      <c r="X26" s="25">
        <f t="shared" ca="1" si="9"/>
        <v>0</v>
      </c>
      <c r="Y26" s="28">
        <f ca="1">X26*_GramosXFrasco</f>
        <v>0</v>
      </c>
    </row>
    <row r="27" spans="1:25" x14ac:dyDescent="0.25">
      <c r="A27" s="30">
        <f t="shared" si="10"/>
        <v>11</v>
      </c>
      <c r="B27" s="38">
        <f t="shared" ca="1" si="0"/>
        <v>0.51235597977706882</v>
      </c>
      <c r="C27" s="36">
        <f t="shared" ca="1" si="1"/>
        <v>0.91979018146557578</v>
      </c>
      <c r="D27" s="36">
        <f t="shared" ca="1" si="2"/>
        <v>0.10775335575959777</v>
      </c>
      <c r="E27" s="36">
        <f t="shared" ca="1" si="3"/>
        <v>1.1538639250947864</v>
      </c>
      <c r="F27" s="37">
        <f ca="1">IF(E27&lt;&gt;-1,_Media_M + E27*_Sigma,-1)</f>
        <v>92.307958876421793</v>
      </c>
      <c r="G27" s="3">
        <f t="shared" ca="1" si="4"/>
        <v>-1</v>
      </c>
      <c r="H27" s="36">
        <f t="shared" ca="1" si="5"/>
        <v>92.307958876421793</v>
      </c>
      <c r="I27" s="36">
        <f t="shared" ca="1" si="6"/>
        <v>1.7524966150379986</v>
      </c>
      <c r="J27" s="35">
        <f t="shared" ca="1" si="7"/>
        <v>94.060455491459791</v>
      </c>
      <c r="K27" s="19">
        <f t="shared" ca="1" si="11"/>
        <v>94.060455491459791</v>
      </c>
      <c r="L27" s="20">
        <f ca="1" xml:space="preserve"> K27*_Precio_cafe</f>
        <v>141.09068323718969</v>
      </c>
      <c r="M27" s="20">
        <f t="shared" ca="1" si="12"/>
        <v>1262.4352482115171</v>
      </c>
      <c r="N27" s="20">
        <f ca="1">IF((N26-K27+Y27)&gt;_Max_Stock_Gramos,_Max_Stock_Gramos,N26-K27+Y27)</f>
        <v>518.37650119232194</v>
      </c>
      <c r="O27" s="20">
        <f ca="1">N27/_GramosXFrasco</f>
        <v>3.0492735364254231</v>
      </c>
      <c r="P27" s="63">
        <f ca="1">(N27/_Max_Stock_Gramos)</f>
        <v>0.30492735364254231</v>
      </c>
      <c r="Q27" s="63"/>
      <c r="R27" s="10">
        <f ca="1">IF((N26-J27)&lt;0,(N26-J27)*_Costo_Faltante,0)</f>
        <v>0</v>
      </c>
      <c r="S27">
        <f>IF(U27=0,X27*_Costo_Frasco,0)</f>
        <v>0</v>
      </c>
      <c r="T27">
        <f t="shared" ca="1" si="13"/>
        <v>-1077.8917350768083</v>
      </c>
      <c r="U27" s="10">
        <f>IF(U26=0,_Proxima_Compra,U26-1)</f>
        <v>1</v>
      </c>
      <c r="V27" s="3">
        <f t="shared" ca="1" si="8"/>
        <v>-1</v>
      </c>
      <c r="W27" s="3">
        <f ca="1">IF(W26&gt;0,W26-1,IF(V27&gt;0,LOOKUP(V27,$R$3:$R$5,$O$3:$O$5),-1))</f>
        <v>-1</v>
      </c>
      <c r="X27" s="25">
        <f t="shared" ca="1" si="9"/>
        <v>0</v>
      </c>
      <c r="Y27" s="28">
        <f ca="1">X27*_GramosXFrasco</f>
        <v>0</v>
      </c>
    </row>
    <row r="28" spans="1:25" x14ac:dyDescent="0.25">
      <c r="A28" s="30">
        <f t="shared" si="10"/>
        <v>12</v>
      </c>
      <c r="B28" s="38">
        <f t="shared" ca="1" si="0"/>
        <v>4.2038281011070322E-2</v>
      </c>
      <c r="C28" s="36">
        <f t="shared" ca="1" si="1"/>
        <v>-1</v>
      </c>
      <c r="D28" s="36">
        <f t="shared" ca="1" si="2"/>
        <v>-1</v>
      </c>
      <c r="E28" s="36">
        <f t="shared" ca="1" si="3"/>
        <v>-1</v>
      </c>
      <c r="F28" s="37">
        <f ca="1">IF(E28&lt;&gt;-1,_Media_M + E28*_Sigma,-1)</f>
        <v>-1</v>
      </c>
      <c r="G28" s="3">
        <f t="shared" ca="1" si="4"/>
        <v>50</v>
      </c>
      <c r="H28" s="36">
        <f t="shared" ca="1" si="5"/>
        <v>50</v>
      </c>
      <c r="I28" s="36">
        <f t="shared" ca="1" si="6"/>
        <v>6.1499744446769995</v>
      </c>
      <c r="J28" s="35">
        <f t="shared" ca="1" si="7"/>
        <v>56.149974444676999</v>
      </c>
      <c r="K28" s="19">
        <f t="shared" ca="1" si="11"/>
        <v>56.149974444676999</v>
      </c>
      <c r="L28" s="20">
        <f ca="1" xml:space="preserve"> K28*_Precio_cafe</f>
        <v>84.224961667015492</v>
      </c>
      <c r="M28" s="20">
        <f t="shared" ca="1" si="12"/>
        <v>1346.6602098785327</v>
      </c>
      <c r="N28" s="20">
        <f ca="1">IF((N27-K28+Y28)&gt;_Max_Stock_Gramos,_Max_Stock_Gramos,N27-K28+Y28)</f>
        <v>462.22652674764493</v>
      </c>
      <c r="O28" s="20">
        <f ca="1">N28/_GramosXFrasco</f>
        <v>2.7189795691037935</v>
      </c>
      <c r="P28" s="63">
        <f ca="1">(N28/_Max_Stock_Gramos)</f>
        <v>0.27189795691037938</v>
      </c>
      <c r="Q28" s="63"/>
      <c r="R28" s="10">
        <f ca="1">IF((N27-J28)&lt;0,(N27-J28)*_Costo_Faltante,0)</f>
        <v>0</v>
      </c>
      <c r="S28">
        <f ca="1">IF(U28=0,X28*_Costo_Frasco,0)</f>
        <v>0</v>
      </c>
      <c r="T28">
        <f t="shared" ca="1" si="13"/>
        <v>-1077.8917350768083</v>
      </c>
      <c r="U28" s="10">
        <f>IF(U27=0,_Proxima_Compra,U27-1)</f>
        <v>0</v>
      </c>
      <c r="V28" s="3">
        <f t="shared" ca="1" si="8"/>
        <v>0.86355511583120803</v>
      </c>
      <c r="W28" s="3">
        <f ca="1">IF(W27&gt;0,W27-1,IF(V28&gt;0,LOOKUP(V28,$R$3:$R$5,$O$3:$O$5),-1))</f>
        <v>2</v>
      </c>
      <c r="X28" s="25">
        <f t="shared" ca="1" si="9"/>
        <v>0</v>
      </c>
      <c r="Y28" s="28">
        <f ca="1">X28*_GramosXFrasco</f>
        <v>0</v>
      </c>
    </row>
    <row r="29" spans="1:25" x14ac:dyDescent="0.25">
      <c r="A29" s="30">
        <f t="shared" si="10"/>
        <v>13</v>
      </c>
      <c r="B29" s="38">
        <f t="shared" ca="1" si="0"/>
        <v>0.77159193086151578</v>
      </c>
      <c r="C29" s="36">
        <f t="shared" ca="1" si="1"/>
        <v>0.76294039350316101</v>
      </c>
      <c r="D29" s="36">
        <f t="shared" ca="1" si="2"/>
        <v>0.79562879978799339</v>
      </c>
      <c r="E29" s="36">
        <f t="shared" ca="1" si="3"/>
        <v>0.31619693016208733</v>
      </c>
      <c r="F29" s="37">
        <f ca="1">IF(E29&lt;&gt;-1,_Media_M + E29*_Sigma,-1)</f>
        <v>79.742953952431307</v>
      </c>
      <c r="G29" s="3">
        <f t="shared" ca="1" si="4"/>
        <v>-1</v>
      </c>
      <c r="H29" s="36">
        <f t="shared" ca="1" si="5"/>
        <v>79.742953952431307</v>
      </c>
      <c r="I29" s="36">
        <f t="shared" ca="1" si="6"/>
        <v>22.28751292537039</v>
      </c>
      <c r="J29" s="35">
        <f t="shared" ca="1" si="7"/>
        <v>102.0304668778017</v>
      </c>
      <c r="K29" s="19">
        <f t="shared" ca="1" si="11"/>
        <v>102.0304668778017</v>
      </c>
      <c r="L29" s="20">
        <f ca="1" xml:space="preserve"> K29*_Precio_cafe</f>
        <v>153.04570031670255</v>
      </c>
      <c r="M29" s="20">
        <f t="shared" ca="1" si="12"/>
        <v>1499.7059101952352</v>
      </c>
      <c r="N29" s="20">
        <f ca="1">IF((N28-K29+Y29)&gt;_Max_Stock_Gramos,_Max_Stock_Gramos,N28-K29+Y29)</f>
        <v>360.19605986984322</v>
      </c>
      <c r="O29" s="20">
        <f ca="1">N29/_GramosXFrasco</f>
        <v>2.1188003521755485</v>
      </c>
      <c r="P29" s="63">
        <f ca="1">(N29/_Max_Stock_Gramos)</f>
        <v>0.21188003521755483</v>
      </c>
      <c r="Q29" s="63"/>
      <c r="R29" s="10">
        <f ca="1">IF((N28-J29)&lt;0,(N28-J29)*_Costo_Faltante,0)</f>
        <v>0</v>
      </c>
      <c r="S29">
        <f>IF(U29=0,X29*_Costo_Frasco,0)</f>
        <v>0</v>
      </c>
      <c r="T29">
        <f t="shared" ca="1" si="13"/>
        <v>-1077.8917350768083</v>
      </c>
      <c r="U29" s="10">
        <f>IF(U28=0,_Proxima_Compra,U28-1)</f>
        <v>2</v>
      </c>
      <c r="V29" s="3">
        <f t="shared" ca="1" si="8"/>
        <v>-1</v>
      </c>
      <c r="W29" s="3">
        <f ca="1">IF(W28&gt;0,W28-1,IF(V29&gt;0,LOOKUP(V29,$R$3:$R$5,$O$3:$O$5),-1))</f>
        <v>1</v>
      </c>
      <c r="X29" s="25">
        <f t="shared" ca="1" si="9"/>
        <v>0</v>
      </c>
      <c r="Y29" s="28">
        <f ca="1">X29*_GramosXFrasco</f>
        <v>0</v>
      </c>
    </row>
    <row r="30" spans="1:25" x14ac:dyDescent="0.25">
      <c r="A30" s="30">
        <f t="shared" si="10"/>
        <v>14</v>
      </c>
      <c r="B30" s="38">
        <f t="shared" ca="1" si="0"/>
        <v>0.86215384556712082</v>
      </c>
      <c r="C30" s="36">
        <f t="shared" ca="1" si="1"/>
        <v>0.60094181176203054</v>
      </c>
      <c r="D30" s="36">
        <f t="shared" ca="1" si="2"/>
        <v>0.13845727990219669</v>
      </c>
      <c r="E30" s="36">
        <f t="shared" ca="1" si="3"/>
        <v>0.57603511936780138</v>
      </c>
      <c r="F30" s="37">
        <f ca="1">IF(E30&lt;&gt;-1,_Media_M + E30*_Sigma,-1)</f>
        <v>83.640526790517015</v>
      </c>
      <c r="G30" s="3">
        <f t="shared" ca="1" si="4"/>
        <v>-1</v>
      </c>
      <c r="H30" s="36">
        <f t="shared" ca="1" si="5"/>
        <v>83.640526790517015</v>
      </c>
      <c r="I30" s="36">
        <f t="shared" ca="1" si="6"/>
        <v>0.19554214575610041</v>
      </c>
      <c r="J30" s="35">
        <f t="shared" ca="1" si="7"/>
        <v>83.836068936273122</v>
      </c>
      <c r="K30" s="19">
        <f t="shared" ca="1" si="11"/>
        <v>83.836068936273122</v>
      </c>
      <c r="L30" s="20">
        <f ca="1" xml:space="preserve"> K30*_Precio_cafe</f>
        <v>125.75410340440968</v>
      </c>
      <c r="M30" s="20">
        <f t="shared" ca="1" si="12"/>
        <v>1625.460013599645</v>
      </c>
      <c r="N30" s="20">
        <f ca="1">IF((N29-K30+Y30)&gt;_Max_Stock_Gramos,_Max_Stock_Gramos,N29-K30+Y30)</f>
        <v>616.35999093357009</v>
      </c>
      <c r="O30" s="20">
        <f ca="1">N30/_GramosXFrasco</f>
        <v>3.6256470054915888</v>
      </c>
      <c r="P30" s="63">
        <f ca="1">(N30/_Max_Stock_Gramos)</f>
        <v>0.3625647005491589</v>
      </c>
      <c r="Q30" s="63"/>
      <c r="R30" s="10">
        <f ca="1">IF((N29-J30)&lt;0,(N29-J30)*_Costo_Faltante,0)</f>
        <v>0</v>
      </c>
      <c r="S30">
        <f>IF(U30=0,X30*_Costo_Frasco,0)</f>
        <v>0</v>
      </c>
      <c r="T30">
        <f t="shared" ca="1" si="13"/>
        <v>-1077.8917350768083</v>
      </c>
      <c r="U30" s="10">
        <f>IF(U29=0,_Proxima_Compra,U29-1)</f>
        <v>1</v>
      </c>
      <c r="V30" s="3">
        <f t="shared" ca="1" si="8"/>
        <v>-1</v>
      </c>
      <c r="W30" s="3">
        <f ca="1">IF(W29&gt;0,W29-1,IF(V30&gt;0,LOOKUP(V30,$R$3:$R$5,$O$3:$O$5),-1))</f>
        <v>0</v>
      </c>
      <c r="X30" s="25">
        <f t="shared" ca="1" si="9"/>
        <v>2</v>
      </c>
      <c r="Y30" s="28">
        <f ca="1">X30*_GramosXFrasco</f>
        <v>340</v>
      </c>
    </row>
    <row r="31" spans="1:25" x14ac:dyDescent="0.25">
      <c r="A31" s="30">
        <f t="shared" si="10"/>
        <v>15</v>
      </c>
      <c r="B31" s="38">
        <f t="shared" ca="1" si="0"/>
        <v>0.95811693755007399</v>
      </c>
      <c r="C31" s="36">
        <f t="shared" ca="1" si="1"/>
        <v>0.44856616634157087</v>
      </c>
      <c r="D31" s="36">
        <f t="shared" ca="1" si="2"/>
        <v>0.33647690479871462</v>
      </c>
      <c r="E31" s="36">
        <f t="shared" ca="1" si="3"/>
        <v>-0.37174663748161035</v>
      </c>
      <c r="F31" s="37">
        <f ca="1">IF(E31&lt;&gt;-1,_Media_M + E31*_Sigma,-1)</f>
        <v>69.423800437775839</v>
      </c>
      <c r="G31" s="3">
        <f t="shared" ca="1" si="4"/>
        <v>-1</v>
      </c>
      <c r="H31" s="36">
        <f t="shared" ca="1" si="5"/>
        <v>69.423800437775839</v>
      </c>
      <c r="I31" s="36">
        <f t="shared" ca="1" si="6"/>
        <v>18.377597593621296</v>
      </c>
      <c r="J31" s="35">
        <f t="shared" ca="1" si="7"/>
        <v>87.801398031397127</v>
      </c>
      <c r="K31" s="19">
        <f t="shared" ca="1" si="11"/>
        <v>87.801398031397127</v>
      </c>
      <c r="L31" s="20">
        <f ca="1" xml:space="preserve"> K31*_Precio_cafe</f>
        <v>131.70209704709569</v>
      </c>
      <c r="M31" s="20">
        <f t="shared" ca="1" si="12"/>
        <v>1757.1621106467408</v>
      </c>
      <c r="N31" s="20">
        <f ca="1">IF((N30-K31+Y31)&gt;_Max_Stock_Gramos,_Max_Stock_Gramos,N30-K31+Y31)</f>
        <v>528.5585929021729</v>
      </c>
      <c r="O31" s="20">
        <f ca="1">N31/_GramosXFrasco</f>
        <v>3.1091681935421938</v>
      </c>
      <c r="P31" s="63">
        <f ca="1">(N31/_Max_Stock_Gramos)</f>
        <v>0.31091681935421933</v>
      </c>
      <c r="Q31" s="63"/>
      <c r="R31" s="10">
        <f ca="1">IF((N30-J31)&lt;0,(N30-J31)*_Costo_Faltante,0)</f>
        <v>0</v>
      </c>
      <c r="S31">
        <f ca="1">IF(U31=0,X31*_Costo_Frasco,0)</f>
        <v>0</v>
      </c>
      <c r="T31">
        <f t="shared" ca="1" si="13"/>
        <v>-1077.8917350768083</v>
      </c>
      <c r="U31" s="10">
        <f>IF(U30=0,_Proxima_Compra,U30-1)</f>
        <v>0</v>
      </c>
      <c r="V31" s="3">
        <f t="shared" ca="1" si="8"/>
        <v>0.79124589045915539</v>
      </c>
      <c r="W31" s="3">
        <f ca="1">IF(W30&gt;0,W30-1,IF(V31&gt;0,LOOKUP(V31,$R$3:$R$5,$O$3:$O$5),-1))</f>
        <v>2</v>
      </c>
      <c r="X31" s="25">
        <f t="shared" ca="1" si="9"/>
        <v>0</v>
      </c>
      <c r="Y31" s="28">
        <f ca="1">X31*_GramosXFrasco</f>
        <v>0</v>
      </c>
    </row>
    <row r="32" spans="1:25" x14ac:dyDescent="0.25">
      <c r="A32" s="30">
        <f t="shared" si="10"/>
        <v>16</v>
      </c>
      <c r="B32" s="38">
        <f t="shared" ca="1" si="0"/>
        <v>0.78989222920970437</v>
      </c>
      <c r="C32" s="36">
        <f t="shared" ca="1" si="1"/>
        <v>0.25508115839327117</v>
      </c>
      <c r="D32" s="36">
        <f t="shared" ca="1" si="2"/>
        <v>0.46213203211794374</v>
      </c>
      <c r="E32" s="36">
        <f t="shared" ca="1" si="3"/>
        <v>-0.49150086311792562</v>
      </c>
      <c r="F32" s="37">
        <f ca="1">IF(E32&lt;&gt;-1,_Media_M + E32*_Sigma,-1)</f>
        <v>67.627487053231121</v>
      </c>
      <c r="G32" s="3">
        <f t="shared" ca="1" si="4"/>
        <v>-1</v>
      </c>
      <c r="H32" s="36">
        <f t="shared" ca="1" si="5"/>
        <v>67.627487053231121</v>
      </c>
      <c r="I32" s="36">
        <f t="shared" ca="1" si="6"/>
        <v>3.6593361303823619</v>
      </c>
      <c r="J32" s="35">
        <f t="shared" ca="1" si="7"/>
        <v>71.286823183613478</v>
      </c>
      <c r="K32" s="19">
        <f t="shared" ca="1" si="11"/>
        <v>71.286823183613478</v>
      </c>
      <c r="L32" s="20">
        <f ca="1" xml:space="preserve"> K32*_Precio_cafe</f>
        <v>106.93023477542022</v>
      </c>
      <c r="M32" s="20">
        <f t="shared" ca="1" si="12"/>
        <v>1864.0923454221611</v>
      </c>
      <c r="N32" s="20">
        <f ca="1">IF((N31-K32+Y32)&gt;_Max_Stock_Gramos,_Max_Stock_Gramos,N31-K32+Y32)</f>
        <v>457.27176971855943</v>
      </c>
      <c r="O32" s="20">
        <f ca="1">N32/_GramosXFrasco</f>
        <v>2.6898339395209376</v>
      </c>
      <c r="P32" s="63">
        <f ca="1">(N32/_Max_Stock_Gramos)</f>
        <v>0.26898339395209381</v>
      </c>
      <c r="Q32" s="63"/>
      <c r="R32" s="10">
        <f ca="1">IF((N31-J32)&lt;0,(N31-J32)*_Costo_Faltante,0)</f>
        <v>0</v>
      </c>
      <c r="S32">
        <f>IF(U32=0,X32*_Costo_Frasco,0)</f>
        <v>0</v>
      </c>
      <c r="T32">
        <f t="shared" ca="1" si="13"/>
        <v>-1077.8917350768083</v>
      </c>
      <c r="U32" s="10">
        <f>IF(U31=0,_Proxima_Compra,U31-1)</f>
        <v>2</v>
      </c>
      <c r="V32" s="3">
        <f t="shared" ca="1" si="8"/>
        <v>-1</v>
      </c>
      <c r="W32" s="3">
        <f ca="1">IF(W31&gt;0,W31-1,IF(V32&gt;0,LOOKUP(V32,$R$3:$R$5,$O$3:$O$5),-1))</f>
        <v>1</v>
      </c>
      <c r="X32" s="25">
        <f t="shared" ca="1" si="9"/>
        <v>0</v>
      </c>
      <c r="Y32" s="28">
        <f ca="1">X32*_GramosXFrasco</f>
        <v>0</v>
      </c>
    </row>
    <row r="33" spans="1:25" x14ac:dyDescent="0.25">
      <c r="A33" s="30">
        <f t="shared" si="10"/>
        <v>17</v>
      </c>
      <c r="B33" s="38">
        <f t="shared" ca="1" si="0"/>
        <v>0.10135340345062416</v>
      </c>
      <c r="C33" s="36">
        <f t="shared" ca="1" si="1"/>
        <v>-1</v>
      </c>
      <c r="D33" s="36">
        <f t="shared" ca="1" si="2"/>
        <v>-1</v>
      </c>
      <c r="E33" s="36">
        <f t="shared" ca="1" si="3"/>
        <v>-1</v>
      </c>
      <c r="F33" s="37">
        <f ca="1">IF(E33&lt;&gt;-1,_Media_M + E33*_Sigma,-1)</f>
        <v>-1</v>
      </c>
      <c r="G33" s="3">
        <f t="shared" ca="1" si="4"/>
        <v>50</v>
      </c>
      <c r="H33" s="36">
        <f t="shared" ca="1" si="5"/>
        <v>50</v>
      </c>
      <c r="I33" s="36">
        <f t="shared" ca="1" si="6"/>
        <v>12.906720137432478</v>
      </c>
      <c r="J33" s="35">
        <f t="shared" ca="1" si="7"/>
        <v>62.90672013743248</v>
      </c>
      <c r="K33" s="19">
        <f t="shared" ca="1" si="11"/>
        <v>62.90672013743248</v>
      </c>
      <c r="L33" s="20">
        <f ca="1" xml:space="preserve"> K33*_Precio_cafe</f>
        <v>94.360080206148723</v>
      </c>
      <c r="M33" s="20">
        <f t="shared" ca="1" si="12"/>
        <v>1958.4524256283098</v>
      </c>
      <c r="N33" s="20">
        <f ca="1">IF((N32-K33+Y33)&gt;_Max_Stock_Gramos,_Max_Stock_Gramos,N32-K33+Y33)</f>
        <v>734.36504958112687</v>
      </c>
      <c r="O33" s="20">
        <f ca="1">N33/_GramosXFrasco</f>
        <v>4.3197944093007461</v>
      </c>
      <c r="P33" s="63">
        <f ca="1">(N33/_Max_Stock_Gramos)</f>
        <v>0.43197944093007462</v>
      </c>
      <c r="Q33" s="63"/>
      <c r="R33" s="10">
        <f ca="1">IF((N32-J33)&lt;0,(N32-J33)*_Costo_Faltante,0)</f>
        <v>0</v>
      </c>
      <c r="S33">
        <f>IF(U33=0,X33*_Costo_Frasco,0)</f>
        <v>0</v>
      </c>
      <c r="T33">
        <f t="shared" ca="1" si="13"/>
        <v>-1077.8917350768083</v>
      </c>
      <c r="U33" s="10">
        <f>IF(U32=0,_Proxima_Compra,U32-1)</f>
        <v>1</v>
      </c>
      <c r="V33" s="3">
        <f t="shared" ca="1" si="8"/>
        <v>-1</v>
      </c>
      <c r="W33" s="3">
        <f ca="1">IF(W32&gt;0,W32-1,IF(V33&gt;0,LOOKUP(V33,$R$3:$R$5,$O$3:$O$5),-1))</f>
        <v>0</v>
      </c>
      <c r="X33" s="25">
        <f t="shared" ca="1" si="9"/>
        <v>2</v>
      </c>
      <c r="Y33" s="28">
        <f ca="1">X33*_GramosXFrasco</f>
        <v>340</v>
      </c>
    </row>
    <row r="34" spans="1:25" x14ac:dyDescent="0.25">
      <c r="A34" s="30">
        <f t="shared" si="10"/>
        <v>18</v>
      </c>
      <c r="B34" s="38">
        <f t="shared" ca="1" si="0"/>
        <v>0.86291635381739185</v>
      </c>
      <c r="C34" s="36">
        <f t="shared" ca="1" si="1"/>
        <v>0.55129488440958141</v>
      </c>
      <c r="D34" s="36">
        <f t="shared" ca="1" si="2"/>
        <v>0.2445564710646152</v>
      </c>
      <c r="E34" s="36">
        <f t="shared" ca="1" si="3"/>
        <v>2.8530190203007167E-2</v>
      </c>
      <c r="F34" s="37">
        <f ca="1">IF(E34&lt;&gt;-1,_Media_M + E34*_Sigma,-1)</f>
        <v>75.427952853045113</v>
      </c>
      <c r="G34" s="3">
        <f t="shared" ca="1" si="4"/>
        <v>-1</v>
      </c>
      <c r="H34" s="36">
        <f t="shared" ca="1" si="5"/>
        <v>75.427952853045113</v>
      </c>
      <c r="I34" s="36">
        <f t="shared" ca="1" si="6"/>
        <v>13.225327343179117</v>
      </c>
      <c r="J34" s="35">
        <f t="shared" ca="1" si="7"/>
        <v>88.65328019622423</v>
      </c>
      <c r="K34" s="19">
        <f t="shared" ca="1" si="11"/>
        <v>88.65328019622423</v>
      </c>
      <c r="L34" s="20">
        <f ca="1" xml:space="preserve"> K34*_Precio_cafe</f>
        <v>132.97992029433635</v>
      </c>
      <c r="M34" s="20">
        <f t="shared" ca="1" si="12"/>
        <v>2091.4323459226462</v>
      </c>
      <c r="N34" s="20">
        <f ca="1">IF((N33-K34+Y34)&gt;_Max_Stock_Gramos,_Max_Stock_Gramos,N33-K34+Y34)</f>
        <v>645.7117693849026</v>
      </c>
      <c r="O34" s="20">
        <f ca="1">N34/_GramosXFrasco</f>
        <v>3.7983045257935446</v>
      </c>
      <c r="P34" s="63">
        <f ca="1">(N34/_Max_Stock_Gramos)</f>
        <v>0.37983045257935449</v>
      </c>
      <c r="Q34" s="63"/>
      <c r="R34" s="10">
        <f ca="1">IF((N33-J34)&lt;0,(N33-J34)*_Costo_Faltante,0)</f>
        <v>0</v>
      </c>
      <c r="S34">
        <f ca="1">IF(U34=0,X34*_Costo_Frasco,0)</f>
        <v>0</v>
      </c>
      <c r="T34" s="11">
        <f t="shared" ca="1" si="13"/>
        <v>-1077.8917350768083</v>
      </c>
      <c r="U34" s="10">
        <f>IF(U33=0,_Proxima_Compra,U33-1)</f>
        <v>0</v>
      </c>
      <c r="V34" s="3">
        <f t="shared" ca="1" si="8"/>
        <v>0.79161587568398473</v>
      </c>
      <c r="W34" s="3">
        <f ca="1">IF(W33&gt;0,W33-1,IF(V34&gt;0,LOOKUP(V34,$R$3:$R$5,$O$3:$O$5),-1))</f>
        <v>2</v>
      </c>
      <c r="X34" s="25">
        <f t="shared" ca="1" si="9"/>
        <v>0</v>
      </c>
      <c r="Y34" s="28">
        <f ca="1">X34*_GramosXFrasco</f>
        <v>0</v>
      </c>
    </row>
    <row r="35" spans="1:25" x14ac:dyDescent="0.25">
      <c r="A35" s="30">
        <f t="shared" si="10"/>
        <v>19</v>
      </c>
      <c r="B35" s="38">
        <f t="shared" ca="1" si="0"/>
        <v>8.3405084173924005E-2</v>
      </c>
      <c r="C35" s="36">
        <f t="shared" ca="1" si="1"/>
        <v>-1</v>
      </c>
      <c r="D35" s="36">
        <f t="shared" ca="1" si="2"/>
        <v>-1</v>
      </c>
      <c r="E35" s="36">
        <f t="shared" ca="1" si="3"/>
        <v>-1</v>
      </c>
      <c r="F35" s="37">
        <f ca="1">IF(E35&lt;&gt;-1,_Media_M + E35*_Sigma,-1)</f>
        <v>-1</v>
      </c>
      <c r="G35" s="3">
        <f t="shared" ca="1" si="4"/>
        <v>50</v>
      </c>
      <c r="H35" s="36">
        <f t="shared" ca="1" si="5"/>
        <v>50</v>
      </c>
      <c r="I35" s="36">
        <f t="shared" ca="1" si="6"/>
        <v>59.369219639766278</v>
      </c>
      <c r="J35" s="35">
        <f t="shared" ca="1" si="7"/>
        <v>109.36921963976627</v>
      </c>
      <c r="K35" s="19">
        <f t="shared" ca="1" si="11"/>
        <v>109.36921963976627</v>
      </c>
      <c r="L35" s="20">
        <f ca="1" xml:space="preserve"> K35*_Precio_cafe</f>
        <v>164.05382945964942</v>
      </c>
      <c r="M35" s="20">
        <f t="shared" ca="1" si="12"/>
        <v>2255.4861753822956</v>
      </c>
      <c r="N35" s="20">
        <f ca="1">IF((N34-K35+Y35)&gt;_Max_Stock_Gramos,_Max_Stock_Gramos,N34-K35+Y35)</f>
        <v>536.34254974513635</v>
      </c>
      <c r="O35" s="20">
        <f ca="1">N35/_GramosXFrasco</f>
        <v>3.1549561749713901</v>
      </c>
      <c r="P35" s="63">
        <f ca="1">(N35/_Max_Stock_Gramos)</f>
        <v>0.31549561749713906</v>
      </c>
      <c r="Q35" s="63"/>
      <c r="R35" s="10">
        <f ca="1">IF((N34-J35)&lt;0,(N34-J35)*_Costo_Faltante,0)</f>
        <v>0</v>
      </c>
      <c r="S35">
        <f>IF(U35=0,X35*_Costo_Frasco,0)</f>
        <v>0</v>
      </c>
      <c r="T35" s="11">
        <f t="shared" ca="1" si="13"/>
        <v>-1077.8917350768083</v>
      </c>
      <c r="U35" s="10">
        <f>IF(U34=0,_Proxima_Compra,U34-1)</f>
        <v>2</v>
      </c>
      <c r="V35" s="3">
        <f t="shared" ca="1" si="8"/>
        <v>-1</v>
      </c>
      <c r="W35" s="3">
        <f ca="1">IF(W34&gt;0,W34-1,IF(V35&gt;0,LOOKUP(V35,$R$3:$R$5,$O$3:$O$5),-1))</f>
        <v>1</v>
      </c>
      <c r="X35" s="25">
        <f t="shared" ca="1" si="9"/>
        <v>0</v>
      </c>
      <c r="Y35" s="28">
        <f ca="1">X35*_GramosXFrasco</f>
        <v>0</v>
      </c>
    </row>
    <row r="36" spans="1:25" x14ac:dyDescent="0.25">
      <c r="A36" s="30">
        <f t="shared" si="10"/>
        <v>20</v>
      </c>
      <c r="B36" s="38">
        <f t="shared" ca="1" si="0"/>
        <v>2.8281575368285239E-2</v>
      </c>
      <c r="C36" s="36">
        <f t="shared" ca="1" si="1"/>
        <v>-1</v>
      </c>
      <c r="D36" s="36">
        <f t="shared" ca="1" si="2"/>
        <v>-1</v>
      </c>
      <c r="E36" s="36">
        <f t="shared" ref="E36:E99" ca="1" si="14">IF(D36&gt;0,SQRT(-2*LOG(1-C36)) * COS(2*PI()*D36),-1)</f>
        <v>-1</v>
      </c>
      <c r="F36" s="37">
        <f ca="1">IF(E36&lt;&gt;-1,_Media_M + E36*_Sigma,-1)</f>
        <v>-1</v>
      </c>
      <c r="G36" s="3">
        <f t="shared" ca="1" si="4"/>
        <v>50</v>
      </c>
      <c r="H36" s="36">
        <f t="shared" ref="H36:H99" ca="1" si="15">IF(F36=-1,G36,F36)</f>
        <v>50</v>
      </c>
      <c r="I36" s="36">
        <f t="shared" ca="1" si="6"/>
        <v>14.282771811383844</v>
      </c>
      <c r="J36" s="35">
        <f t="shared" ref="J36:J99" ca="1" si="16">H36+I36</f>
        <v>64.282771811383839</v>
      </c>
      <c r="K36" s="19">
        <f t="shared" ca="1" si="11"/>
        <v>64.282771811383839</v>
      </c>
      <c r="L36" s="20">
        <f ca="1" xml:space="preserve"> K36*_Precio_cafe</f>
        <v>96.424157717075758</v>
      </c>
      <c r="M36" s="20">
        <f t="shared" ca="1" si="12"/>
        <v>2351.9103330993712</v>
      </c>
      <c r="N36" s="20">
        <f ca="1">IF((N35-K36+Y36)&gt;_Max_Stock_Gramos,_Max_Stock_Gramos,N35-K36+Y36)</f>
        <v>812.05977793375246</v>
      </c>
      <c r="O36" s="20">
        <f ca="1">N36/_GramosXFrasco</f>
        <v>4.7768222231397202</v>
      </c>
      <c r="P36" s="63">
        <f ca="1">(N36/_Max_Stock_Gramos)</f>
        <v>0.47768222231397206</v>
      </c>
      <c r="Q36" s="63"/>
      <c r="R36" s="10">
        <f ca="1">IF((N35-J36)&lt;0,(N35-J36)*_Costo_Faltante,0)</f>
        <v>0</v>
      </c>
      <c r="S36">
        <f>IF(U36=0,X36*_Costo_Frasco,0)</f>
        <v>0</v>
      </c>
      <c r="T36" s="11">
        <f t="shared" ca="1" si="13"/>
        <v>-1077.8917350768083</v>
      </c>
      <c r="U36" s="10">
        <f>IF(U35=0,_Proxima_Compra,U35-1)</f>
        <v>1</v>
      </c>
      <c r="V36" s="3">
        <f t="shared" ca="1" si="8"/>
        <v>-1</v>
      </c>
      <c r="W36" s="3">
        <f ca="1">IF(W35&gt;0,W35-1,IF(V36&gt;0,LOOKUP(V36,$R$3:$R$5,$O$3:$O$5),-1))</f>
        <v>0</v>
      </c>
      <c r="X36" s="25">
        <f t="shared" ca="1" si="9"/>
        <v>2</v>
      </c>
      <c r="Y36" s="28">
        <f ca="1">X36*_GramosXFrasco</f>
        <v>340</v>
      </c>
    </row>
    <row r="37" spans="1:25" x14ac:dyDescent="0.25">
      <c r="A37" s="30">
        <f t="shared" si="10"/>
        <v>21</v>
      </c>
      <c r="B37" s="38">
        <f t="shared" ca="1" si="0"/>
        <v>0.91708105434673703</v>
      </c>
      <c r="C37" s="36">
        <f t="shared" ca="1" si="1"/>
        <v>0.23158270551234539</v>
      </c>
      <c r="D37" s="36">
        <f t="shared" ca="1" si="2"/>
        <v>0.95077080832770888</v>
      </c>
      <c r="E37" s="36">
        <f t="shared" ca="1" si="14"/>
        <v>0.45563552179509792</v>
      </c>
      <c r="F37" s="37">
        <f ca="1">IF(E37&lt;&gt;-1,_Media_M + E37*_Sigma,-1)</f>
        <v>81.834532826926463</v>
      </c>
      <c r="G37" s="3">
        <f t="shared" ca="1" si="4"/>
        <v>-1</v>
      </c>
      <c r="H37" s="36">
        <f t="shared" ca="1" si="15"/>
        <v>81.834532826926463</v>
      </c>
      <c r="I37" s="36">
        <f t="shared" ca="1" si="6"/>
        <v>5.8570175229980634</v>
      </c>
      <c r="J37" s="35">
        <f t="shared" ca="1" si="16"/>
        <v>87.691550349924526</v>
      </c>
      <c r="K37" s="19">
        <f t="shared" ca="1" si="11"/>
        <v>87.691550349924526</v>
      </c>
      <c r="L37" s="20">
        <f ca="1" xml:space="preserve"> K37*_Precio_cafe</f>
        <v>131.5373255248868</v>
      </c>
      <c r="M37" s="20">
        <f t="shared" ca="1" si="12"/>
        <v>2483.4476586242581</v>
      </c>
      <c r="N37" s="20">
        <f ca="1">IF((N36-K37+Y37)&gt;_Max_Stock_Gramos,_Max_Stock_Gramos,N36-K37+Y37)</f>
        <v>1064.3682275838278</v>
      </c>
      <c r="O37" s="20">
        <f ca="1">N37/_GramosXFrasco</f>
        <v>6.2609895740225161</v>
      </c>
      <c r="P37" s="63">
        <f ca="1">(N37/_Max_Stock_Gramos)</f>
        <v>0.62609895740225163</v>
      </c>
      <c r="Q37" s="63"/>
      <c r="R37" s="10">
        <f ca="1">IF((N36-J37)&lt;0,(N36-J37)*_Costo_Faltante,0)</f>
        <v>0</v>
      </c>
      <c r="S37">
        <f ca="1">IF(U37=0,X37*_Costo_Frasco,0)</f>
        <v>-500</v>
      </c>
      <c r="T37" s="11">
        <f t="shared" ca="1" si="13"/>
        <v>-1577.8917350768083</v>
      </c>
      <c r="U37" s="10">
        <f>IF(U36=0,_Proxima_Compra,U36-1)</f>
        <v>0</v>
      </c>
      <c r="V37" s="3">
        <f t="shared" ca="1" si="8"/>
        <v>1.9913096300254951E-2</v>
      </c>
      <c r="W37" s="3">
        <f ca="1">IF(W36&gt;0,W36-1,IF(V37&gt;0,LOOKUP(V37,$R$3:$R$5,$O$3:$O$5),-1))</f>
        <v>0</v>
      </c>
      <c r="X37" s="25">
        <f t="shared" ca="1" si="9"/>
        <v>2</v>
      </c>
      <c r="Y37" s="28">
        <f ca="1">X37*_GramosXFrasco</f>
        <v>340</v>
      </c>
    </row>
    <row r="38" spans="1:25" x14ac:dyDescent="0.25">
      <c r="A38" s="30">
        <f t="shared" si="10"/>
        <v>22</v>
      </c>
      <c r="B38" s="38">
        <f t="shared" ca="1" si="0"/>
        <v>0.97324189244277526</v>
      </c>
      <c r="C38" s="36">
        <f t="shared" ca="1" si="1"/>
        <v>0.10974125222518738</v>
      </c>
      <c r="D38" s="36">
        <f t="shared" ca="1" si="2"/>
        <v>0.4273380450951616</v>
      </c>
      <c r="E38" s="36">
        <f t="shared" ca="1" si="14"/>
        <v>-0.28520930781539411</v>
      </c>
      <c r="F38" s="37">
        <f ca="1">IF(E38&lt;&gt;-1,_Media_M + E38*_Sigma,-1)</f>
        <v>70.721860382769094</v>
      </c>
      <c r="G38" s="3">
        <f t="shared" ca="1" si="4"/>
        <v>-1</v>
      </c>
      <c r="H38" s="36">
        <f t="shared" ca="1" si="15"/>
        <v>70.721860382769094</v>
      </c>
      <c r="I38" s="36">
        <f t="shared" ca="1" si="6"/>
        <v>25.50048515304999</v>
      </c>
      <c r="J38" s="35">
        <f t="shared" ca="1" si="16"/>
        <v>96.222345535819088</v>
      </c>
      <c r="K38" s="19">
        <f t="shared" ca="1" si="11"/>
        <v>96.222345535819088</v>
      </c>
      <c r="L38" s="20">
        <f ca="1" xml:space="preserve"> K38*_Precio_cafe</f>
        <v>144.33351830372862</v>
      </c>
      <c r="M38" s="20">
        <f t="shared" ca="1" si="12"/>
        <v>2627.781176927987</v>
      </c>
      <c r="N38" s="20">
        <f ca="1">IF((N37-K38+Y38)&gt;_Max_Stock_Gramos,_Max_Stock_Gramos,N37-K38+Y38)</f>
        <v>968.14588204800873</v>
      </c>
      <c r="O38" s="20">
        <f ca="1">N38/_GramosXFrasco</f>
        <v>5.6949757767529929</v>
      </c>
      <c r="P38" s="63">
        <f ca="1">(N38/_Max_Stock_Gramos)</f>
        <v>0.56949757767529929</v>
      </c>
      <c r="Q38" s="63"/>
      <c r="R38" s="10">
        <f ca="1">IF((N37-J38)&lt;0,(N37-J38)*_Costo_Faltante,0)</f>
        <v>0</v>
      </c>
      <c r="S38">
        <f>IF(U38=0,X38*_Costo_Frasco,0)</f>
        <v>0</v>
      </c>
      <c r="T38" s="11">
        <f t="shared" ca="1" si="13"/>
        <v>-1577.8917350768083</v>
      </c>
      <c r="U38" s="10">
        <f>IF(U37=0,_Proxima_Compra,U37-1)</f>
        <v>2</v>
      </c>
      <c r="V38" s="3">
        <f t="shared" ca="1" si="8"/>
        <v>-1</v>
      </c>
      <c r="W38" s="3">
        <f ca="1">IF(W37&gt;0,W37-1,IF(V38&gt;0,LOOKUP(V38,$R$3:$R$5,$O$3:$O$5),-1))</f>
        <v>-1</v>
      </c>
      <c r="X38" s="25">
        <f t="shared" ca="1" si="9"/>
        <v>0</v>
      </c>
      <c r="Y38" s="28">
        <f ca="1">X38*_GramosXFrasco</f>
        <v>0</v>
      </c>
    </row>
    <row r="39" spans="1:25" x14ac:dyDescent="0.25">
      <c r="A39" s="30">
        <f t="shared" si="10"/>
        <v>23</v>
      </c>
      <c r="B39" s="38">
        <f t="shared" ca="1" si="0"/>
        <v>0.7274203619745272</v>
      </c>
      <c r="C39" s="36">
        <f t="shared" ca="1" si="1"/>
        <v>0.96558110497988936</v>
      </c>
      <c r="D39" s="36">
        <f t="shared" ca="1" si="2"/>
        <v>0.86454667508285321</v>
      </c>
      <c r="E39" s="36">
        <f t="shared" ca="1" si="14"/>
        <v>1.1276295917966754</v>
      </c>
      <c r="F39" s="37">
        <f ca="1">IF(E39&lt;&gt;-1,_Media_M + E39*_Sigma,-1)</f>
        <v>91.914443876950131</v>
      </c>
      <c r="G39" s="3">
        <f t="shared" ca="1" si="4"/>
        <v>-1</v>
      </c>
      <c r="H39" s="36">
        <f t="shared" ca="1" si="15"/>
        <v>91.914443876950131</v>
      </c>
      <c r="I39" s="36">
        <f t="shared" ca="1" si="6"/>
        <v>88.735631298516537</v>
      </c>
      <c r="J39" s="35">
        <f t="shared" ca="1" si="16"/>
        <v>180.65007517546667</v>
      </c>
      <c r="K39" s="19">
        <f t="shared" ca="1" si="11"/>
        <v>180.65007517546667</v>
      </c>
      <c r="L39" s="20">
        <f ca="1" xml:space="preserve"> K39*_Precio_cafe</f>
        <v>270.9751127632</v>
      </c>
      <c r="M39" s="20">
        <f t="shared" ca="1" si="12"/>
        <v>2898.7562896911868</v>
      </c>
      <c r="N39" s="20">
        <f ca="1">IF((N38-K39+Y39)&gt;_Max_Stock_Gramos,_Max_Stock_Gramos,N38-K39+Y39)</f>
        <v>787.49580687254206</v>
      </c>
      <c r="O39" s="20">
        <f ca="1">N39/_GramosXFrasco</f>
        <v>4.6323282757208357</v>
      </c>
      <c r="P39" s="63">
        <f ca="1">(N39/_Max_Stock_Gramos)</f>
        <v>0.46323282757208356</v>
      </c>
      <c r="Q39" s="63"/>
      <c r="R39" s="10">
        <f ca="1">IF((N38-J39)&lt;0,(N38-J39)*_Costo_Faltante,0)</f>
        <v>0</v>
      </c>
      <c r="S39">
        <f>IF(U39=0,X39*_Costo_Frasco,0)</f>
        <v>0</v>
      </c>
      <c r="T39" s="11">
        <f t="shared" ca="1" si="13"/>
        <v>-1577.8917350768083</v>
      </c>
      <c r="U39" s="10">
        <f>IF(U38=0,_Proxima_Compra,U38-1)</f>
        <v>1</v>
      </c>
      <c r="V39" s="3">
        <f t="shared" ca="1" si="8"/>
        <v>-1</v>
      </c>
      <c r="W39" s="3">
        <f ca="1">IF(W38&gt;0,W38-1,IF(V39&gt;0,LOOKUP(V39,$R$3:$R$5,$O$3:$O$5),-1))</f>
        <v>-1</v>
      </c>
      <c r="X39" s="25">
        <f t="shared" ca="1" si="9"/>
        <v>0</v>
      </c>
      <c r="Y39" s="28">
        <f ca="1">X39*_GramosXFrasco</f>
        <v>0</v>
      </c>
    </row>
    <row r="40" spans="1:25" x14ac:dyDescent="0.25">
      <c r="A40" s="30">
        <f t="shared" si="10"/>
        <v>24</v>
      </c>
      <c r="B40" s="38">
        <f t="shared" ca="1" si="0"/>
        <v>0.52440319128739032</v>
      </c>
      <c r="C40" s="36">
        <f t="shared" ca="1" si="1"/>
        <v>0.11522935912043886</v>
      </c>
      <c r="D40" s="36">
        <f t="shared" ca="1" si="2"/>
        <v>0.34145805987437716</v>
      </c>
      <c r="E40" s="36">
        <f t="shared" ca="1" si="14"/>
        <v>-0.17724598839465805</v>
      </c>
      <c r="F40" s="37">
        <f ca="1">IF(E40&lt;&gt;-1,_Media_M + E40*_Sigma,-1)</f>
        <v>72.341310174080135</v>
      </c>
      <c r="G40" s="3">
        <f t="shared" ca="1" si="4"/>
        <v>-1</v>
      </c>
      <c r="H40" s="36">
        <f t="shared" ca="1" si="15"/>
        <v>72.341310174080135</v>
      </c>
      <c r="I40" s="36">
        <f t="shared" ca="1" si="6"/>
        <v>27.235373393741522</v>
      </c>
      <c r="J40" s="35">
        <f t="shared" ca="1" si="16"/>
        <v>99.576683567821661</v>
      </c>
      <c r="K40" s="19">
        <f t="shared" ca="1" si="11"/>
        <v>99.576683567821661</v>
      </c>
      <c r="L40" s="20">
        <f ca="1" xml:space="preserve"> K40*_Precio_cafe</f>
        <v>149.3650253517325</v>
      </c>
      <c r="M40" s="20">
        <f t="shared" ca="1" si="12"/>
        <v>3048.1213150429194</v>
      </c>
      <c r="N40" s="20">
        <f ca="1">IF((N39-K40+Y40)&gt;_Max_Stock_Gramos,_Max_Stock_Gramos,N39-K40+Y40)</f>
        <v>687.91912330472042</v>
      </c>
      <c r="O40" s="20">
        <f ca="1">N40/_GramosXFrasco</f>
        <v>4.046583078263061</v>
      </c>
      <c r="P40" s="63">
        <f ca="1">(N40/_Max_Stock_Gramos)</f>
        <v>0.40465830782630613</v>
      </c>
      <c r="Q40" s="63"/>
      <c r="R40" s="10">
        <f ca="1">IF((N39-J40)&lt;0,(N39-J40)*_Costo_Faltante,0)</f>
        <v>0</v>
      </c>
      <c r="S40">
        <f ca="1">IF(U40=0,X40*_Costo_Frasco,0)</f>
        <v>0</v>
      </c>
      <c r="T40" s="11">
        <f t="shared" ca="1" si="13"/>
        <v>-1577.8917350768083</v>
      </c>
      <c r="U40" s="10">
        <f>IF(U39=0,_Proxima_Compra,U39-1)</f>
        <v>0</v>
      </c>
      <c r="V40" s="3">
        <f t="shared" ca="1" si="8"/>
        <v>0.84939666361401023</v>
      </c>
      <c r="W40" s="3">
        <f ca="1">IF(W39&gt;0,W39-1,IF(V40&gt;0,LOOKUP(V40,$R$3:$R$5,$O$3:$O$5),-1))</f>
        <v>2</v>
      </c>
      <c r="X40" s="25">
        <f t="shared" ca="1" si="9"/>
        <v>0</v>
      </c>
      <c r="Y40" s="28">
        <f ca="1">X40*_GramosXFrasco</f>
        <v>0</v>
      </c>
    </row>
    <row r="41" spans="1:25" x14ac:dyDescent="0.25">
      <c r="A41" s="30">
        <f t="shared" si="10"/>
        <v>25</v>
      </c>
      <c r="B41" s="38">
        <f t="shared" ca="1" si="0"/>
        <v>0.63433641884281911</v>
      </c>
      <c r="C41" s="36">
        <f t="shared" ca="1" si="1"/>
        <v>0.99249119572268718</v>
      </c>
      <c r="D41" s="36">
        <f t="shared" ca="1" si="2"/>
        <v>0.88264291579288134</v>
      </c>
      <c r="E41" s="36">
        <f t="shared" ca="1" si="14"/>
        <v>1.5258288701917169</v>
      </c>
      <c r="F41" s="37">
        <f ca="1">IF(E41&lt;&gt;-1,_Media_M + E41*_Sigma,-1)</f>
        <v>97.88743305287575</v>
      </c>
      <c r="G41" s="3">
        <f t="shared" ca="1" si="4"/>
        <v>-1</v>
      </c>
      <c r="H41" s="36">
        <f t="shared" ca="1" si="15"/>
        <v>97.88743305287575</v>
      </c>
      <c r="I41" s="36">
        <f t="shared" ca="1" si="6"/>
        <v>16.812739825577147</v>
      </c>
      <c r="J41" s="35">
        <f t="shared" ca="1" si="16"/>
        <v>114.70017287845289</v>
      </c>
      <c r="K41" s="19">
        <f t="shared" ca="1" si="11"/>
        <v>114.70017287845289</v>
      </c>
      <c r="L41" s="20">
        <f ca="1" xml:space="preserve"> K41*_Precio_cafe</f>
        <v>172.05025931767932</v>
      </c>
      <c r="M41" s="20">
        <f t="shared" ca="1" si="12"/>
        <v>3220.1715743605987</v>
      </c>
      <c r="N41" s="20">
        <f ca="1">IF((N40-K41+Y41)&gt;_Max_Stock_Gramos,_Max_Stock_Gramos,N40-K41+Y41)</f>
        <v>573.2189504262675</v>
      </c>
      <c r="O41" s="20">
        <f ca="1">N41/_GramosXFrasco</f>
        <v>3.3718761789780443</v>
      </c>
      <c r="P41" s="63">
        <f ca="1">(N41/_Max_Stock_Gramos)</f>
        <v>0.33718761789780444</v>
      </c>
      <c r="Q41" s="63"/>
      <c r="R41" s="10">
        <f ca="1">IF((N40-J41)&lt;0,(N40-J41)*_Costo_Faltante,0)</f>
        <v>0</v>
      </c>
      <c r="S41">
        <f>IF(U41=0,X41*_Costo_Frasco,0)</f>
        <v>0</v>
      </c>
      <c r="T41" s="11">
        <f t="shared" ca="1" si="13"/>
        <v>-1577.8917350768083</v>
      </c>
      <c r="U41" s="10">
        <f>IF(U40=0,_Proxima_Compra,U40-1)</f>
        <v>2</v>
      </c>
      <c r="V41" s="3">
        <f t="shared" ca="1" si="8"/>
        <v>-1</v>
      </c>
      <c r="W41" s="3">
        <f ca="1">IF(W40&gt;0,W40-1,IF(V41&gt;0,LOOKUP(V41,$R$3:$R$5,$O$3:$O$5),-1))</f>
        <v>1</v>
      </c>
      <c r="X41" s="25">
        <f t="shared" ca="1" si="9"/>
        <v>0</v>
      </c>
      <c r="Y41" s="28">
        <f ca="1">X41*_GramosXFrasco</f>
        <v>0</v>
      </c>
    </row>
    <row r="42" spans="1:25" x14ac:dyDescent="0.25">
      <c r="A42" s="30">
        <f t="shared" si="10"/>
        <v>26</v>
      </c>
      <c r="B42" s="38">
        <f t="shared" ca="1" si="0"/>
        <v>0.52621904542384879</v>
      </c>
      <c r="C42" s="36">
        <f t="shared" ca="1" si="1"/>
        <v>8.3500576839082075E-2</v>
      </c>
      <c r="D42" s="36">
        <f t="shared" ca="1" si="2"/>
        <v>0.40665193008009881</v>
      </c>
      <c r="E42" s="36">
        <f t="shared" ca="1" si="14"/>
        <v>-0.22920668284118437</v>
      </c>
      <c r="F42" s="37">
        <f ca="1">IF(E42&lt;&gt;-1,_Media_M + E42*_Sigma,-1)</f>
        <v>71.561899757382236</v>
      </c>
      <c r="G42" s="3">
        <f t="shared" ca="1" si="4"/>
        <v>-1</v>
      </c>
      <c r="H42" s="36">
        <f t="shared" ca="1" si="15"/>
        <v>71.561899757382236</v>
      </c>
      <c r="I42" s="36">
        <f t="shared" ca="1" si="6"/>
        <v>19.491033141733791</v>
      </c>
      <c r="J42" s="35">
        <f t="shared" ca="1" si="16"/>
        <v>91.05293289911603</v>
      </c>
      <c r="K42" s="19">
        <f t="shared" ca="1" si="11"/>
        <v>91.05293289911603</v>
      </c>
      <c r="L42" s="20">
        <f ca="1" xml:space="preserve"> K42*_Precio_cafe</f>
        <v>136.57939934867403</v>
      </c>
      <c r="M42" s="20">
        <f t="shared" ca="1" si="12"/>
        <v>3356.7509737092728</v>
      </c>
      <c r="N42" s="20">
        <f ca="1">IF((N41-K42+Y42)&gt;_Max_Stock_Gramos,_Max_Stock_Gramos,N41-K42+Y42)</f>
        <v>822.16601752715144</v>
      </c>
      <c r="O42" s="20">
        <f ca="1">N42/_GramosXFrasco</f>
        <v>4.8362706913361846</v>
      </c>
      <c r="P42" s="63">
        <f ca="1">(N42/_Max_Stock_Gramos)</f>
        <v>0.48362706913361847</v>
      </c>
      <c r="Q42" s="63"/>
      <c r="R42" s="10">
        <f ca="1">IF((N41-J42)&lt;0,(N41-J42)*_Costo_Faltante,0)</f>
        <v>0</v>
      </c>
      <c r="S42">
        <f>IF(U42=0,X42*_Costo_Frasco,0)</f>
        <v>0</v>
      </c>
      <c r="T42" s="11">
        <f t="shared" ca="1" si="13"/>
        <v>-1577.8917350768083</v>
      </c>
      <c r="U42" s="10">
        <f>IF(U41=0,_Proxima_Compra,U41-1)</f>
        <v>1</v>
      </c>
      <c r="V42" s="3">
        <f t="shared" ca="1" si="8"/>
        <v>-1</v>
      </c>
      <c r="W42" s="3">
        <f ca="1">IF(W41&gt;0,W41-1,IF(V42&gt;0,LOOKUP(V42,$R$3:$R$5,$O$3:$O$5),-1))</f>
        <v>0</v>
      </c>
      <c r="X42" s="25">
        <f t="shared" ca="1" si="9"/>
        <v>2</v>
      </c>
      <c r="Y42" s="28">
        <f ca="1">X42*_GramosXFrasco</f>
        <v>340</v>
      </c>
    </row>
    <row r="43" spans="1:25" x14ac:dyDescent="0.25">
      <c r="A43" s="30">
        <f t="shared" si="10"/>
        <v>27</v>
      </c>
      <c r="B43" s="38">
        <f t="shared" ca="1" si="0"/>
        <v>0.78137223458782978</v>
      </c>
      <c r="C43" s="36">
        <f t="shared" ca="1" si="1"/>
        <v>0.39890543624647878</v>
      </c>
      <c r="D43" s="36">
        <f t="shared" ca="1" si="2"/>
        <v>0.73165230927458769</v>
      </c>
      <c r="E43" s="36">
        <f t="shared" ca="1" si="14"/>
        <v>-7.6483230926147144E-2</v>
      </c>
      <c r="F43" s="37">
        <f ca="1">IF(E43&lt;&gt;-1,_Media_M + E43*_Sigma,-1)</f>
        <v>73.852751536107789</v>
      </c>
      <c r="G43" s="3">
        <f t="shared" ca="1" si="4"/>
        <v>-1</v>
      </c>
      <c r="H43" s="36">
        <f t="shared" ca="1" si="15"/>
        <v>73.852751536107789</v>
      </c>
      <c r="I43" s="36">
        <f t="shared" ca="1" si="6"/>
        <v>12.584163994434924</v>
      </c>
      <c r="J43" s="35">
        <f t="shared" ca="1" si="16"/>
        <v>86.436915530542706</v>
      </c>
      <c r="K43" s="19">
        <f t="shared" ca="1" si="11"/>
        <v>86.436915530542706</v>
      </c>
      <c r="L43" s="20">
        <f ca="1" xml:space="preserve"> K43*_Precio_cafe</f>
        <v>129.65537329581406</v>
      </c>
      <c r="M43" s="20">
        <f t="shared" ca="1" si="12"/>
        <v>3486.4063470050869</v>
      </c>
      <c r="N43" s="20">
        <f ca="1">IF((N42-K43+Y43)&gt;_Max_Stock_Gramos,_Max_Stock_Gramos,N42-K43+Y43)</f>
        <v>735.72910199660873</v>
      </c>
      <c r="O43" s="20">
        <f ca="1">N43/_GramosXFrasco</f>
        <v>4.3278182470388753</v>
      </c>
      <c r="P43" s="63">
        <f ca="1">(N43/_Max_Stock_Gramos)</f>
        <v>0.43278182470388749</v>
      </c>
      <c r="Q43" s="63"/>
      <c r="R43" s="10">
        <f ca="1">IF((N42-J43)&lt;0,(N42-J43)*_Costo_Faltante,0)</f>
        <v>0</v>
      </c>
      <c r="S43">
        <f ca="1">IF(U43=0,X43*_Costo_Frasco,0)</f>
        <v>0</v>
      </c>
      <c r="T43" s="11">
        <f t="shared" ca="1" si="13"/>
        <v>-1577.8917350768083</v>
      </c>
      <c r="U43" s="10">
        <f>IF(U42=0,_Proxima_Compra,U42-1)</f>
        <v>0</v>
      </c>
      <c r="V43" s="3">
        <f t="shared" ca="1" si="8"/>
        <v>0.70604635467976729</v>
      </c>
      <c r="W43" s="3">
        <f ca="1">IF(W42&gt;0,W42-1,IF(V43&gt;0,LOOKUP(V43,$R$3:$R$5,$O$3:$O$5),-1))</f>
        <v>1</v>
      </c>
      <c r="X43" s="25">
        <f t="shared" ca="1" si="9"/>
        <v>0</v>
      </c>
      <c r="Y43" s="28">
        <f ca="1">X43*_GramosXFrasco</f>
        <v>0</v>
      </c>
    </row>
    <row r="44" spans="1:25" x14ac:dyDescent="0.25">
      <c r="A44" s="30">
        <f t="shared" si="10"/>
        <v>28</v>
      </c>
      <c r="B44" s="38">
        <f t="shared" ca="1" si="0"/>
        <v>0.40797842323504341</v>
      </c>
      <c r="C44" s="36">
        <f t="shared" ca="1" si="1"/>
        <v>-1</v>
      </c>
      <c r="D44" s="36">
        <f t="shared" ca="1" si="2"/>
        <v>-1</v>
      </c>
      <c r="E44" s="36">
        <f t="shared" ca="1" si="14"/>
        <v>-1</v>
      </c>
      <c r="F44" s="37">
        <f ca="1">IF(E44&lt;&gt;-1,_Media_M + E44*_Sigma,-1)</f>
        <v>-1</v>
      </c>
      <c r="G44" s="3">
        <f t="shared" ca="1" si="4"/>
        <v>50</v>
      </c>
      <c r="H44" s="36">
        <f t="shared" ca="1" si="15"/>
        <v>50</v>
      </c>
      <c r="I44" s="36">
        <f t="shared" ca="1" si="6"/>
        <v>13.527509608037329</v>
      </c>
      <c r="J44" s="35">
        <f t="shared" ca="1" si="16"/>
        <v>63.527509608037327</v>
      </c>
      <c r="K44" s="19">
        <f t="shared" ca="1" si="11"/>
        <v>63.527509608037327</v>
      </c>
      <c r="L44" s="20">
        <f ca="1" xml:space="preserve"> K44*_Precio_cafe</f>
        <v>95.291264412055995</v>
      </c>
      <c r="M44" s="20">
        <f t="shared" ca="1" si="12"/>
        <v>3581.697611417143</v>
      </c>
      <c r="N44" s="20">
        <f ca="1">IF((N43-K44+Y44)&gt;_Max_Stock_Gramos,_Max_Stock_Gramos,N43-K44+Y44)</f>
        <v>1012.2015923885714</v>
      </c>
      <c r="O44" s="20">
        <f ca="1">N44/_GramosXFrasco</f>
        <v>5.9541270140504201</v>
      </c>
      <c r="P44" s="63">
        <f ca="1">(N44/_Max_Stock_Gramos)</f>
        <v>0.59541270140504199</v>
      </c>
      <c r="Q44" s="63"/>
      <c r="R44" s="10">
        <f ca="1">IF((N43-J44)&lt;0,(N43-J44)*_Costo_Faltante,0)</f>
        <v>0</v>
      </c>
      <c r="S44">
        <f>IF(U44=0,X44*_Costo_Frasco,0)</f>
        <v>0</v>
      </c>
      <c r="T44" s="11">
        <f t="shared" ca="1" si="13"/>
        <v>-1577.8917350768083</v>
      </c>
      <c r="U44" s="10">
        <f>IF(U43=0,_Proxima_Compra,U43-1)</f>
        <v>2</v>
      </c>
      <c r="V44" s="3">
        <f t="shared" ca="1" si="8"/>
        <v>-1</v>
      </c>
      <c r="W44" s="3">
        <f ca="1">IF(W43&gt;0,W43-1,IF(V44&gt;0,LOOKUP(V44,$R$3:$R$5,$O$3:$O$5),-1))</f>
        <v>0</v>
      </c>
      <c r="X44" s="25">
        <f t="shared" ca="1" si="9"/>
        <v>2</v>
      </c>
      <c r="Y44" s="28">
        <f ca="1">X44*_GramosXFrasco</f>
        <v>340</v>
      </c>
    </row>
    <row r="45" spans="1:25" x14ac:dyDescent="0.25">
      <c r="A45" s="30">
        <f t="shared" si="10"/>
        <v>29</v>
      </c>
      <c r="B45" s="38">
        <f t="shared" ca="1" si="0"/>
        <v>0.95478798845846236</v>
      </c>
      <c r="C45" s="36">
        <f t="shared" ca="1" si="1"/>
        <v>0.20961259819410161</v>
      </c>
      <c r="D45" s="36">
        <f t="shared" ca="1" si="2"/>
        <v>0.22509126649666455</v>
      </c>
      <c r="E45" s="36">
        <f t="shared" ca="1" si="14"/>
        <v>7.0455116366694104E-2</v>
      </c>
      <c r="F45" s="37">
        <f ca="1">IF(E45&lt;&gt;-1,_Media_M + E45*_Sigma,-1)</f>
        <v>76.056826745500416</v>
      </c>
      <c r="G45" s="3">
        <f t="shared" ca="1" si="4"/>
        <v>-1</v>
      </c>
      <c r="H45" s="36">
        <f t="shared" ca="1" si="15"/>
        <v>76.056826745500416</v>
      </c>
      <c r="I45" s="36">
        <f t="shared" ca="1" si="6"/>
        <v>37.749825443893656</v>
      </c>
      <c r="J45" s="35">
        <f t="shared" ca="1" si="16"/>
        <v>113.80665218939407</v>
      </c>
      <c r="K45" s="19">
        <f t="shared" ca="1" si="11"/>
        <v>113.80665218939407</v>
      </c>
      <c r="L45" s="20">
        <f ca="1" xml:space="preserve"> K45*_Precio_cafe</f>
        <v>170.70997828409111</v>
      </c>
      <c r="M45" s="20">
        <f t="shared" ca="1" si="12"/>
        <v>3752.407589701234</v>
      </c>
      <c r="N45" s="20">
        <f ca="1">IF((N44-K45+Y45)&gt;_Max_Stock_Gramos,_Max_Stock_Gramos,N44-K45+Y45)</f>
        <v>898.39494019917731</v>
      </c>
      <c r="O45" s="20">
        <f ca="1">N45/_GramosXFrasco</f>
        <v>5.2846761188186901</v>
      </c>
      <c r="P45" s="63">
        <f ca="1">(N45/_Max_Stock_Gramos)</f>
        <v>0.52846761188186897</v>
      </c>
      <c r="Q45" s="63"/>
      <c r="R45" s="10">
        <f ca="1">IF((N44-J45)&lt;0,(N44-J45)*_Costo_Faltante,0)</f>
        <v>0</v>
      </c>
      <c r="S45">
        <f>IF(U45=0,X45*_Costo_Frasco,0)</f>
        <v>0</v>
      </c>
      <c r="T45" s="11">
        <f t="shared" ca="1" si="13"/>
        <v>-1577.8917350768083</v>
      </c>
      <c r="U45" s="10">
        <f>IF(U44=0,_Proxima_Compra,U44-1)</f>
        <v>1</v>
      </c>
      <c r="V45" s="3">
        <f t="shared" ca="1" si="8"/>
        <v>-1</v>
      </c>
      <c r="W45" s="3">
        <f ca="1">IF(W44&gt;0,W44-1,IF(V45&gt;0,LOOKUP(V45,$R$3:$R$5,$O$3:$O$5),-1))</f>
        <v>-1</v>
      </c>
      <c r="X45" s="25">
        <f t="shared" ca="1" si="9"/>
        <v>0</v>
      </c>
      <c r="Y45" s="28">
        <f ca="1">X45*_GramosXFrasco</f>
        <v>0</v>
      </c>
    </row>
    <row r="46" spans="1:25" x14ac:dyDescent="0.25">
      <c r="A46" s="30">
        <f t="shared" si="10"/>
        <v>30</v>
      </c>
      <c r="B46" s="38">
        <f t="shared" ca="1" si="0"/>
        <v>8.3699731626668439E-2</v>
      </c>
      <c r="C46" s="36">
        <f t="shared" ca="1" si="1"/>
        <v>-1</v>
      </c>
      <c r="D46" s="36">
        <f t="shared" ca="1" si="2"/>
        <v>-1</v>
      </c>
      <c r="E46" s="36">
        <f t="shared" ca="1" si="14"/>
        <v>-1</v>
      </c>
      <c r="F46" s="37">
        <f ca="1">IF(E46&lt;&gt;-1,_Media_M + E46*_Sigma,-1)</f>
        <v>-1</v>
      </c>
      <c r="G46" s="3">
        <f t="shared" ca="1" si="4"/>
        <v>50</v>
      </c>
      <c r="H46" s="36">
        <f t="shared" ca="1" si="15"/>
        <v>50</v>
      </c>
      <c r="I46" s="36">
        <f t="shared" ca="1" si="6"/>
        <v>0.69548948351670803</v>
      </c>
      <c r="J46" s="35">
        <f t="shared" ca="1" si="16"/>
        <v>50.69548948351671</v>
      </c>
      <c r="K46" s="19">
        <f t="shared" ca="1" si="11"/>
        <v>50.69548948351671</v>
      </c>
      <c r="L46" s="20">
        <f ca="1" xml:space="preserve"> K46*_Precio_cafe</f>
        <v>76.043234225275057</v>
      </c>
      <c r="M46" s="20">
        <f t="shared" ca="1" si="12"/>
        <v>3828.4508239265092</v>
      </c>
      <c r="N46" s="20">
        <f ca="1">IF((N45-K46+Y46)&gt;_Max_Stock_Gramos,_Max_Stock_Gramos,N45-K46+Y46)</f>
        <v>1187.6994507156605</v>
      </c>
      <c r="O46" s="20">
        <f ca="1">N46/_GramosXFrasco</f>
        <v>6.9864673571509446</v>
      </c>
      <c r="P46" s="63">
        <f ca="1">(N46/_Max_Stock_Gramos)</f>
        <v>0.69864673571509439</v>
      </c>
      <c r="Q46" s="63"/>
      <c r="R46" s="10">
        <f ca="1">IF((N45-J46)&lt;0,(N45-J46)*_Costo_Faltante,0)</f>
        <v>0</v>
      </c>
      <c r="S46">
        <f ca="1">IF(U46=0,X46*_Costo_Frasco,0)</f>
        <v>-500</v>
      </c>
      <c r="T46" s="11">
        <f t="shared" ca="1" si="13"/>
        <v>-2077.8917350768083</v>
      </c>
      <c r="U46" s="10">
        <f>IF(U45=0,_Proxima_Compra,U45-1)</f>
        <v>0</v>
      </c>
      <c r="V46" s="3">
        <f t="shared" ca="1" si="8"/>
        <v>0.49980456832912667</v>
      </c>
      <c r="W46" s="3">
        <f ca="1">IF(W45&gt;0,W45-1,IF(V46&gt;0,LOOKUP(V46,$R$3:$R$5,$O$3:$O$5),-1))</f>
        <v>0</v>
      </c>
      <c r="X46" s="25">
        <f t="shared" ca="1" si="9"/>
        <v>2</v>
      </c>
      <c r="Y46" s="28">
        <f ca="1">X46*_GramosXFrasco</f>
        <v>340</v>
      </c>
    </row>
    <row r="47" spans="1:25" x14ac:dyDescent="0.25">
      <c r="A47" s="30">
        <f t="shared" si="10"/>
        <v>31</v>
      </c>
      <c r="B47" s="38">
        <f t="shared" ca="1" si="0"/>
        <v>0.31661434244401132</v>
      </c>
      <c r="C47" s="36">
        <f t="shared" ca="1" si="1"/>
        <v>-1</v>
      </c>
      <c r="D47" s="36">
        <f t="shared" ca="1" si="2"/>
        <v>-1</v>
      </c>
      <c r="E47" s="36">
        <f t="shared" ca="1" si="14"/>
        <v>-1</v>
      </c>
      <c r="F47" s="37">
        <f ca="1">IF(E47&lt;&gt;-1,_Media_M + E47*_Sigma,-1)</f>
        <v>-1</v>
      </c>
      <c r="G47" s="3">
        <f t="shared" ca="1" si="4"/>
        <v>50</v>
      </c>
      <c r="H47" s="36">
        <f t="shared" ca="1" si="15"/>
        <v>50</v>
      </c>
      <c r="I47" s="36">
        <f t="shared" ca="1" si="6"/>
        <v>3.5031227922983534</v>
      </c>
      <c r="J47" s="35">
        <f t="shared" ca="1" si="16"/>
        <v>53.503122792298356</v>
      </c>
      <c r="K47" s="19">
        <f t="shared" ca="1" si="11"/>
        <v>53.503122792298356</v>
      </c>
      <c r="L47" s="20">
        <f ca="1" xml:space="preserve"> K47*_Precio_cafe</f>
        <v>80.254684188447527</v>
      </c>
      <c r="M47" s="20">
        <f t="shared" ca="1" si="12"/>
        <v>3908.7055081149565</v>
      </c>
      <c r="N47" s="20">
        <f ca="1">IF((N46-K47+Y47)&gt;_Max_Stock_Gramos,_Max_Stock_Gramos,N46-K47+Y47)</f>
        <v>1134.1963279233621</v>
      </c>
      <c r="O47" s="20">
        <f ca="1">N47/_GramosXFrasco</f>
        <v>6.6717431054315419</v>
      </c>
      <c r="P47" s="63">
        <f ca="1">(N47/_Max_Stock_Gramos)</f>
        <v>0.66717431054315413</v>
      </c>
      <c r="Q47" s="63"/>
      <c r="R47" s="10">
        <f ca="1">IF((N46-J47)&lt;0,(N46-J47)*_Costo_Faltante,0)</f>
        <v>0</v>
      </c>
      <c r="S47">
        <f>IF(U47=0,X47*_Costo_Frasco,0)</f>
        <v>0</v>
      </c>
      <c r="T47" s="11">
        <f t="shared" ca="1" si="13"/>
        <v>-2077.8917350768083</v>
      </c>
      <c r="U47" s="10">
        <f>IF(U46=0,_Proxima_Compra,U46-1)</f>
        <v>2</v>
      </c>
      <c r="V47" s="3">
        <f t="shared" ca="1" si="8"/>
        <v>-1</v>
      </c>
      <c r="W47" s="3">
        <f ca="1">IF(W46&gt;0,W46-1,IF(V47&gt;0,LOOKUP(V47,$R$3:$R$5,$O$3:$O$5),-1))</f>
        <v>-1</v>
      </c>
      <c r="X47" s="25">
        <f t="shared" ca="1" si="9"/>
        <v>0</v>
      </c>
      <c r="Y47" s="28">
        <f ca="1">X47*_GramosXFrasco</f>
        <v>0</v>
      </c>
    </row>
    <row r="48" spans="1:25" x14ac:dyDescent="0.25">
      <c r="A48" s="30">
        <f t="shared" si="10"/>
        <v>32</v>
      </c>
      <c r="B48" s="38">
        <f t="shared" ca="1" si="0"/>
        <v>0.25988670333009534</v>
      </c>
      <c r="C48" s="36">
        <f t="shared" ca="1" si="1"/>
        <v>-1</v>
      </c>
      <c r="D48" s="36">
        <f t="shared" ca="1" si="2"/>
        <v>-1</v>
      </c>
      <c r="E48" s="36">
        <f t="shared" ca="1" si="14"/>
        <v>-1</v>
      </c>
      <c r="F48" s="37">
        <f ca="1">IF(E48&lt;&gt;-1,_Media_M + E48*_Sigma,-1)</f>
        <v>-1</v>
      </c>
      <c r="G48" s="3">
        <f t="shared" ca="1" si="4"/>
        <v>50</v>
      </c>
      <c r="H48" s="36">
        <f t="shared" ca="1" si="15"/>
        <v>50</v>
      </c>
      <c r="I48" s="36">
        <f t="shared" ca="1" si="6"/>
        <v>24.913664864520896</v>
      </c>
      <c r="J48" s="35">
        <f t="shared" ca="1" si="16"/>
        <v>74.913664864520896</v>
      </c>
      <c r="K48" s="19">
        <f t="shared" ca="1" si="11"/>
        <v>74.913664864520896</v>
      </c>
      <c r="L48" s="20">
        <f ca="1" xml:space="preserve"> K48*_Precio_cafe</f>
        <v>112.37049729678134</v>
      </c>
      <c r="M48" s="20">
        <f t="shared" ca="1" si="12"/>
        <v>4021.0760054117377</v>
      </c>
      <c r="N48" s="20">
        <f ca="1">IF((N47-K48+Y48)&gt;_Max_Stock_Gramos,_Max_Stock_Gramos,N47-K48+Y48)</f>
        <v>1059.2826630588413</v>
      </c>
      <c r="O48" s="20">
        <f ca="1">N48/_GramosXFrasco</f>
        <v>6.2310744885814193</v>
      </c>
      <c r="P48" s="63">
        <f ca="1">(N48/_Max_Stock_Gramos)</f>
        <v>0.62310744885814195</v>
      </c>
      <c r="Q48" s="63"/>
      <c r="R48" s="10">
        <f ca="1">IF((N47-J48)&lt;0,(N47-J48)*_Costo_Faltante,0)</f>
        <v>0</v>
      </c>
      <c r="S48">
        <f>IF(U48=0,X48*_Costo_Frasco,0)</f>
        <v>0</v>
      </c>
      <c r="T48" s="11">
        <f t="shared" ca="1" si="13"/>
        <v>-2077.8917350768083</v>
      </c>
      <c r="U48" s="10">
        <f>IF(U47=0,_Proxima_Compra,U47-1)</f>
        <v>1</v>
      </c>
      <c r="V48" s="3">
        <f t="shared" ca="1" si="8"/>
        <v>-1</v>
      </c>
      <c r="W48" s="3">
        <f ca="1">IF(W47&gt;0,W47-1,IF(V48&gt;0,LOOKUP(V48,$R$3:$R$5,$O$3:$O$5),-1))</f>
        <v>-1</v>
      </c>
      <c r="X48" s="25">
        <f t="shared" ca="1" si="9"/>
        <v>0</v>
      </c>
      <c r="Y48" s="28">
        <f ca="1">X48*_GramosXFrasco</f>
        <v>0</v>
      </c>
    </row>
    <row r="49" spans="1:25" x14ac:dyDescent="0.25">
      <c r="A49" s="30">
        <f t="shared" si="10"/>
        <v>33</v>
      </c>
      <c r="B49" s="38">
        <f t="shared" ca="1" si="0"/>
        <v>0.44245662680102438</v>
      </c>
      <c r="C49" s="36">
        <f t="shared" ca="1" si="1"/>
        <v>-1</v>
      </c>
      <c r="D49" s="36">
        <f t="shared" ca="1" si="2"/>
        <v>-1</v>
      </c>
      <c r="E49" s="36">
        <f t="shared" ca="1" si="14"/>
        <v>-1</v>
      </c>
      <c r="F49" s="37">
        <f ca="1">IF(E49&lt;&gt;-1,_Media_M + E49*_Sigma,-1)</f>
        <v>-1</v>
      </c>
      <c r="G49" s="3">
        <f t="shared" ca="1" si="4"/>
        <v>50</v>
      </c>
      <c r="H49" s="36">
        <f t="shared" ca="1" si="15"/>
        <v>50</v>
      </c>
      <c r="I49" s="36">
        <f t="shared" ca="1" si="6"/>
        <v>6.6300300247913002</v>
      </c>
      <c r="J49" s="35">
        <f t="shared" ca="1" si="16"/>
        <v>56.630030024791303</v>
      </c>
      <c r="K49" s="19">
        <f t="shared" ca="1" si="11"/>
        <v>56.630030024791303</v>
      </c>
      <c r="L49" s="20">
        <f ca="1" xml:space="preserve"> K49*_Precio_cafe</f>
        <v>84.945045037186958</v>
      </c>
      <c r="M49" s="20">
        <f t="shared" ca="1" si="12"/>
        <v>4106.0210504489251</v>
      </c>
      <c r="N49" s="20">
        <f ca="1">IF((N48-K49+Y49)&gt;_Max_Stock_Gramos,_Max_Stock_Gramos,N48-K49+Y49)</f>
        <v>1002.65263303405</v>
      </c>
      <c r="O49" s="20">
        <f ca="1">N49/_GramosXFrasco</f>
        <v>5.897956664906177</v>
      </c>
      <c r="P49" s="63">
        <f ca="1">(N49/_Max_Stock_Gramos)</f>
        <v>0.58979566649061765</v>
      </c>
      <c r="Q49" s="63"/>
      <c r="R49" s="10">
        <f ca="1">IF((N48-J49)&lt;0,(N48-J49)*_Costo_Faltante,0)</f>
        <v>0</v>
      </c>
      <c r="S49">
        <f ca="1">IF(U49=0,X49*_Costo_Frasco,0)</f>
        <v>0</v>
      </c>
      <c r="T49" s="11">
        <f t="shared" ca="1" si="13"/>
        <v>-2077.8917350768083</v>
      </c>
      <c r="U49" s="10">
        <f>IF(U48=0,_Proxima_Compra,U48-1)</f>
        <v>0</v>
      </c>
      <c r="V49" s="3">
        <f t="shared" ca="1" si="8"/>
        <v>0.67350313812242568</v>
      </c>
      <c r="W49" s="3">
        <f ca="1">IF(W48&gt;0,W48-1,IF(V49&gt;0,LOOKUP(V49,$R$3:$R$5,$O$3:$O$5),-1))</f>
        <v>1</v>
      </c>
      <c r="X49" s="25">
        <f t="shared" ca="1" si="9"/>
        <v>0</v>
      </c>
      <c r="Y49" s="28">
        <f ca="1">X49*_GramosXFrasco</f>
        <v>0</v>
      </c>
    </row>
    <row r="50" spans="1:25" x14ac:dyDescent="0.25">
      <c r="A50" s="30">
        <f t="shared" si="10"/>
        <v>34</v>
      </c>
      <c r="B50" s="38">
        <f t="shared" ca="1" si="0"/>
        <v>0.93767976654306051</v>
      </c>
      <c r="C50" s="36">
        <f t="shared" ca="1" si="1"/>
        <v>0.91947871416301996</v>
      </c>
      <c r="D50" s="36">
        <f t="shared" ca="1" si="2"/>
        <v>0.94552968881356592</v>
      </c>
      <c r="E50" s="36">
        <f t="shared" ca="1" si="14"/>
        <v>1.3934571949278596</v>
      </c>
      <c r="F50" s="37">
        <f ca="1">IF(E50&lt;&gt;-1,_Media_M + E50*_Sigma,-1)</f>
        <v>95.901857923917902</v>
      </c>
      <c r="G50" s="3">
        <f t="shared" ca="1" si="4"/>
        <v>-1</v>
      </c>
      <c r="H50" s="36">
        <f t="shared" ca="1" si="15"/>
        <v>95.901857923917902</v>
      </c>
      <c r="I50" s="36">
        <f t="shared" ca="1" si="6"/>
        <v>50.973297372283348</v>
      </c>
      <c r="J50" s="35">
        <f t="shared" ca="1" si="16"/>
        <v>146.87515529620126</v>
      </c>
      <c r="K50" s="19">
        <f t="shared" ca="1" si="11"/>
        <v>146.87515529620126</v>
      </c>
      <c r="L50" s="20">
        <f ca="1" xml:space="preserve"> K50*_Precio_cafe</f>
        <v>220.3127329443019</v>
      </c>
      <c r="M50" s="20">
        <f t="shared" ca="1" si="12"/>
        <v>4326.3337833932273</v>
      </c>
      <c r="N50" s="20">
        <f ca="1">IF((N49-K50+Y50)&gt;_Max_Stock_Gramos,_Max_Stock_Gramos,N49-K50+Y50)</f>
        <v>1195.7774777378488</v>
      </c>
      <c r="O50" s="20">
        <f ca="1">N50/_GramosXFrasco</f>
        <v>7.0339851631638162</v>
      </c>
      <c r="P50" s="63">
        <f ca="1">(N50/_Max_Stock_Gramos)</f>
        <v>0.70339851631638162</v>
      </c>
      <c r="Q50" s="63"/>
      <c r="R50" s="10">
        <f ca="1">IF((N49-J50)&lt;0,(N49-J50)*_Costo_Faltante,0)</f>
        <v>0</v>
      </c>
      <c r="S50">
        <f>IF(U50=0,X50*_Costo_Frasco,0)</f>
        <v>0</v>
      </c>
      <c r="T50" s="11">
        <f t="shared" ca="1" si="13"/>
        <v>-2077.8917350768083</v>
      </c>
      <c r="U50" s="10">
        <f>IF(U49=0,_Proxima_Compra,U49-1)</f>
        <v>2</v>
      </c>
      <c r="V50" s="3">
        <f t="shared" ca="1" si="8"/>
        <v>-1</v>
      </c>
      <c r="W50" s="3">
        <f ca="1">IF(W49&gt;0,W49-1,IF(V50&gt;0,LOOKUP(V50,$R$3:$R$5,$O$3:$O$5),-1))</f>
        <v>0</v>
      </c>
      <c r="X50" s="25">
        <f t="shared" ca="1" si="9"/>
        <v>2</v>
      </c>
      <c r="Y50" s="28">
        <f ca="1">X50*_GramosXFrasco</f>
        <v>340</v>
      </c>
    </row>
    <row r="51" spans="1:25" x14ac:dyDescent="0.25">
      <c r="A51" s="30">
        <f t="shared" si="10"/>
        <v>35</v>
      </c>
      <c r="B51" s="38">
        <f t="shared" ca="1" si="0"/>
        <v>0.35911468299361948</v>
      </c>
      <c r="C51" s="36">
        <f t="shared" ca="1" si="1"/>
        <v>-1</v>
      </c>
      <c r="D51" s="36">
        <f t="shared" ca="1" si="2"/>
        <v>-1</v>
      </c>
      <c r="E51" s="36">
        <f t="shared" ca="1" si="14"/>
        <v>-1</v>
      </c>
      <c r="F51" s="37">
        <f ca="1">IF(E51&lt;&gt;-1,_Media_M + E51*_Sigma,-1)</f>
        <v>-1</v>
      </c>
      <c r="G51" s="3">
        <f t="shared" ca="1" si="4"/>
        <v>50</v>
      </c>
      <c r="H51" s="36">
        <f t="shared" ca="1" si="15"/>
        <v>50</v>
      </c>
      <c r="I51" s="36">
        <f t="shared" ca="1" si="6"/>
        <v>57.867223966983573</v>
      </c>
      <c r="J51" s="35">
        <f t="shared" ca="1" si="16"/>
        <v>107.86722396698357</v>
      </c>
      <c r="K51" s="19">
        <f t="shared" ca="1" si="11"/>
        <v>107.86722396698357</v>
      </c>
      <c r="L51" s="20">
        <f ca="1" xml:space="preserve"> K51*_Precio_cafe</f>
        <v>161.80083595047535</v>
      </c>
      <c r="M51" s="20">
        <f t="shared" ca="1" si="12"/>
        <v>4488.134619343703</v>
      </c>
      <c r="N51" s="20">
        <f ca="1">IF((N50-K51+Y51)&gt;_Max_Stock_Gramos,_Max_Stock_Gramos,N50-K51+Y51)</f>
        <v>1087.9102537708652</v>
      </c>
      <c r="O51" s="20">
        <f ca="1">N51/_GramosXFrasco</f>
        <v>6.3994720810050891</v>
      </c>
      <c r="P51" s="63">
        <f ca="1">(N51/_Max_Stock_Gramos)</f>
        <v>0.63994720810050898</v>
      </c>
      <c r="Q51" s="63"/>
      <c r="R51" s="10">
        <f ca="1">IF((N50-J51)&lt;0,(N50-J51)*_Costo_Faltante,0)</f>
        <v>0</v>
      </c>
      <c r="S51">
        <f>IF(U51=0,X51*_Costo_Frasco,0)</f>
        <v>0</v>
      </c>
      <c r="T51" s="11">
        <f t="shared" ca="1" si="13"/>
        <v>-2077.8917350768083</v>
      </c>
      <c r="U51" s="10">
        <f>IF(U50=0,_Proxima_Compra,U50-1)</f>
        <v>1</v>
      </c>
      <c r="V51" s="3">
        <f t="shared" ca="1" si="8"/>
        <v>-1</v>
      </c>
      <c r="W51" s="3">
        <f ca="1">IF(W50&gt;0,W50-1,IF(V51&gt;0,LOOKUP(V51,$R$3:$R$5,$O$3:$O$5),-1))</f>
        <v>-1</v>
      </c>
      <c r="X51" s="25">
        <f t="shared" ca="1" si="9"/>
        <v>0</v>
      </c>
      <c r="Y51" s="28">
        <f ca="1">X51*_GramosXFrasco</f>
        <v>0</v>
      </c>
    </row>
    <row r="52" spans="1:25" x14ac:dyDescent="0.25">
      <c r="A52" s="30">
        <f t="shared" si="10"/>
        <v>36</v>
      </c>
      <c r="B52" s="38">
        <f t="shared" ca="1" si="0"/>
        <v>0.29220785720686848</v>
      </c>
      <c r="C52" s="36">
        <f t="shared" ca="1" si="1"/>
        <v>-1</v>
      </c>
      <c r="D52" s="36">
        <f t="shared" ca="1" si="2"/>
        <v>-1</v>
      </c>
      <c r="E52" s="36">
        <f t="shared" ca="1" si="14"/>
        <v>-1</v>
      </c>
      <c r="F52" s="37">
        <f ca="1">IF(E52&lt;&gt;-1,_Media_M + E52*_Sigma,-1)</f>
        <v>-1</v>
      </c>
      <c r="G52" s="3">
        <f t="shared" ca="1" si="4"/>
        <v>50</v>
      </c>
      <c r="H52" s="36">
        <f t="shared" ca="1" si="15"/>
        <v>50</v>
      </c>
      <c r="I52" s="36">
        <f t="shared" ca="1" si="6"/>
        <v>19.555803762700638</v>
      </c>
      <c r="J52" s="35">
        <f t="shared" ca="1" si="16"/>
        <v>69.555803762700634</v>
      </c>
      <c r="K52" s="19">
        <f t="shared" ca="1" si="11"/>
        <v>69.555803762700634</v>
      </c>
      <c r="L52" s="20">
        <f ca="1" xml:space="preserve"> K52*_Precio_cafe</f>
        <v>104.33370564405095</v>
      </c>
      <c r="M52" s="20">
        <f t="shared" ca="1" si="12"/>
        <v>4592.4683249877544</v>
      </c>
      <c r="N52" s="20">
        <f ca="1">IF((N51-K52+Y52)&gt;_Max_Stock_Gramos,_Max_Stock_Gramos,N51-K52+Y52)</f>
        <v>1018.3544500081646</v>
      </c>
      <c r="O52" s="20">
        <f ca="1">N52/_GramosXFrasco</f>
        <v>5.9903202941656737</v>
      </c>
      <c r="P52" s="63">
        <f ca="1">(N52/_Max_Stock_Gramos)</f>
        <v>0.59903202941656741</v>
      </c>
      <c r="Q52" s="63"/>
      <c r="R52" s="10">
        <f ca="1">IF((N51-J52)&lt;0,(N51-J52)*_Costo_Faltante,0)</f>
        <v>0</v>
      </c>
      <c r="S52">
        <f ca="1">IF(U52=0,X52*_Costo_Frasco,0)</f>
        <v>0</v>
      </c>
      <c r="T52" s="11">
        <f t="shared" ca="1" si="13"/>
        <v>-2077.8917350768083</v>
      </c>
      <c r="U52" s="10">
        <f>IF(U51=0,_Proxima_Compra,U51-1)</f>
        <v>0</v>
      </c>
      <c r="V52" s="3">
        <f t="shared" ca="1" si="8"/>
        <v>0.74441755796535669</v>
      </c>
      <c r="W52" s="3">
        <f ca="1">IF(W51&gt;0,W51-1,IF(V52&gt;0,LOOKUP(V52,$R$3:$R$5,$O$3:$O$5),-1))</f>
        <v>1</v>
      </c>
      <c r="X52" s="25">
        <f t="shared" ca="1" si="9"/>
        <v>0</v>
      </c>
      <c r="Y52" s="28">
        <f ca="1">X52*_GramosXFrasco</f>
        <v>0</v>
      </c>
    </row>
    <row r="53" spans="1:25" x14ac:dyDescent="0.25">
      <c r="A53" s="30">
        <f t="shared" si="10"/>
        <v>37</v>
      </c>
      <c r="B53" s="38">
        <f t="shared" ca="1" si="0"/>
        <v>0.12891550758182557</v>
      </c>
      <c r="C53" s="36">
        <f t="shared" ca="1" si="1"/>
        <v>-1</v>
      </c>
      <c r="D53" s="36">
        <f t="shared" ca="1" si="2"/>
        <v>-1</v>
      </c>
      <c r="E53" s="36">
        <f t="shared" ca="1" si="14"/>
        <v>-1</v>
      </c>
      <c r="F53" s="37">
        <f ca="1">IF(E53&lt;&gt;-1,_Media_M + E53*_Sigma,-1)</f>
        <v>-1</v>
      </c>
      <c r="G53" s="3">
        <f t="shared" ca="1" si="4"/>
        <v>50</v>
      </c>
      <c r="H53" s="36">
        <f t="shared" ca="1" si="15"/>
        <v>50</v>
      </c>
      <c r="I53" s="36">
        <f t="shared" ca="1" si="6"/>
        <v>3.0424464890842859</v>
      </c>
      <c r="J53" s="35">
        <f t="shared" ca="1" si="16"/>
        <v>53.042446489084284</v>
      </c>
      <c r="K53" s="19">
        <f t="shared" ca="1" si="11"/>
        <v>53.042446489084284</v>
      </c>
      <c r="L53" s="20">
        <f ca="1" xml:space="preserve"> K53*_Precio_cafe</f>
        <v>79.563669733626426</v>
      </c>
      <c r="M53" s="20">
        <f t="shared" ca="1" si="12"/>
        <v>4672.0319947213811</v>
      </c>
      <c r="N53" s="20">
        <f ca="1">IF((N52-K53+Y53)&gt;_Max_Stock_Gramos,_Max_Stock_Gramos,N52-K53+Y53)</f>
        <v>1305.3120035190802</v>
      </c>
      <c r="O53" s="20">
        <f ca="1">N53/_GramosXFrasco</f>
        <v>7.6783059030534133</v>
      </c>
      <c r="P53" s="63">
        <f ca="1">(N53/_Max_Stock_Gramos)</f>
        <v>0.76783059030534129</v>
      </c>
      <c r="Q53" s="63"/>
      <c r="R53" s="10">
        <f ca="1">IF((N52-J53)&lt;0,(N52-J53)*_Costo_Faltante,0)</f>
        <v>0</v>
      </c>
      <c r="S53">
        <f>IF(U53=0,X53*_Costo_Frasco,0)</f>
        <v>0</v>
      </c>
      <c r="T53" s="11">
        <f t="shared" ca="1" si="13"/>
        <v>-2077.8917350768083</v>
      </c>
      <c r="U53" s="10">
        <f>IF(U52=0,_Proxima_Compra,U52-1)</f>
        <v>2</v>
      </c>
      <c r="V53" s="3">
        <f t="shared" ca="1" si="8"/>
        <v>-1</v>
      </c>
      <c r="W53" s="3">
        <f ca="1">IF(W52&gt;0,W52-1,IF(V53&gt;0,LOOKUP(V53,$R$3:$R$5,$O$3:$O$5),-1))</f>
        <v>0</v>
      </c>
      <c r="X53" s="25">
        <f t="shared" ca="1" si="9"/>
        <v>2</v>
      </c>
      <c r="Y53" s="28">
        <f ca="1">X53*_GramosXFrasco</f>
        <v>340</v>
      </c>
    </row>
    <row r="54" spans="1:25" x14ac:dyDescent="0.25">
      <c r="A54" s="30">
        <f t="shared" si="10"/>
        <v>38</v>
      </c>
      <c r="B54" s="38">
        <f t="shared" ca="1" si="0"/>
        <v>0.34993866443556476</v>
      </c>
      <c r="C54" s="36">
        <f t="shared" ca="1" si="1"/>
        <v>-1</v>
      </c>
      <c r="D54" s="36">
        <f t="shared" ca="1" si="2"/>
        <v>-1</v>
      </c>
      <c r="E54" s="36">
        <f t="shared" ca="1" si="14"/>
        <v>-1</v>
      </c>
      <c r="F54" s="37">
        <f ca="1">IF(E54&lt;&gt;-1,_Media_M + E54*_Sigma,-1)</f>
        <v>-1</v>
      </c>
      <c r="G54" s="3">
        <f t="shared" ca="1" si="4"/>
        <v>50</v>
      </c>
      <c r="H54" s="36">
        <f t="shared" ca="1" si="15"/>
        <v>50</v>
      </c>
      <c r="I54" s="36">
        <f t="shared" ca="1" si="6"/>
        <v>53.987180153248879</v>
      </c>
      <c r="J54" s="35">
        <f t="shared" ca="1" si="16"/>
        <v>103.98718015324889</v>
      </c>
      <c r="K54" s="19">
        <f t="shared" ca="1" si="11"/>
        <v>103.98718015324889</v>
      </c>
      <c r="L54" s="20">
        <f ca="1" xml:space="preserve"> K54*_Precio_cafe</f>
        <v>155.98077022987331</v>
      </c>
      <c r="M54" s="20">
        <f t="shared" ca="1" si="12"/>
        <v>4828.0127649512542</v>
      </c>
      <c r="N54" s="20">
        <f ca="1">IF((N53-K54+Y54)&gt;_Max_Stock_Gramos,_Max_Stock_Gramos,N53-K54+Y54)</f>
        <v>1201.3248233658314</v>
      </c>
      <c r="O54" s="20">
        <f ca="1">N54/_GramosXFrasco</f>
        <v>7.0666166080343027</v>
      </c>
      <c r="P54" s="63">
        <f ca="1">(N54/_Max_Stock_Gramos)</f>
        <v>0.70666166080343029</v>
      </c>
      <c r="Q54" s="63"/>
      <c r="R54" s="10">
        <f ca="1">IF((N53-J54)&lt;0,(N53-J54)*_Costo_Faltante,0)</f>
        <v>0</v>
      </c>
      <c r="S54">
        <f>IF(U54=0,X54*_Costo_Frasco,0)</f>
        <v>0</v>
      </c>
      <c r="T54" s="11">
        <f t="shared" ca="1" si="13"/>
        <v>-2077.8917350768083</v>
      </c>
      <c r="U54" s="10">
        <f>IF(U53=0,_Proxima_Compra,U53-1)</f>
        <v>1</v>
      </c>
      <c r="V54" s="3">
        <f t="shared" ca="1" si="8"/>
        <v>-1</v>
      </c>
      <c r="W54" s="3">
        <f ca="1">IF(W53&gt;0,W53-1,IF(V54&gt;0,LOOKUP(V54,$R$3:$R$5,$O$3:$O$5),-1))</f>
        <v>-1</v>
      </c>
      <c r="X54" s="25">
        <f t="shared" ca="1" si="9"/>
        <v>0</v>
      </c>
      <c r="Y54" s="28">
        <f ca="1">X54*_GramosXFrasco</f>
        <v>0</v>
      </c>
    </row>
    <row r="55" spans="1:25" x14ac:dyDescent="0.25">
      <c r="A55" s="30">
        <f t="shared" si="10"/>
        <v>39</v>
      </c>
      <c r="B55" s="38">
        <f t="shared" ca="1" si="0"/>
        <v>0.70524749331072645</v>
      </c>
      <c r="C55" s="36">
        <f t="shared" ca="1" si="1"/>
        <v>0.98130260029826033</v>
      </c>
      <c r="D55" s="36">
        <f t="shared" ca="1" si="2"/>
        <v>0.30723084497596842</v>
      </c>
      <c r="E55" s="36">
        <f t="shared" ca="1" si="14"/>
        <v>-0.6542205763768365</v>
      </c>
      <c r="F55" s="37">
        <f ca="1">IF(E55&lt;&gt;-1,_Media_M + E55*_Sigma,-1)</f>
        <v>65.18669135434746</v>
      </c>
      <c r="G55" s="3">
        <f t="shared" ca="1" si="4"/>
        <v>-1</v>
      </c>
      <c r="H55" s="36">
        <f t="shared" ca="1" si="15"/>
        <v>65.18669135434746</v>
      </c>
      <c r="I55" s="36">
        <f t="shared" ca="1" si="6"/>
        <v>4.368170779624192</v>
      </c>
      <c r="J55" s="35">
        <f t="shared" ca="1" si="16"/>
        <v>69.554862133971653</v>
      </c>
      <c r="K55" s="19">
        <f t="shared" ca="1" si="11"/>
        <v>69.554862133971653</v>
      </c>
      <c r="L55" s="20">
        <f ca="1" xml:space="preserve"> K55*_Precio_cafe</f>
        <v>104.33229320095748</v>
      </c>
      <c r="M55" s="20">
        <f t="shared" ca="1" si="12"/>
        <v>4932.345058152212</v>
      </c>
      <c r="N55" s="20">
        <f ca="1">IF((N54-K55+Y55)&gt;_Max_Stock_Gramos,_Max_Stock_Gramos,N54-K55+Y55)</f>
        <v>1131.7699612318597</v>
      </c>
      <c r="O55" s="20">
        <f ca="1">N55/_GramosXFrasco</f>
        <v>6.6574703601874106</v>
      </c>
      <c r="P55" s="63">
        <f ca="1">(N55/_Max_Stock_Gramos)</f>
        <v>0.66574703601874097</v>
      </c>
      <c r="Q55" s="63"/>
      <c r="R55" s="10">
        <f ca="1">IF((N54-J55)&lt;0,(N54-J55)*_Costo_Faltante,0)</f>
        <v>0</v>
      </c>
      <c r="S55">
        <f ca="1">IF(U55=0,X55*_Costo_Frasco,0)</f>
        <v>0</v>
      </c>
      <c r="T55" s="11">
        <f t="shared" ca="1" si="13"/>
        <v>-2077.8917350768083</v>
      </c>
      <c r="U55" s="10">
        <f>IF(U54=0,_Proxima_Compra,U54-1)</f>
        <v>0</v>
      </c>
      <c r="V55" s="3">
        <f t="shared" ca="1" si="8"/>
        <v>0.54284281112753563</v>
      </c>
      <c r="W55" s="3">
        <f ca="1">IF(W54&gt;0,W54-1,IF(V55&gt;0,LOOKUP(V55,$R$3:$R$5,$O$3:$O$5),-1))</f>
        <v>1</v>
      </c>
      <c r="X55" s="25">
        <f t="shared" ca="1" si="9"/>
        <v>0</v>
      </c>
      <c r="Y55" s="28">
        <f ca="1">X55*_GramosXFrasco</f>
        <v>0</v>
      </c>
    </row>
    <row r="56" spans="1:25" x14ac:dyDescent="0.25">
      <c r="A56" s="30">
        <f t="shared" si="10"/>
        <v>40</v>
      </c>
      <c r="B56" s="38">
        <f t="shared" ca="1" si="0"/>
        <v>0.50425737557874373</v>
      </c>
      <c r="C56" s="36">
        <f t="shared" ca="1" si="1"/>
        <v>0.68066487638158046</v>
      </c>
      <c r="D56" s="36">
        <f t="shared" ca="1" si="2"/>
        <v>0.31726754997740336</v>
      </c>
      <c r="E56" s="36">
        <f t="shared" ca="1" si="14"/>
        <v>-0.40843715817812781</v>
      </c>
      <c r="F56" s="37">
        <f ca="1">IF(E56&lt;&gt;-1,_Media_M + E56*_Sigma,-1)</f>
        <v>68.873442627328089</v>
      </c>
      <c r="G56" s="3">
        <f t="shared" ca="1" si="4"/>
        <v>-1</v>
      </c>
      <c r="H56" s="36">
        <f t="shared" ca="1" si="15"/>
        <v>68.873442627328089</v>
      </c>
      <c r="I56" s="36">
        <f t="shared" ca="1" si="6"/>
        <v>62.263609233489376</v>
      </c>
      <c r="J56" s="35">
        <f t="shared" ca="1" si="16"/>
        <v>131.13705186081745</v>
      </c>
      <c r="K56" s="19">
        <f t="shared" ca="1" si="11"/>
        <v>131.13705186081745</v>
      </c>
      <c r="L56" s="20">
        <f ca="1" xml:space="preserve"> K56*_Precio_cafe</f>
        <v>196.70557779122618</v>
      </c>
      <c r="M56" s="20">
        <f t="shared" ca="1" si="12"/>
        <v>5129.0506359434385</v>
      </c>
      <c r="N56" s="20">
        <f ca="1">IF((N55-K56+Y56)&gt;_Max_Stock_Gramos,_Max_Stock_Gramos,N55-K56+Y56)</f>
        <v>1340.6329093710424</v>
      </c>
      <c r="O56" s="20">
        <f ca="1">N56/_GramosXFrasco</f>
        <v>7.8860759374767202</v>
      </c>
      <c r="P56" s="63">
        <f ca="1">(N56/_Max_Stock_Gramos)</f>
        <v>0.78860759374767198</v>
      </c>
      <c r="Q56" s="63"/>
      <c r="R56" s="10">
        <f ca="1">IF((N55-J56)&lt;0,(N55-J56)*_Costo_Faltante,0)</f>
        <v>0</v>
      </c>
      <c r="S56">
        <f>IF(U56=0,X56*_Costo_Frasco,0)</f>
        <v>0</v>
      </c>
      <c r="T56" s="11">
        <f t="shared" ca="1" si="13"/>
        <v>-2077.8917350768083</v>
      </c>
      <c r="U56" s="10">
        <f>IF(U55=0,_Proxima_Compra,U55-1)</f>
        <v>2</v>
      </c>
      <c r="V56" s="3">
        <f t="shared" ca="1" si="8"/>
        <v>-1</v>
      </c>
      <c r="W56" s="3">
        <f ca="1">IF(W55&gt;0,W55-1,IF(V56&gt;0,LOOKUP(V56,$R$3:$R$5,$O$3:$O$5),-1))</f>
        <v>0</v>
      </c>
      <c r="X56" s="25">
        <f t="shared" ca="1" si="9"/>
        <v>2</v>
      </c>
      <c r="Y56" s="28">
        <f ca="1">X56*_GramosXFrasco</f>
        <v>340</v>
      </c>
    </row>
    <row r="57" spans="1:25" x14ac:dyDescent="0.25">
      <c r="A57" s="30">
        <f t="shared" si="10"/>
        <v>41</v>
      </c>
      <c r="B57" s="38">
        <f t="shared" ca="1" si="0"/>
        <v>9.7411431967939444E-2</v>
      </c>
      <c r="C57" s="36">
        <f t="shared" ca="1" si="1"/>
        <v>-1</v>
      </c>
      <c r="D57" s="36">
        <f t="shared" ca="1" si="2"/>
        <v>-1</v>
      </c>
      <c r="E57" s="36">
        <f t="shared" ca="1" si="14"/>
        <v>-1</v>
      </c>
      <c r="F57" s="37">
        <f ca="1">IF(E57&lt;&gt;-1,_Media_M + E57*_Sigma,-1)</f>
        <v>-1</v>
      </c>
      <c r="G57" s="3">
        <f t="shared" ca="1" si="4"/>
        <v>50</v>
      </c>
      <c r="H57" s="36">
        <f t="shared" ca="1" si="15"/>
        <v>50</v>
      </c>
      <c r="I57" s="36">
        <f t="shared" ca="1" si="6"/>
        <v>69.378291569145702</v>
      </c>
      <c r="J57" s="35">
        <f t="shared" ca="1" si="16"/>
        <v>119.3782915691457</v>
      </c>
      <c r="K57" s="19">
        <f t="shared" ca="1" si="11"/>
        <v>119.3782915691457</v>
      </c>
      <c r="L57" s="20">
        <f ca="1" xml:space="preserve"> K57*_Precio_cafe</f>
        <v>179.06743735371856</v>
      </c>
      <c r="M57" s="20">
        <f t="shared" ca="1" si="12"/>
        <v>5308.118073297157</v>
      </c>
      <c r="N57" s="20">
        <f ca="1">IF((N56-K57+Y57)&gt;_Max_Stock_Gramos,_Max_Stock_Gramos,N56-K57+Y57)</f>
        <v>1221.2546178018968</v>
      </c>
      <c r="O57" s="20">
        <f ca="1">N57/_GramosXFrasco</f>
        <v>7.1838506929523342</v>
      </c>
      <c r="P57" s="63">
        <f ca="1">(N57/_Max_Stock_Gramos)</f>
        <v>0.71838506929523338</v>
      </c>
      <c r="Q57" s="63"/>
      <c r="R57" s="10">
        <f ca="1">IF((N56-J57)&lt;0,(N56-J57)*_Costo_Faltante,0)</f>
        <v>0</v>
      </c>
      <c r="S57">
        <f>IF(U57=0,X57*_Costo_Frasco,0)</f>
        <v>0</v>
      </c>
      <c r="T57" s="11">
        <f t="shared" ca="1" si="13"/>
        <v>-2077.8917350768083</v>
      </c>
      <c r="U57" s="10">
        <f>IF(U56=0,_Proxima_Compra,U56-1)</f>
        <v>1</v>
      </c>
      <c r="V57" s="3">
        <f t="shared" ca="1" si="8"/>
        <v>-1</v>
      </c>
      <c r="W57" s="3">
        <f ca="1">IF(W56&gt;0,W56-1,IF(V57&gt;0,LOOKUP(V57,$R$3:$R$5,$O$3:$O$5),-1))</f>
        <v>-1</v>
      </c>
      <c r="X57" s="25">
        <f t="shared" ca="1" si="9"/>
        <v>0</v>
      </c>
      <c r="Y57" s="28">
        <f ca="1">X57*_GramosXFrasco</f>
        <v>0</v>
      </c>
    </row>
    <row r="58" spans="1:25" x14ac:dyDescent="0.25">
      <c r="A58" s="30">
        <f t="shared" si="10"/>
        <v>42</v>
      </c>
      <c r="B58" s="38">
        <f t="shared" ca="1" si="0"/>
        <v>0.85147315662966372</v>
      </c>
      <c r="C58" s="36">
        <f t="shared" ca="1" si="1"/>
        <v>0.43174281852829033</v>
      </c>
      <c r="D58" s="36">
        <f t="shared" ca="1" si="2"/>
        <v>0.69166860179202516</v>
      </c>
      <c r="E58" s="36">
        <f t="shared" ca="1" si="14"/>
        <v>-0.25108247689337315</v>
      </c>
      <c r="F58" s="37">
        <f ca="1">IF(E58&lt;&gt;-1,_Media_M + E58*_Sigma,-1)</f>
        <v>71.233762846599404</v>
      </c>
      <c r="G58" s="3">
        <f t="shared" ca="1" si="4"/>
        <v>-1</v>
      </c>
      <c r="H58" s="36">
        <f t="shared" ca="1" si="15"/>
        <v>71.233762846599404</v>
      </c>
      <c r="I58" s="36">
        <f t="shared" ca="1" si="6"/>
        <v>5.7304477760324719</v>
      </c>
      <c r="J58" s="35">
        <f t="shared" ca="1" si="16"/>
        <v>76.964210622631882</v>
      </c>
      <c r="K58" s="19">
        <f t="shared" ca="1" si="11"/>
        <v>76.964210622631882</v>
      </c>
      <c r="L58" s="20">
        <f ca="1" xml:space="preserve"> K58*_Precio_cafe</f>
        <v>115.44631593394783</v>
      </c>
      <c r="M58" s="20">
        <f t="shared" ca="1" si="12"/>
        <v>5423.5643892311045</v>
      </c>
      <c r="N58" s="20">
        <f ca="1">IF((N57-K58+Y58)&gt;_Max_Stock_Gramos,_Max_Stock_Gramos,N57-K58+Y58)</f>
        <v>1144.2904071792648</v>
      </c>
      <c r="O58" s="20">
        <f ca="1">N58/_GramosXFrasco</f>
        <v>6.7311200422309696</v>
      </c>
      <c r="P58" s="63">
        <f ca="1">(N58/_Max_Stock_Gramos)</f>
        <v>0.67311200422309692</v>
      </c>
      <c r="Q58" s="63"/>
      <c r="R58" s="10">
        <f ca="1">IF((N57-J58)&lt;0,(N57-J58)*_Costo_Faltante,0)</f>
        <v>0</v>
      </c>
      <c r="S58">
        <f ca="1">IF(U58=0,X58*_Costo_Frasco,0)</f>
        <v>0</v>
      </c>
      <c r="T58" s="11">
        <f t="shared" ca="1" si="13"/>
        <v>-2077.8917350768083</v>
      </c>
      <c r="U58" s="10">
        <f>IF(U57=0,_Proxima_Compra,U57-1)</f>
        <v>0</v>
      </c>
      <c r="V58" s="3">
        <f t="shared" ca="1" si="8"/>
        <v>0.8855737746163086</v>
      </c>
      <c r="W58" s="3">
        <f ca="1">IF(W57&gt;0,W57-1,IF(V58&gt;0,LOOKUP(V58,$R$3:$R$5,$O$3:$O$5),-1))</f>
        <v>2</v>
      </c>
      <c r="X58" s="25">
        <f t="shared" ca="1" si="9"/>
        <v>0</v>
      </c>
      <c r="Y58" s="28">
        <f ca="1">X58*_GramosXFrasco</f>
        <v>0</v>
      </c>
    </row>
    <row r="59" spans="1:25" x14ac:dyDescent="0.25">
      <c r="A59" s="30">
        <f t="shared" si="10"/>
        <v>43</v>
      </c>
      <c r="B59" s="38">
        <f t="shared" ca="1" si="0"/>
        <v>5.0763461949080213E-2</v>
      </c>
      <c r="C59" s="36">
        <f t="shared" ca="1" si="1"/>
        <v>-1</v>
      </c>
      <c r="D59" s="36">
        <f t="shared" ca="1" si="2"/>
        <v>-1</v>
      </c>
      <c r="E59" s="36">
        <f t="shared" ca="1" si="14"/>
        <v>-1</v>
      </c>
      <c r="F59" s="37">
        <f ca="1">IF(E59&lt;&gt;-1,_Media_M + E59*_Sigma,-1)</f>
        <v>-1</v>
      </c>
      <c r="G59" s="3">
        <f t="shared" ca="1" si="4"/>
        <v>50</v>
      </c>
      <c r="H59" s="36">
        <f t="shared" ca="1" si="15"/>
        <v>50</v>
      </c>
      <c r="I59" s="36">
        <f t="shared" ca="1" si="6"/>
        <v>52.984583525064537</v>
      </c>
      <c r="J59" s="35">
        <f t="shared" ca="1" si="16"/>
        <v>102.98458352506454</v>
      </c>
      <c r="K59" s="19">
        <f t="shared" ca="1" si="11"/>
        <v>102.98458352506454</v>
      </c>
      <c r="L59" s="20">
        <f ca="1" xml:space="preserve"> K59*_Precio_cafe</f>
        <v>154.47687528759681</v>
      </c>
      <c r="M59" s="20">
        <f t="shared" ca="1" si="12"/>
        <v>5578.0412645187016</v>
      </c>
      <c r="N59" s="20">
        <f ca="1">IF((N58-K59+Y59)&gt;_Max_Stock_Gramos,_Max_Stock_Gramos,N58-K59+Y59)</f>
        <v>1041.3058236542001</v>
      </c>
      <c r="O59" s="20">
        <f ca="1">N59/_GramosXFrasco</f>
        <v>6.1253283744364717</v>
      </c>
      <c r="P59" s="63">
        <f ca="1">(N59/_Max_Stock_Gramos)</f>
        <v>0.61253283744364717</v>
      </c>
      <c r="Q59" s="63"/>
      <c r="R59" s="10">
        <f ca="1">IF((N58-J59)&lt;0,(N58-J59)*_Costo_Faltante,0)</f>
        <v>0</v>
      </c>
      <c r="S59">
        <f>IF(U59=0,X59*_Costo_Frasco,0)</f>
        <v>0</v>
      </c>
      <c r="T59" s="11">
        <f t="shared" ca="1" si="13"/>
        <v>-2077.8917350768083</v>
      </c>
      <c r="U59" s="10">
        <f>IF(U58=0,_Proxima_Compra,U58-1)</f>
        <v>2</v>
      </c>
      <c r="V59" s="3">
        <f t="shared" ca="1" si="8"/>
        <v>-1</v>
      </c>
      <c r="W59" s="3">
        <f ca="1">IF(W58&gt;0,W58-1,IF(V59&gt;0,LOOKUP(V59,$R$3:$R$5,$O$3:$O$5),-1))</f>
        <v>1</v>
      </c>
      <c r="X59" s="25">
        <f t="shared" ca="1" si="9"/>
        <v>0</v>
      </c>
      <c r="Y59" s="28">
        <f ca="1">X59*_GramosXFrasco</f>
        <v>0</v>
      </c>
    </row>
    <row r="60" spans="1:25" x14ac:dyDescent="0.25">
      <c r="A60" s="30">
        <f t="shared" si="10"/>
        <v>44</v>
      </c>
      <c r="B60" s="38">
        <f t="shared" ca="1" si="0"/>
        <v>0.68229296574055465</v>
      </c>
      <c r="C60" s="36">
        <f t="shared" ca="1" si="1"/>
        <v>0.75313341095107811</v>
      </c>
      <c r="D60" s="36">
        <f t="shared" ca="1" si="2"/>
        <v>0.62754139008116105</v>
      </c>
      <c r="E60" s="36">
        <f t="shared" ca="1" si="14"/>
        <v>-0.76690196758194484</v>
      </c>
      <c r="F60" s="37">
        <f ca="1">IF(E60&lt;&gt;-1,_Media_M + E60*_Sigma,-1)</f>
        <v>63.496470486270823</v>
      </c>
      <c r="G60" s="3">
        <f t="shared" ca="1" si="4"/>
        <v>-1</v>
      </c>
      <c r="H60" s="36">
        <f t="shared" ca="1" si="15"/>
        <v>63.496470486270823</v>
      </c>
      <c r="I60" s="36">
        <f t="shared" ca="1" si="6"/>
        <v>151.13480680175533</v>
      </c>
      <c r="J60" s="35">
        <f t="shared" ca="1" si="16"/>
        <v>214.63127728802615</v>
      </c>
      <c r="K60" s="19">
        <f t="shared" ca="1" si="11"/>
        <v>214.63127728802615</v>
      </c>
      <c r="L60" s="20">
        <f ca="1" xml:space="preserve"> K60*_Precio_cafe</f>
        <v>321.94691593203925</v>
      </c>
      <c r="M60" s="20">
        <f t="shared" ca="1" si="12"/>
        <v>5899.9881804507404</v>
      </c>
      <c r="N60" s="20">
        <f ca="1">IF((N59-K60+Y60)&gt;_Max_Stock_Gramos,_Max_Stock_Gramos,N59-K60+Y60)</f>
        <v>1166.6745463661741</v>
      </c>
      <c r="O60" s="20">
        <f ca="1">N60/_GramosXFrasco</f>
        <v>6.8627914492127893</v>
      </c>
      <c r="P60" s="63">
        <f ca="1">(N60/_Max_Stock_Gramos)</f>
        <v>0.68627914492127895</v>
      </c>
      <c r="Q60" s="63"/>
      <c r="R60" s="10">
        <f ca="1">IF((N59-J60)&lt;0,(N59-J60)*_Costo_Faltante,0)</f>
        <v>0</v>
      </c>
      <c r="S60">
        <f>IF(U60=0,X60*_Costo_Frasco,0)</f>
        <v>0</v>
      </c>
      <c r="T60" s="11">
        <f t="shared" ca="1" si="13"/>
        <v>-2077.8917350768083</v>
      </c>
      <c r="U60" s="10">
        <f>IF(U59=0,_Proxima_Compra,U59-1)</f>
        <v>1</v>
      </c>
      <c r="V60" s="3">
        <f t="shared" ca="1" si="8"/>
        <v>-1</v>
      </c>
      <c r="W60" s="3">
        <f ca="1">IF(W59&gt;0,W59-1,IF(V60&gt;0,LOOKUP(V60,$R$3:$R$5,$O$3:$O$5),-1))</f>
        <v>0</v>
      </c>
      <c r="X60" s="25">
        <f t="shared" ca="1" si="9"/>
        <v>2</v>
      </c>
      <c r="Y60" s="28">
        <f ca="1">X60*_GramosXFrasco</f>
        <v>340</v>
      </c>
    </row>
    <row r="61" spans="1:25" x14ac:dyDescent="0.25">
      <c r="A61" s="30">
        <f t="shared" si="10"/>
        <v>45</v>
      </c>
      <c r="B61" s="38">
        <f t="shared" ca="1" si="0"/>
        <v>0.860681791623788</v>
      </c>
      <c r="C61" s="36">
        <f t="shared" ca="1" si="1"/>
        <v>5.9154387881003134E-2</v>
      </c>
      <c r="D61" s="36">
        <f t="shared" ca="1" si="2"/>
        <v>0.55771036754883718</v>
      </c>
      <c r="E61" s="36">
        <f t="shared" ca="1" si="14"/>
        <v>-0.21517304592166517</v>
      </c>
      <c r="F61" s="37">
        <f ca="1">IF(E61&lt;&gt;-1,_Media_M + E61*_Sigma,-1)</f>
        <v>71.772404311175023</v>
      </c>
      <c r="G61" s="3">
        <f t="shared" ca="1" si="4"/>
        <v>-1</v>
      </c>
      <c r="H61" s="36">
        <f t="shared" ca="1" si="15"/>
        <v>71.772404311175023</v>
      </c>
      <c r="I61" s="36">
        <f t="shared" ca="1" si="6"/>
        <v>12.384116062842534</v>
      </c>
      <c r="J61" s="35">
        <f t="shared" ca="1" si="16"/>
        <v>84.15652037401756</v>
      </c>
      <c r="K61" s="19">
        <f t="shared" ca="1" si="11"/>
        <v>84.15652037401756</v>
      </c>
      <c r="L61" s="20">
        <f ca="1" xml:space="preserve"> K61*_Precio_cafe</f>
        <v>126.23478056102634</v>
      </c>
      <c r="M61" s="20">
        <f t="shared" ca="1" si="12"/>
        <v>6026.2229610117665</v>
      </c>
      <c r="N61" s="20">
        <f ca="1">IF((N60-K61+Y61)&gt;_Max_Stock_Gramos,_Max_Stock_Gramos,N60-K61+Y61)</f>
        <v>1422.5180259921565</v>
      </c>
      <c r="O61" s="20">
        <f ca="1">N61/_GramosXFrasco</f>
        <v>8.3677530940715084</v>
      </c>
      <c r="P61" s="63">
        <f ca="1">(N61/_Max_Stock_Gramos)</f>
        <v>0.83677530940715084</v>
      </c>
      <c r="Q61" s="63"/>
      <c r="R61" s="10">
        <f ca="1">IF((N60-J61)&lt;0,(N60-J61)*_Costo_Faltante,0)</f>
        <v>0</v>
      </c>
      <c r="S61">
        <f ca="1">IF(U61=0,X61*_Costo_Frasco,0)</f>
        <v>-500</v>
      </c>
      <c r="T61" s="11">
        <f t="shared" ca="1" si="13"/>
        <v>-2577.8917350768083</v>
      </c>
      <c r="U61" s="10">
        <f>IF(U60=0,_Proxima_Compra,U60-1)</f>
        <v>0</v>
      </c>
      <c r="V61" s="3">
        <f t="shared" ca="1" si="8"/>
        <v>0.45630595922982575</v>
      </c>
      <c r="W61" s="3">
        <f ca="1">IF(W60&gt;0,W60-1,IF(V61&gt;0,LOOKUP(V61,$R$3:$R$5,$O$3:$O$5),-1))</f>
        <v>0</v>
      </c>
      <c r="X61" s="25">
        <f t="shared" ca="1" si="9"/>
        <v>2</v>
      </c>
      <c r="Y61" s="28">
        <f ca="1">X61*_GramosXFrasco</f>
        <v>340</v>
      </c>
    </row>
    <row r="62" spans="1:25" x14ac:dyDescent="0.25">
      <c r="A62" s="30">
        <f t="shared" si="10"/>
        <v>46</v>
      </c>
      <c r="B62" s="38">
        <f t="shared" ca="1" si="0"/>
        <v>0.62222350294277873</v>
      </c>
      <c r="C62" s="36">
        <f t="shared" ca="1" si="1"/>
        <v>5.7275513110550458E-2</v>
      </c>
      <c r="D62" s="36">
        <f t="shared" ca="1" si="2"/>
        <v>0.16766857458446072</v>
      </c>
      <c r="E62" s="36">
        <f t="shared" ca="1" si="14"/>
        <v>0.1119344967186489</v>
      </c>
      <c r="F62" s="37">
        <f ca="1">IF(E62&lt;&gt;-1,_Media_M + E62*_Sigma,-1)</f>
        <v>76.679017450779739</v>
      </c>
      <c r="G62" s="3">
        <f t="shared" ca="1" si="4"/>
        <v>-1</v>
      </c>
      <c r="H62" s="36">
        <f t="shared" ca="1" si="15"/>
        <v>76.679017450779739</v>
      </c>
      <c r="I62" s="36">
        <f t="shared" ca="1" si="6"/>
        <v>6.132080625727637</v>
      </c>
      <c r="J62" s="35">
        <f t="shared" ca="1" si="16"/>
        <v>82.811098076507378</v>
      </c>
      <c r="K62" s="19">
        <f t="shared" ca="1" si="11"/>
        <v>82.811098076507378</v>
      </c>
      <c r="L62" s="20">
        <f ca="1" xml:space="preserve"> K62*_Precio_cafe</f>
        <v>124.21664711476106</v>
      </c>
      <c r="M62" s="20">
        <f t="shared" ca="1" si="12"/>
        <v>6150.4396081265277</v>
      </c>
      <c r="N62" s="20">
        <f ca="1">IF((N61-K62+Y62)&gt;_Max_Stock_Gramos,_Max_Stock_Gramos,N61-K62+Y62)</f>
        <v>1339.7069279156492</v>
      </c>
      <c r="O62" s="20">
        <f ca="1">N62/_GramosXFrasco</f>
        <v>7.8806289877391134</v>
      </c>
      <c r="P62" s="63">
        <f ca="1">(N62/_Max_Stock_Gramos)</f>
        <v>0.78806289877391134</v>
      </c>
      <c r="Q62" s="63"/>
      <c r="R62" s="10">
        <f ca="1">IF((N61-J62)&lt;0,(N61-J62)*_Costo_Faltante,0)</f>
        <v>0</v>
      </c>
      <c r="S62">
        <f>IF(U62=0,X62*_Costo_Frasco,0)</f>
        <v>0</v>
      </c>
      <c r="T62" s="11">
        <f t="shared" ca="1" si="13"/>
        <v>-2577.8917350768083</v>
      </c>
      <c r="U62" s="10">
        <f>IF(U61=0,_Proxima_Compra,U61-1)</f>
        <v>2</v>
      </c>
      <c r="V62" s="3">
        <f t="shared" ca="1" si="8"/>
        <v>-1</v>
      </c>
      <c r="W62" s="3">
        <f ca="1">IF(W61&gt;0,W61-1,IF(V62&gt;0,LOOKUP(V62,$R$3:$R$5,$O$3:$O$5),-1))</f>
        <v>-1</v>
      </c>
      <c r="X62" s="25">
        <f t="shared" ca="1" si="9"/>
        <v>0</v>
      </c>
      <c r="Y62" s="28">
        <f ca="1">X62*_GramosXFrasco</f>
        <v>0</v>
      </c>
    </row>
    <row r="63" spans="1:25" x14ac:dyDescent="0.25">
      <c r="A63" s="30">
        <f t="shared" si="10"/>
        <v>47</v>
      </c>
      <c r="B63" s="38">
        <f t="shared" ca="1" si="0"/>
        <v>0.67797608115825758</v>
      </c>
      <c r="C63" s="36">
        <f t="shared" ca="1" si="1"/>
        <v>0.78188000178181494</v>
      </c>
      <c r="D63" s="36">
        <f t="shared" ca="1" si="2"/>
        <v>0.95327359644143372</v>
      </c>
      <c r="E63" s="36">
        <f t="shared" ca="1" si="14"/>
        <v>1.1008379619573576</v>
      </c>
      <c r="F63" s="37">
        <f ca="1">IF(E63&lt;&gt;-1,_Media_M + E63*_Sigma,-1)</f>
        <v>91.512569429360369</v>
      </c>
      <c r="G63" s="3">
        <f t="shared" ca="1" si="4"/>
        <v>-1</v>
      </c>
      <c r="H63" s="36">
        <f t="shared" ca="1" si="15"/>
        <v>91.512569429360369</v>
      </c>
      <c r="I63" s="36">
        <f t="shared" ca="1" si="6"/>
        <v>8.5668428709931188</v>
      </c>
      <c r="J63" s="35">
        <f t="shared" ca="1" si="16"/>
        <v>100.07941230035348</v>
      </c>
      <c r="K63" s="19">
        <f t="shared" ca="1" si="11"/>
        <v>100.07941230035348</v>
      </c>
      <c r="L63" s="20">
        <f ca="1" xml:space="preserve"> K63*_Precio_cafe</f>
        <v>150.11911845053021</v>
      </c>
      <c r="M63" s="20">
        <f t="shared" ca="1" si="12"/>
        <v>6300.5587265770582</v>
      </c>
      <c r="N63" s="20">
        <f ca="1">IF((N62-K63+Y63)&gt;_Max_Stock_Gramos,_Max_Stock_Gramos,N62-K63+Y63)</f>
        <v>1239.6275156152958</v>
      </c>
      <c r="O63" s="20">
        <f ca="1">N63/_GramosXFrasco</f>
        <v>7.2919265624429164</v>
      </c>
      <c r="P63" s="63">
        <f ca="1">(N63/_Max_Stock_Gramos)</f>
        <v>0.72919265624429164</v>
      </c>
      <c r="Q63" s="63"/>
      <c r="R63" s="10">
        <f ca="1">IF((N62-J63)&lt;0,(N62-J63)*_Costo_Faltante,0)</f>
        <v>0</v>
      </c>
      <c r="S63">
        <f>IF(U63=0,X63*_Costo_Frasco,0)</f>
        <v>0</v>
      </c>
      <c r="T63" s="11">
        <f t="shared" ca="1" si="13"/>
        <v>-2577.8917350768083</v>
      </c>
      <c r="U63" s="10">
        <f>IF(U62=0,_Proxima_Compra,U62-1)</f>
        <v>1</v>
      </c>
      <c r="V63" s="3">
        <f t="shared" ca="1" si="8"/>
        <v>-1</v>
      </c>
      <c r="W63" s="3">
        <f ca="1">IF(W62&gt;0,W62-1,IF(V63&gt;0,LOOKUP(V63,$R$3:$R$5,$O$3:$O$5),-1))</f>
        <v>-1</v>
      </c>
      <c r="X63" s="25">
        <f t="shared" ca="1" si="9"/>
        <v>0</v>
      </c>
      <c r="Y63" s="28">
        <f ca="1">X63*_GramosXFrasco</f>
        <v>0</v>
      </c>
    </row>
    <row r="64" spans="1:25" x14ac:dyDescent="0.25">
      <c r="A64" s="30">
        <f t="shared" si="10"/>
        <v>48</v>
      </c>
      <c r="B64" s="38">
        <f t="shared" ca="1" si="0"/>
        <v>0.53903876093471659</v>
      </c>
      <c r="C64" s="36">
        <f t="shared" ca="1" si="1"/>
        <v>0.25600974618135919</v>
      </c>
      <c r="D64" s="36">
        <f t="shared" ca="1" si="2"/>
        <v>0.86101707127418259</v>
      </c>
      <c r="E64" s="36">
        <f t="shared" ca="1" si="14"/>
        <v>0.3255475193390005</v>
      </c>
      <c r="F64" s="37">
        <f ca="1">IF(E64&lt;&gt;-1,_Media_M + E64*_Sigma,-1)</f>
        <v>79.883212790085011</v>
      </c>
      <c r="G64" s="3">
        <f t="shared" ca="1" si="4"/>
        <v>-1</v>
      </c>
      <c r="H64" s="36">
        <f t="shared" ca="1" si="15"/>
        <v>79.883212790085011</v>
      </c>
      <c r="I64" s="36">
        <f t="shared" ca="1" si="6"/>
        <v>27.669804790720828</v>
      </c>
      <c r="J64" s="35">
        <f t="shared" ca="1" si="16"/>
        <v>107.55301758080584</v>
      </c>
      <c r="K64" s="19">
        <f t="shared" ca="1" si="11"/>
        <v>107.55301758080584</v>
      </c>
      <c r="L64" s="20">
        <f ca="1" xml:space="preserve"> K64*_Precio_cafe</f>
        <v>161.32952637120877</v>
      </c>
      <c r="M64" s="20">
        <f t="shared" ca="1" si="12"/>
        <v>6461.8882529482671</v>
      </c>
      <c r="N64" s="20">
        <f ca="1">IF((N63-K64+Y64)&gt;_Max_Stock_Gramos,_Max_Stock_Gramos,N63-K64+Y64)</f>
        <v>1472.07449803449</v>
      </c>
      <c r="O64" s="20">
        <f ca="1">N64/_GramosXFrasco</f>
        <v>8.6592617531440599</v>
      </c>
      <c r="P64" s="63">
        <f ca="1">(N64/_Max_Stock_Gramos)</f>
        <v>0.86592617531440585</v>
      </c>
      <c r="Q64" s="63"/>
      <c r="R64" s="10">
        <f ca="1">IF((N63-J64)&lt;0,(N63-J64)*_Costo_Faltante,0)</f>
        <v>0</v>
      </c>
      <c r="S64">
        <f ca="1">IF(U64=0,X64*_Costo_Frasco,0)</f>
        <v>-500</v>
      </c>
      <c r="T64" s="11">
        <f t="shared" ca="1" si="13"/>
        <v>-3077.8917350768083</v>
      </c>
      <c r="U64" s="10">
        <f>IF(U63=0,_Proxima_Compra,U63-1)</f>
        <v>0</v>
      </c>
      <c r="V64" s="3">
        <f t="shared" ca="1" si="8"/>
        <v>0.14161345810082338</v>
      </c>
      <c r="W64" s="3">
        <f ca="1">IF(W63&gt;0,W63-1,IF(V64&gt;0,LOOKUP(V64,$R$3:$R$5,$O$3:$O$5),-1))</f>
        <v>0</v>
      </c>
      <c r="X64" s="25">
        <f t="shared" ca="1" si="9"/>
        <v>2</v>
      </c>
      <c r="Y64" s="28">
        <f ca="1">X64*_GramosXFrasco</f>
        <v>340</v>
      </c>
    </row>
    <row r="65" spans="1:25" x14ac:dyDescent="0.25">
      <c r="A65" s="30">
        <f t="shared" si="10"/>
        <v>49</v>
      </c>
      <c r="B65" s="38">
        <f t="shared" ca="1" si="0"/>
        <v>0.11069105896264753</v>
      </c>
      <c r="C65" s="36">
        <f t="shared" ca="1" si="1"/>
        <v>-1</v>
      </c>
      <c r="D65" s="36">
        <f t="shared" ca="1" si="2"/>
        <v>-1</v>
      </c>
      <c r="E65" s="36">
        <f t="shared" ca="1" si="14"/>
        <v>-1</v>
      </c>
      <c r="F65" s="37">
        <f ca="1">IF(E65&lt;&gt;-1,_Media_M + E65*_Sigma,-1)</f>
        <v>-1</v>
      </c>
      <c r="G65" s="3">
        <f t="shared" ca="1" si="4"/>
        <v>50</v>
      </c>
      <c r="H65" s="36">
        <f t="shared" ca="1" si="15"/>
        <v>50</v>
      </c>
      <c r="I65" s="36">
        <f t="shared" ca="1" si="6"/>
        <v>29.100485198013715</v>
      </c>
      <c r="J65" s="35">
        <f t="shared" ca="1" si="16"/>
        <v>79.100485198013715</v>
      </c>
      <c r="K65" s="19">
        <f t="shared" ca="1" si="11"/>
        <v>79.100485198013715</v>
      </c>
      <c r="L65" s="20">
        <f ca="1" xml:space="preserve"> K65*_Precio_cafe</f>
        <v>118.65072779702058</v>
      </c>
      <c r="M65" s="20">
        <f t="shared" ca="1" si="12"/>
        <v>6580.5389807452875</v>
      </c>
      <c r="N65" s="20">
        <f ca="1">IF((N64-K65+Y65)&gt;_Max_Stock_Gramos,_Max_Stock_Gramos,N64-K65+Y65)</f>
        <v>1392.9740128364763</v>
      </c>
      <c r="O65" s="20">
        <f ca="1">N65/_GramosXFrasco</f>
        <v>8.1939647813910366</v>
      </c>
      <c r="P65" s="63">
        <f ca="1">(N65/_Max_Stock_Gramos)</f>
        <v>0.81939647813910366</v>
      </c>
      <c r="Q65" s="63"/>
      <c r="R65" s="10">
        <f ca="1">IF((N64-J65)&lt;0,(N64-J65)*_Costo_Faltante,0)</f>
        <v>0</v>
      </c>
      <c r="S65">
        <f>IF(U65=0,X65*_Costo_Frasco,0)</f>
        <v>0</v>
      </c>
      <c r="T65" s="11">
        <f t="shared" ca="1" si="13"/>
        <v>-3077.8917350768083</v>
      </c>
      <c r="U65" s="10">
        <f>IF(U64=0,_Proxima_Compra,U64-1)</f>
        <v>2</v>
      </c>
      <c r="V65" s="3">
        <f t="shared" ca="1" si="8"/>
        <v>-1</v>
      </c>
      <c r="W65" s="3">
        <f ca="1">IF(W64&gt;0,W64-1,IF(V65&gt;0,LOOKUP(V65,$R$3:$R$5,$O$3:$O$5),-1))</f>
        <v>-1</v>
      </c>
      <c r="X65" s="25">
        <f t="shared" ca="1" si="9"/>
        <v>0</v>
      </c>
      <c r="Y65" s="28">
        <f ca="1">X65*_GramosXFrasco</f>
        <v>0</v>
      </c>
    </row>
    <row r="66" spans="1:25" x14ac:dyDescent="0.25">
      <c r="A66" s="30">
        <f t="shared" si="10"/>
        <v>50</v>
      </c>
      <c r="B66" s="38">
        <f t="shared" ca="1" si="0"/>
        <v>9.460805643540271E-2</v>
      </c>
      <c r="C66" s="36">
        <f t="shared" ca="1" si="1"/>
        <v>-1</v>
      </c>
      <c r="D66" s="36">
        <f t="shared" ca="1" si="2"/>
        <v>-1</v>
      </c>
      <c r="E66" s="36">
        <f t="shared" ca="1" si="14"/>
        <v>-1</v>
      </c>
      <c r="F66" s="37">
        <f ca="1">IF(E66&lt;&gt;-1,_Media_M + E66*_Sigma,-1)</f>
        <v>-1</v>
      </c>
      <c r="G66" s="3">
        <f t="shared" ca="1" si="4"/>
        <v>50</v>
      </c>
      <c r="H66" s="36">
        <f t="shared" ca="1" si="15"/>
        <v>50</v>
      </c>
      <c r="I66" s="36">
        <f t="shared" ca="1" si="6"/>
        <v>17.556787285173421</v>
      </c>
      <c r="J66" s="35">
        <f t="shared" ca="1" si="16"/>
        <v>67.556787285173414</v>
      </c>
      <c r="K66" s="19">
        <f t="shared" ca="1" si="11"/>
        <v>67.556787285173414</v>
      </c>
      <c r="L66" s="20">
        <f ca="1" xml:space="preserve"> K66*_Precio_cafe</f>
        <v>101.33518092776012</v>
      </c>
      <c r="M66" s="20">
        <f t="shared" ca="1" si="12"/>
        <v>6681.8741616730476</v>
      </c>
      <c r="N66" s="20">
        <f ca="1">IF((N65-K66+Y66)&gt;_Max_Stock_Gramos,_Max_Stock_Gramos,N65-K66+Y66)</f>
        <v>1325.4172255513029</v>
      </c>
      <c r="O66" s="20">
        <f ca="1">N66/_GramosXFrasco</f>
        <v>7.7965719150076636</v>
      </c>
      <c r="P66" s="63">
        <f ca="1">(N66/_Max_Stock_Gramos)</f>
        <v>0.7796571915007664</v>
      </c>
      <c r="Q66" s="63"/>
      <c r="R66" s="10">
        <f ca="1">IF((N65-J66)&lt;0,(N65-J66)*_Costo_Faltante,0)</f>
        <v>0</v>
      </c>
      <c r="S66">
        <f>IF(U66=0,X66*_Costo_Frasco,0)</f>
        <v>0</v>
      </c>
      <c r="T66" s="11">
        <f t="shared" ca="1" si="13"/>
        <v>-3077.8917350768083</v>
      </c>
      <c r="U66" s="10">
        <f>IF(U65=0,_Proxima_Compra,U65-1)</f>
        <v>1</v>
      </c>
      <c r="V66" s="3">
        <f t="shared" ca="1" si="8"/>
        <v>-1</v>
      </c>
      <c r="W66" s="3">
        <f ca="1">IF(W65&gt;0,W65-1,IF(V66&gt;0,LOOKUP(V66,$R$3:$R$5,$O$3:$O$5),-1))</f>
        <v>-1</v>
      </c>
      <c r="X66" s="25">
        <f t="shared" ca="1" si="9"/>
        <v>0</v>
      </c>
      <c r="Y66" s="28">
        <f ca="1">X66*_GramosXFrasco</f>
        <v>0</v>
      </c>
    </row>
    <row r="67" spans="1:25" x14ac:dyDescent="0.25">
      <c r="A67" s="30">
        <f t="shared" si="10"/>
        <v>51</v>
      </c>
      <c r="B67" s="38">
        <f t="shared" ca="1" si="0"/>
        <v>8.1322089156113386E-2</v>
      </c>
      <c r="C67" s="36">
        <f t="shared" ca="1" si="1"/>
        <v>-1</v>
      </c>
      <c r="D67" s="36">
        <f t="shared" ca="1" si="2"/>
        <v>-1</v>
      </c>
      <c r="E67" s="36">
        <f t="shared" ca="1" si="14"/>
        <v>-1</v>
      </c>
      <c r="F67" s="37">
        <f ca="1">IF(E67&lt;&gt;-1,_Media_M + E67*_Sigma,-1)</f>
        <v>-1</v>
      </c>
      <c r="G67" s="3">
        <f t="shared" ca="1" si="4"/>
        <v>50</v>
      </c>
      <c r="H67" s="36">
        <f t="shared" ca="1" si="15"/>
        <v>50</v>
      </c>
      <c r="I67" s="36">
        <f t="shared" ca="1" si="6"/>
        <v>28.688993715000105</v>
      </c>
      <c r="J67" s="35">
        <f t="shared" ca="1" si="16"/>
        <v>78.688993715000109</v>
      </c>
      <c r="K67" s="19">
        <f t="shared" ca="1" si="11"/>
        <v>78.688993715000109</v>
      </c>
      <c r="L67" s="20">
        <f ca="1" xml:space="preserve"> K67*_Precio_cafe</f>
        <v>118.03349057250017</v>
      </c>
      <c r="M67" s="20">
        <f t="shared" ca="1" si="12"/>
        <v>6799.907652245548</v>
      </c>
      <c r="N67" s="20">
        <f ca="1">IF((N66-K67+Y67)&gt;_Max_Stock_Gramos,_Max_Stock_Gramos,N66-K67+Y67)</f>
        <v>1246.7282318363027</v>
      </c>
      <c r="O67" s="20">
        <f ca="1">N67/_GramosXFrasco</f>
        <v>7.3336954813900164</v>
      </c>
      <c r="P67" s="63">
        <f ca="1">(N67/_Max_Stock_Gramos)</f>
        <v>0.73336954813900157</v>
      </c>
      <c r="Q67" s="63"/>
      <c r="R67" s="10">
        <f ca="1">IF((N66-J67)&lt;0,(N66-J67)*_Costo_Faltante,0)</f>
        <v>0</v>
      </c>
      <c r="S67">
        <f ca="1">IF(U67=0,X67*_Costo_Frasco,0)</f>
        <v>0</v>
      </c>
      <c r="T67" s="11">
        <f t="shared" ca="1" si="13"/>
        <v>-3077.8917350768083</v>
      </c>
      <c r="U67" s="10">
        <f>IF(U66=0,_Proxima_Compra,U66-1)</f>
        <v>0</v>
      </c>
      <c r="V67" s="3">
        <f t="shared" ca="1" si="8"/>
        <v>0.50411383162137524</v>
      </c>
      <c r="W67" s="3">
        <f ca="1">IF(W66&gt;0,W66-1,IF(V67&gt;0,LOOKUP(V67,$R$3:$R$5,$O$3:$O$5),-1))</f>
        <v>1</v>
      </c>
      <c r="X67" s="25">
        <f t="shared" ca="1" si="9"/>
        <v>0</v>
      </c>
      <c r="Y67" s="28">
        <f ca="1">X67*_GramosXFrasco</f>
        <v>0</v>
      </c>
    </row>
    <row r="68" spans="1:25" x14ac:dyDescent="0.25">
      <c r="A68" s="30">
        <f t="shared" si="10"/>
        <v>52</v>
      </c>
      <c r="B68" s="38">
        <f t="shared" ca="1" si="0"/>
        <v>0.11091121609181476</v>
      </c>
      <c r="C68" s="36">
        <f t="shared" ca="1" si="1"/>
        <v>-1</v>
      </c>
      <c r="D68" s="36">
        <f t="shared" ca="1" si="2"/>
        <v>-1</v>
      </c>
      <c r="E68" s="36">
        <f t="shared" ca="1" si="14"/>
        <v>-1</v>
      </c>
      <c r="F68" s="37">
        <f ca="1">IF(E68&lt;&gt;-1,_Media_M + E68*_Sigma,-1)</f>
        <v>-1</v>
      </c>
      <c r="G68" s="3">
        <f t="shared" ca="1" si="4"/>
        <v>50</v>
      </c>
      <c r="H68" s="36">
        <f t="shared" ca="1" si="15"/>
        <v>50</v>
      </c>
      <c r="I68" s="36">
        <f t="shared" ca="1" si="6"/>
        <v>16.57839782313037</v>
      </c>
      <c r="J68" s="35">
        <f t="shared" ca="1" si="16"/>
        <v>66.578397823130373</v>
      </c>
      <c r="K68" s="19">
        <f t="shared" ca="1" si="11"/>
        <v>66.578397823130373</v>
      </c>
      <c r="L68" s="20">
        <f ca="1" xml:space="preserve"> K68*_Precio_cafe</f>
        <v>99.867596734695553</v>
      </c>
      <c r="M68" s="20">
        <f t="shared" ca="1" si="12"/>
        <v>6899.7752489802433</v>
      </c>
      <c r="N68" s="20">
        <f ca="1">IF((N67-K68+Y68)&gt;_Max_Stock_Gramos,_Max_Stock_Gramos,N67-K68+Y68)</f>
        <v>1520.1498340131723</v>
      </c>
      <c r="O68" s="20">
        <f ca="1">N68/_GramosXFrasco</f>
        <v>8.9420578471363079</v>
      </c>
      <c r="P68" s="63">
        <f ca="1">(N68/_Max_Stock_Gramos)</f>
        <v>0.89420578471363077</v>
      </c>
      <c r="Q68" s="63"/>
      <c r="R68" s="10">
        <f ca="1">IF((N67-J68)&lt;0,(N67-J68)*_Costo_Faltante,0)</f>
        <v>0</v>
      </c>
      <c r="S68">
        <f>IF(U68=0,X68*_Costo_Frasco,0)</f>
        <v>0</v>
      </c>
      <c r="T68" s="11">
        <f t="shared" ca="1" si="13"/>
        <v>-3077.8917350768083</v>
      </c>
      <c r="U68" s="10">
        <f>IF(U67=0,_Proxima_Compra,U67-1)</f>
        <v>2</v>
      </c>
      <c r="V68" s="3">
        <f t="shared" ca="1" si="8"/>
        <v>-1</v>
      </c>
      <c r="W68" s="3">
        <f ca="1">IF(W67&gt;0,W67-1,IF(V68&gt;0,LOOKUP(V68,$R$3:$R$5,$O$3:$O$5),-1))</f>
        <v>0</v>
      </c>
      <c r="X68" s="25">
        <f t="shared" ca="1" si="9"/>
        <v>2</v>
      </c>
      <c r="Y68" s="28">
        <f ca="1">X68*_GramosXFrasco</f>
        <v>340</v>
      </c>
    </row>
    <row r="69" spans="1:25" x14ac:dyDescent="0.25">
      <c r="A69" s="30">
        <f t="shared" si="10"/>
        <v>53</v>
      </c>
      <c r="B69" s="38">
        <f t="shared" ca="1" si="0"/>
        <v>0.45485960305844464</v>
      </c>
      <c r="C69" s="36">
        <f t="shared" ca="1" si="1"/>
        <v>-1</v>
      </c>
      <c r="D69" s="36">
        <f t="shared" ca="1" si="2"/>
        <v>-1</v>
      </c>
      <c r="E69" s="36">
        <f t="shared" ca="1" si="14"/>
        <v>-1</v>
      </c>
      <c r="F69" s="37">
        <f ca="1">IF(E69&lt;&gt;-1,_Media_M + E69*_Sigma,-1)</f>
        <v>-1</v>
      </c>
      <c r="G69" s="3">
        <f t="shared" ca="1" si="4"/>
        <v>50</v>
      </c>
      <c r="H69" s="36">
        <f t="shared" ca="1" si="15"/>
        <v>50</v>
      </c>
      <c r="I69" s="36">
        <f t="shared" ca="1" si="6"/>
        <v>22.225178951625288</v>
      </c>
      <c r="J69" s="35">
        <f t="shared" ca="1" si="16"/>
        <v>72.225178951625281</v>
      </c>
      <c r="K69" s="19">
        <f t="shared" ca="1" si="11"/>
        <v>72.225178951625281</v>
      </c>
      <c r="L69" s="20">
        <f ca="1" xml:space="preserve"> K69*_Precio_cafe</f>
        <v>108.33776842743792</v>
      </c>
      <c r="M69" s="20">
        <f t="shared" ca="1" si="12"/>
        <v>7008.1130174076816</v>
      </c>
      <c r="N69" s="20">
        <f ca="1">IF((N68-K69+Y69)&gt;_Max_Stock_Gramos,_Max_Stock_Gramos,N68-K69+Y69)</f>
        <v>1447.9246550615469</v>
      </c>
      <c r="O69" s="20">
        <f ca="1">N69/_GramosXFrasco</f>
        <v>8.5172038533032168</v>
      </c>
      <c r="P69" s="63">
        <f ca="1">(N69/_Max_Stock_Gramos)</f>
        <v>0.85172038533032168</v>
      </c>
      <c r="Q69" s="63"/>
      <c r="R69" s="10">
        <f ca="1">IF((N68-J69)&lt;0,(N68-J69)*_Costo_Faltante,0)</f>
        <v>0</v>
      </c>
      <c r="S69">
        <f>IF(U69=0,X69*_Costo_Frasco,0)</f>
        <v>0</v>
      </c>
      <c r="T69" s="11">
        <f t="shared" ca="1" si="13"/>
        <v>-3077.8917350768083</v>
      </c>
      <c r="U69" s="10">
        <f>IF(U68=0,_Proxima_Compra,U68-1)</f>
        <v>1</v>
      </c>
      <c r="V69" s="3">
        <f t="shared" ca="1" si="8"/>
        <v>-1</v>
      </c>
      <c r="W69" s="3">
        <f ca="1">IF(W68&gt;0,W68-1,IF(V69&gt;0,LOOKUP(V69,$R$3:$R$5,$O$3:$O$5),-1))</f>
        <v>-1</v>
      </c>
      <c r="X69" s="25">
        <f t="shared" ca="1" si="9"/>
        <v>0</v>
      </c>
      <c r="Y69" s="28">
        <f ca="1">X69*_GramosXFrasco</f>
        <v>0</v>
      </c>
    </row>
    <row r="70" spans="1:25" x14ac:dyDescent="0.25">
      <c r="A70" s="30">
        <f t="shared" si="10"/>
        <v>54</v>
      </c>
      <c r="B70" s="38">
        <f t="shared" ca="1" si="0"/>
        <v>3.4408440704015719E-2</v>
      </c>
      <c r="C70" s="36">
        <f t="shared" ca="1" si="1"/>
        <v>-1</v>
      </c>
      <c r="D70" s="36">
        <f t="shared" ca="1" si="2"/>
        <v>-1</v>
      </c>
      <c r="E70" s="36">
        <f t="shared" ca="1" si="14"/>
        <v>-1</v>
      </c>
      <c r="F70" s="37">
        <f ca="1">IF(E70&lt;&gt;-1,_Media_M + E70*_Sigma,-1)</f>
        <v>-1</v>
      </c>
      <c r="G70" s="3">
        <f t="shared" ca="1" si="4"/>
        <v>50</v>
      </c>
      <c r="H70" s="36">
        <f t="shared" ca="1" si="15"/>
        <v>50</v>
      </c>
      <c r="I70" s="36">
        <f t="shared" ca="1" si="6"/>
        <v>193.8493947678426</v>
      </c>
      <c r="J70" s="35">
        <f t="shared" ca="1" si="16"/>
        <v>243.8493947678426</v>
      </c>
      <c r="K70" s="19">
        <f t="shared" ca="1" si="11"/>
        <v>243.8493947678426</v>
      </c>
      <c r="L70" s="20">
        <f ca="1" xml:space="preserve"> K70*_Precio_cafe</f>
        <v>365.77409215176391</v>
      </c>
      <c r="M70" s="20">
        <f t="shared" ca="1" si="12"/>
        <v>7373.8871095594459</v>
      </c>
      <c r="N70" s="20">
        <f ca="1">IF((N69-K70+Y70)&gt;_Max_Stock_Gramos,_Max_Stock_Gramos,N69-K70+Y70)</f>
        <v>1204.0752602937043</v>
      </c>
      <c r="O70" s="20">
        <f ca="1">N70/_GramosXFrasco</f>
        <v>7.0827956487864965</v>
      </c>
      <c r="P70" s="63">
        <f ca="1">(N70/_Max_Stock_Gramos)</f>
        <v>0.70827956487864963</v>
      </c>
      <c r="Q70" s="63"/>
      <c r="R70" s="10">
        <f ca="1">IF((N69-J70)&lt;0,(N69-J70)*_Costo_Faltante,0)</f>
        <v>0</v>
      </c>
      <c r="S70">
        <f ca="1">IF(U70=0,X70*_Costo_Frasco,0)</f>
        <v>0</v>
      </c>
      <c r="T70" s="11">
        <f t="shared" ca="1" si="13"/>
        <v>-3077.8917350768083</v>
      </c>
      <c r="U70" s="10">
        <f>IF(U69=0,_Proxima_Compra,U69-1)</f>
        <v>0</v>
      </c>
      <c r="V70" s="3">
        <f t="shared" ca="1" si="8"/>
        <v>0.6683438344237459</v>
      </c>
      <c r="W70" s="3">
        <f ca="1">IF(W69&gt;0,W69-1,IF(V70&gt;0,LOOKUP(V70,$R$3:$R$5,$O$3:$O$5),-1))</f>
        <v>1</v>
      </c>
      <c r="X70" s="25">
        <f t="shared" ca="1" si="9"/>
        <v>0</v>
      </c>
      <c r="Y70" s="28">
        <f ca="1">X70*_GramosXFrasco</f>
        <v>0</v>
      </c>
    </row>
    <row r="71" spans="1:25" x14ac:dyDescent="0.25">
      <c r="A71" s="30">
        <f t="shared" si="10"/>
        <v>55</v>
      </c>
      <c r="B71" s="38">
        <f t="shared" ca="1" si="0"/>
        <v>0.54493702922362541</v>
      </c>
      <c r="C71" s="36">
        <f t="shared" ca="1" si="1"/>
        <v>0.36149380502376094</v>
      </c>
      <c r="D71" s="36">
        <f t="shared" ca="1" si="2"/>
        <v>0.24397952143783219</v>
      </c>
      <c r="E71" s="36">
        <f t="shared" ca="1" si="14"/>
        <v>2.3607807760165144E-2</v>
      </c>
      <c r="F71" s="37">
        <f ca="1">IF(E71&lt;&gt;-1,_Media_M + E71*_Sigma,-1)</f>
        <v>75.354117116402477</v>
      </c>
      <c r="G71" s="3">
        <f t="shared" ca="1" si="4"/>
        <v>-1</v>
      </c>
      <c r="H71" s="36">
        <f t="shared" ca="1" si="15"/>
        <v>75.354117116402477</v>
      </c>
      <c r="I71" s="36">
        <f t="shared" ca="1" si="6"/>
        <v>18.047874919878041</v>
      </c>
      <c r="J71" s="35">
        <f t="shared" ca="1" si="16"/>
        <v>93.401992036280518</v>
      </c>
      <c r="K71" s="19">
        <f t="shared" ca="1" si="11"/>
        <v>93.401992036280518</v>
      </c>
      <c r="L71" s="20">
        <f ca="1" xml:space="preserve"> K71*_Precio_cafe</f>
        <v>140.10298805442079</v>
      </c>
      <c r="M71" s="20">
        <f t="shared" ca="1" si="12"/>
        <v>7513.990097613867</v>
      </c>
      <c r="N71" s="20">
        <f ca="1">IF((N70-K71+Y71)&gt;_Max_Stock_Gramos,_Max_Stock_Gramos,N70-K71+Y71)</f>
        <v>1450.6732682574238</v>
      </c>
      <c r="O71" s="20">
        <f ca="1">N71/_GramosXFrasco</f>
        <v>8.5333721662201398</v>
      </c>
      <c r="P71" s="63">
        <f ca="1">(N71/_Max_Stock_Gramos)</f>
        <v>0.85333721662201401</v>
      </c>
      <c r="Q71" s="63"/>
      <c r="R71" s="10">
        <f ca="1">IF((N70-J71)&lt;0,(N70-J71)*_Costo_Faltante,0)</f>
        <v>0</v>
      </c>
      <c r="S71">
        <f>IF(U71=0,X71*_Costo_Frasco,0)</f>
        <v>0</v>
      </c>
      <c r="T71" s="11">
        <f t="shared" ca="1" si="13"/>
        <v>-3077.8917350768083</v>
      </c>
      <c r="U71" s="10">
        <f>IF(U70=0,_Proxima_Compra,U70-1)</f>
        <v>2</v>
      </c>
      <c r="V71" s="3">
        <f t="shared" ca="1" si="8"/>
        <v>-1</v>
      </c>
      <c r="W71" s="3">
        <f ca="1">IF(W70&gt;0,W70-1,IF(V71&gt;0,LOOKUP(V71,$R$3:$R$5,$O$3:$O$5),-1))</f>
        <v>0</v>
      </c>
      <c r="X71" s="25">
        <f t="shared" ca="1" si="9"/>
        <v>2</v>
      </c>
      <c r="Y71" s="28">
        <f ca="1">X71*_GramosXFrasco</f>
        <v>340</v>
      </c>
    </row>
    <row r="72" spans="1:25" x14ac:dyDescent="0.25">
      <c r="A72" s="30">
        <f t="shared" si="10"/>
        <v>56</v>
      </c>
      <c r="B72" s="38">
        <f t="shared" ca="1" si="0"/>
        <v>0.17203363809330052</v>
      </c>
      <c r="C72" s="36">
        <f t="shared" ca="1" si="1"/>
        <v>-1</v>
      </c>
      <c r="D72" s="36">
        <f t="shared" ca="1" si="2"/>
        <v>-1</v>
      </c>
      <c r="E72" s="36">
        <f t="shared" ca="1" si="14"/>
        <v>-1</v>
      </c>
      <c r="F72" s="37">
        <f ca="1">IF(E72&lt;&gt;-1,_Media_M + E72*_Sigma,-1)</f>
        <v>-1</v>
      </c>
      <c r="G72" s="3">
        <f t="shared" ca="1" si="4"/>
        <v>50</v>
      </c>
      <c r="H72" s="36">
        <f t="shared" ca="1" si="15"/>
        <v>50</v>
      </c>
      <c r="I72" s="36">
        <f t="shared" ca="1" si="6"/>
        <v>27.414220806135535</v>
      </c>
      <c r="J72" s="35">
        <f t="shared" ca="1" si="16"/>
        <v>77.414220806135532</v>
      </c>
      <c r="K72" s="19">
        <f t="shared" ca="1" si="11"/>
        <v>77.414220806135532</v>
      </c>
      <c r="L72" s="20">
        <f ca="1" xml:space="preserve"> K72*_Precio_cafe</f>
        <v>116.1213312092033</v>
      </c>
      <c r="M72" s="20">
        <f t="shared" ca="1" si="12"/>
        <v>7630.1114288230701</v>
      </c>
      <c r="N72" s="20">
        <f ca="1">IF((N71-K72+Y72)&gt;_Max_Stock_Gramos,_Max_Stock_Gramos,N71-K72+Y72)</f>
        <v>1373.2590474512883</v>
      </c>
      <c r="O72" s="20">
        <f ca="1">N72/_GramosXFrasco</f>
        <v>8.0779943967722847</v>
      </c>
      <c r="P72" s="63">
        <f ca="1">(N72/_Max_Stock_Gramos)</f>
        <v>0.80779943967722845</v>
      </c>
      <c r="Q72" s="63"/>
      <c r="R72" s="10">
        <f ca="1">IF((N71-J72)&lt;0,(N71-J72)*_Costo_Faltante,0)</f>
        <v>0</v>
      </c>
      <c r="S72">
        <f>IF(U72=0,X72*_Costo_Frasco,0)</f>
        <v>0</v>
      </c>
      <c r="T72" s="11">
        <f t="shared" ca="1" si="13"/>
        <v>-3077.8917350768083</v>
      </c>
      <c r="U72" s="10">
        <f>IF(U71=0,_Proxima_Compra,U71-1)</f>
        <v>1</v>
      </c>
      <c r="V72" s="3">
        <f t="shared" ca="1" si="8"/>
        <v>-1</v>
      </c>
      <c r="W72" s="3">
        <f ca="1">IF(W71&gt;0,W71-1,IF(V72&gt;0,LOOKUP(V72,$R$3:$R$5,$O$3:$O$5),-1))</f>
        <v>-1</v>
      </c>
      <c r="X72" s="25">
        <f t="shared" ca="1" si="9"/>
        <v>0</v>
      </c>
      <c r="Y72" s="28">
        <f ca="1">X72*_GramosXFrasco</f>
        <v>0</v>
      </c>
    </row>
    <row r="73" spans="1:25" x14ac:dyDescent="0.25">
      <c r="A73" s="30">
        <f t="shared" si="10"/>
        <v>57</v>
      </c>
      <c r="B73" s="38">
        <f t="shared" ca="1" si="0"/>
        <v>0.24289043037659397</v>
      </c>
      <c r="C73" s="36">
        <f t="shared" ca="1" si="1"/>
        <v>-1</v>
      </c>
      <c r="D73" s="36">
        <f t="shared" ca="1" si="2"/>
        <v>-1</v>
      </c>
      <c r="E73" s="36">
        <f t="shared" ca="1" si="14"/>
        <v>-1</v>
      </c>
      <c r="F73" s="37">
        <f ca="1">IF(E73&lt;&gt;-1,_Media_M + E73*_Sigma,-1)</f>
        <v>-1</v>
      </c>
      <c r="G73" s="3">
        <f t="shared" ca="1" si="4"/>
        <v>50</v>
      </c>
      <c r="H73" s="36">
        <f t="shared" ca="1" si="15"/>
        <v>50</v>
      </c>
      <c r="I73" s="36">
        <f t="shared" ca="1" si="6"/>
        <v>44.355886389015772</v>
      </c>
      <c r="J73" s="35">
        <f t="shared" ca="1" si="16"/>
        <v>94.35588638901578</v>
      </c>
      <c r="K73" s="19">
        <f t="shared" ca="1" si="11"/>
        <v>94.35588638901578</v>
      </c>
      <c r="L73" s="20">
        <f ca="1" xml:space="preserve"> K73*_Precio_cafe</f>
        <v>141.53382958352367</v>
      </c>
      <c r="M73" s="20">
        <f t="shared" ca="1" si="12"/>
        <v>7771.6452584065937</v>
      </c>
      <c r="N73" s="20">
        <f ca="1">IF((N72-K73+Y73)&gt;_Max_Stock_Gramos,_Max_Stock_Gramos,N72-K73+Y73)</f>
        <v>1278.9031610622726</v>
      </c>
      <c r="O73" s="20">
        <f ca="1">N73/_GramosXFrasco</f>
        <v>7.5229597709545448</v>
      </c>
      <c r="P73" s="63">
        <f ca="1">(N73/_Max_Stock_Gramos)</f>
        <v>0.75229597709545448</v>
      </c>
      <c r="Q73" s="63"/>
      <c r="R73" s="10">
        <f ca="1">IF((N72-J73)&lt;0,(N72-J73)*_Costo_Faltante,0)</f>
        <v>0</v>
      </c>
      <c r="S73">
        <f ca="1">IF(U73=0,X73*_Costo_Frasco,0)</f>
        <v>0</v>
      </c>
      <c r="T73" s="11">
        <f t="shared" ca="1" si="13"/>
        <v>-3077.8917350768083</v>
      </c>
      <c r="U73" s="10">
        <f>IF(U72=0,_Proxima_Compra,U72-1)</f>
        <v>0</v>
      </c>
      <c r="V73" s="3">
        <f t="shared" ca="1" si="8"/>
        <v>0.80352859932025855</v>
      </c>
      <c r="W73" s="3">
        <f ca="1">IF(W72&gt;0,W72-1,IF(V73&gt;0,LOOKUP(V73,$R$3:$R$5,$O$3:$O$5),-1))</f>
        <v>2</v>
      </c>
      <c r="X73" s="25">
        <f t="shared" ca="1" si="9"/>
        <v>0</v>
      </c>
      <c r="Y73" s="28">
        <f ca="1">X73*_GramosXFrasco</f>
        <v>0</v>
      </c>
    </row>
    <row r="74" spans="1:25" x14ac:dyDescent="0.25">
      <c r="A74" s="30">
        <f t="shared" si="10"/>
        <v>58</v>
      </c>
      <c r="B74" s="38">
        <f t="shared" ca="1" si="0"/>
        <v>0.55559367365073931</v>
      </c>
      <c r="C74" s="36">
        <f t="shared" ca="1" si="1"/>
        <v>0.3207704024514908</v>
      </c>
      <c r="D74" s="36">
        <f t="shared" ca="1" si="2"/>
        <v>0.86892885073248771</v>
      </c>
      <c r="E74" s="36">
        <f t="shared" ca="1" si="14"/>
        <v>0.39392890854252016</v>
      </c>
      <c r="F74" s="37">
        <f ca="1">IF(E74&lt;&gt;-1,_Media_M + E74*_Sigma,-1)</f>
        <v>80.908933628137802</v>
      </c>
      <c r="G74" s="3">
        <f t="shared" ca="1" si="4"/>
        <v>-1</v>
      </c>
      <c r="H74" s="36">
        <f t="shared" ca="1" si="15"/>
        <v>80.908933628137802</v>
      </c>
      <c r="I74" s="36">
        <f t="shared" ca="1" si="6"/>
        <v>14.446163430749873</v>
      </c>
      <c r="J74" s="35">
        <f t="shared" ca="1" si="16"/>
        <v>95.355097058887679</v>
      </c>
      <c r="K74" s="19">
        <f t="shared" ca="1" si="11"/>
        <v>95.355097058887679</v>
      </c>
      <c r="L74" s="20">
        <f ca="1" xml:space="preserve"> K74*_Precio_cafe</f>
        <v>143.03264558833152</v>
      </c>
      <c r="M74" s="20">
        <f t="shared" ca="1" si="12"/>
        <v>7914.6779039949251</v>
      </c>
      <c r="N74" s="20">
        <f ca="1">IF((N73-K74+Y74)&gt;_Max_Stock_Gramos,_Max_Stock_Gramos,N73-K74+Y74)</f>
        <v>1183.548064003385</v>
      </c>
      <c r="O74" s="20">
        <f ca="1">N74/_GramosXFrasco</f>
        <v>6.9620474353140294</v>
      </c>
      <c r="P74" s="63">
        <f ca="1">(N74/_Max_Stock_Gramos)</f>
        <v>0.69620474353140294</v>
      </c>
      <c r="Q74" s="63"/>
      <c r="R74" s="10">
        <f ca="1">IF((N73-J74)&lt;0,(N73-J74)*_Costo_Faltante,0)</f>
        <v>0</v>
      </c>
      <c r="S74">
        <f>IF(U74=0,X74*_Costo_Frasco,0)</f>
        <v>0</v>
      </c>
      <c r="T74" s="11">
        <f t="shared" ca="1" si="13"/>
        <v>-3077.8917350768083</v>
      </c>
      <c r="U74" s="10">
        <f>IF(U73=0,_Proxima_Compra,U73-1)</f>
        <v>2</v>
      </c>
      <c r="V74" s="3">
        <f t="shared" ca="1" si="8"/>
        <v>-1</v>
      </c>
      <c r="W74" s="3">
        <f ca="1">IF(W73&gt;0,W73-1,IF(V74&gt;0,LOOKUP(V74,$R$3:$R$5,$O$3:$O$5),-1))</f>
        <v>1</v>
      </c>
      <c r="X74" s="25">
        <f t="shared" ca="1" si="9"/>
        <v>0</v>
      </c>
      <c r="Y74" s="28">
        <f ca="1">X74*_GramosXFrasco</f>
        <v>0</v>
      </c>
    </row>
    <row r="75" spans="1:25" x14ac:dyDescent="0.25">
      <c r="A75" s="30">
        <f t="shared" si="10"/>
        <v>59</v>
      </c>
      <c r="B75" s="38">
        <f t="shared" ca="1" si="0"/>
        <v>0.86119535808764669</v>
      </c>
      <c r="C75" s="36">
        <f t="shared" ca="1" si="1"/>
        <v>8.6695453322538363E-2</v>
      </c>
      <c r="D75" s="36">
        <f t="shared" ca="1" si="2"/>
        <v>0.17152980066322077</v>
      </c>
      <c r="E75" s="36">
        <f t="shared" ca="1" si="14"/>
        <v>0.13283768036397584</v>
      </c>
      <c r="F75" s="37">
        <f ca="1">IF(E75&lt;&gt;-1,_Media_M + E75*_Sigma,-1)</f>
        <v>76.992565205459641</v>
      </c>
      <c r="G75" s="3">
        <f t="shared" ca="1" si="4"/>
        <v>-1</v>
      </c>
      <c r="H75" s="36">
        <f t="shared" ca="1" si="15"/>
        <v>76.992565205459641</v>
      </c>
      <c r="I75" s="36">
        <f t="shared" ca="1" si="6"/>
        <v>33.57952718287526</v>
      </c>
      <c r="J75" s="35">
        <f t="shared" ca="1" si="16"/>
        <v>110.57209238833491</v>
      </c>
      <c r="K75" s="19">
        <f t="shared" ca="1" si="11"/>
        <v>110.57209238833491</v>
      </c>
      <c r="L75" s="20">
        <f ca="1" xml:space="preserve"> K75*_Precio_cafe</f>
        <v>165.85813858250236</v>
      </c>
      <c r="M75" s="20">
        <f t="shared" ca="1" si="12"/>
        <v>8080.5360425774279</v>
      </c>
      <c r="N75" s="20">
        <f ca="1">IF((N74-K75+Y75)&gt;_Max_Stock_Gramos,_Max_Stock_Gramos,N74-K75+Y75)</f>
        <v>1412.9759716150502</v>
      </c>
      <c r="O75" s="20">
        <f ca="1">N75/_GramosXFrasco</f>
        <v>8.3116233624414715</v>
      </c>
      <c r="P75" s="63">
        <f ca="1">(N75/_Max_Stock_Gramos)</f>
        <v>0.83116233624414715</v>
      </c>
      <c r="Q75" s="63"/>
      <c r="R75" s="10">
        <f ca="1">IF((N74-J75)&lt;0,(N74-J75)*_Costo_Faltante,0)</f>
        <v>0</v>
      </c>
      <c r="S75">
        <f>IF(U75=0,X75*_Costo_Frasco,0)</f>
        <v>0</v>
      </c>
      <c r="T75" s="11">
        <f t="shared" ca="1" si="13"/>
        <v>-3077.8917350768083</v>
      </c>
      <c r="U75" s="10">
        <f>IF(U74=0,_Proxima_Compra,U74-1)</f>
        <v>1</v>
      </c>
      <c r="V75" s="3">
        <f t="shared" ca="1" si="8"/>
        <v>-1</v>
      </c>
      <c r="W75" s="3">
        <f ca="1">IF(W74&gt;0,W74-1,IF(V75&gt;0,LOOKUP(V75,$R$3:$R$5,$O$3:$O$5),-1))</f>
        <v>0</v>
      </c>
      <c r="X75" s="25">
        <f t="shared" ca="1" si="9"/>
        <v>2</v>
      </c>
      <c r="Y75" s="28">
        <f ca="1">X75*_GramosXFrasco</f>
        <v>340</v>
      </c>
    </row>
    <row r="76" spans="1:25" x14ac:dyDescent="0.25">
      <c r="A76" s="30">
        <f t="shared" si="10"/>
        <v>60</v>
      </c>
      <c r="B76" s="38">
        <f t="shared" ca="1" si="0"/>
        <v>0.98106792292271838</v>
      </c>
      <c r="C76" s="36">
        <f t="shared" ca="1" si="1"/>
        <v>0.56986118959540666</v>
      </c>
      <c r="D76" s="36">
        <f t="shared" ca="1" si="2"/>
        <v>0.83549676828013952</v>
      </c>
      <c r="E76" s="36">
        <f t="shared" ca="1" si="14"/>
        <v>0.43805104567906034</v>
      </c>
      <c r="F76" s="37">
        <f ca="1">IF(E76&lt;&gt;-1,_Media_M + E76*_Sigma,-1)</f>
        <v>81.570765685185904</v>
      </c>
      <c r="G76" s="3">
        <f t="shared" ca="1" si="4"/>
        <v>-1</v>
      </c>
      <c r="H76" s="36">
        <f t="shared" ca="1" si="15"/>
        <v>81.570765685185904</v>
      </c>
      <c r="I76" s="36">
        <f t="shared" ca="1" si="6"/>
        <v>1.7241565892178157</v>
      </c>
      <c r="J76" s="35">
        <f t="shared" ca="1" si="16"/>
        <v>83.294922274403717</v>
      </c>
      <c r="K76" s="19">
        <f t="shared" ca="1" si="11"/>
        <v>83.294922274403717</v>
      </c>
      <c r="L76" s="20">
        <f ca="1" xml:space="preserve"> K76*_Precio_cafe</f>
        <v>124.94238341160558</v>
      </c>
      <c r="M76" s="20">
        <f t="shared" ca="1" si="12"/>
        <v>8205.478425989033</v>
      </c>
      <c r="N76" s="20">
        <f ca="1">IF((N75-K76+Y76)&gt;_Max_Stock_Gramos,_Max_Stock_Gramos,N75-K76+Y76)</f>
        <v>1329.6810493406465</v>
      </c>
      <c r="O76" s="20">
        <f ca="1">N76/_GramosXFrasco</f>
        <v>7.821653231415568</v>
      </c>
      <c r="P76" s="63">
        <f ca="1">(N76/_Max_Stock_Gramos)</f>
        <v>0.78216532314155673</v>
      </c>
      <c r="Q76" s="63"/>
      <c r="R76" s="10">
        <f ca="1">IF((N75-J76)&lt;0,(N75-J76)*_Costo_Faltante,0)</f>
        <v>0</v>
      </c>
      <c r="S76">
        <f ca="1">IF(U76=0,X76*_Costo_Frasco,0)</f>
        <v>0</v>
      </c>
      <c r="T76" s="11">
        <f t="shared" ca="1" si="13"/>
        <v>-3077.8917350768083</v>
      </c>
      <c r="U76" s="10">
        <f>IF(U75=0,_Proxima_Compra,U75-1)</f>
        <v>0</v>
      </c>
      <c r="V76" s="3">
        <f t="shared" ca="1" si="8"/>
        <v>0.54449230071723032</v>
      </c>
      <c r="W76" s="3">
        <f ca="1">IF(W75&gt;0,W75-1,IF(V76&gt;0,LOOKUP(V76,$R$3:$R$5,$O$3:$O$5),-1))</f>
        <v>1</v>
      </c>
      <c r="X76" s="25">
        <f t="shared" ca="1" si="9"/>
        <v>0</v>
      </c>
      <c r="Y76" s="28">
        <f ca="1">X76*_GramosXFrasco</f>
        <v>0</v>
      </c>
    </row>
    <row r="77" spans="1:25" x14ac:dyDescent="0.25">
      <c r="A77" s="30">
        <f t="shared" si="10"/>
        <v>61</v>
      </c>
      <c r="B77" s="38">
        <f t="shared" ca="1" si="0"/>
        <v>0.97200641612526339</v>
      </c>
      <c r="C77" s="36">
        <f t="shared" ca="1" si="1"/>
        <v>0.17496181660064825</v>
      </c>
      <c r="D77" s="36">
        <f t="shared" ca="1" si="2"/>
        <v>0.38878476842759402</v>
      </c>
      <c r="E77" s="36">
        <f t="shared" ca="1" si="14"/>
        <v>-0.31292561732698093</v>
      </c>
      <c r="F77" s="37">
        <f ca="1">IF(E77&lt;&gt;-1,_Media_M + E77*_Sigma,-1)</f>
        <v>70.306115740095279</v>
      </c>
      <c r="G77" s="3">
        <f t="shared" ca="1" si="4"/>
        <v>-1</v>
      </c>
      <c r="H77" s="36">
        <f t="shared" ca="1" si="15"/>
        <v>70.306115740095279</v>
      </c>
      <c r="I77" s="36">
        <f t="shared" ca="1" si="6"/>
        <v>17.491507774437167</v>
      </c>
      <c r="J77" s="35">
        <f t="shared" ca="1" si="16"/>
        <v>87.797623514532447</v>
      </c>
      <c r="K77" s="19">
        <f t="shared" ca="1" si="11"/>
        <v>87.797623514532447</v>
      </c>
      <c r="L77" s="20">
        <f ca="1" xml:space="preserve"> K77*_Precio_cafe</f>
        <v>131.69643527179866</v>
      </c>
      <c r="M77" s="20">
        <f t="shared" ca="1" si="12"/>
        <v>8337.1748612608317</v>
      </c>
      <c r="N77" s="20">
        <f ca="1">IF((N76-K77+Y77)&gt;_Max_Stock_Gramos,_Max_Stock_Gramos,N76-K77+Y77)</f>
        <v>1581.883425826114</v>
      </c>
      <c r="O77" s="20">
        <f ca="1">N77/_GramosXFrasco</f>
        <v>9.3051966225065534</v>
      </c>
      <c r="P77" s="63">
        <f ca="1">(N77/_Max_Stock_Gramos)</f>
        <v>0.9305196622506553</v>
      </c>
      <c r="Q77" s="63"/>
      <c r="R77" s="10">
        <f ca="1">IF((N76-J77)&lt;0,(N76-J77)*_Costo_Faltante,0)</f>
        <v>0</v>
      </c>
      <c r="S77">
        <f>IF(U77=0,X77*_Costo_Frasco,0)</f>
        <v>0</v>
      </c>
      <c r="T77" s="11">
        <f t="shared" ca="1" si="13"/>
        <v>-3077.8917350768083</v>
      </c>
      <c r="U77" s="10">
        <f>IF(U76=0,_Proxima_Compra,U76-1)</f>
        <v>2</v>
      </c>
      <c r="V77" s="3">
        <f t="shared" ca="1" si="8"/>
        <v>-1</v>
      </c>
      <c r="W77" s="3">
        <f ca="1">IF(W76&gt;0,W76-1,IF(V77&gt;0,LOOKUP(V77,$R$3:$R$5,$O$3:$O$5),-1))</f>
        <v>0</v>
      </c>
      <c r="X77" s="25">
        <f t="shared" ca="1" si="9"/>
        <v>2</v>
      </c>
      <c r="Y77" s="28">
        <f ca="1">X77*_GramosXFrasco</f>
        <v>340</v>
      </c>
    </row>
    <row r="78" spans="1:25" x14ac:dyDescent="0.25">
      <c r="A78" s="30">
        <f t="shared" si="10"/>
        <v>62</v>
      </c>
      <c r="B78" s="38">
        <f t="shared" ca="1" si="0"/>
        <v>0.28914564506421581</v>
      </c>
      <c r="C78" s="36">
        <f t="shared" ca="1" si="1"/>
        <v>-1</v>
      </c>
      <c r="D78" s="36">
        <f t="shared" ca="1" si="2"/>
        <v>-1</v>
      </c>
      <c r="E78" s="36">
        <f t="shared" ca="1" si="14"/>
        <v>-1</v>
      </c>
      <c r="F78" s="37">
        <f ca="1">IF(E78&lt;&gt;-1,_Media_M + E78*_Sigma,-1)</f>
        <v>-1</v>
      </c>
      <c r="G78" s="3">
        <f t="shared" ca="1" si="4"/>
        <v>50</v>
      </c>
      <c r="H78" s="36">
        <f t="shared" ca="1" si="15"/>
        <v>50</v>
      </c>
      <c r="I78" s="36">
        <f t="shared" ca="1" si="6"/>
        <v>34.978498039130798</v>
      </c>
      <c r="J78" s="35">
        <f t="shared" ca="1" si="16"/>
        <v>84.978498039130798</v>
      </c>
      <c r="K78" s="19">
        <f t="shared" ca="1" si="11"/>
        <v>84.978498039130798</v>
      </c>
      <c r="L78" s="20">
        <f ca="1" xml:space="preserve"> K78*_Precio_cafe</f>
        <v>127.4677470586962</v>
      </c>
      <c r="M78" s="20">
        <f t="shared" ca="1" si="12"/>
        <v>8464.6426083195274</v>
      </c>
      <c r="N78" s="20">
        <f ca="1">IF((N77-K78+Y78)&gt;_Max_Stock_Gramos,_Max_Stock_Gramos,N77-K78+Y78)</f>
        <v>1496.9049277869833</v>
      </c>
      <c r="O78" s="20">
        <f ca="1">N78/_GramosXFrasco</f>
        <v>8.8053231046293128</v>
      </c>
      <c r="P78" s="63">
        <f ca="1">(N78/_Max_Stock_Gramos)</f>
        <v>0.88053231046293134</v>
      </c>
      <c r="Q78" s="63"/>
      <c r="R78" s="10">
        <f ca="1">IF((N77-J78)&lt;0,(N77-J78)*_Costo_Faltante,0)</f>
        <v>0</v>
      </c>
      <c r="S78">
        <f>IF(U78=0,X78*_Costo_Frasco,0)</f>
        <v>0</v>
      </c>
      <c r="T78" s="11">
        <f t="shared" ca="1" si="13"/>
        <v>-3077.8917350768083</v>
      </c>
      <c r="U78" s="10">
        <f>IF(U77=0,_Proxima_Compra,U77-1)</f>
        <v>1</v>
      </c>
      <c r="V78" s="3">
        <f t="shared" ca="1" si="8"/>
        <v>-1</v>
      </c>
      <c r="W78" s="3">
        <f ca="1">IF(W77&gt;0,W77-1,IF(V78&gt;0,LOOKUP(V78,$R$3:$R$5,$O$3:$O$5),-1))</f>
        <v>-1</v>
      </c>
      <c r="X78" s="25">
        <f t="shared" ca="1" si="9"/>
        <v>0</v>
      </c>
      <c r="Y78" s="28">
        <f ca="1">X78*_GramosXFrasco</f>
        <v>0</v>
      </c>
    </row>
    <row r="79" spans="1:25" x14ac:dyDescent="0.25">
      <c r="A79" s="30">
        <f t="shared" si="10"/>
        <v>63</v>
      </c>
      <c r="B79" s="38">
        <f t="shared" ca="1" si="0"/>
        <v>0.42889343913647016</v>
      </c>
      <c r="C79" s="36">
        <f t="shared" ca="1" si="1"/>
        <v>-1</v>
      </c>
      <c r="D79" s="36">
        <f t="shared" ca="1" si="2"/>
        <v>-1</v>
      </c>
      <c r="E79" s="36">
        <f t="shared" ca="1" si="14"/>
        <v>-1</v>
      </c>
      <c r="F79" s="37">
        <f ca="1">IF(E79&lt;&gt;-1,_Media_M + E79*_Sigma,-1)</f>
        <v>-1</v>
      </c>
      <c r="G79" s="3">
        <f t="shared" ca="1" si="4"/>
        <v>50</v>
      </c>
      <c r="H79" s="36">
        <f t="shared" ca="1" si="15"/>
        <v>50</v>
      </c>
      <c r="I79" s="36">
        <f t="shared" ca="1" si="6"/>
        <v>51.765663370421798</v>
      </c>
      <c r="J79" s="35">
        <f t="shared" ca="1" si="16"/>
        <v>101.76566337042181</v>
      </c>
      <c r="K79" s="19">
        <f t="shared" ca="1" si="11"/>
        <v>101.76566337042181</v>
      </c>
      <c r="L79" s="20">
        <f ca="1" xml:space="preserve"> K79*_Precio_cafe</f>
        <v>152.64849505563271</v>
      </c>
      <c r="M79" s="20">
        <f t="shared" ca="1" si="12"/>
        <v>8617.2911033751607</v>
      </c>
      <c r="N79" s="20">
        <f ca="1">IF((N78-K79+Y79)&gt;_Max_Stock_Gramos,_Max_Stock_Gramos,N78-K79+Y79)</f>
        <v>1395.1392644165614</v>
      </c>
      <c r="O79" s="20">
        <f ca="1">N79/_GramosXFrasco</f>
        <v>8.2067015553915379</v>
      </c>
      <c r="P79" s="63">
        <f ca="1">(N79/_Max_Stock_Gramos)</f>
        <v>0.82067015553915379</v>
      </c>
      <c r="Q79" s="63"/>
      <c r="R79" s="10">
        <f ca="1">IF((N78-J79)&lt;0,(N78-J79)*_Costo_Faltante,0)</f>
        <v>0</v>
      </c>
      <c r="S79">
        <f ca="1">IF(U79=0,X79*_Costo_Frasco,0)</f>
        <v>0</v>
      </c>
      <c r="T79" s="11">
        <f t="shared" ca="1" si="13"/>
        <v>-3077.8917350768083</v>
      </c>
      <c r="U79" s="10">
        <f>IF(U78=0,_Proxima_Compra,U78-1)</f>
        <v>0</v>
      </c>
      <c r="V79" s="3">
        <f t="shared" ca="1" si="8"/>
        <v>0.87616879096988465</v>
      </c>
      <c r="W79" s="3">
        <f ca="1">IF(W78&gt;0,W78-1,IF(V79&gt;0,LOOKUP(V79,$R$3:$R$5,$O$3:$O$5),-1))</f>
        <v>2</v>
      </c>
      <c r="X79" s="25">
        <f t="shared" ca="1" si="9"/>
        <v>0</v>
      </c>
      <c r="Y79" s="28">
        <f ca="1">X79*_GramosXFrasco</f>
        <v>0</v>
      </c>
    </row>
    <row r="80" spans="1:25" x14ac:dyDescent="0.25">
      <c r="A80" s="30">
        <f t="shared" si="10"/>
        <v>64</v>
      </c>
      <c r="B80" s="38">
        <f t="shared" ca="1" si="0"/>
        <v>0.97377822991613039</v>
      </c>
      <c r="C80" s="36">
        <f t="shared" ca="1" si="1"/>
        <v>0.94181792748936455</v>
      </c>
      <c r="D80" s="36">
        <f t="shared" ca="1" si="2"/>
        <v>0.28091481787865402</v>
      </c>
      <c r="E80" s="36">
        <f t="shared" ca="1" si="14"/>
        <v>-0.30338746259879223</v>
      </c>
      <c r="F80" s="37">
        <f ca="1">IF(E80&lt;&gt;-1,_Media_M + E80*_Sigma,-1)</f>
        <v>70.44918806101812</v>
      </c>
      <c r="G80" s="3">
        <f t="shared" ca="1" si="4"/>
        <v>-1</v>
      </c>
      <c r="H80" s="36">
        <f t="shared" ca="1" si="15"/>
        <v>70.44918806101812</v>
      </c>
      <c r="I80" s="36">
        <f t="shared" ca="1" si="6"/>
        <v>0.65082964722771575</v>
      </c>
      <c r="J80" s="35">
        <f t="shared" ca="1" si="16"/>
        <v>71.100017708245829</v>
      </c>
      <c r="K80" s="19">
        <f t="shared" ca="1" si="11"/>
        <v>71.100017708245829</v>
      </c>
      <c r="L80" s="20">
        <f ca="1" xml:space="preserve"> K80*_Precio_cafe</f>
        <v>106.65002656236874</v>
      </c>
      <c r="M80" s="20">
        <f t="shared" ca="1" si="12"/>
        <v>8723.9411299375297</v>
      </c>
      <c r="N80" s="20">
        <f ca="1">IF((N79-K80+Y80)&gt;_Max_Stock_Gramos,_Max_Stock_Gramos,N79-K80+Y80)</f>
        <v>1324.0392467083157</v>
      </c>
      <c r="O80" s="20">
        <f ca="1">N80/_GramosXFrasco</f>
        <v>7.7884661571077389</v>
      </c>
      <c r="P80" s="63">
        <f ca="1">(N80/_Max_Stock_Gramos)</f>
        <v>0.77884661571077396</v>
      </c>
      <c r="Q80" s="63"/>
      <c r="R80" s="10">
        <f ca="1">IF((N79-J80)&lt;0,(N79-J80)*_Costo_Faltante,0)</f>
        <v>0</v>
      </c>
      <c r="S80">
        <f>IF(U80=0,X80*_Costo_Frasco,0)</f>
        <v>0</v>
      </c>
      <c r="T80" s="11">
        <f t="shared" ca="1" si="13"/>
        <v>-3077.8917350768083</v>
      </c>
      <c r="U80" s="10">
        <f>IF(U79=0,_Proxima_Compra,U79-1)</f>
        <v>2</v>
      </c>
      <c r="V80" s="3">
        <f t="shared" ca="1" si="8"/>
        <v>-1</v>
      </c>
      <c r="W80" s="3">
        <f ca="1">IF(W79&gt;0,W79-1,IF(V80&gt;0,LOOKUP(V80,$R$3:$R$5,$O$3:$O$5),-1))</f>
        <v>1</v>
      </c>
      <c r="X80" s="25">
        <f t="shared" ca="1" si="9"/>
        <v>0</v>
      </c>
      <c r="Y80" s="28">
        <f ca="1">X80*_GramosXFrasco</f>
        <v>0</v>
      </c>
    </row>
    <row r="81" spans="1:25" x14ac:dyDescent="0.25">
      <c r="A81" s="30">
        <f t="shared" si="10"/>
        <v>65</v>
      </c>
      <c r="B81" s="38">
        <f t="shared" ref="B81:B144" ca="1" si="17">RAND()</f>
        <v>0.46369777479124941</v>
      </c>
      <c r="C81" s="36">
        <f t="shared" ref="C81:C144" ca="1" si="18">IF(B81&gt;0.5,RAND(),-1)</f>
        <v>-1</v>
      </c>
      <c r="D81" s="36">
        <f t="shared" ref="D81:D144" ca="1" si="19">IF(B81&gt;0.5,RAND(),-1)</f>
        <v>-1</v>
      </c>
      <c r="E81" s="36">
        <f t="shared" ca="1" si="14"/>
        <v>-1</v>
      </c>
      <c r="F81" s="37">
        <f ca="1">IF(E81&lt;&gt;-1,_Media_M + E81*_Sigma,-1)</f>
        <v>-1</v>
      </c>
      <c r="G81" s="3">
        <f t="shared" ref="G81:G144" ca="1" si="20">IF(F81=-1,50,-1)</f>
        <v>50</v>
      </c>
      <c r="H81" s="36">
        <f t="shared" ca="1" si="15"/>
        <v>50</v>
      </c>
      <c r="I81" s="36">
        <f t="shared" ref="I81:I144" ca="1" si="21">(-1/(1/70)*(LOG(1-RAND())))</f>
        <v>30.980542024017328</v>
      </c>
      <c r="J81" s="35">
        <f t="shared" ca="1" si="16"/>
        <v>80.980542024017325</v>
      </c>
      <c r="K81" s="19">
        <f t="shared" ca="1" si="11"/>
        <v>80.980542024017325</v>
      </c>
      <c r="L81" s="20">
        <f ca="1" xml:space="preserve"> K81*_Precio_cafe</f>
        <v>121.47081303602599</v>
      </c>
      <c r="M81" s="20">
        <f t="shared" ca="1" si="12"/>
        <v>8845.4119429735565</v>
      </c>
      <c r="N81" s="20">
        <f ca="1">IF((N80-K81+Y81)&gt;_Max_Stock_Gramos,_Max_Stock_Gramos,N80-K81+Y81)</f>
        <v>1583.0587046842984</v>
      </c>
      <c r="O81" s="20">
        <f ca="1">N81/_GramosXFrasco</f>
        <v>9.3121100275546969</v>
      </c>
      <c r="P81" s="63">
        <f ca="1">(N81/_Max_Stock_Gramos)</f>
        <v>0.93121100275546964</v>
      </c>
      <c r="Q81" s="63"/>
      <c r="R81" s="10">
        <f ca="1">IF((N80-J81)&lt;0,(N80-J81)*_Costo_Faltante,0)</f>
        <v>0</v>
      </c>
      <c r="S81">
        <f>IF(U81=0,X81*_Costo_Frasco,0)</f>
        <v>0</v>
      </c>
      <c r="T81" s="11">
        <f t="shared" ca="1" si="13"/>
        <v>-3077.8917350768083</v>
      </c>
      <c r="U81" s="10">
        <f>IF(U80=0,_Proxima_Compra,U80-1)</f>
        <v>1</v>
      </c>
      <c r="V81" s="3">
        <f t="shared" ref="V81:V144" ca="1" si="22">IF(U81=0,RAND(),-1)</f>
        <v>-1</v>
      </c>
      <c r="W81" s="3">
        <f ca="1">IF(W80&gt;0,W80-1,IF(V81&gt;0,LOOKUP(V81,$R$3:$R$5,$O$3:$O$5),-1))</f>
        <v>0</v>
      </c>
      <c r="X81" s="25">
        <f t="shared" ref="X81:X144" ca="1" si="23">IF(W81=0,2,)</f>
        <v>2</v>
      </c>
      <c r="Y81" s="28">
        <f ca="1">X81*_GramosXFrasco</f>
        <v>340</v>
      </c>
    </row>
    <row r="82" spans="1:25" x14ac:dyDescent="0.25">
      <c r="A82" s="30">
        <f t="shared" ref="A82:A145" si="24">A81+1</f>
        <v>66</v>
      </c>
      <c r="B82" s="38">
        <f t="shared" ca="1" si="17"/>
        <v>0.36096707669557215</v>
      </c>
      <c r="C82" s="36">
        <f t="shared" ca="1" si="18"/>
        <v>-1</v>
      </c>
      <c r="D82" s="36">
        <f t="shared" ca="1" si="19"/>
        <v>-1</v>
      </c>
      <c r="E82" s="36">
        <f t="shared" ca="1" si="14"/>
        <v>-1</v>
      </c>
      <c r="F82" s="37">
        <f ca="1">IF(E82&lt;&gt;-1,_Media_M + E82*_Sigma,-1)</f>
        <v>-1</v>
      </c>
      <c r="G82" s="3">
        <f t="shared" ca="1" si="20"/>
        <v>50</v>
      </c>
      <c r="H82" s="36">
        <f t="shared" ca="1" si="15"/>
        <v>50</v>
      </c>
      <c r="I82" s="36">
        <f t="shared" ca="1" si="21"/>
        <v>23.951658003222004</v>
      </c>
      <c r="J82" s="35">
        <f t="shared" ca="1" si="16"/>
        <v>73.951658003222008</v>
      </c>
      <c r="K82" s="19">
        <f t="shared" ref="K82:K145" ca="1" si="25">IF(J82&lt;N81,J82,N81)</f>
        <v>73.951658003222008</v>
      </c>
      <c r="L82" s="20">
        <f ca="1" xml:space="preserve"> K82*_Precio_cafe</f>
        <v>110.92748700483301</v>
      </c>
      <c r="M82" s="20">
        <f t="shared" ref="M82:M145" ca="1" si="26">L82+M81</f>
        <v>8956.3394299783904</v>
      </c>
      <c r="N82" s="20">
        <f ca="1">IF((N81-K82+Y82)&gt;_Max_Stock_Gramos,_Max_Stock_Gramos,N81-K82+Y82)</f>
        <v>1509.1070466810763</v>
      </c>
      <c r="O82" s="20">
        <f ca="1">N82/_GramosXFrasco</f>
        <v>8.8771002745945662</v>
      </c>
      <c r="P82" s="63">
        <f ca="1">(N82/_Max_Stock_Gramos)</f>
        <v>0.88771002745945671</v>
      </c>
      <c r="Q82" s="63"/>
      <c r="R82" s="10">
        <f ca="1">IF((N81-J82)&lt;0,(N81-J82)*_Costo_Faltante,0)</f>
        <v>0</v>
      </c>
      <c r="S82">
        <f ca="1">IF(U82=0,X82*_Costo_Frasco,0)</f>
        <v>0</v>
      </c>
      <c r="T82" s="11">
        <f t="shared" ref="T82:T145" ca="1" si="27">R82+S82+T81</f>
        <v>-3077.8917350768083</v>
      </c>
      <c r="U82" s="10">
        <f>IF(U81=0,_Proxima_Compra,U81-1)</f>
        <v>0</v>
      </c>
      <c r="V82" s="3">
        <f t="shared" ca="1" si="22"/>
        <v>0.55314411927944995</v>
      </c>
      <c r="W82" s="3">
        <f ca="1">IF(W81&gt;0,W81-1,IF(V82&gt;0,LOOKUP(V82,$R$3:$R$5,$O$3:$O$5),-1))</f>
        <v>1</v>
      </c>
      <c r="X82" s="25">
        <f t="shared" ca="1" si="23"/>
        <v>0</v>
      </c>
      <c r="Y82" s="28">
        <f ca="1">X82*_GramosXFrasco</f>
        <v>0</v>
      </c>
    </row>
    <row r="83" spans="1:25" x14ac:dyDescent="0.25">
      <c r="A83" s="30">
        <f t="shared" si="24"/>
        <v>67</v>
      </c>
      <c r="B83" s="38">
        <f t="shared" ca="1" si="17"/>
        <v>0.57856192584133448</v>
      </c>
      <c r="C83" s="36">
        <f t="shared" ca="1" si="18"/>
        <v>0.12914799140577549</v>
      </c>
      <c r="D83" s="36">
        <f t="shared" ca="1" si="19"/>
        <v>0.41316583217628355</v>
      </c>
      <c r="E83" s="36">
        <f t="shared" ca="1" si="14"/>
        <v>-0.29625512056351655</v>
      </c>
      <c r="F83" s="37">
        <f ca="1">IF(E83&lt;&gt;-1,_Media_M + E83*_Sigma,-1)</f>
        <v>70.556173191547259</v>
      </c>
      <c r="G83" s="3">
        <f t="shared" ca="1" si="20"/>
        <v>-1</v>
      </c>
      <c r="H83" s="36">
        <f t="shared" ca="1" si="15"/>
        <v>70.556173191547259</v>
      </c>
      <c r="I83" s="36">
        <f t="shared" ca="1" si="21"/>
        <v>21.483787884202918</v>
      </c>
      <c r="J83" s="35">
        <f t="shared" ca="1" si="16"/>
        <v>92.03996107575017</v>
      </c>
      <c r="K83" s="19">
        <f t="shared" ca="1" si="25"/>
        <v>92.03996107575017</v>
      </c>
      <c r="L83" s="20">
        <f ca="1" xml:space="preserve"> K83*_Precio_cafe</f>
        <v>138.05994161362526</v>
      </c>
      <c r="M83" s="20">
        <f t="shared" ca="1" si="26"/>
        <v>9094.3993715920151</v>
      </c>
      <c r="N83" s="20">
        <f ca="1">IF((N82-K83+Y83)&gt;_Max_Stock_Gramos,_Max_Stock_Gramos,N82-K83+Y83)</f>
        <v>1700</v>
      </c>
      <c r="O83" s="20">
        <f ca="1">N83/_GramosXFrasco</f>
        <v>10</v>
      </c>
      <c r="P83" s="63">
        <f ca="1">(N83/_Max_Stock_Gramos)</f>
        <v>1</v>
      </c>
      <c r="Q83" s="63"/>
      <c r="R83" s="10">
        <f ca="1">IF((N82-J83)&lt;0,(N82-J83)*_Costo_Faltante,0)</f>
        <v>0</v>
      </c>
      <c r="S83">
        <f>IF(U83=0,X83*_Costo_Frasco,0)</f>
        <v>0</v>
      </c>
      <c r="T83" s="11">
        <f t="shared" ca="1" si="27"/>
        <v>-3077.8917350768083</v>
      </c>
      <c r="U83" s="10">
        <f>IF(U82=0,_Proxima_Compra,U82-1)</f>
        <v>2</v>
      </c>
      <c r="V83" s="3">
        <f t="shared" ca="1" si="22"/>
        <v>-1</v>
      </c>
      <c r="W83" s="3">
        <f ca="1">IF(W82&gt;0,W82-1,IF(V83&gt;0,LOOKUP(V83,$R$3:$R$5,$O$3:$O$5),-1))</f>
        <v>0</v>
      </c>
      <c r="X83" s="25">
        <f t="shared" ca="1" si="23"/>
        <v>2</v>
      </c>
      <c r="Y83" s="28">
        <f ca="1">X83*_GramosXFrasco</f>
        <v>340</v>
      </c>
    </row>
    <row r="84" spans="1:25" x14ac:dyDescent="0.25">
      <c r="A84" s="30">
        <f t="shared" si="24"/>
        <v>68</v>
      </c>
      <c r="B84" s="38">
        <f t="shared" ca="1" si="17"/>
        <v>0.83515141953067917</v>
      </c>
      <c r="C84" s="36">
        <f t="shared" ca="1" si="18"/>
        <v>0.39148763563157174</v>
      </c>
      <c r="D84" s="36">
        <f t="shared" ca="1" si="19"/>
        <v>0.73303886167830068</v>
      </c>
      <c r="E84" s="36">
        <f t="shared" ca="1" si="14"/>
        <v>-6.9868812277567707E-2</v>
      </c>
      <c r="F84" s="37">
        <f ca="1">IF(E84&lt;&gt;-1,_Media_M + E84*_Sigma,-1)</f>
        <v>73.951967815836483</v>
      </c>
      <c r="G84" s="3">
        <f t="shared" ca="1" si="20"/>
        <v>-1</v>
      </c>
      <c r="H84" s="36">
        <f t="shared" ca="1" si="15"/>
        <v>73.951967815836483</v>
      </c>
      <c r="I84" s="36">
        <f t="shared" ca="1" si="21"/>
        <v>144.67557764928671</v>
      </c>
      <c r="J84" s="35">
        <f t="shared" ca="1" si="16"/>
        <v>218.62754546512321</v>
      </c>
      <c r="K84" s="19">
        <f t="shared" ca="1" si="25"/>
        <v>218.62754546512321</v>
      </c>
      <c r="L84" s="20">
        <f ca="1" xml:space="preserve"> K84*_Precio_cafe</f>
        <v>327.94131819768484</v>
      </c>
      <c r="M84" s="20">
        <f t="shared" ca="1" si="26"/>
        <v>9422.3406897897003</v>
      </c>
      <c r="N84" s="20">
        <f ca="1">IF((N83-K84+Y84)&gt;_Max_Stock_Gramos,_Max_Stock_Gramos,N83-K84+Y84)</f>
        <v>1481.3724545348769</v>
      </c>
      <c r="O84" s="20">
        <f ca="1">N84/_GramosXFrasco</f>
        <v>8.7139556149110398</v>
      </c>
      <c r="P84" s="63">
        <f ca="1">(N84/_Max_Stock_Gramos)</f>
        <v>0.87139556149110398</v>
      </c>
      <c r="Q84" s="63"/>
      <c r="R84" s="10">
        <f ca="1">IF((N83-J84)&lt;0,(N83-J84)*_Costo_Faltante,0)</f>
        <v>0</v>
      </c>
      <c r="S84">
        <f>IF(U84=0,X84*_Costo_Frasco,0)</f>
        <v>0</v>
      </c>
      <c r="T84" s="11">
        <f t="shared" ca="1" si="27"/>
        <v>-3077.8917350768083</v>
      </c>
      <c r="U84" s="10">
        <f>IF(U83=0,_Proxima_Compra,U83-1)</f>
        <v>1</v>
      </c>
      <c r="V84" s="3">
        <f t="shared" ca="1" si="22"/>
        <v>-1</v>
      </c>
      <c r="W84" s="3">
        <f ca="1">IF(W83&gt;0,W83-1,IF(V84&gt;0,LOOKUP(V84,$R$3:$R$5,$O$3:$O$5),-1))</f>
        <v>-1</v>
      </c>
      <c r="X84" s="25">
        <f t="shared" ca="1" si="23"/>
        <v>0</v>
      </c>
      <c r="Y84" s="28">
        <f ca="1">X84*_GramosXFrasco</f>
        <v>0</v>
      </c>
    </row>
    <row r="85" spans="1:25" x14ac:dyDescent="0.25">
      <c r="A85" s="30">
        <f t="shared" si="24"/>
        <v>69</v>
      </c>
      <c r="B85" s="38">
        <f t="shared" ca="1" si="17"/>
        <v>0.50349614010694066</v>
      </c>
      <c r="C85" s="36">
        <f t="shared" ca="1" si="18"/>
        <v>0.85196612858269194</v>
      </c>
      <c r="D85" s="36">
        <f t="shared" ca="1" si="19"/>
        <v>2.1311802291033577E-2</v>
      </c>
      <c r="E85" s="36">
        <f t="shared" ca="1" si="14"/>
        <v>1.2765982142604759</v>
      </c>
      <c r="F85" s="37">
        <f ca="1">IF(E85&lt;&gt;-1,_Media_M + E85*_Sigma,-1)</f>
        <v>94.148973213907141</v>
      </c>
      <c r="G85" s="3">
        <f t="shared" ca="1" si="20"/>
        <v>-1</v>
      </c>
      <c r="H85" s="36">
        <f t="shared" ca="1" si="15"/>
        <v>94.148973213907141</v>
      </c>
      <c r="I85" s="36">
        <f t="shared" ca="1" si="21"/>
        <v>115.93874254065729</v>
      </c>
      <c r="J85" s="35">
        <f t="shared" ca="1" si="16"/>
        <v>210.08771575456444</v>
      </c>
      <c r="K85" s="19">
        <f t="shared" ca="1" si="25"/>
        <v>210.08771575456444</v>
      </c>
      <c r="L85" s="20">
        <f ca="1" xml:space="preserve"> K85*_Precio_cafe</f>
        <v>315.13157363184666</v>
      </c>
      <c r="M85" s="20">
        <f t="shared" ca="1" si="26"/>
        <v>9737.4722634215468</v>
      </c>
      <c r="N85" s="20">
        <f ca="1">IF((N84-K85+Y85)&gt;_Max_Stock_Gramos,_Max_Stock_Gramos,N84-K85+Y85)</f>
        <v>1611.2847387803124</v>
      </c>
      <c r="O85" s="20">
        <f ca="1">N85/_GramosXFrasco</f>
        <v>9.4781455222371314</v>
      </c>
      <c r="P85" s="63">
        <f ca="1">(N85/_Max_Stock_Gramos)</f>
        <v>0.94781455222371314</v>
      </c>
      <c r="Q85" s="63"/>
      <c r="R85" s="10">
        <f ca="1">IF((N84-J85)&lt;0,(N84-J85)*_Costo_Faltante,0)</f>
        <v>0</v>
      </c>
      <c r="S85">
        <f ca="1">IF(U85=0,X85*_Costo_Frasco,0)</f>
        <v>-500</v>
      </c>
      <c r="T85" s="11">
        <f t="shared" ca="1" si="27"/>
        <v>-3577.8917350768083</v>
      </c>
      <c r="U85" s="10">
        <f>IF(U84=0,_Proxima_Compra,U84-1)</f>
        <v>0</v>
      </c>
      <c r="V85" s="3">
        <f t="shared" ca="1" si="22"/>
        <v>0.24559019895064116</v>
      </c>
      <c r="W85" s="3">
        <f ca="1">IF(W84&gt;0,W84-1,IF(V85&gt;0,LOOKUP(V85,$R$3:$R$5,$O$3:$O$5),-1))</f>
        <v>0</v>
      </c>
      <c r="X85" s="25">
        <f t="shared" ca="1" si="23"/>
        <v>2</v>
      </c>
      <c r="Y85" s="28">
        <f ca="1">X85*_GramosXFrasco</f>
        <v>340</v>
      </c>
    </row>
    <row r="86" spans="1:25" x14ac:dyDescent="0.25">
      <c r="A86" s="30">
        <f t="shared" si="24"/>
        <v>70</v>
      </c>
      <c r="B86" s="38">
        <f t="shared" ca="1" si="17"/>
        <v>0.66134335358639729</v>
      </c>
      <c r="C86" s="36">
        <f t="shared" ca="1" si="18"/>
        <v>6.7882121183653665E-2</v>
      </c>
      <c r="D86" s="36">
        <f t="shared" ca="1" si="19"/>
        <v>0.69430908970456739</v>
      </c>
      <c r="E86" s="36">
        <f t="shared" ca="1" si="14"/>
        <v>-8.4710561801763937E-2</v>
      </c>
      <c r="F86" s="37">
        <f ca="1">IF(E86&lt;&gt;-1,_Media_M + E86*_Sigma,-1)</f>
        <v>73.729341572973539</v>
      </c>
      <c r="G86" s="3">
        <f t="shared" ca="1" si="20"/>
        <v>-1</v>
      </c>
      <c r="H86" s="36">
        <f t="shared" ca="1" si="15"/>
        <v>73.729341572973539</v>
      </c>
      <c r="I86" s="36">
        <f t="shared" ca="1" si="21"/>
        <v>27.860023848408698</v>
      </c>
      <c r="J86" s="35">
        <f t="shared" ca="1" si="16"/>
        <v>101.58936542138224</v>
      </c>
      <c r="K86" s="19">
        <f t="shared" ca="1" si="25"/>
        <v>101.58936542138224</v>
      </c>
      <c r="L86" s="20">
        <f ca="1" xml:space="preserve"> K86*_Precio_cafe</f>
        <v>152.38404813207336</v>
      </c>
      <c r="M86" s="20">
        <f t="shared" ca="1" si="26"/>
        <v>9889.8563115536199</v>
      </c>
      <c r="N86" s="20">
        <f ca="1">IF((N85-K86+Y86)&gt;_Max_Stock_Gramos,_Max_Stock_Gramos,N85-K86+Y86)</f>
        <v>1509.6953733589303</v>
      </c>
      <c r="O86" s="20">
        <f ca="1">N86/_GramosXFrasco</f>
        <v>8.8805610197584137</v>
      </c>
      <c r="P86" s="63">
        <f ca="1">(N86/_Max_Stock_Gramos)</f>
        <v>0.88805610197584139</v>
      </c>
      <c r="Q86" s="63"/>
      <c r="R86" s="10">
        <f ca="1">IF((N85-J86)&lt;0,(N85-J86)*_Costo_Faltante,0)</f>
        <v>0</v>
      </c>
      <c r="S86">
        <f>IF(U86=0,X86*_Costo_Frasco,0)</f>
        <v>0</v>
      </c>
      <c r="T86" s="11">
        <f t="shared" ca="1" si="27"/>
        <v>-3577.8917350768083</v>
      </c>
      <c r="U86" s="10">
        <f>IF(U85=0,_Proxima_Compra,U85-1)</f>
        <v>2</v>
      </c>
      <c r="V86" s="3">
        <f t="shared" ca="1" si="22"/>
        <v>-1</v>
      </c>
      <c r="W86" s="3">
        <f ca="1">IF(W85&gt;0,W85-1,IF(V86&gt;0,LOOKUP(V86,$R$3:$R$5,$O$3:$O$5),-1))</f>
        <v>-1</v>
      </c>
      <c r="X86" s="25">
        <f t="shared" ca="1" si="23"/>
        <v>0</v>
      </c>
      <c r="Y86" s="28">
        <f ca="1">X86*_GramosXFrasco</f>
        <v>0</v>
      </c>
    </row>
    <row r="87" spans="1:25" x14ac:dyDescent="0.25">
      <c r="A87" s="30">
        <f t="shared" si="24"/>
        <v>71</v>
      </c>
      <c r="B87" s="38">
        <f t="shared" ca="1" si="17"/>
        <v>0.83645871900997459</v>
      </c>
      <c r="C87" s="36">
        <f t="shared" ca="1" si="18"/>
        <v>0.39697461944193402</v>
      </c>
      <c r="D87" s="36">
        <f t="shared" ca="1" si="19"/>
        <v>0.74041341185926635</v>
      </c>
      <c r="E87" s="36">
        <f t="shared" ca="1" si="14"/>
        <v>-3.9900297690713259E-2</v>
      </c>
      <c r="F87" s="37">
        <f ca="1">IF(E87&lt;&gt;-1,_Media_M + E87*_Sigma,-1)</f>
        <v>74.401495534639295</v>
      </c>
      <c r="G87" s="3">
        <f t="shared" ca="1" si="20"/>
        <v>-1</v>
      </c>
      <c r="H87" s="36">
        <f t="shared" ca="1" si="15"/>
        <v>74.401495534639295</v>
      </c>
      <c r="I87" s="36">
        <f t="shared" ca="1" si="21"/>
        <v>5.7998612234184348</v>
      </c>
      <c r="J87" s="35">
        <f t="shared" ca="1" si="16"/>
        <v>80.201356758057727</v>
      </c>
      <c r="K87" s="19">
        <f t="shared" ca="1" si="25"/>
        <v>80.201356758057727</v>
      </c>
      <c r="L87" s="20">
        <f ca="1" xml:space="preserve"> K87*_Precio_cafe</f>
        <v>120.30203513708659</v>
      </c>
      <c r="M87" s="20">
        <f t="shared" ca="1" si="26"/>
        <v>10010.158346690707</v>
      </c>
      <c r="N87" s="20">
        <f ca="1">IF((N86-K87+Y87)&gt;_Max_Stock_Gramos,_Max_Stock_Gramos,N86-K87+Y87)</f>
        <v>1429.4940166008726</v>
      </c>
      <c r="O87" s="20">
        <f ca="1">N87/_GramosXFrasco</f>
        <v>8.40878833294631</v>
      </c>
      <c r="P87" s="63">
        <f ca="1">(N87/_Max_Stock_Gramos)</f>
        <v>0.84087883329463087</v>
      </c>
      <c r="Q87" s="63"/>
      <c r="R87" s="10">
        <f ca="1">IF((N86-J87)&lt;0,(N86-J87)*_Costo_Faltante,0)</f>
        <v>0</v>
      </c>
      <c r="S87">
        <f>IF(U87=0,X87*_Costo_Frasco,0)</f>
        <v>0</v>
      </c>
      <c r="T87" s="11">
        <f t="shared" ca="1" si="27"/>
        <v>-3577.8917350768083</v>
      </c>
      <c r="U87" s="10">
        <f>IF(U86=0,_Proxima_Compra,U86-1)</f>
        <v>1</v>
      </c>
      <c r="V87" s="3">
        <f t="shared" ca="1" si="22"/>
        <v>-1</v>
      </c>
      <c r="W87" s="3">
        <f ca="1">IF(W86&gt;0,W86-1,IF(V87&gt;0,LOOKUP(V87,$R$3:$R$5,$O$3:$O$5),-1))</f>
        <v>-1</v>
      </c>
      <c r="X87" s="25">
        <f t="shared" ca="1" si="23"/>
        <v>0</v>
      </c>
      <c r="Y87" s="28">
        <f ca="1">X87*_GramosXFrasco</f>
        <v>0</v>
      </c>
    </row>
    <row r="88" spans="1:25" x14ac:dyDescent="0.25">
      <c r="A88" s="30">
        <f t="shared" si="24"/>
        <v>72</v>
      </c>
      <c r="B88" s="38">
        <f t="shared" ca="1" si="17"/>
        <v>0.64436222776683771</v>
      </c>
      <c r="C88" s="36">
        <f t="shared" ca="1" si="18"/>
        <v>0.88226509310224266</v>
      </c>
      <c r="D88" s="36">
        <f t="shared" ca="1" si="19"/>
        <v>0.1928520201775038</v>
      </c>
      <c r="E88" s="36">
        <f t="shared" ca="1" si="14"/>
        <v>0.47901916247965876</v>
      </c>
      <c r="F88" s="37">
        <f ca="1">IF(E88&lt;&gt;-1,_Media_M + E88*_Sigma,-1)</f>
        <v>82.185287437194887</v>
      </c>
      <c r="G88" s="3">
        <f t="shared" ca="1" si="20"/>
        <v>-1</v>
      </c>
      <c r="H88" s="36">
        <f t="shared" ca="1" si="15"/>
        <v>82.185287437194887</v>
      </c>
      <c r="I88" s="36">
        <f t="shared" ca="1" si="21"/>
        <v>2.6189978710425446</v>
      </c>
      <c r="J88" s="35">
        <f t="shared" ca="1" si="16"/>
        <v>84.804285308237425</v>
      </c>
      <c r="K88" s="19">
        <f t="shared" ca="1" si="25"/>
        <v>84.804285308237425</v>
      </c>
      <c r="L88" s="20">
        <f ca="1" xml:space="preserve"> K88*_Precio_cafe</f>
        <v>127.20642796235614</v>
      </c>
      <c r="M88" s="20">
        <f t="shared" ca="1" si="26"/>
        <v>10137.364774653062</v>
      </c>
      <c r="N88" s="20">
        <f ca="1">IF((N87-K88+Y88)&gt;_Max_Stock_Gramos,_Max_Stock_Gramos,N87-K88+Y88)</f>
        <v>1684.6897312926351</v>
      </c>
      <c r="O88" s="20">
        <f ca="1">N88/_GramosXFrasco</f>
        <v>9.9099395958390293</v>
      </c>
      <c r="P88" s="63">
        <f ca="1">(N88/_Max_Stock_Gramos)</f>
        <v>0.99099395958390302</v>
      </c>
      <c r="Q88" s="63"/>
      <c r="R88" s="10">
        <f ca="1">IF((N87-J88)&lt;0,(N87-J88)*_Costo_Faltante,0)</f>
        <v>0</v>
      </c>
      <c r="S88">
        <f ca="1">IF(U88=0,X88*_Costo_Frasco,0)</f>
        <v>-500</v>
      </c>
      <c r="T88" s="11">
        <f t="shared" ca="1" si="27"/>
        <v>-4077.8917350768083</v>
      </c>
      <c r="U88" s="10">
        <f>IF(U87=0,_Proxima_Compra,U87-1)</f>
        <v>0</v>
      </c>
      <c r="V88" s="3">
        <f t="shared" ca="1" si="22"/>
        <v>1.1378174916567452E-2</v>
      </c>
      <c r="W88" s="3">
        <f ca="1">IF(W87&gt;0,W87-1,IF(V88&gt;0,LOOKUP(V88,$R$3:$R$5,$O$3:$O$5),-1))</f>
        <v>0</v>
      </c>
      <c r="X88" s="25">
        <f t="shared" ca="1" si="23"/>
        <v>2</v>
      </c>
      <c r="Y88" s="28">
        <f ca="1">X88*_GramosXFrasco</f>
        <v>340</v>
      </c>
    </row>
    <row r="89" spans="1:25" x14ac:dyDescent="0.25">
      <c r="A89" s="30">
        <f t="shared" si="24"/>
        <v>73</v>
      </c>
      <c r="B89" s="38">
        <f t="shared" ca="1" si="17"/>
        <v>0.79239495894149314</v>
      </c>
      <c r="C89" s="36">
        <f t="shared" ca="1" si="18"/>
        <v>0.57315691599742102</v>
      </c>
      <c r="D89" s="36">
        <f t="shared" ca="1" si="19"/>
        <v>0.5640721898401293</v>
      </c>
      <c r="E89" s="36">
        <f t="shared" ca="1" si="14"/>
        <v>-0.79117362171654448</v>
      </c>
      <c r="F89" s="37">
        <f ca="1">IF(E89&lt;&gt;-1,_Media_M + E89*_Sigma,-1)</f>
        <v>63.132395674251832</v>
      </c>
      <c r="G89" s="3">
        <f t="shared" ca="1" si="20"/>
        <v>-1</v>
      </c>
      <c r="H89" s="36">
        <f t="shared" ca="1" si="15"/>
        <v>63.132395674251832</v>
      </c>
      <c r="I89" s="36">
        <f t="shared" ca="1" si="21"/>
        <v>15.120204205465946</v>
      </c>
      <c r="J89" s="35">
        <f t="shared" ca="1" si="16"/>
        <v>78.252599879717778</v>
      </c>
      <c r="K89" s="19">
        <f t="shared" ca="1" si="25"/>
        <v>78.252599879717778</v>
      </c>
      <c r="L89" s="20">
        <f ca="1" xml:space="preserve"> K89*_Precio_cafe</f>
        <v>117.37889981957667</v>
      </c>
      <c r="M89" s="20">
        <f t="shared" ca="1" si="26"/>
        <v>10254.743674472638</v>
      </c>
      <c r="N89" s="20">
        <f ca="1">IF((N88-K89+Y89)&gt;_Max_Stock_Gramos,_Max_Stock_Gramos,N88-K89+Y89)</f>
        <v>1606.4371314129173</v>
      </c>
      <c r="O89" s="20">
        <f ca="1">N89/_GramosXFrasco</f>
        <v>9.4496301847818671</v>
      </c>
      <c r="P89" s="63">
        <f ca="1">(N89/_Max_Stock_Gramos)</f>
        <v>0.94496301847818664</v>
      </c>
      <c r="Q89" s="63"/>
      <c r="R89" s="10">
        <f ca="1">IF((N88-J89)&lt;0,(N88-J89)*_Costo_Faltante,0)</f>
        <v>0</v>
      </c>
      <c r="S89">
        <f>IF(U89=0,X89*_Costo_Frasco,0)</f>
        <v>0</v>
      </c>
      <c r="T89" s="11">
        <f t="shared" ca="1" si="27"/>
        <v>-4077.8917350768083</v>
      </c>
      <c r="U89" s="10">
        <f>IF(U88=0,_Proxima_Compra,U88-1)</f>
        <v>2</v>
      </c>
      <c r="V89" s="3">
        <f t="shared" ca="1" si="22"/>
        <v>-1</v>
      </c>
      <c r="W89" s="3">
        <f ca="1">IF(W88&gt;0,W88-1,IF(V89&gt;0,LOOKUP(V89,$R$3:$R$5,$O$3:$O$5),-1))</f>
        <v>-1</v>
      </c>
      <c r="X89" s="25">
        <f t="shared" ca="1" si="23"/>
        <v>0</v>
      </c>
      <c r="Y89" s="28">
        <f ca="1">X89*_GramosXFrasco</f>
        <v>0</v>
      </c>
    </row>
    <row r="90" spans="1:25" x14ac:dyDescent="0.25">
      <c r="A90" s="30">
        <f t="shared" si="24"/>
        <v>74</v>
      </c>
      <c r="B90" s="38">
        <f t="shared" ca="1" si="17"/>
        <v>0.78832514257617914</v>
      </c>
      <c r="C90" s="36">
        <f t="shared" ca="1" si="18"/>
        <v>0.33601218473098315</v>
      </c>
      <c r="D90" s="36">
        <f t="shared" ca="1" si="19"/>
        <v>0.83849082760436522</v>
      </c>
      <c r="E90" s="36">
        <f t="shared" ca="1" si="14"/>
        <v>0.31477203776498652</v>
      </c>
      <c r="F90" s="37">
        <f ca="1">IF(E90&lt;&gt;-1,_Media_M + E90*_Sigma,-1)</f>
        <v>79.721580566474799</v>
      </c>
      <c r="G90" s="3">
        <f t="shared" ca="1" si="20"/>
        <v>-1</v>
      </c>
      <c r="H90" s="36">
        <f t="shared" ca="1" si="15"/>
        <v>79.721580566474799</v>
      </c>
      <c r="I90" s="36">
        <f t="shared" ca="1" si="21"/>
        <v>101.71580302940259</v>
      </c>
      <c r="J90" s="35">
        <f t="shared" ca="1" si="16"/>
        <v>181.43738359587741</v>
      </c>
      <c r="K90" s="19">
        <f t="shared" ca="1" si="25"/>
        <v>181.43738359587741</v>
      </c>
      <c r="L90" s="20">
        <f ca="1" xml:space="preserve"> K90*_Precio_cafe</f>
        <v>272.15607539381608</v>
      </c>
      <c r="M90" s="20">
        <f t="shared" ca="1" si="26"/>
        <v>10526.899749866454</v>
      </c>
      <c r="N90" s="20">
        <f ca="1">IF((N89-K90+Y90)&gt;_Max_Stock_Gramos,_Max_Stock_Gramos,N89-K90+Y90)</f>
        <v>1424.9997478170399</v>
      </c>
      <c r="O90" s="20">
        <f ca="1">N90/_GramosXFrasco</f>
        <v>8.3823514577472942</v>
      </c>
      <c r="P90" s="63">
        <f ca="1">(N90/_Max_Stock_Gramos)</f>
        <v>0.83823514577472935</v>
      </c>
      <c r="Q90" s="63"/>
      <c r="R90" s="10">
        <f ca="1">IF((N89-J90)&lt;0,(N89-J90)*_Costo_Faltante,0)</f>
        <v>0</v>
      </c>
      <c r="S90">
        <f>IF(U90=0,X90*_Costo_Frasco,0)</f>
        <v>0</v>
      </c>
      <c r="T90" s="11">
        <f t="shared" ca="1" si="27"/>
        <v>-4077.8917350768083</v>
      </c>
      <c r="U90" s="10">
        <f>IF(U89=0,_Proxima_Compra,U89-1)</f>
        <v>1</v>
      </c>
      <c r="V90" s="3">
        <f t="shared" ca="1" si="22"/>
        <v>-1</v>
      </c>
      <c r="W90" s="3">
        <f ca="1">IF(W89&gt;0,W89-1,IF(V90&gt;0,LOOKUP(V90,$R$3:$R$5,$O$3:$O$5),-1))</f>
        <v>-1</v>
      </c>
      <c r="X90" s="25">
        <f t="shared" ca="1" si="23"/>
        <v>0</v>
      </c>
      <c r="Y90" s="28">
        <f ca="1">X90*_GramosXFrasco</f>
        <v>0</v>
      </c>
    </row>
    <row r="91" spans="1:25" x14ac:dyDescent="0.25">
      <c r="A91" s="30">
        <f t="shared" si="24"/>
        <v>75</v>
      </c>
      <c r="B91" s="38">
        <f t="shared" ca="1" si="17"/>
        <v>6.4151416141005835E-2</v>
      </c>
      <c r="C91" s="36">
        <f t="shared" ca="1" si="18"/>
        <v>-1</v>
      </c>
      <c r="D91" s="36">
        <f t="shared" ca="1" si="19"/>
        <v>-1</v>
      </c>
      <c r="E91" s="36">
        <f t="shared" ca="1" si="14"/>
        <v>-1</v>
      </c>
      <c r="F91" s="37">
        <f ca="1">IF(E91&lt;&gt;-1,_Media_M + E91*_Sigma,-1)</f>
        <v>-1</v>
      </c>
      <c r="G91" s="3">
        <f t="shared" ca="1" si="20"/>
        <v>50</v>
      </c>
      <c r="H91" s="36">
        <f t="shared" ca="1" si="15"/>
        <v>50</v>
      </c>
      <c r="I91" s="36">
        <f t="shared" ca="1" si="21"/>
        <v>53.661863758184452</v>
      </c>
      <c r="J91" s="35">
        <f t="shared" ca="1" si="16"/>
        <v>103.66186375818445</v>
      </c>
      <c r="K91" s="19">
        <f t="shared" ca="1" si="25"/>
        <v>103.66186375818445</v>
      </c>
      <c r="L91" s="20">
        <f ca="1" xml:space="preserve"> K91*_Precio_cafe</f>
        <v>155.49279563727669</v>
      </c>
      <c r="M91" s="20">
        <f t="shared" ca="1" si="26"/>
        <v>10682.392545503732</v>
      </c>
      <c r="N91" s="20">
        <f ca="1">IF((N90-K91+Y91)&gt;_Max_Stock_Gramos,_Max_Stock_Gramos,N90-K91+Y91)</f>
        <v>1661.3378840588555</v>
      </c>
      <c r="O91" s="20">
        <f ca="1">N91/_GramosXFrasco</f>
        <v>9.7725757885815021</v>
      </c>
      <c r="P91" s="63">
        <f ca="1">(N91/_Max_Stock_Gramos)</f>
        <v>0.97725757885815023</v>
      </c>
      <c r="Q91" s="63"/>
      <c r="R91" s="10">
        <f ca="1">IF((N90-J91)&lt;0,(N90-J91)*_Costo_Faltante,0)</f>
        <v>0</v>
      </c>
      <c r="S91">
        <f ca="1">IF(U91=0,X91*_Costo_Frasco,0)</f>
        <v>-500</v>
      </c>
      <c r="T91" s="11">
        <f t="shared" ca="1" si="27"/>
        <v>-4577.8917350768079</v>
      </c>
      <c r="U91" s="10">
        <f>IF(U90=0,_Proxima_Compra,U90-1)</f>
        <v>0</v>
      </c>
      <c r="V91" s="3">
        <f t="shared" ca="1" si="22"/>
        <v>0.46714468782432106</v>
      </c>
      <c r="W91" s="3">
        <f ca="1">IF(W90&gt;0,W90-1,IF(V91&gt;0,LOOKUP(V91,$R$3:$R$5,$O$3:$O$5),-1))</f>
        <v>0</v>
      </c>
      <c r="X91" s="25">
        <f t="shared" ca="1" si="23"/>
        <v>2</v>
      </c>
      <c r="Y91" s="28">
        <f ca="1">X91*_GramosXFrasco</f>
        <v>340</v>
      </c>
    </row>
    <row r="92" spans="1:25" x14ac:dyDescent="0.25">
      <c r="A92" s="30">
        <f t="shared" si="24"/>
        <v>76</v>
      </c>
      <c r="B92" s="38">
        <f t="shared" ca="1" si="17"/>
        <v>4.5748908006655653E-2</v>
      </c>
      <c r="C92" s="36">
        <f t="shared" ca="1" si="18"/>
        <v>-1</v>
      </c>
      <c r="D92" s="36">
        <f t="shared" ca="1" si="19"/>
        <v>-1</v>
      </c>
      <c r="E92" s="36">
        <f t="shared" ca="1" si="14"/>
        <v>-1</v>
      </c>
      <c r="F92" s="37">
        <f ca="1">IF(E92&lt;&gt;-1,_Media_M + E92*_Sigma,-1)</f>
        <v>-1</v>
      </c>
      <c r="G92" s="3">
        <f t="shared" ca="1" si="20"/>
        <v>50</v>
      </c>
      <c r="H92" s="36">
        <f t="shared" ca="1" si="15"/>
        <v>50</v>
      </c>
      <c r="I92" s="36">
        <f t="shared" ca="1" si="21"/>
        <v>7.9349506266625278</v>
      </c>
      <c r="J92" s="35">
        <f t="shared" ca="1" si="16"/>
        <v>57.934950626662527</v>
      </c>
      <c r="K92" s="19">
        <f t="shared" ca="1" si="25"/>
        <v>57.934950626662527</v>
      </c>
      <c r="L92" s="20">
        <f ca="1" xml:space="preserve"> K92*_Precio_cafe</f>
        <v>86.90242593999379</v>
      </c>
      <c r="M92" s="20">
        <f t="shared" ca="1" si="26"/>
        <v>10769.294971443725</v>
      </c>
      <c r="N92" s="20">
        <f ca="1">IF((N91-K92+Y92)&gt;_Max_Stock_Gramos,_Max_Stock_Gramos,N91-K92+Y92)</f>
        <v>1603.4029334321929</v>
      </c>
      <c r="O92" s="20">
        <f ca="1">N92/_GramosXFrasco</f>
        <v>9.4317819613658411</v>
      </c>
      <c r="P92" s="63">
        <f ca="1">(N92/_Max_Stock_Gramos)</f>
        <v>0.94317819613658405</v>
      </c>
      <c r="Q92" s="63"/>
      <c r="R92" s="10">
        <f ca="1">IF((N91-J92)&lt;0,(N91-J92)*_Costo_Faltante,0)</f>
        <v>0</v>
      </c>
      <c r="S92">
        <f>IF(U92=0,X92*_Costo_Frasco,0)</f>
        <v>0</v>
      </c>
      <c r="T92" s="11">
        <f t="shared" ca="1" si="27"/>
        <v>-4577.8917350768079</v>
      </c>
      <c r="U92" s="10">
        <f>IF(U91=0,_Proxima_Compra,U91-1)</f>
        <v>2</v>
      </c>
      <c r="V92" s="3">
        <f t="shared" ca="1" si="22"/>
        <v>-1</v>
      </c>
      <c r="W92" s="3">
        <f ca="1">IF(W91&gt;0,W91-1,IF(V92&gt;0,LOOKUP(V92,$R$3:$R$5,$O$3:$O$5),-1))</f>
        <v>-1</v>
      </c>
      <c r="X92" s="25">
        <f t="shared" ca="1" si="23"/>
        <v>0</v>
      </c>
      <c r="Y92" s="28">
        <f ca="1">X92*_GramosXFrasco</f>
        <v>0</v>
      </c>
    </row>
    <row r="93" spans="1:25" x14ac:dyDescent="0.25">
      <c r="A93" s="30">
        <f t="shared" si="24"/>
        <v>77</v>
      </c>
      <c r="B93" s="38">
        <f t="shared" ca="1" si="17"/>
        <v>2.2787970723629702E-2</v>
      </c>
      <c r="C93" s="36">
        <f t="shared" ca="1" si="18"/>
        <v>-1</v>
      </c>
      <c r="D93" s="36">
        <f t="shared" ca="1" si="19"/>
        <v>-1</v>
      </c>
      <c r="E93" s="36">
        <f t="shared" ca="1" si="14"/>
        <v>-1</v>
      </c>
      <c r="F93" s="37">
        <f ca="1">IF(E93&lt;&gt;-1,_Media_M + E93*_Sigma,-1)</f>
        <v>-1</v>
      </c>
      <c r="G93" s="3">
        <f t="shared" ca="1" si="20"/>
        <v>50</v>
      </c>
      <c r="H93" s="36">
        <f t="shared" ca="1" si="15"/>
        <v>50</v>
      </c>
      <c r="I93" s="36">
        <f t="shared" ca="1" si="21"/>
        <v>42.255355980683113</v>
      </c>
      <c r="J93" s="35">
        <f t="shared" ca="1" si="16"/>
        <v>92.255355980683106</v>
      </c>
      <c r="K93" s="19">
        <f t="shared" ca="1" si="25"/>
        <v>92.255355980683106</v>
      </c>
      <c r="L93" s="20">
        <f ca="1" xml:space="preserve"> K93*_Precio_cafe</f>
        <v>138.38303397102464</v>
      </c>
      <c r="M93" s="20">
        <f t="shared" ca="1" si="26"/>
        <v>10907.678005414749</v>
      </c>
      <c r="N93" s="20">
        <f ca="1">IF((N92-K93+Y93)&gt;_Max_Stock_Gramos,_Max_Stock_Gramos,N92-K93+Y93)</f>
        <v>1511.1475774515097</v>
      </c>
      <c r="O93" s="20">
        <f ca="1">N93/_GramosXFrasco</f>
        <v>8.8891033967735869</v>
      </c>
      <c r="P93" s="63">
        <f ca="1">(N93/_Max_Stock_Gramos)</f>
        <v>0.88891033967735866</v>
      </c>
      <c r="Q93" s="63"/>
      <c r="R93" s="10">
        <f ca="1">IF((N92-J93)&lt;0,(N92-J93)*_Costo_Faltante,0)</f>
        <v>0</v>
      </c>
      <c r="S93">
        <f>IF(U93=0,X93*_Costo_Frasco,0)</f>
        <v>0</v>
      </c>
      <c r="T93" s="11">
        <f t="shared" ca="1" si="27"/>
        <v>-4577.8917350768079</v>
      </c>
      <c r="U93" s="10">
        <f>IF(U92=0,_Proxima_Compra,U92-1)</f>
        <v>1</v>
      </c>
      <c r="V93" s="3">
        <f t="shared" ca="1" si="22"/>
        <v>-1</v>
      </c>
      <c r="W93" s="3">
        <f ca="1">IF(W92&gt;0,W92-1,IF(V93&gt;0,LOOKUP(V93,$R$3:$R$5,$O$3:$O$5),-1))</f>
        <v>-1</v>
      </c>
      <c r="X93" s="25">
        <f t="shared" ca="1" si="23"/>
        <v>0</v>
      </c>
      <c r="Y93" s="28">
        <f ca="1">X93*_GramosXFrasco</f>
        <v>0</v>
      </c>
    </row>
    <row r="94" spans="1:25" x14ac:dyDescent="0.25">
      <c r="A94" s="30">
        <f t="shared" si="24"/>
        <v>78</v>
      </c>
      <c r="B94" s="38">
        <f t="shared" ca="1" si="17"/>
        <v>0.5629968621681497</v>
      </c>
      <c r="C94" s="36">
        <f t="shared" ca="1" si="18"/>
        <v>0.81560957403614576</v>
      </c>
      <c r="D94" s="36">
        <f t="shared" ca="1" si="19"/>
        <v>0.63302920248706618</v>
      </c>
      <c r="E94" s="36">
        <f t="shared" ca="1" si="14"/>
        <v>-0.81258955801555033</v>
      </c>
      <c r="F94" s="37">
        <f ca="1">IF(E94&lt;&gt;-1,_Media_M + E94*_Sigma,-1)</f>
        <v>62.811156629766742</v>
      </c>
      <c r="G94" s="3">
        <f t="shared" ca="1" si="20"/>
        <v>-1</v>
      </c>
      <c r="H94" s="36">
        <f t="shared" ca="1" si="15"/>
        <v>62.811156629766742</v>
      </c>
      <c r="I94" s="36">
        <f t="shared" ca="1" si="21"/>
        <v>3.6798672739007889</v>
      </c>
      <c r="J94" s="35">
        <f t="shared" ca="1" si="16"/>
        <v>66.491023903667525</v>
      </c>
      <c r="K94" s="19">
        <f t="shared" ca="1" si="25"/>
        <v>66.491023903667525</v>
      </c>
      <c r="L94" s="20">
        <f ca="1" xml:space="preserve"> K94*_Precio_cafe</f>
        <v>99.736535855501288</v>
      </c>
      <c r="M94" s="20">
        <f t="shared" ca="1" si="26"/>
        <v>11007.414541270251</v>
      </c>
      <c r="N94" s="20">
        <f ca="1">IF((N93-K94+Y94)&gt;_Max_Stock_Gramos,_Max_Stock_Gramos,N93-K94+Y94)</f>
        <v>1700</v>
      </c>
      <c r="O94" s="20">
        <f ca="1">N94/_GramosXFrasco</f>
        <v>10</v>
      </c>
      <c r="P94" s="63">
        <f ca="1">(N94/_Max_Stock_Gramos)</f>
        <v>1</v>
      </c>
      <c r="Q94" s="63"/>
      <c r="R94" s="10">
        <f ca="1">IF((N93-J94)&lt;0,(N93-J94)*_Costo_Faltante,0)</f>
        <v>0</v>
      </c>
      <c r="S94">
        <f ca="1">IF(U94=0,X94*_Costo_Frasco,0)</f>
        <v>-500</v>
      </c>
      <c r="T94" s="11">
        <f t="shared" ca="1" si="27"/>
        <v>-5077.8917350768079</v>
      </c>
      <c r="U94" s="10">
        <f>IF(U93=0,_Proxima_Compra,U93-1)</f>
        <v>0</v>
      </c>
      <c r="V94" s="3">
        <f t="shared" ca="1" si="22"/>
        <v>0.41526586041590574</v>
      </c>
      <c r="W94" s="3">
        <f ca="1">IF(W93&gt;0,W93-1,IF(V94&gt;0,LOOKUP(V94,$R$3:$R$5,$O$3:$O$5),-1))</f>
        <v>0</v>
      </c>
      <c r="X94" s="25">
        <f t="shared" ca="1" si="23"/>
        <v>2</v>
      </c>
      <c r="Y94" s="28">
        <f ca="1">X94*_GramosXFrasco</f>
        <v>340</v>
      </c>
    </row>
    <row r="95" spans="1:25" x14ac:dyDescent="0.25">
      <c r="A95" s="30">
        <f t="shared" si="24"/>
        <v>79</v>
      </c>
      <c r="B95" s="38">
        <f t="shared" ca="1" si="17"/>
        <v>0.10149741322831685</v>
      </c>
      <c r="C95" s="36">
        <f t="shared" ca="1" si="18"/>
        <v>-1</v>
      </c>
      <c r="D95" s="36">
        <f t="shared" ca="1" si="19"/>
        <v>-1</v>
      </c>
      <c r="E95" s="36">
        <f t="shared" ca="1" si="14"/>
        <v>-1</v>
      </c>
      <c r="F95" s="37">
        <f ca="1">IF(E95&lt;&gt;-1,_Media_M + E95*_Sigma,-1)</f>
        <v>-1</v>
      </c>
      <c r="G95" s="3">
        <f t="shared" ca="1" si="20"/>
        <v>50</v>
      </c>
      <c r="H95" s="36">
        <f t="shared" ca="1" si="15"/>
        <v>50</v>
      </c>
      <c r="I95" s="36">
        <f t="shared" ca="1" si="21"/>
        <v>34.034453630298685</v>
      </c>
      <c r="J95" s="35">
        <f t="shared" ca="1" si="16"/>
        <v>84.034453630298685</v>
      </c>
      <c r="K95" s="19">
        <f t="shared" ca="1" si="25"/>
        <v>84.034453630298685</v>
      </c>
      <c r="L95" s="20">
        <f ca="1" xml:space="preserve"> K95*_Precio_cafe</f>
        <v>126.05168044544803</v>
      </c>
      <c r="M95" s="20">
        <f t="shared" ca="1" si="26"/>
        <v>11133.466221715698</v>
      </c>
      <c r="N95" s="20">
        <f ca="1">IF((N94-K95+Y95)&gt;_Max_Stock_Gramos,_Max_Stock_Gramos,N94-K95+Y95)</f>
        <v>1615.9655463697013</v>
      </c>
      <c r="O95" s="20">
        <f ca="1">N95/_GramosXFrasco</f>
        <v>9.5056796845276548</v>
      </c>
      <c r="P95" s="63">
        <f ca="1">(N95/_Max_Stock_Gramos)</f>
        <v>0.95056796845276548</v>
      </c>
      <c r="Q95" s="63"/>
      <c r="R95" s="10">
        <f ca="1">IF((N94-J95)&lt;0,(N94-J95)*_Costo_Faltante,0)</f>
        <v>0</v>
      </c>
      <c r="S95">
        <f>IF(U95=0,X95*_Costo_Frasco,0)</f>
        <v>0</v>
      </c>
      <c r="T95" s="11">
        <f t="shared" ca="1" si="27"/>
        <v>-5077.8917350768079</v>
      </c>
      <c r="U95" s="10">
        <f>IF(U94=0,_Proxima_Compra,U94-1)</f>
        <v>2</v>
      </c>
      <c r="V95" s="3">
        <f t="shared" ca="1" si="22"/>
        <v>-1</v>
      </c>
      <c r="W95" s="3">
        <f ca="1">IF(W94&gt;0,W94-1,IF(V95&gt;0,LOOKUP(V95,$R$3:$R$5,$O$3:$O$5),-1))</f>
        <v>-1</v>
      </c>
      <c r="X95" s="25">
        <f t="shared" ca="1" si="23"/>
        <v>0</v>
      </c>
      <c r="Y95" s="28">
        <f ca="1">X95*_GramosXFrasco</f>
        <v>0</v>
      </c>
    </row>
    <row r="96" spans="1:25" x14ac:dyDescent="0.25">
      <c r="A96" s="30">
        <f t="shared" si="24"/>
        <v>80</v>
      </c>
      <c r="B96" s="38">
        <f t="shared" ca="1" si="17"/>
        <v>0.71379208629966084</v>
      </c>
      <c r="C96" s="36">
        <f t="shared" ca="1" si="18"/>
        <v>0.10694963149817827</v>
      </c>
      <c r="D96" s="36">
        <f t="shared" ca="1" si="19"/>
        <v>0.56374454854411149</v>
      </c>
      <c r="E96" s="36">
        <f t="shared" ca="1" si="14"/>
        <v>-0.28863907358596641</v>
      </c>
      <c r="F96" s="37">
        <f ca="1">IF(E96&lt;&gt;-1,_Media_M + E96*_Sigma,-1)</f>
        <v>70.670413896210505</v>
      </c>
      <c r="G96" s="3">
        <f t="shared" ca="1" si="20"/>
        <v>-1</v>
      </c>
      <c r="H96" s="36">
        <f t="shared" ca="1" si="15"/>
        <v>70.670413896210505</v>
      </c>
      <c r="I96" s="36">
        <f t="shared" ca="1" si="21"/>
        <v>11.378887083094574</v>
      </c>
      <c r="J96" s="35">
        <f t="shared" ca="1" si="16"/>
        <v>82.049300979305073</v>
      </c>
      <c r="K96" s="19">
        <f t="shared" ca="1" si="25"/>
        <v>82.049300979305073</v>
      </c>
      <c r="L96" s="20">
        <f ca="1" xml:space="preserve"> K96*_Precio_cafe</f>
        <v>123.0739514689576</v>
      </c>
      <c r="M96" s="20">
        <f t="shared" ca="1" si="26"/>
        <v>11256.540173184656</v>
      </c>
      <c r="N96" s="20">
        <f ca="1">IF((N95-K96+Y96)&gt;_Max_Stock_Gramos,_Max_Stock_Gramos,N95-K96+Y96)</f>
        <v>1533.9162453903962</v>
      </c>
      <c r="O96" s="20">
        <f ca="1">N96/_GramosXFrasco</f>
        <v>9.0230367375905658</v>
      </c>
      <c r="P96" s="63">
        <f ca="1">(N96/_Max_Stock_Gramos)</f>
        <v>0.90230367375905662</v>
      </c>
      <c r="Q96" s="63"/>
      <c r="R96" s="10">
        <f ca="1">IF((N95-J96)&lt;0,(N95-J96)*_Costo_Faltante,0)</f>
        <v>0</v>
      </c>
      <c r="S96">
        <f>IF(U96=0,X96*_Costo_Frasco,0)</f>
        <v>0</v>
      </c>
      <c r="T96" s="11">
        <f t="shared" ca="1" si="27"/>
        <v>-5077.8917350768079</v>
      </c>
      <c r="U96" s="10">
        <f>IF(U95=0,_Proxima_Compra,U95-1)</f>
        <v>1</v>
      </c>
      <c r="V96" s="3">
        <f t="shared" ca="1" si="22"/>
        <v>-1</v>
      </c>
      <c r="W96" s="3">
        <f ca="1">IF(W95&gt;0,W95-1,IF(V96&gt;0,LOOKUP(V96,$R$3:$R$5,$O$3:$O$5),-1))</f>
        <v>-1</v>
      </c>
      <c r="X96" s="25">
        <f t="shared" ca="1" si="23"/>
        <v>0</v>
      </c>
      <c r="Y96" s="28">
        <f ca="1">X96*_GramosXFrasco</f>
        <v>0</v>
      </c>
    </row>
    <row r="97" spans="1:25" x14ac:dyDescent="0.25">
      <c r="A97" s="30">
        <f t="shared" si="24"/>
        <v>81</v>
      </c>
      <c r="B97" s="38">
        <f t="shared" ca="1" si="17"/>
        <v>0.75349193001419212</v>
      </c>
      <c r="C97" s="36">
        <f t="shared" ca="1" si="18"/>
        <v>0.15790574027847026</v>
      </c>
      <c r="D97" s="36">
        <f t="shared" ca="1" si="19"/>
        <v>0.88734297227396142</v>
      </c>
      <c r="E97" s="36">
        <f t="shared" ca="1" si="14"/>
        <v>0.29354719936130264</v>
      </c>
      <c r="F97" s="37">
        <f ca="1">IF(E97&lt;&gt;-1,_Media_M + E97*_Sigma,-1)</f>
        <v>79.403207990419546</v>
      </c>
      <c r="G97" s="3">
        <f t="shared" ca="1" si="20"/>
        <v>-1</v>
      </c>
      <c r="H97" s="36">
        <f t="shared" ca="1" si="15"/>
        <v>79.403207990419546</v>
      </c>
      <c r="I97" s="36">
        <f t="shared" ca="1" si="21"/>
        <v>15.549477793836276</v>
      </c>
      <c r="J97" s="35">
        <f t="shared" ca="1" si="16"/>
        <v>94.95268578425582</v>
      </c>
      <c r="K97" s="19">
        <f t="shared" ca="1" si="25"/>
        <v>94.95268578425582</v>
      </c>
      <c r="L97" s="20">
        <f ca="1" xml:space="preserve"> K97*_Precio_cafe</f>
        <v>142.42902867638372</v>
      </c>
      <c r="M97" s="20">
        <f t="shared" ca="1" si="26"/>
        <v>11398.96920186104</v>
      </c>
      <c r="N97" s="20">
        <f ca="1">IF((N96-K97+Y97)&gt;_Max_Stock_Gramos,_Max_Stock_Gramos,N96-K97+Y97)</f>
        <v>1700</v>
      </c>
      <c r="O97" s="20">
        <f ca="1">N97/_GramosXFrasco</f>
        <v>10</v>
      </c>
      <c r="P97" s="63">
        <f ca="1">(N97/_Max_Stock_Gramos)</f>
        <v>1</v>
      </c>
      <c r="Q97" s="63"/>
      <c r="R97" s="10">
        <f ca="1">IF((N96-J97)&lt;0,(N96-J97)*_Costo_Faltante,0)</f>
        <v>0</v>
      </c>
      <c r="S97">
        <f ca="1">IF(U97=0,X97*_Costo_Frasco,0)</f>
        <v>-500</v>
      </c>
      <c r="T97" s="11">
        <f t="shared" ca="1" si="27"/>
        <v>-5577.8917350768079</v>
      </c>
      <c r="U97" s="10">
        <f>IF(U96=0,_Proxima_Compra,U96-1)</f>
        <v>0</v>
      </c>
      <c r="V97" s="3">
        <f t="shared" ca="1" si="22"/>
        <v>0.36119311518063513</v>
      </c>
      <c r="W97" s="3">
        <f ca="1">IF(W96&gt;0,W96-1,IF(V97&gt;0,LOOKUP(V97,$R$3:$R$5,$O$3:$O$5),-1))</f>
        <v>0</v>
      </c>
      <c r="X97" s="25">
        <f t="shared" ca="1" si="23"/>
        <v>2</v>
      </c>
      <c r="Y97" s="28">
        <f ca="1">X97*_GramosXFrasco</f>
        <v>340</v>
      </c>
    </row>
    <row r="98" spans="1:25" x14ac:dyDescent="0.25">
      <c r="A98" s="30">
        <f t="shared" si="24"/>
        <v>82</v>
      </c>
      <c r="B98" s="38">
        <f t="shared" ca="1" si="17"/>
        <v>0.46783812765166055</v>
      </c>
      <c r="C98" s="36">
        <f t="shared" ca="1" si="18"/>
        <v>-1</v>
      </c>
      <c r="D98" s="36">
        <f t="shared" ca="1" si="19"/>
        <v>-1</v>
      </c>
      <c r="E98" s="36">
        <f t="shared" ca="1" si="14"/>
        <v>-1</v>
      </c>
      <c r="F98" s="37">
        <f ca="1">IF(E98&lt;&gt;-1,_Media_M + E98*_Sigma,-1)</f>
        <v>-1</v>
      </c>
      <c r="G98" s="3">
        <f t="shared" ca="1" si="20"/>
        <v>50</v>
      </c>
      <c r="H98" s="36">
        <f t="shared" ca="1" si="15"/>
        <v>50</v>
      </c>
      <c r="I98" s="36">
        <f t="shared" ca="1" si="21"/>
        <v>94.947224845042342</v>
      </c>
      <c r="J98" s="35">
        <f t="shared" ca="1" si="16"/>
        <v>144.94722484504234</v>
      </c>
      <c r="K98" s="19">
        <f t="shared" ca="1" si="25"/>
        <v>144.94722484504234</v>
      </c>
      <c r="L98" s="20">
        <f ca="1" xml:space="preserve"> K98*_Precio_cafe</f>
        <v>217.42083726756351</v>
      </c>
      <c r="M98" s="20">
        <f t="shared" ca="1" si="26"/>
        <v>11616.390039128604</v>
      </c>
      <c r="N98" s="20">
        <f ca="1">IF((N97-K98+Y98)&gt;_Max_Stock_Gramos,_Max_Stock_Gramos,N97-K98+Y98)</f>
        <v>1555.0527751549575</v>
      </c>
      <c r="O98" s="20">
        <f ca="1">N98/_GramosXFrasco</f>
        <v>9.1473692656173977</v>
      </c>
      <c r="P98" s="63">
        <f ca="1">(N98/_Max_Stock_Gramos)</f>
        <v>0.91473692656173977</v>
      </c>
      <c r="Q98" s="63"/>
      <c r="R98" s="10">
        <f ca="1">IF((N97-J98)&lt;0,(N97-J98)*_Costo_Faltante,0)</f>
        <v>0</v>
      </c>
      <c r="S98">
        <f>IF(U98=0,X98*_Costo_Frasco,0)</f>
        <v>0</v>
      </c>
      <c r="T98" s="11">
        <f t="shared" ca="1" si="27"/>
        <v>-5577.8917350768079</v>
      </c>
      <c r="U98" s="10">
        <f>IF(U97=0,_Proxima_Compra,U97-1)</f>
        <v>2</v>
      </c>
      <c r="V98" s="3">
        <f t="shared" ca="1" si="22"/>
        <v>-1</v>
      </c>
      <c r="W98" s="3">
        <f ca="1">IF(W97&gt;0,W97-1,IF(V98&gt;0,LOOKUP(V98,$R$3:$R$5,$O$3:$O$5),-1))</f>
        <v>-1</v>
      </c>
      <c r="X98" s="25">
        <f t="shared" ca="1" si="23"/>
        <v>0</v>
      </c>
      <c r="Y98" s="28">
        <f ca="1">X98*_GramosXFrasco</f>
        <v>0</v>
      </c>
    </row>
    <row r="99" spans="1:25" x14ac:dyDescent="0.25">
      <c r="A99" s="30">
        <f t="shared" si="24"/>
        <v>83</v>
      </c>
      <c r="B99" s="38">
        <f t="shared" ca="1" si="17"/>
        <v>0.55045953081999244</v>
      </c>
      <c r="C99" s="36">
        <f t="shared" ca="1" si="18"/>
        <v>0.74330462512082995</v>
      </c>
      <c r="D99" s="36">
        <f t="shared" ca="1" si="19"/>
        <v>0.20118156020358591</v>
      </c>
      <c r="E99" s="36">
        <f t="shared" ca="1" si="14"/>
        <v>0.32816113920462936</v>
      </c>
      <c r="F99" s="37">
        <f ca="1">IF(E99&lt;&gt;-1,_Media_M + E99*_Sigma,-1)</f>
        <v>79.922417088069437</v>
      </c>
      <c r="G99" s="3">
        <f t="shared" ca="1" si="20"/>
        <v>-1</v>
      </c>
      <c r="H99" s="36">
        <f t="shared" ca="1" si="15"/>
        <v>79.922417088069437</v>
      </c>
      <c r="I99" s="36">
        <f t="shared" ca="1" si="21"/>
        <v>2.8949730414465078</v>
      </c>
      <c r="J99" s="35">
        <f t="shared" ca="1" si="16"/>
        <v>82.817390129515942</v>
      </c>
      <c r="K99" s="19">
        <f t="shared" ca="1" si="25"/>
        <v>82.817390129515942</v>
      </c>
      <c r="L99" s="20">
        <f ca="1" xml:space="preserve"> K99*_Precio_cafe</f>
        <v>124.22608519427391</v>
      </c>
      <c r="M99" s="20">
        <f t="shared" ca="1" si="26"/>
        <v>11740.616124322878</v>
      </c>
      <c r="N99" s="20">
        <f ca="1">IF((N98-K99+Y99)&gt;_Max_Stock_Gramos,_Max_Stock_Gramos,N98-K99+Y99)</f>
        <v>1472.2353850254417</v>
      </c>
      <c r="O99" s="20">
        <f ca="1">N99/_GramosXFrasco</f>
        <v>8.6602081472084809</v>
      </c>
      <c r="P99" s="63">
        <f ca="1">(N99/_Max_Stock_Gramos)</f>
        <v>0.86602081472084802</v>
      </c>
      <c r="Q99" s="63"/>
      <c r="R99" s="10">
        <f ca="1">IF((N98-J99)&lt;0,(N98-J99)*_Costo_Faltante,0)</f>
        <v>0</v>
      </c>
      <c r="S99">
        <f>IF(U99=0,X99*_Costo_Frasco,0)</f>
        <v>0</v>
      </c>
      <c r="T99" s="11">
        <f t="shared" ca="1" si="27"/>
        <v>-5577.8917350768079</v>
      </c>
      <c r="U99" s="10">
        <f>IF(U98=0,_Proxima_Compra,U98-1)</f>
        <v>1</v>
      </c>
      <c r="V99" s="3">
        <f t="shared" ca="1" si="22"/>
        <v>-1</v>
      </c>
      <c r="W99" s="3">
        <f ca="1">IF(W98&gt;0,W98-1,IF(V99&gt;0,LOOKUP(V99,$R$3:$R$5,$O$3:$O$5),-1))</f>
        <v>-1</v>
      </c>
      <c r="X99" s="25">
        <f t="shared" ca="1" si="23"/>
        <v>0</v>
      </c>
      <c r="Y99" s="28">
        <f ca="1">X99*_GramosXFrasco</f>
        <v>0</v>
      </c>
    </row>
    <row r="100" spans="1:25" x14ac:dyDescent="0.25">
      <c r="A100" s="30">
        <f t="shared" si="24"/>
        <v>84</v>
      </c>
      <c r="B100" s="38">
        <f t="shared" ca="1" si="17"/>
        <v>0.60065450848949031</v>
      </c>
      <c r="C100" s="36">
        <f t="shared" ca="1" si="18"/>
        <v>0.61813505489604748</v>
      </c>
      <c r="D100" s="36">
        <f t="shared" ca="1" si="19"/>
        <v>0.39279997975345959</v>
      </c>
      <c r="E100" s="36">
        <f t="shared" ref="E100:E163" ca="1" si="28">IF(D100&gt;0,SQRT(-2*LOG(1-C100)) * COS(2*PI()*D100),-1)</f>
        <v>-0.71472456873700163</v>
      </c>
      <c r="F100" s="37">
        <f ca="1">IF(E100&lt;&gt;-1,_Media_M + E100*_Sigma,-1)</f>
        <v>64.279131468944968</v>
      </c>
      <c r="G100" s="3">
        <f t="shared" ca="1" si="20"/>
        <v>-1</v>
      </c>
      <c r="H100" s="36">
        <f t="shared" ref="H100:H163" ca="1" si="29">IF(F100=-1,G100,F100)</f>
        <v>64.279131468944968</v>
      </c>
      <c r="I100" s="36">
        <f t="shared" ca="1" si="21"/>
        <v>87.500129784397103</v>
      </c>
      <c r="J100" s="35">
        <f t="shared" ref="J100:J163" ca="1" si="30">H100+I100</f>
        <v>151.77926125334207</v>
      </c>
      <c r="K100" s="19">
        <f t="shared" ca="1" si="25"/>
        <v>151.77926125334207</v>
      </c>
      <c r="L100" s="20">
        <f ca="1" xml:space="preserve"> K100*_Precio_cafe</f>
        <v>227.66889188001312</v>
      </c>
      <c r="M100" s="20">
        <f t="shared" ca="1" si="26"/>
        <v>11968.285016202892</v>
      </c>
      <c r="N100" s="20">
        <f ca="1">IF((N99-K100+Y100)&gt;_Max_Stock_Gramos,_Max_Stock_Gramos,N99-K100+Y100)</f>
        <v>1320.4561237720995</v>
      </c>
      <c r="O100" s="20">
        <f ca="1">N100/_GramosXFrasco</f>
        <v>7.7673889633652911</v>
      </c>
      <c r="P100" s="63">
        <f ca="1">(N100/_Max_Stock_Gramos)</f>
        <v>0.77673889633652915</v>
      </c>
      <c r="Q100" s="63"/>
      <c r="R100" s="10">
        <f ca="1">IF((N99-J100)&lt;0,(N99-J100)*_Costo_Faltante,0)</f>
        <v>0</v>
      </c>
      <c r="S100">
        <f ca="1">IF(U100=0,X100*_Costo_Frasco,0)</f>
        <v>0</v>
      </c>
      <c r="T100" s="11">
        <f t="shared" ca="1" si="27"/>
        <v>-5577.8917350768079</v>
      </c>
      <c r="U100" s="10">
        <f>IF(U99=0,_Proxima_Compra,U99-1)</f>
        <v>0</v>
      </c>
      <c r="V100" s="3">
        <f t="shared" ca="1" si="22"/>
        <v>0.60070914979335899</v>
      </c>
      <c r="W100" s="3">
        <f ca="1">IF(W99&gt;0,W99-1,IF(V100&gt;0,LOOKUP(V100,$R$3:$R$5,$O$3:$O$5),-1))</f>
        <v>1</v>
      </c>
      <c r="X100" s="25">
        <f t="shared" ca="1" si="23"/>
        <v>0</v>
      </c>
      <c r="Y100" s="28">
        <f ca="1">X100*_GramosXFrasco</f>
        <v>0</v>
      </c>
    </row>
    <row r="101" spans="1:25" x14ac:dyDescent="0.25">
      <c r="A101" s="30">
        <f t="shared" si="24"/>
        <v>85</v>
      </c>
      <c r="B101" s="38">
        <f t="shared" ca="1" si="17"/>
        <v>0.91499545655175274</v>
      </c>
      <c r="C101" s="36">
        <f t="shared" ca="1" si="18"/>
        <v>0.32433889246580483</v>
      </c>
      <c r="D101" s="36">
        <f t="shared" ca="1" si="19"/>
        <v>0.16129964860655843</v>
      </c>
      <c r="E101" s="36">
        <f t="shared" ca="1" si="28"/>
        <v>0.30865316582914737</v>
      </c>
      <c r="F101" s="37">
        <f ca="1">IF(E101&lt;&gt;-1,_Media_M + E101*_Sigma,-1)</f>
        <v>79.629797487437216</v>
      </c>
      <c r="G101" s="3">
        <f t="shared" ca="1" si="20"/>
        <v>-1</v>
      </c>
      <c r="H101" s="36">
        <f t="shared" ca="1" si="29"/>
        <v>79.629797487437216</v>
      </c>
      <c r="I101" s="36">
        <f t="shared" ca="1" si="21"/>
        <v>22.457248036433153</v>
      </c>
      <c r="J101" s="35">
        <f t="shared" ca="1" si="30"/>
        <v>102.08704552387037</v>
      </c>
      <c r="K101" s="19">
        <f t="shared" ca="1" si="25"/>
        <v>102.08704552387037</v>
      </c>
      <c r="L101" s="20">
        <f ca="1" xml:space="preserve"> K101*_Precio_cafe</f>
        <v>153.13056828580557</v>
      </c>
      <c r="M101" s="20">
        <f t="shared" ca="1" si="26"/>
        <v>12121.415584488697</v>
      </c>
      <c r="N101" s="20">
        <f ca="1">IF((N100-K101+Y101)&gt;_Max_Stock_Gramos,_Max_Stock_Gramos,N100-K101+Y101)</f>
        <v>1558.3690782482292</v>
      </c>
      <c r="O101" s="20">
        <f ca="1">N101/_GramosXFrasco</f>
        <v>9.1668769308719362</v>
      </c>
      <c r="P101" s="63">
        <f ca="1">(N101/_Max_Stock_Gramos)</f>
        <v>0.91668769308719367</v>
      </c>
      <c r="Q101" s="63"/>
      <c r="R101" s="10">
        <f ca="1">IF((N100-J101)&lt;0,(N100-J101)*_Costo_Faltante,0)</f>
        <v>0</v>
      </c>
      <c r="S101">
        <f>IF(U101=0,X101*_Costo_Frasco,0)</f>
        <v>0</v>
      </c>
      <c r="T101" s="11">
        <f t="shared" ca="1" si="27"/>
        <v>-5577.8917350768079</v>
      </c>
      <c r="U101" s="10">
        <f>IF(U100=0,_Proxima_Compra,U100-1)</f>
        <v>2</v>
      </c>
      <c r="V101" s="3">
        <f t="shared" ca="1" si="22"/>
        <v>-1</v>
      </c>
      <c r="W101" s="3">
        <f ca="1">IF(W100&gt;0,W100-1,IF(V101&gt;0,LOOKUP(V101,$R$3:$R$5,$O$3:$O$5),-1))</f>
        <v>0</v>
      </c>
      <c r="X101" s="25">
        <f t="shared" ca="1" si="23"/>
        <v>2</v>
      </c>
      <c r="Y101" s="28">
        <f ca="1">X101*_GramosXFrasco</f>
        <v>340</v>
      </c>
    </row>
    <row r="102" spans="1:25" x14ac:dyDescent="0.25">
      <c r="A102" s="30">
        <f t="shared" si="24"/>
        <v>86</v>
      </c>
      <c r="B102" s="38">
        <f t="shared" ca="1" si="17"/>
        <v>0.91457347992545079</v>
      </c>
      <c r="C102" s="36">
        <f t="shared" ca="1" si="18"/>
        <v>0.83199460986281559</v>
      </c>
      <c r="D102" s="36">
        <f t="shared" ca="1" si="19"/>
        <v>0.76041693620068751</v>
      </c>
      <c r="E102" s="36">
        <f t="shared" ca="1" si="28"/>
        <v>8.1411361440665131E-2</v>
      </c>
      <c r="F102" s="37">
        <f ca="1">IF(E102&lt;&gt;-1,_Media_M + E102*_Sigma,-1)</f>
        <v>76.221170421609983</v>
      </c>
      <c r="G102" s="3">
        <f t="shared" ca="1" si="20"/>
        <v>-1</v>
      </c>
      <c r="H102" s="36">
        <f t="shared" ca="1" si="29"/>
        <v>76.221170421609983</v>
      </c>
      <c r="I102" s="36">
        <f t="shared" ca="1" si="21"/>
        <v>28.004275993245322</v>
      </c>
      <c r="J102" s="35">
        <f t="shared" ca="1" si="30"/>
        <v>104.2254464148553</v>
      </c>
      <c r="K102" s="19">
        <f t="shared" ca="1" si="25"/>
        <v>104.2254464148553</v>
      </c>
      <c r="L102" s="20">
        <f ca="1" xml:space="preserve"> K102*_Precio_cafe</f>
        <v>156.33816962228295</v>
      </c>
      <c r="M102" s="20">
        <f t="shared" ca="1" si="26"/>
        <v>12277.75375411098</v>
      </c>
      <c r="N102" s="20">
        <f ca="1">IF((N101-K102+Y102)&gt;_Max_Stock_Gramos,_Max_Stock_Gramos,N101-K102+Y102)</f>
        <v>1454.143631833374</v>
      </c>
      <c r="O102" s="20">
        <f ca="1">N102/_GramosXFrasco</f>
        <v>8.5537860696080816</v>
      </c>
      <c r="P102" s="63">
        <f ca="1">(N102/_Max_Stock_Gramos)</f>
        <v>0.85537860696080825</v>
      </c>
      <c r="Q102" s="63"/>
      <c r="R102" s="10">
        <f ca="1">IF((N101-J102)&lt;0,(N101-J102)*_Costo_Faltante,0)</f>
        <v>0</v>
      </c>
      <c r="S102">
        <f>IF(U102=0,X102*_Costo_Frasco,0)</f>
        <v>0</v>
      </c>
      <c r="T102" s="11">
        <f t="shared" ca="1" si="27"/>
        <v>-5577.8917350768079</v>
      </c>
      <c r="U102" s="10">
        <f>IF(U101=0,_Proxima_Compra,U101-1)</f>
        <v>1</v>
      </c>
      <c r="V102" s="3">
        <f t="shared" ca="1" si="22"/>
        <v>-1</v>
      </c>
      <c r="W102" s="3">
        <f ca="1">IF(W101&gt;0,W101-1,IF(V102&gt;0,LOOKUP(V102,$R$3:$R$5,$O$3:$O$5),-1))</f>
        <v>-1</v>
      </c>
      <c r="X102" s="25">
        <f t="shared" ca="1" si="23"/>
        <v>0</v>
      </c>
      <c r="Y102" s="28">
        <f ca="1">X102*_GramosXFrasco</f>
        <v>0</v>
      </c>
    </row>
    <row r="103" spans="1:25" x14ac:dyDescent="0.25">
      <c r="A103" s="30">
        <f t="shared" si="24"/>
        <v>87</v>
      </c>
      <c r="B103" s="38">
        <f t="shared" ca="1" si="17"/>
        <v>0.13699164999511815</v>
      </c>
      <c r="C103" s="36">
        <f t="shared" ca="1" si="18"/>
        <v>-1</v>
      </c>
      <c r="D103" s="36">
        <f t="shared" ca="1" si="19"/>
        <v>-1</v>
      </c>
      <c r="E103" s="36">
        <f t="shared" ca="1" si="28"/>
        <v>-1</v>
      </c>
      <c r="F103" s="37">
        <f ca="1">IF(E103&lt;&gt;-1,_Media_M + E103*_Sigma,-1)</f>
        <v>-1</v>
      </c>
      <c r="G103" s="3">
        <f t="shared" ca="1" si="20"/>
        <v>50</v>
      </c>
      <c r="H103" s="36">
        <f t="shared" ca="1" si="29"/>
        <v>50</v>
      </c>
      <c r="I103" s="36">
        <f t="shared" ca="1" si="21"/>
        <v>1.5378550064612744</v>
      </c>
      <c r="J103" s="35">
        <f t="shared" ca="1" si="30"/>
        <v>51.537855006461271</v>
      </c>
      <c r="K103" s="19">
        <f t="shared" ca="1" si="25"/>
        <v>51.537855006461271</v>
      </c>
      <c r="L103" s="20">
        <f ca="1" xml:space="preserve"> K103*_Precio_cafe</f>
        <v>77.306782509691914</v>
      </c>
      <c r="M103" s="20">
        <f t="shared" ca="1" si="26"/>
        <v>12355.060536620671</v>
      </c>
      <c r="N103" s="20">
        <f ca="1">IF((N102-K103+Y103)&gt;_Max_Stock_Gramos,_Max_Stock_Gramos,N102-K103+Y103)</f>
        <v>1402.6057768269127</v>
      </c>
      <c r="O103" s="20">
        <f ca="1">N103/_GramosXFrasco</f>
        <v>8.2506222166288978</v>
      </c>
      <c r="P103" s="63">
        <f ca="1">(N103/_Max_Stock_Gramos)</f>
        <v>0.82506222166288978</v>
      </c>
      <c r="Q103" s="63"/>
      <c r="R103" s="10">
        <f ca="1">IF((N102-J103)&lt;0,(N102-J103)*_Costo_Faltante,0)</f>
        <v>0</v>
      </c>
      <c r="S103">
        <f ca="1">IF(U103=0,X103*_Costo_Frasco,0)</f>
        <v>0</v>
      </c>
      <c r="T103" s="11">
        <f t="shared" ca="1" si="27"/>
        <v>-5577.8917350768079</v>
      </c>
      <c r="U103" s="10">
        <f>IF(U102=0,_Proxima_Compra,U102-1)</f>
        <v>0</v>
      </c>
      <c r="V103" s="3">
        <f t="shared" ca="1" si="22"/>
        <v>0.52599505549864112</v>
      </c>
      <c r="W103" s="3">
        <f ca="1">IF(W102&gt;0,W102-1,IF(V103&gt;0,LOOKUP(V103,$R$3:$R$5,$O$3:$O$5),-1))</f>
        <v>1</v>
      </c>
      <c r="X103" s="25">
        <f t="shared" ca="1" si="23"/>
        <v>0</v>
      </c>
      <c r="Y103" s="28">
        <f ca="1">X103*_GramosXFrasco</f>
        <v>0</v>
      </c>
    </row>
    <row r="104" spans="1:25" x14ac:dyDescent="0.25">
      <c r="A104" s="30">
        <f t="shared" si="24"/>
        <v>88</v>
      </c>
      <c r="B104" s="38">
        <f t="shared" ca="1" si="17"/>
        <v>0.9139840603435756</v>
      </c>
      <c r="C104" s="36">
        <f t="shared" ca="1" si="18"/>
        <v>7.6274536510821944E-3</v>
      </c>
      <c r="D104" s="36">
        <f t="shared" ca="1" si="19"/>
        <v>0.77319197423783714</v>
      </c>
      <c r="E104" s="36">
        <f t="shared" ca="1" si="28"/>
        <v>1.1841514340580991E-2</v>
      </c>
      <c r="F104" s="37">
        <f ca="1">IF(E104&lt;&gt;-1,_Media_M + E104*_Sigma,-1)</f>
        <v>75.177622715108711</v>
      </c>
      <c r="G104" s="3">
        <f t="shared" ca="1" si="20"/>
        <v>-1</v>
      </c>
      <c r="H104" s="36">
        <f t="shared" ca="1" si="29"/>
        <v>75.177622715108711</v>
      </c>
      <c r="I104" s="36">
        <f t="shared" ca="1" si="21"/>
        <v>27.783064396928875</v>
      </c>
      <c r="J104" s="35">
        <f t="shared" ca="1" si="30"/>
        <v>102.96068711203759</v>
      </c>
      <c r="K104" s="19">
        <f t="shared" ca="1" si="25"/>
        <v>102.96068711203759</v>
      </c>
      <c r="L104" s="20">
        <f ca="1" xml:space="preserve"> K104*_Precio_cafe</f>
        <v>154.44103066805638</v>
      </c>
      <c r="M104" s="20">
        <f t="shared" ca="1" si="26"/>
        <v>12509.501567288728</v>
      </c>
      <c r="N104" s="20">
        <f ca="1">IF((N103-K104+Y104)&gt;_Max_Stock_Gramos,_Max_Stock_Gramos,N103-K104+Y104)</f>
        <v>1639.6450897148752</v>
      </c>
      <c r="O104" s="20">
        <f ca="1">N104/_GramosXFrasco</f>
        <v>9.6449711159698541</v>
      </c>
      <c r="P104" s="63">
        <f ca="1">(N104/_Max_Stock_Gramos)</f>
        <v>0.96449711159698537</v>
      </c>
      <c r="Q104" s="63"/>
      <c r="R104" s="10">
        <f ca="1">IF((N103-J104)&lt;0,(N103-J104)*_Costo_Faltante,0)</f>
        <v>0</v>
      </c>
      <c r="S104">
        <f>IF(U104=0,X104*_Costo_Frasco,0)</f>
        <v>0</v>
      </c>
      <c r="T104" s="11">
        <f t="shared" ca="1" si="27"/>
        <v>-5577.8917350768079</v>
      </c>
      <c r="U104" s="10">
        <f>IF(U103=0,_Proxima_Compra,U103-1)</f>
        <v>2</v>
      </c>
      <c r="V104" s="3">
        <f t="shared" ca="1" si="22"/>
        <v>-1</v>
      </c>
      <c r="W104" s="3">
        <f ca="1">IF(W103&gt;0,W103-1,IF(V104&gt;0,LOOKUP(V104,$R$3:$R$5,$O$3:$O$5),-1))</f>
        <v>0</v>
      </c>
      <c r="X104" s="25">
        <f t="shared" ca="1" si="23"/>
        <v>2</v>
      </c>
      <c r="Y104" s="28">
        <f ca="1">X104*_GramosXFrasco</f>
        <v>340</v>
      </c>
    </row>
    <row r="105" spans="1:25" x14ac:dyDescent="0.25">
      <c r="A105" s="30">
        <f t="shared" si="24"/>
        <v>89</v>
      </c>
      <c r="B105" s="38">
        <f t="shared" ca="1" si="17"/>
        <v>0.10443355999302018</v>
      </c>
      <c r="C105" s="36">
        <f t="shared" ca="1" si="18"/>
        <v>-1</v>
      </c>
      <c r="D105" s="36">
        <f t="shared" ca="1" si="19"/>
        <v>-1</v>
      </c>
      <c r="E105" s="36">
        <f t="shared" ca="1" si="28"/>
        <v>-1</v>
      </c>
      <c r="F105" s="37">
        <f ca="1">IF(E105&lt;&gt;-1,_Media_M + E105*_Sigma,-1)</f>
        <v>-1</v>
      </c>
      <c r="G105" s="3">
        <f t="shared" ca="1" si="20"/>
        <v>50</v>
      </c>
      <c r="H105" s="36">
        <f t="shared" ca="1" si="29"/>
        <v>50</v>
      </c>
      <c r="I105" s="36">
        <f t="shared" ca="1" si="21"/>
        <v>70.741247653362862</v>
      </c>
      <c r="J105" s="35">
        <f t="shared" ca="1" si="30"/>
        <v>120.74124765336286</v>
      </c>
      <c r="K105" s="19">
        <f t="shared" ca="1" si="25"/>
        <v>120.74124765336286</v>
      </c>
      <c r="L105" s="20">
        <f ca="1" xml:space="preserve"> K105*_Precio_cafe</f>
        <v>181.1118714800443</v>
      </c>
      <c r="M105" s="20">
        <f t="shared" ca="1" si="26"/>
        <v>12690.613438768773</v>
      </c>
      <c r="N105" s="20">
        <f ca="1">IF((N104-K105+Y105)&gt;_Max_Stock_Gramos,_Max_Stock_Gramos,N104-K105+Y105)</f>
        <v>1518.9038420615123</v>
      </c>
      <c r="O105" s="20">
        <f ca="1">N105/_GramosXFrasco</f>
        <v>8.9347284827147782</v>
      </c>
      <c r="P105" s="63">
        <f ca="1">(N105/_Max_Stock_Gramos)</f>
        <v>0.89347284827147777</v>
      </c>
      <c r="Q105" s="63"/>
      <c r="R105" s="10">
        <f ca="1">IF((N104-J105)&lt;0,(N104-J105)*_Costo_Faltante,0)</f>
        <v>0</v>
      </c>
      <c r="S105">
        <f>IF(U105=0,X105*_Costo_Frasco,0)</f>
        <v>0</v>
      </c>
      <c r="T105" s="11">
        <f t="shared" ca="1" si="27"/>
        <v>-5577.8917350768079</v>
      </c>
      <c r="U105" s="10">
        <f>IF(U104=0,_Proxima_Compra,U104-1)</f>
        <v>1</v>
      </c>
      <c r="V105" s="3">
        <f t="shared" ca="1" si="22"/>
        <v>-1</v>
      </c>
      <c r="W105" s="3">
        <f ca="1">IF(W104&gt;0,W104-1,IF(V105&gt;0,LOOKUP(V105,$R$3:$R$5,$O$3:$O$5),-1))</f>
        <v>-1</v>
      </c>
      <c r="X105" s="25">
        <f t="shared" ca="1" si="23"/>
        <v>0</v>
      </c>
      <c r="Y105" s="28">
        <f ca="1">X105*_GramosXFrasco</f>
        <v>0</v>
      </c>
    </row>
    <row r="106" spans="1:25" x14ac:dyDescent="0.25">
      <c r="A106" s="30">
        <f t="shared" si="24"/>
        <v>90</v>
      </c>
      <c r="B106" s="38">
        <f t="shared" ca="1" si="17"/>
        <v>0.82542060172370491</v>
      </c>
      <c r="C106" s="36">
        <f t="shared" ca="1" si="18"/>
        <v>0.41048377227733535</v>
      </c>
      <c r="D106" s="36">
        <f t="shared" ca="1" si="19"/>
        <v>0.8515456737837851</v>
      </c>
      <c r="E106" s="36">
        <f t="shared" ca="1" si="28"/>
        <v>0.40352972162038192</v>
      </c>
      <c r="F106" s="37">
        <f ca="1">IF(E106&lt;&gt;-1,_Media_M + E106*_Sigma,-1)</f>
        <v>81.052945824305723</v>
      </c>
      <c r="G106" s="3">
        <f t="shared" ca="1" si="20"/>
        <v>-1</v>
      </c>
      <c r="H106" s="36">
        <f t="shared" ca="1" si="29"/>
        <v>81.052945824305723</v>
      </c>
      <c r="I106" s="36">
        <f t="shared" ca="1" si="21"/>
        <v>158.32823847855551</v>
      </c>
      <c r="J106" s="35">
        <f t="shared" ca="1" si="30"/>
        <v>239.38118430286124</v>
      </c>
      <c r="K106" s="19">
        <f t="shared" ca="1" si="25"/>
        <v>239.38118430286124</v>
      </c>
      <c r="L106" s="20">
        <f ca="1" xml:space="preserve"> K106*_Precio_cafe</f>
        <v>359.07177645429186</v>
      </c>
      <c r="M106" s="20">
        <f t="shared" ca="1" si="26"/>
        <v>13049.685215223064</v>
      </c>
      <c r="N106" s="20">
        <f ca="1">IF((N105-K106+Y106)&gt;_Max_Stock_Gramos,_Max_Stock_Gramos,N105-K106+Y106)</f>
        <v>1619.5226577586509</v>
      </c>
      <c r="O106" s="20">
        <f ca="1">N106/_GramosXFrasco</f>
        <v>9.5266038691685342</v>
      </c>
      <c r="P106" s="63">
        <f ca="1">(N106/_Max_Stock_Gramos)</f>
        <v>0.95266038691685351</v>
      </c>
      <c r="Q106" s="63"/>
      <c r="R106" s="10">
        <f ca="1">IF((N105-J106)&lt;0,(N105-J106)*_Costo_Faltante,0)</f>
        <v>0</v>
      </c>
      <c r="S106">
        <f ca="1">IF(U106=0,X106*_Costo_Frasco,0)</f>
        <v>-500</v>
      </c>
      <c r="T106" s="11">
        <f t="shared" ca="1" si="27"/>
        <v>-6077.8917350768079</v>
      </c>
      <c r="U106" s="10">
        <f>IF(U105=0,_Proxima_Compra,U105-1)</f>
        <v>0</v>
      </c>
      <c r="V106" s="3">
        <f t="shared" ca="1" si="22"/>
        <v>0.39591526531110033</v>
      </c>
      <c r="W106" s="3">
        <f ca="1">IF(W105&gt;0,W105-1,IF(V106&gt;0,LOOKUP(V106,$R$3:$R$5,$O$3:$O$5),-1))</f>
        <v>0</v>
      </c>
      <c r="X106" s="25">
        <f t="shared" ca="1" si="23"/>
        <v>2</v>
      </c>
      <c r="Y106" s="28">
        <f ca="1">X106*_GramosXFrasco</f>
        <v>340</v>
      </c>
    </row>
    <row r="107" spans="1:25" x14ac:dyDescent="0.25">
      <c r="A107" s="30">
        <f t="shared" si="24"/>
        <v>91</v>
      </c>
      <c r="B107" s="38">
        <f t="shared" ca="1" si="17"/>
        <v>0.57796100892989188</v>
      </c>
      <c r="C107" s="36">
        <f t="shared" ca="1" si="18"/>
        <v>0.19283974098792611</v>
      </c>
      <c r="D107" s="36">
        <f t="shared" ca="1" si="19"/>
        <v>0.96622730487647468</v>
      </c>
      <c r="E107" s="36">
        <f t="shared" ca="1" si="28"/>
        <v>0.42169476602434813</v>
      </c>
      <c r="F107" s="37">
        <f ca="1">IF(E107&lt;&gt;-1,_Media_M + E107*_Sigma,-1)</f>
        <v>81.325421490365216</v>
      </c>
      <c r="G107" s="3">
        <f t="shared" ca="1" si="20"/>
        <v>-1</v>
      </c>
      <c r="H107" s="36">
        <f t="shared" ca="1" si="29"/>
        <v>81.325421490365216</v>
      </c>
      <c r="I107" s="36">
        <f t="shared" ca="1" si="21"/>
        <v>45.636536857242334</v>
      </c>
      <c r="J107" s="35">
        <f t="shared" ca="1" si="30"/>
        <v>126.96195834760755</v>
      </c>
      <c r="K107" s="19">
        <f t="shared" ca="1" si="25"/>
        <v>126.96195834760755</v>
      </c>
      <c r="L107" s="20">
        <f ca="1" xml:space="preserve"> K107*_Precio_cafe</f>
        <v>190.44293752141132</v>
      </c>
      <c r="M107" s="20">
        <f t="shared" ca="1" si="26"/>
        <v>13240.128152744475</v>
      </c>
      <c r="N107" s="20">
        <f ca="1">IF((N106-K107+Y107)&gt;_Max_Stock_Gramos,_Max_Stock_Gramos,N106-K107+Y107)</f>
        <v>1492.5606994110433</v>
      </c>
      <c r="O107" s="20">
        <f ca="1">N107/_GramosXFrasco</f>
        <v>8.7797688200649606</v>
      </c>
      <c r="P107" s="63">
        <f ca="1">(N107/_Max_Stock_Gramos)</f>
        <v>0.87797688200649604</v>
      </c>
      <c r="Q107" s="63"/>
      <c r="R107" s="10">
        <f ca="1">IF((N106-J107)&lt;0,(N106-J107)*_Costo_Faltante,0)</f>
        <v>0</v>
      </c>
      <c r="S107">
        <f>IF(U107=0,X107*_Costo_Frasco,0)</f>
        <v>0</v>
      </c>
      <c r="T107" s="11">
        <f t="shared" ca="1" si="27"/>
        <v>-6077.8917350768079</v>
      </c>
      <c r="U107" s="10">
        <f>IF(U106=0,_Proxima_Compra,U106-1)</f>
        <v>2</v>
      </c>
      <c r="V107" s="3">
        <f t="shared" ca="1" si="22"/>
        <v>-1</v>
      </c>
      <c r="W107" s="3">
        <f ca="1">IF(W106&gt;0,W106-1,IF(V107&gt;0,LOOKUP(V107,$R$3:$R$5,$O$3:$O$5),-1))</f>
        <v>-1</v>
      </c>
      <c r="X107" s="25">
        <f t="shared" ca="1" si="23"/>
        <v>0</v>
      </c>
      <c r="Y107" s="28">
        <f ca="1">X107*_GramosXFrasco</f>
        <v>0</v>
      </c>
    </row>
    <row r="108" spans="1:25" x14ac:dyDescent="0.25">
      <c r="A108" s="30">
        <f t="shared" si="24"/>
        <v>92</v>
      </c>
      <c r="B108" s="38">
        <f t="shared" ca="1" si="17"/>
        <v>0.4695547857704726</v>
      </c>
      <c r="C108" s="36">
        <f t="shared" ca="1" si="18"/>
        <v>-1</v>
      </c>
      <c r="D108" s="36">
        <f t="shared" ca="1" si="19"/>
        <v>-1</v>
      </c>
      <c r="E108" s="36">
        <f t="shared" ca="1" si="28"/>
        <v>-1</v>
      </c>
      <c r="F108" s="37">
        <f ca="1">IF(E108&lt;&gt;-1,_Media_M + E108*_Sigma,-1)</f>
        <v>-1</v>
      </c>
      <c r="G108" s="3">
        <f t="shared" ca="1" si="20"/>
        <v>50</v>
      </c>
      <c r="H108" s="36">
        <f t="shared" ca="1" si="29"/>
        <v>50</v>
      </c>
      <c r="I108" s="36">
        <f t="shared" ca="1" si="21"/>
        <v>9.761120535348601</v>
      </c>
      <c r="J108" s="35">
        <f t="shared" ca="1" si="30"/>
        <v>59.761120535348603</v>
      </c>
      <c r="K108" s="19">
        <f t="shared" ca="1" si="25"/>
        <v>59.761120535348603</v>
      </c>
      <c r="L108" s="20">
        <f ca="1" xml:space="preserve"> K108*_Precio_cafe</f>
        <v>89.641680803022908</v>
      </c>
      <c r="M108" s="20">
        <f t="shared" ca="1" si="26"/>
        <v>13329.769833547498</v>
      </c>
      <c r="N108" s="20">
        <f ca="1">IF((N107-K108+Y108)&gt;_Max_Stock_Gramos,_Max_Stock_Gramos,N107-K108+Y108)</f>
        <v>1432.7995788756946</v>
      </c>
      <c r="O108" s="20">
        <f ca="1">N108/_GramosXFrasco</f>
        <v>8.42823281691585</v>
      </c>
      <c r="P108" s="63">
        <f ca="1">(N108/_Max_Stock_Gramos)</f>
        <v>0.84282328169158505</v>
      </c>
      <c r="Q108" s="63"/>
      <c r="R108" s="10">
        <f ca="1">IF((N107-J108)&lt;0,(N107-J108)*_Costo_Faltante,0)</f>
        <v>0</v>
      </c>
      <c r="S108">
        <f>IF(U108=0,X108*_Costo_Frasco,0)</f>
        <v>0</v>
      </c>
      <c r="T108" s="11">
        <f t="shared" ca="1" si="27"/>
        <v>-6077.8917350768079</v>
      </c>
      <c r="U108" s="10">
        <f>IF(U107=0,_Proxima_Compra,U107-1)</f>
        <v>1</v>
      </c>
      <c r="V108" s="3">
        <f t="shared" ca="1" si="22"/>
        <v>-1</v>
      </c>
      <c r="W108" s="3">
        <f ca="1">IF(W107&gt;0,W107-1,IF(V108&gt;0,LOOKUP(V108,$R$3:$R$5,$O$3:$O$5),-1))</f>
        <v>-1</v>
      </c>
      <c r="X108" s="25">
        <f t="shared" ca="1" si="23"/>
        <v>0</v>
      </c>
      <c r="Y108" s="28">
        <f ca="1">X108*_GramosXFrasco</f>
        <v>0</v>
      </c>
    </row>
    <row r="109" spans="1:25" x14ac:dyDescent="0.25">
      <c r="A109" s="30">
        <f t="shared" si="24"/>
        <v>93</v>
      </c>
      <c r="B109" s="38">
        <f t="shared" ca="1" si="17"/>
        <v>6.4242191711490149E-2</v>
      </c>
      <c r="C109" s="36">
        <f t="shared" ca="1" si="18"/>
        <v>-1</v>
      </c>
      <c r="D109" s="36">
        <f t="shared" ca="1" si="19"/>
        <v>-1</v>
      </c>
      <c r="E109" s="36">
        <f t="shared" ca="1" si="28"/>
        <v>-1</v>
      </c>
      <c r="F109" s="37">
        <f ca="1">IF(E109&lt;&gt;-1,_Media_M + E109*_Sigma,-1)</f>
        <v>-1</v>
      </c>
      <c r="G109" s="3">
        <f t="shared" ca="1" si="20"/>
        <v>50</v>
      </c>
      <c r="H109" s="36">
        <f t="shared" ca="1" si="29"/>
        <v>50</v>
      </c>
      <c r="I109" s="36">
        <f t="shared" ca="1" si="21"/>
        <v>16.090819797678655</v>
      </c>
      <c r="J109" s="35">
        <f t="shared" ca="1" si="30"/>
        <v>66.090819797678648</v>
      </c>
      <c r="K109" s="19">
        <f t="shared" ca="1" si="25"/>
        <v>66.090819797678648</v>
      </c>
      <c r="L109" s="20">
        <f ca="1" xml:space="preserve"> K109*_Precio_cafe</f>
        <v>99.136229696517972</v>
      </c>
      <c r="M109" s="20">
        <f t="shared" ca="1" si="26"/>
        <v>13428.906063244016</v>
      </c>
      <c r="N109" s="20">
        <f ca="1">IF((N108-K109+Y109)&gt;_Max_Stock_Gramos,_Max_Stock_Gramos,N108-K109+Y109)</f>
        <v>1366.7087590780159</v>
      </c>
      <c r="O109" s="20">
        <f ca="1">N109/_GramosXFrasco</f>
        <v>8.0394632886942112</v>
      </c>
      <c r="P109" s="63">
        <f ca="1">(N109/_Max_Stock_Gramos)</f>
        <v>0.80394632886942108</v>
      </c>
      <c r="Q109" s="63"/>
      <c r="R109" s="10">
        <f ca="1">IF((N108-J109)&lt;0,(N108-J109)*_Costo_Faltante,0)</f>
        <v>0</v>
      </c>
      <c r="S109">
        <f ca="1">IF(U109=0,X109*_Costo_Frasco,0)</f>
        <v>0</v>
      </c>
      <c r="T109" s="11">
        <f t="shared" ca="1" si="27"/>
        <v>-6077.8917350768079</v>
      </c>
      <c r="U109" s="10">
        <f>IF(U108=0,_Proxima_Compra,U108-1)</f>
        <v>0</v>
      </c>
      <c r="V109" s="3">
        <f t="shared" ca="1" si="22"/>
        <v>0.67960136379944802</v>
      </c>
      <c r="W109" s="3">
        <f ca="1">IF(W108&gt;0,W108-1,IF(V109&gt;0,LOOKUP(V109,$R$3:$R$5,$O$3:$O$5),-1))</f>
        <v>1</v>
      </c>
      <c r="X109" s="25">
        <f t="shared" ca="1" si="23"/>
        <v>0</v>
      </c>
      <c r="Y109" s="28">
        <f ca="1">X109*_GramosXFrasco</f>
        <v>0</v>
      </c>
    </row>
    <row r="110" spans="1:25" x14ac:dyDescent="0.25">
      <c r="A110" s="30">
        <f t="shared" si="24"/>
        <v>94</v>
      </c>
      <c r="B110" s="38">
        <f t="shared" ca="1" si="17"/>
        <v>0.86280280008155563</v>
      </c>
      <c r="C110" s="36">
        <f t="shared" ca="1" si="18"/>
        <v>0.62830235087291453</v>
      </c>
      <c r="D110" s="36">
        <f t="shared" ca="1" si="19"/>
        <v>0.44698767070698764</v>
      </c>
      <c r="E110" s="36">
        <f t="shared" ca="1" si="28"/>
        <v>-0.87619850140629385</v>
      </c>
      <c r="F110" s="37">
        <f ca="1">IF(E110&lt;&gt;-1,_Media_M + E110*_Sigma,-1)</f>
        <v>61.857022478905591</v>
      </c>
      <c r="G110" s="3">
        <f t="shared" ca="1" si="20"/>
        <v>-1</v>
      </c>
      <c r="H110" s="36">
        <f t="shared" ca="1" si="29"/>
        <v>61.857022478905591</v>
      </c>
      <c r="I110" s="36">
        <f t="shared" ca="1" si="21"/>
        <v>4.5259284655078877</v>
      </c>
      <c r="J110" s="35">
        <f t="shared" ca="1" si="30"/>
        <v>66.38295094441348</v>
      </c>
      <c r="K110" s="19">
        <f t="shared" ca="1" si="25"/>
        <v>66.38295094441348</v>
      </c>
      <c r="L110" s="20">
        <f ca="1" xml:space="preserve"> K110*_Precio_cafe</f>
        <v>99.574426416620213</v>
      </c>
      <c r="M110" s="20">
        <f t="shared" ca="1" si="26"/>
        <v>13528.480489660637</v>
      </c>
      <c r="N110" s="20">
        <f ca="1">IF((N109-K110+Y110)&gt;_Max_Stock_Gramos,_Max_Stock_Gramos,N109-K110+Y110)</f>
        <v>1640.3258081336023</v>
      </c>
      <c r="O110" s="20">
        <f ca="1">N110/_GramosXFrasco</f>
        <v>9.6489753419623661</v>
      </c>
      <c r="P110" s="63">
        <f ca="1">(N110/_Max_Stock_Gramos)</f>
        <v>0.96489753419623669</v>
      </c>
      <c r="Q110" s="63"/>
      <c r="R110" s="10">
        <f ca="1">IF((N109-J110)&lt;0,(N109-J110)*_Costo_Faltante,0)</f>
        <v>0</v>
      </c>
      <c r="S110">
        <f>IF(U110=0,X110*_Costo_Frasco,0)</f>
        <v>0</v>
      </c>
      <c r="T110" s="11">
        <f t="shared" ca="1" si="27"/>
        <v>-6077.8917350768079</v>
      </c>
      <c r="U110" s="10">
        <f>IF(U109=0,_Proxima_Compra,U109-1)</f>
        <v>2</v>
      </c>
      <c r="V110" s="3">
        <f t="shared" ca="1" si="22"/>
        <v>-1</v>
      </c>
      <c r="W110" s="3">
        <f ca="1">IF(W109&gt;0,W109-1,IF(V110&gt;0,LOOKUP(V110,$R$3:$R$5,$O$3:$O$5),-1))</f>
        <v>0</v>
      </c>
      <c r="X110" s="25">
        <f t="shared" ca="1" si="23"/>
        <v>2</v>
      </c>
      <c r="Y110" s="28">
        <f ca="1">X110*_GramosXFrasco</f>
        <v>340</v>
      </c>
    </row>
    <row r="111" spans="1:25" x14ac:dyDescent="0.25">
      <c r="A111" s="30">
        <f t="shared" si="24"/>
        <v>95</v>
      </c>
      <c r="B111" s="38">
        <f t="shared" ca="1" si="17"/>
        <v>0.89912565057309901</v>
      </c>
      <c r="C111" s="36">
        <f t="shared" ca="1" si="18"/>
        <v>0.75513528454678069</v>
      </c>
      <c r="D111" s="36">
        <f t="shared" ca="1" si="19"/>
        <v>5.3752483809823115E-2</v>
      </c>
      <c r="E111" s="36">
        <f t="shared" ca="1" si="28"/>
        <v>1.0430543771783995</v>
      </c>
      <c r="F111" s="37">
        <f ca="1">IF(E111&lt;&gt;-1,_Media_M + E111*_Sigma,-1)</f>
        <v>90.645815657675996</v>
      </c>
      <c r="G111" s="3">
        <f t="shared" ca="1" si="20"/>
        <v>-1</v>
      </c>
      <c r="H111" s="36">
        <f t="shared" ca="1" si="29"/>
        <v>90.645815657675996</v>
      </c>
      <c r="I111" s="36">
        <f t="shared" ca="1" si="21"/>
        <v>9.8127124250649036</v>
      </c>
      <c r="J111" s="35">
        <f t="shared" ca="1" si="30"/>
        <v>100.4585280827409</v>
      </c>
      <c r="K111" s="19">
        <f t="shared" ca="1" si="25"/>
        <v>100.4585280827409</v>
      </c>
      <c r="L111" s="20">
        <f ca="1" xml:space="preserve"> K111*_Precio_cafe</f>
        <v>150.68779212411135</v>
      </c>
      <c r="M111" s="20">
        <f t="shared" ca="1" si="26"/>
        <v>13679.168281784749</v>
      </c>
      <c r="N111" s="20">
        <f ca="1">IF((N110-K111+Y111)&gt;_Max_Stock_Gramos,_Max_Stock_Gramos,N110-K111+Y111)</f>
        <v>1539.8672800508614</v>
      </c>
      <c r="O111" s="20">
        <f ca="1">N111/_GramosXFrasco</f>
        <v>9.0580428238285968</v>
      </c>
      <c r="P111" s="63">
        <f ca="1">(N111/_Max_Stock_Gramos)</f>
        <v>0.90580428238285959</v>
      </c>
      <c r="Q111" s="63"/>
      <c r="R111" s="10">
        <f ca="1">IF((N110-J111)&lt;0,(N110-J111)*_Costo_Faltante,0)</f>
        <v>0</v>
      </c>
      <c r="S111">
        <f>IF(U111=0,X111*_Costo_Frasco,0)</f>
        <v>0</v>
      </c>
      <c r="T111" s="11">
        <f t="shared" ca="1" si="27"/>
        <v>-6077.8917350768079</v>
      </c>
      <c r="U111" s="10">
        <f>IF(U110=0,_Proxima_Compra,U110-1)</f>
        <v>1</v>
      </c>
      <c r="V111" s="3">
        <f t="shared" ca="1" si="22"/>
        <v>-1</v>
      </c>
      <c r="W111" s="3">
        <f ca="1">IF(W110&gt;0,W110-1,IF(V111&gt;0,LOOKUP(V111,$R$3:$R$5,$O$3:$O$5),-1))</f>
        <v>-1</v>
      </c>
      <c r="X111" s="25">
        <f t="shared" ca="1" si="23"/>
        <v>0</v>
      </c>
      <c r="Y111" s="28">
        <f ca="1">X111*_GramosXFrasco</f>
        <v>0</v>
      </c>
    </row>
    <row r="112" spans="1:25" x14ac:dyDescent="0.25">
      <c r="A112" s="30">
        <f t="shared" si="24"/>
        <v>96</v>
      </c>
      <c r="B112" s="38">
        <f t="shared" ca="1" si="17"/>
        <v>0.63371329851514813</v>
      </c>
      <c r="C112" s="36">
        <f t="shared" ca="1" si="18"/>
        <v>0.44860844556440993</v>
      </c>
      <c r="D112" s="36">
        <f t="shared" ca="1" si="19"/>
        <v>0.71136278628761929</v>
      </c>
      <c r="E112" s="36">
        <f t="shared" ca="1" si="28"/>
        <v>-0.17285828355318222</v>
      </c>
      <c r="F112" s="37">
        <f ca="1">IF(E112&lt;&gt;-1,_Media_M + E112*_Sigma,-1)</f>
        <v>72.407125746702263</v>
      </c>
      <c r="G112" s="3">
        <f t="shared" ca="1" si="20"/>
        <v>-1</v>
      </c>
      <c r="H112" s="36">
        <f t="shared" ca="1" si="29"/>
        <v>72.407125746702263</v>
      </c>
      <c r="I112" s="36">
        <f t="shared" ca="1" si="21"/>
        <v>53.754105095834824</v>
      </c>
      <c r="J112" s="35">
        <f t="shared" ca="1" si="30"/>
        <v>126.16123084253709</v>
      </c>
      <c r="K112" s="19">
        <f t="shared" ca="1" si="25"/>
        <v>126.16123084253709</v>
      </c>
      <c r="L112" s="20">
        <f ca="1" xml:space="preserve"> K112*_Precio_cafe</f>
        <v>189.24184626380566</v>
      </c>
      <c r="M112" s="20">
        <f t="shared" ca="1" si="26"/>
        <v>13868.410128048554</v>
      </c>
      <c r="N112" s="20">
        <f ca="1">IF((N111-K112+Y112)&gt;_Max_Stock_Gramos,_Max_Stock_Gramos,N111-K112+Y112)</f>
        <v>1413.7060492083242</v>
      </c>
      <c r="O112" s="20">
        <f ca="1">N112/_GramosXFrasco</f>
        <v>8.3159179365195541</v>
      </c>
      <c r="P112" s="63">
        <f ca="1">(N112/_Max_Stock_Gramos)</f>
        <v>0.83159179365195546</v>
      </c>
      <c r="Q112" s="63"/>
      <c r="R112" s="10">
        <f ca="1">IF((N111-J112)&lt;0,(N111-J112)*_Costo_Faltante,0)</f>
        <v>0</v>
      </c>
      <c r="S112">
        <f ca="1">IF(U112=0,X112*_Costo_Frasco,0)</f>
        <v>0</v>
      </c>
      <c r="T112" s="11">
        <f t="shared" ca="1" si="27"/>
        <v>-6077.8917350768079</v>
      </c>
      <c r="U112" s="10">
        <f>IF(U111=0,_Proxima_Compra,U111-1)</f>
        <v>0</v>
      </c>
      <c r="V112" s="3">
        <f t="shared" ca="1" si="22"/>
        <v>0.55955852925215077</v>
      </c>
      <c r="W112" s="3">
        <f ca="1">IF(W111&gt;0,W111-1,IF(V112&gt;0,LOOKUP(V112,$R$3:$R$5,$O$3:$O$5),-1))</f>
        <v>1</v>
      </c>
      <c r="X112" s="25">
        <f t="shared" ca="1" si="23"/>
        <v>0</v>
      </c>
      <c r="Y112" s="28">
        <f ca="1">X112*_GramosXFrasco</f>
        <v>0</v>
      </c>
    </row>
    <row r="113" spans="1:25" x14ac:dyDescent="0.25">
      <c r="A113" s="30">
        <f t="shared" si="24"/>
        <v>97</v>
      </c>
      <c r="B113" s="38">
        <f t="shared" ca="1" si="17"/>
        <v>0.38880122563485509</v>
      </c>
      <c r="C113" s="36">
        <f t="shared" ca="1" si="18"/>
        <v>-1</v>
      </c>
      <c r="D113" s="36">
        <f t="shared" ca="1" si="19"/>
        <v>-1</v>
      </c>
      <c r="E113" s="36">
        <f t="shared" ca="1" si="28"/>
        <v>-1</v>
      </c>
      <c r="F113" s="37">
        <f ca="1">IF(E113&lt;&gt;-1,_Media_M + E113*_Sigma,-1)</f>
        <v>-1</v>
      </c>
      <c r="G113" s="3">
        <f t="shared" ca="1" si="20"/>
        <v>50</v>
      </c>
      <c r="H113" s="36">
        <f t="shared" ca="1" si="29"/>
        <v>50</v>
      </c>
      <c r="I113" s="36">
        <f t="shared" ca="1" si="21"/>
        <v>22.149052840450423</v>
      </c>
      <c r="J113" s="35">
        <f t="shared" ca="1" si="30"/>
        <v>72.149052840450423</v>
      </c>
      <c r="K113" s="19">
        <f t="shared" ca="1" si="25"/>
        <v>72.149052840450423</v>
      </c>
      <c r="L113" s="20">
        <f ca="1" xml:space="preserve"> K113*_Precio_cafe</f>
        <v>108.22357926067563</v>
      </c>
      <c r="M113" s="20">
        <f t="shared" ca="1" si="26"/>
        <v>13976.633707309229</v>
      </c>
      <c r="N113" s="20">
        <f ca="1">IF((N112-K113+Y113)&gt;_Max_Stock_Gramos,_Max_Stock_Gramos,N112-K113+Y113)</f>
        <v>1681.5569963678738</v>
      </c>
      <c r="O113" s="20">
        <f ca="1">N113/_GramosXFrasco</f>
        <v>9.891511743340434</v>
      </c>
      <c r="P113" s="63">
        <f ca="1">(N113/_Max_Stock_Gramos)</f>
        <v>0.98915117433404343</v>
      </c>
      <c r="Q113" s="63"/>
      <c r="R113" s="10">
        <f ca="1">IF((N112-J113)&lt;0,(N112-J113)*_Costo_Faltante,0)</f>
        <v>0</v>
      </c>
      <c r="S113">
        <f>IF(U113=0,X113*_Costo_Frasco,0)</f>
        <v>0</v>
      </c>
      <c r="T113" s="11">
        <f t="shared" ca="1" si="27"/>
        <v>-6077.8917350768079</v>
      </c>
      <c r="U113" s="10">
        <f>IF(U112=0,_Proxima_Compra,U112-1)</f>
        <v>2</v>
      </c>
      <c r="V113" s="3">
        <f t="shared" ca="1" si="22"/>
        <v>-1</v>
      </c>
      <c r="W113" s="3">
        <f ca="1">IF(W112&gt;0,W112-1,IF(V113&gt;0,LOOKUP(V113,$R$3:$R$5,$O$3:$O$5),-1))</f>
        <v>0</v>
      </c>
      <c r="X113" s="25">
        <f t="shared" ca="1" si="23"/>
        <v>2</v>
      </c>
      <c r="Y113" s="28">
        <f ca="1">X113*_GramosXFrasco</f>
        <v>340</v>
      </c>
    </row>
    <row r="114" spans="1:25" x14ac:dyDescent="0.25">
      <c r="A114" s="30">
        <f t="shared" si="24"/>
        <v>98</v>
      </c>
      <c r="B114" s="38">
        <f t="shared" ca="1" si="17"/>
        <v>6.7482407641609177E-2</v>
      </c>
      <c r="C114" s="36">
        <f t="shared" ca="1" si="18"/>
        <v>-1</v>
      </c>
      <c r="D114" s="36">
        <f t="shared" ca="1" si="19"/>
        <v>-1</v>
      </c>
      <c r="E114" s="36">
        <f t="shared" ca="1" si="28"/>
        <v>-1</v>
      </c>
      <c r="F114" s="37">
        <f ca="1">IF(E114&lt;&gt;-1,_Media_M + E114*_Sigma,-1)</f>
        <v>-1</v>
      </c>
      <c r="G114" s="3">
        <f t="shared" ca="1" si="20"/>
        <v>50</v>
      </c>
      <c r="H114" s="36">
        <f t="shared" ca="1" si="29"/>
        <v>50</v>
      </c>
      <c r="I114" s="36">
        <f t="shared" ca="1" si="21"/>
        <v>3.6485565631819727</v>
      </c>
      <c r="J114" s="35">
        <f t="shared" ca="1" si="30"/>
        <v>53.64855656318197</v>
      </c>
      <c r="K114" s="19">
        <f t="shared" ca="1" si="25"/>
        <v>53.64855656318197</v>
      </c>
      <c r="L114" s="20">
        <f ca="1" xml:space="preserve"> K114*_Precio_cafe</f>
        <v>80.472834844772962</v>
      </c>
      <c r="M114" s="20">
        <f t="shared" ca="1" si="26"/>
        <v>14057.106542154002</v>
      </c>
      <c r="N114" s="20">
        <f ca="1">IF((N113-K114+Y114)&gt;_Max_Stock_Gramos,_Max_Stock_Gramos,N113-K114+Y114)</f>
        <v>1627.9084398046919</v>
      </c>
      <c r="O114" s="20">
        <f ca="1">N114/_GramosXFrasco</f>
        <v>9.5759319988511287</v>
      </c>
      <c r="P114" s="63">
        <f ca="1">(N114/_Max_Stock_Gramos)</f>
        <v>0.95759319988511282</v>
      </c>
      <c r="Q114" s="63"/>
      <c r="R114" s="10">
        <f ca="1">IF((N113-J114)&lt;0,(N113-J114)*_Costo_Faltante,0)</f>
        <v>0</v>
      </c>
      <c r="S114">
        <f>IF(U114=0,X114*_Costo_Frasco,0)</f>
        <v>0</v>
      </c>
      <c r="T114" s="11">
        <f t="shared" ca="1" si="27"/>
        <v>-6077.8917350768079</v>
      </c>
      <c r="U114" s="10">
        <f>IF(U113=0,_Proxima_Compra,U113-1)</f>
        <v>1</v>
      </c>
      <c r="V114" s="3">
        <f t="shared" ca="1" si="22"/>
        <v>-1</v>
      </c>
      <c r="W114" s="3">
        <f ca="1">IF(W113&gt;0,W113-1,IF(V114&gt;0,LOOKUP(V114,$R$3:$R$5,$O$3:$O$5),-1))</f>
        <v>-1</v>
      </c>
      <c r="X114" s="25">
        <f t="shared" ca="1" si="23"/>
        <v>0</v>
      </c>
      <c r="Y114" s="28">
        <f ca="1">X114*_GramosXFrasco</f>
        <v>0</v>
      </c>
    </row>
    <row r="115" spans="1:25" x14ac:dyDescent="0.25">
      <c r="A115" s="30">
        <f t="shared" si="24"/>
        <v>99</v>
      </c>
      <c r="B115" s="38">
        <f t="shared" ca="1" si="17"/>
        <v>0.23456595910011657</v>
      </c>
      <c r="C115" s="36">
        <f t="shared" ca="1" si="18"/>
        <v>-1</v>
      </c>
      <c r="D115" s="36">
        <f t="shared" ca="1" si="19"/>
        <v>-1</v>
      </c>
      <c r="E115" s="36">
        <f t="shared" ca="1" si="28"/>
        <v>-1</v>
      </c>
      <c r="F115" s="37">
        <f ca="1">IF(E115&lt;&gt;-1,_Media_M + E115*_Sigma,-1)</f>
        <v>-1</v>
      </c>
      <c r="G115" s="3">
        <f t="shared" ca="1" si="20"/>
        <v>50</v>
      </c>
      <c r="H115" s="36">
        <f t="shared" ca="1" si="29"/>
        <v>50</v>
      </c>
      <c r="I115" s="36">
        <f t="shared" ca="1" si="21"/>
        <v>35.265502497188322</v>
      </c>
      <c r="J115" s="35">
        <f t="shared" ca="1" si="30"/>
        <v>85.265502497188322</v>
      </c>
      <c r="K115" s="19">
        <f t="shared" ca="1" si="25"/>
        <v>85.265502497188322</v>
      </c>
      <c r="L115" s="20">
        <f ca="1" xml:space="preserve"> K115*_Precio_cafe</f>
        <v>127.89825374578248</v>
      </c>
      <c r="M115" s="20">
        <f t="shared" ca="1" si="26"/>
        <v>14185.004795899786</v>
      </c>
      <c r="N115" s="20">
        <f ca="1">IF((N114-K115+Y115)&gt;_Max_Stock_Gramos,_Max_Stock_Gramos,N114-K115+Y115)</f>
        <v>1542.6429373075034</v>
      </c>
      <c r="O115" s="20">
        <f ca="1">N115/_GramosXFrasco</f>
        <v>9.0743702194559024</v>
      </c>
      <c r="P115" s="63">
        <f ca="1">(N115/_Max_Stock_Gramos)</f>
        <v>0.90743702194559028</v>
      </c>
      <c r="Q115" s="63"/>
      <c r="R115" s="10">
        <f ca="1">IF((N114-J115)&lt;0,(N114-J115)*_Costo_Faltante,0)</f>
        <v>0</v>
      </c>
      <c r="S115">
        <f ca="1">IF(U115=0,X115*_Costo_Frasco,0)</f>
        <v>0</v>
      </c>
      <c r="T115" s="11">
        <f t="shared" ca="1" si="27"/>
        <v>-6077.8917350768079</v>
      </c>
      <c r="U115" s="10">
        <f>IF(U114=0,_Proxima_Compra,U114-1)</f>
        <v>0</v>
      </c>
      <c r="V115" s="3">
        <f t="shared" ca="1" si="22"/>
        <v>0.54767359660836745</v>
      </c>
      <c r="W115" s="3">
        <f ca="1">IF(W114&gt;0,W114-1,IF(V115&gt;0,LOOKUP(V115,$R$3:$R$5,$O$3:$O$5),-1))</f>
        <v>1</v>
      </c>
      <c r="X115" s="25">
        <f t="shared" ca="1" si="23"/>
        <v>0</v>
      </c>
      <c r="Y115" s="28">
        <f ca="1">X115*_GramosXFrasco</f>
        <v>0</v>
      </c>
    </row>
    <row r="116" spans="1:25" x14ac:dyDescent="0.25">
      <c r="A116" s="30">
        <f t="shared" si="24"/>
        <v>100</v>
      </c>
      <c r="B116" s="38">
        <f t="shared" ca="1" si="17"/>
        <v>0.31020714340555688</v>
      </c>
      <c r="C116" s="36">
        <f t="shared" ca="1" si="18"/>
        <v>-1</v>
      </c>
      <c r="D116" s="36">
        <f t="shared" ca="1" si="19"/>
        <v>-1</v>
      </c>
      <c r="E116" s="36">
        <f t="shared" ca="1" si="28"/>
        <v>-1</v>
      </c>
      <c r="F116" s="37">
        <f ca="1">IF(E116&lt;&gt;-1,_Media_M + E116*_Sigma,-1)</f>
        <v>-1</v>
      </c>
      <c r="G116" s="3">
        <f t="shared" ca="1" si="20"/>
        <v>50</v>
      </c>
      <c r="H116" s="36">
        <f t="shared" ca="1" si="29"/>
        <v>50</v>
      </c>
      <c r="I116" s="36">
        <f t="shared" ca="1" si="21"/>
        <v>34.661913220818789</v>
      </c>
      <c r="J116" s="35">
        <f t="shared" ca="1" si="30"/>
        <v>84.661913220818789</v>
      </c>
      <c r="K116" s="19">
        <f t="shared" ca="1" si="25"/>
        <v>84.661913220818789</v>
      </c>
      <c r="L116" s="20">
        <f ca="1" xml:space="preserve"> K116*_Precio_cafe</f>
        <v>126.99286983122818</v>
      </c>
      <c r="M116" s="20">
        <f t="shared" ca="1" si="26"/>
        <v>14311.997665731014</v>
      </c>
      <c r="N116" s="20">
        <f ca="1">IF((N115-K116+Y116)&gt;_Max_Stock_Gramos,_Max_Stock_Gramos,N115-K116+Y116)</f>
        <v>1700</v>
      </c>
      <c r="O116" s="20">
        <f ca="1">N116/_GramosXFrasco</f>
        <v>10</v>
      </c>
      <c r="P116" s="63">
        <f ca="1">(N116/_Max_Stock_Gramos)</f>
        <v>1</v>
      </c>
      <c r="Q116" s="63"/>
      <c r="R116" s="10">
        <f ca="1">IF((N115-J116)&lt;0,(N115-J116)*_Costo_Faltante,0)</f>
        <v>0</v>
      </c>
      <c r="S116">
        <f>IF(U116=0,X116*_Costo_Frasco,0)</f>
        <v>0</v>
      </c>
      <c r="T116" s="11">
        <f t="shared" ca="1" si="27"/>
        <v>-6077.8917350768079</v>
      </c>
      <c r="U116" s="10">
        <f>IF(U115=0,_Proxima_Compra,U115-1)</f>
        <v>2</v>
      </c>
      <c r="V116" s="3">
        <f t="shared" ca="1" si="22"/>
        <v>-1</v>
      </c>
      <c r="W116" s="3">
        <f ca="1">IF(W115&gt;0,W115-1,IF(V116&gt;0,LOOKUP(V116,$R$3:$R$5,$O$3:$O$5),-1))</f>
        <v>0</v>
      </c>
      <c r="X116" s="25">
        <f t="shared" ca="1" si="23"/>
        <v>2</v>
      </c>
      <c r="Y116" s="28">
        <f ca="1">X116*_GramosXFrasco</f>
        <v>340</v>
      </c>
    </row>
    <row r="117" spans="1:25" x14ac:dyDescent="0.25">
      <c r="A117" s="30">
        <f t="shared" si="24"/>
        <v>101</v>
      </c>
      <c r="B117" s="38">
        <f t="shared" ca="1" si="17"/>
        <v>0.11870435394707379</v>
      </c>
      <c r="C117" s="36">
        <f t="shared" ca="1" si="18"/>
        <v>-1</v>
      </c>
      <c r="D117" s="36">
        <f t="shared" ca="1" si="19"/>
        <v>-1</v>
      </c>
      <c r="E117" s="36">
        <f t="shared" ca="1" si="28"/>
        <v>-1</v>
      </c>
      <c r="F117" s="37">
        <f ca="1">IF(E117&lt;&gt;-1,_Media_M + E117*_Sigma,-1)</f>
        <v>-1</v>
      </c>
      <c r="G117" s="3">
        <f t="shared" ca="1" si="20"/>
        <v>50</v>
      </c>
      <c r="H117" s="36">
        <f t="shared" ca="1" si="29"/>
        <v>50</v>
      </c>
      <c r="I117" s="36">
        <f t="shared" ca="1" si="21"/>
        <v>11.75173388976142</v>
      </c>
      <c r="J117" s="35">
        <f t="shared" ca="1" si="30"/>
        <v>61.751733889761418</v>
      </c>
      <c r="K117" s="19">
        <f t="shared" ca="1" si="25"/>
        <v>61.751733889761418</v>
      </c>
      <c r="L117" s="20">
        <f ca="1" xml:space="preserve"> K117*_Precio_cafe</f>
        <v>92.627600834642124</v>
      </c>
      <c r="M117" s="20">
        <f t="shared" ca="1" si="26"/>
        <v>14404.625266565656</v>
      </c>
      <c r="N117" s="20">
        <f ca="1">IF((N116-K117+Y117)&gt;_Max_Stock_Gramos,_Max_Stock_Gramos,N116-K117+Y117)</f>
        <v>1638.2482661102385</v>
      </c>
      <c r="O117" s="20">
        <f ca="1">N117/_GramosXFrasco</f>
        <v>9.6367545065308153</v>
      </c>
      <c r="P117" s="63">
        <f ca="1">(N117/_Max_Stock_Gramos)</f>
        <v>0.96367545065308147</v>
      </c>
      <c r="Q117" s="63"/>
      <c r="R117" s="10">
        <f ca="1">IF((N116-J117)&lt;0,(N116-J117)*_Costo_Faltante,0)</f>
        <v>0</v>
      </c>
      <c r="S117">
        <f>IF(U117=0,X117*_Costo_Frasco,0)</f>
        <v>0</v>
      </c>
      <c r="T117" s="11">
        <f t="shared" ca="1" si="27"/>
        <v>-6077.8917350768079</v>
      </c>
      <c r="U117" s="10">
        <f>IF(U116=0,_Proxima_Compra,U116-1)</f>
        <v>1</v>
      </c>
      <c r="V117" s="3">
        <f t="shared" ca="1" si="22"/>
        <v>-1</v>
      </c>
      <c r="W117" s="3">
        <f ca="1">IF(W116&gt;0,W116-1,IF(V117&gt;0,LOOKUP(V117,$R$3:$R$5,$O$3:$O$5),-1))</f>
        <v>-1</v>
      </c>
      <c r="X117" s="25">
        <f t="shared" ca="1" si="23"/>
        <v>0</v>
      </c>
      <c r="Y117" s="28">
        <f ca="1">X117*_GramosXFrasco</f>
        <v>0</v>
      </c>
    </row>
    <row r="118" spans="1:25" x14ac:dyDescent="0.25">
      <c r="A118" s="30">
        <f t="shared" si="24"/>
        <v>102</v>
      </c>
      <c r="B118" s="38">
        <f t="shared" ca="1" si="17"/>
        <v>0.67907117861379696</v>
      </c>
      <c r="C118" s="36">
        <f t="shared" ca="1" si="18"/>
        <v>0.82223927736554636</v>
      </c>
      <c r="D118" s="36">
        <f t="shared" ca="1" si="19"/>
        <v>0.1565576727221013</v>
      </c>
      <c r="E118" s="36">
        <f t="shared" ca="1" si="28"/>
        <v>0.67853616969543862</v>
      </c>
      <c r="F118" s="37">
        <f ca="1">IF(E118&lt;&gt;-1,_Media_M + E118*_Sigma,-1)</f>
        <v>85.17804254543158</v>
      </c>
      <c r="G118" s="3">
        <f t="shared" ca="1" si="20"/>
        <v>-1</v>
      </c>
      <c r="H118" s="36">
        <f t="shared" ca="1" si="29"/>
        <v>85.17804254543158</v>
      </c>
      <c r="I118" s="36">
        <f t="shared" ca="1" si="21"/>
        <v>68.665058862347507</v>
      </c>
      <c r="J118" s="35">
        <f t="shared" ca="1" si="30"/>
        <v>153.8431014077791</v>
      </c>
      <c r="K118" s="19">
        <f t="shared" ca="1" si="25"/>
        <v>153.8431014077791</v>
      </c>
      <c r="L118" s="20">
        <f ca="1" xml:space="preserve"> K118*_Precio_cafe</f>
        <v>230.76465211166865</v>
      </c>
      <c r="M118" s="20">
        <f t="shared" ca="1" si="26"/>
        <v>14635.389918677325</v>
      </c>
      <c r="N118" s="20">
        <f ca="1">IF((N117-K118+Y118)&gt;_Max_Stock_Gramos,_Max_Stock_Gramos,N117-K118+Y118)</f>
        <v>1700</v>
      </c>
      <c r="O118" s="20">
        <f ca="1">N118/_GramosXFrasco</f>
        <v>10</v>
      </c>
      <c r="P118" s="63">
        <f ca="1">(N118/_Max_Stock_Gramos)</f>
        <v>1</v>
      </c>
      <c r="Q118" s="63"/>
      <c r="R118" s="10">
        <f ca="1">IF((N117-J118)&lt;0,(N117-J118)*_Costo_Faltante,0)</f>
        <v>0</v>
      </c>
      <c r="S118">
        <f ca="1">IF(U118=0,X118*_Costo_Frasco,0)</f>
        <v>-500</v>
      </c>
      <c r="T118" s="11">
        <f t="shared" ca="1" si="27"/>
        <v>-6577.8917350768079</v>
      </c>
      <c r="U118" s="10">
        <f>IF(U117=0,_Proxima_Compra,U117-1)</f>
        <v>0</v>
      </c>
      <c r="V118" s="3">
        <f t="shared" ca="1" si="22"/>
        <v>0.48060801068004055</v>
      </c>
      <c r="W118" s="3">
        <f ca="1">IF(W117&gt;0,W117-1,IF(V118&gt;0,LOOKUP(V118,$R$3:$R$5,$O$3:$O$5),-1))</f>
        <v>0</v>
      </c>
      <c r="X118" s="25">
        <f t="shared" ca="1" si="23"/>
        <v>2</v>
      </c>
      <c r="Y118" s="28">
        <f ca="1">X118*_GramosXFrasco</f>
        <v>340</v>
      </c>
    </row>
    <row r="119" spans="1:25" x14ac:dyDescent="0.25">
      <c r="A119" s="30">
        <f t="shared" si="24"/>
        <v>103</v>
      </c>
      <c r="B119" s="38">
        <f t="shared" ca="1" si="17"/>
        <v>3.0574275145351493E-2</v>
      </c>
      <c r="C119" s="36">
        <f t="shared" ca="1" si="18"/>
        <v>-1</v>
      </c>
      <c r="D119" s="36">
        <f t="shared" ca="1" si="19"/>
        <v>-1</v>
      </c>
      <c r="E119" s="36">
        <f t="shared" ca="1" si="28"/>
        <v>-1</v>
      </c>
      <c r="F119" s="37">
        <f ca="1">IF(E119&lt;&gt;-1,_Media_M + E119*_Sigma,-1)</f>
        <v>-1</v>
      </c>
      <c r="G119" s="3">
        <f t="shared" ca="1" si="20"/>
        <v>50</v>
      </c>
      <c r="H119" s="36">
        <f t="shared" ca="1" si="29"/>
        <v>50</v>
      </c>
      <c r="I119" s="36">
        <f t="shared" ca="1" si="21"/>
        <v>24.08352247429783</v>
      </c>
      <c r="J119" s="35">
        <f t="shared" ca="1" si="30"/>
        <v>74.083522474297837</v>
      </c>
      <c r="K119" s="19">
        <f t="shared" ca="1" si="25"/>
        <v>74.083522474297837</v>
      </c>
      <c r="L119" s="20">
        <f ca="1" xml:space="preserve"> K119*_Precio_cafe</f>
        <v>111.12528371144676</v>
      </c>
      <c r="M119" s="20">
        <f t="shared" ca="1" si="26"/>
        <v>14746.515202388771</v>
      </c>
      <c r="N119" s="20">
        <f ca="1">IF((N118-K119+Y119)&gt;_Max_Stock_Gramos,_Max_Stock_Gramos,N118-K119+Y119)</f>
        <v>1625.9164775257022</v>
      </c>
      <c r="O119" s="20">
        <f ca="1">N119/_GramosXFrasco</f>
        <v>9.5642145736806015</v>
      </c>
      <c r="P119" s="63">
        <f ca="1">(N119/_Max_Stock_Gramos)</f>
        <v>0.95642145736806017</v>
      </c>
      <c r="Q119" s="63"/>
      <c r="R119" s="10">
        <f ca="1">IF((N118-J119)&lt;0,(N118-J119)*_Costo_Faltante,0)</f>
        <v>0</v>
      </c>
      <c r="S119">
        <f>IF(U119=0,X119*_Costo_Frasco,0)</f>
        <v>0</v>
      </c>
      <c r="T119" s="11">
        <f t="shared" ca="1" si="27"/>
        <v>-6577.8917350768079</v>
      </c>
      <c r="U119" s="10">
        <f>IF(U118=0,_Proxima_Compra,U118-1)</f>
        <v>2</v>
      </c>
      <c r="V119" s="3">
        <f t="shared" ca="1" si="22"/>
        <v>-1</v>
      </c>
      <c r="W119" s="3">
        <f ca="1">IF(W118&gt;0,W118-1,IF(V119&gt;0,LOOKUP(V119,$R$3:$R$5,$O$3:$O$5),-1))</f>
        <v>-1</v>
      </c>
      <c r="X119" s="25">
        <f t="shared" ca="1" si="23"/>
        <v>0</v>
      </c>
      <c r="Y119" s="28">
        <f ca="1">X119*_GramosXFrasco</f>
        <v>0</v>
      </c>
    </row>
    <row r="120" spans="1:25" x14ac:dyDescent="0.25">
      <c r="A120" s="30">
        <f t="shared" si="24"/>
        <v>104</v>
      </c>
      <c r="B120" s="38">
        <f t="shared" ca="1" si="17"/>
        <v>0.19846836516820499</v>
      </c>
      <c r="C120" s="36">
        <f t="shared" ca="1" si="18"/>
        <v>-1</v>
      </c>
      <c r="D120" s="36">
        <f t="shared" ca="1" si="19"/>
        <v>-1</v>
      </c>
      <c r="E120" s="36">
        <f t="shared" ca="1" si="28"/>
        <v>-1</v>
      </c>
      <c r="F120" s="37">
        <f ca="1">IF(E120&lt;&gt;-1,_Media_M + E120*_Sigma,-1)</f>
        <v>-1</v>
      </c>
      <c r="G120" s="3">
        <f t="shared" ca="1" si="20"/>
        <v>50</v>
      </c>
      <c r="H120" s="36">
        <f t="shared" ca="1" si="29"/>
        <v>50</v>
      </c>
      <c r="I120" s="36">
        <f t="shared" ca="1" si="21"/>
        <v>14.719656655086835</v>
      </c>
      <c r="J120" s="35">
        <f t="shared" ca="1" si="30"/>
        <v>64.719656655086837</v>
      </c>
      <c r="K120" s="19">
        <f t="shared" ca="1" si="25"/>
        <v>64.719656655086837</v>
      </c>
      <c r="L120" s="20">
        <f ca="1" xml:space="preserve"> K120*_Precio_cafe</f>
        <v>97.079484982630248</v>
      </c>
      <c r="M120" s="20">
        <f t="shared" ca="1" si="26"/>
        <v>14843.594687371402</v>
      </c>
      <c r="N120" s="20">
        <f ca="1">IF((N119-K120+Y120)&gt;_Max_Stock_Gramos,_Max_Stock_Gramos,N119-K120+Y120)</f>
        <v>1561.1968208706155</v>
      </c>
      <c r="O120" s="20">
        <f ca="1">N120/_GramosXFrasco</f>
        <v>9.1835107110036205</v>
      </c>
      <c r="P120" s="63">
        <f ca="1">(N120/_Max_Stock_Gramos)</f>
        <v>0.91835107110036207</v>
      </c>
      <c r="Q120" s="63"/>
      <c r="R120" s="10">
        <f ca="1">IF((N119-J120)&lt;0,(N119-J120)*_Costo_Faltante,0)</f>
        <v>0</v>
      </c>
      <c r="S120">
        <f>IF(U120=0,X120*_Costo_Frasco,0)</f>
        <v>0</v>
      </c>
      <c r="T120" s="11">
        <f t="shared" ca="1" si="27"/>
        <v>-6577.8917350768079</v>
      </c>
      <c r="U120" s="10">
        <f>IF(U119=0,_Proxima_Compra,U119-1)</f>
        <v>1</v>
      </c>
      <c r="V120" s="3">
        <f t="shared" ca="1" si="22"/>
        <v>-1</v>
      </c>
      <c r="W120" s="3">
        <f ca="1">IF(W119&gt;0,W119-1,IF(V120&gt;0,LOOKUP(V120,$R$3:$R$5,$O$3:$O$5),-1))</f>
        <v>-1</v>
      </c>
      <c r="X120" s="25">
        <f t="shared" ca="1" si="23"/>
        <v>0</v>
      </c>
      <c r="Y120" s="28">
        <f ca="1">X120*_GramosXFrasco</f>
        <v>0</v>
      </c>
    </row>
    <row r="121" spans="1:25" x14ac:dyDescent="0.25">
      <c r="A121" s="30">
        <f t="shared" si="24"/>
        <v>105</v>
      </c>
      <c r="B121" s="38">
        <f t="shared" ca="1" si="17"/>
        <v>0.28947647124145237</v>
      </c>
      <c r="C121" s="36">
        <f t="shared" ca="1" si="18"/>
        <v>-1</v>
      </c>
      <c r="D121" s="36">
        <f t="shared" ca="1" si="19"/>
        <v>-1</v>
      </c>
      <c r="E121" s="36">
        <f t="shared" ca="1" si="28"/>
        <v>-1</v>
      </c>
      <c r="F121" s="37">
        <f ca="1">IF(E121&lt;&gt;-1,_Media_M + E121*_Sigma,-1)</f>
        <v>-1</v>
      </c>
      <c r="G121" s="3">
        <f t="shared" ca="1" si="20"/>
        <v>50</v>
      </c>
      <c r="H121" s="36">
        <f t="shared" ca="1" si="29"/>
        <v>50</v>
      </c>
      <c r="I121" s="36">
        <f t="shared" ca="1" si="21"/>
        <v>18.80417009554251</v>
      </c>
      <c r="J121" s="35">
        <f t="shared" ca="1" si="30"/>
        <v>68.804170095542503</v>
      </c>
      <c r="K121" s="19">
        <f t="shared" ca="1" si="25"/>
        <v>68.804170095542503</v>
      </c>
      <c r="L121" s="20">
        <f ca="1" xml:space="preserve"> K121*_Precio_cafe</f>
        <v>103.20625514331375</v>
      </c>
      <c r="M121" s="20">
        <f t="shared" ca="1" si="26"/>
        <v>14946.800942514716</v>
      </c>
      <c r="N121" s="20">
        <f ca="1">IF((N120-K121+Y121)&gt;_Max_Stock_Gramos,_Max_Stock_Gramos,N120-K121+Y121)</f>
        <v>1492.392650775073</v>
      </c>
      <c r="O121" s="20">
        <f ca="1">N121/_GramosXFrasco</f>
        <v>8.7787802986768995</v>
      </c>
      <c r="P121" s="63">
        <f ca="1">(N121/_Max_Stock_Gramos)</f>
        <v>0.87787802986769004</v>
      </c>
      <c r="Q121" s="63"/>
      <c r="R121" s="10">
        <f ca="1">IF((N120-J121)&lt;0,(N120-J121)*_Costo_Faltante,0)</f>
        <v>0</v>
      </c>
      <c r="S121">
        <f ca="1">IF(U121=0,X121*_Costo_Frasco,0)</f>
        <v>0</v>
      </c>
      <c r="T121" s="11">
        <f t="shared" ca="1" si="27"/>
        <v>-6577.8917350768079</v>
      </c>
      <c r="U121" s="10">
        <f>IF(U120=0,_Proxima_Compra,U120-1)</f>
        <v>0</v>
      </c>
      <c r="V121" s="3">
        <f t="shared" ca="1" si="22"/>
        <v>0.84909049348159371</v>
      </c>
      <c r="W121" s="3">
        <f ca="1">IF(W120&gt;0,W120-1,IF(V121&gt;0,LOOKUP(V121,$R$3:$R$5,$O$3:$O$5),-1))</f>
        <v>2</v>
      </c>
      <c r="X121" s="25">
        <f t="shared" ca="1" si="23"/>
        <v>0</v>
      </c>
      <c r="Y121" s="28">
        <f ca="1">X121*_GramosXFrasco</f>
        <v>0</v>
      </c>
    </row>
    <row r="122" spans="1:25" x14ac:dyDescent="0.25">
      <c r="A122" s="30">
        <f t="shared" si="24"/>
        <v>106</v>
      </c>
      <c r="B122" s="38">
        <f t="shared" ca="1" si="17"/>
        <v>8.0283114390219068E-2</v>
      </c>
      <c r="C122" s="36">
        <f t="shared" ca="1" si="18"/>
        <v>-1</v>
      </c>
      <c r="D122" s="36">
        <f t="shared" ca="1" si="19"/>
        <v>-1</v>
      </c>
      <c r="E122" s="36">
        <f t="shared" ca="1" si="28"/>
        <v>-1</v>
      </c>
      <c r="F122" s="37">
        <f ca="1">IF(E122&lt;&gt;-1,_Media_M + E122*_Sigma,-1)</f>
        <v>-1</v>
      </c>
      <c r="G122" s="3">
        <f t="shared" ca="1" si="20"/>
        <v>50</v>
      </c>
      <c r="H122" s="36">
        <f t="shared" ca="1" si="29"/>
        <v>50</v>
      </c>
      <c r="I122" s="36">
        <f t="shared" ca="1" si="21"/>
        <v>54.386745850299114</v>
      </c>
      <c r="J122" s="35">
        <f t="shared" ca="1" si="30"/>
        <v>104.38674585029912</v>
      </c>
      <c r="K122" s="19">
        <f t="shared" ca="1" si="25"/>
        <v>104.38674585029912</v>
      </c>
      <c r="L122" s="20">
        <f ca="1" xml:space="preserve"> K122*_Precio_cafe</f>
        <v>156.58011877544868</v>
      </c>
      <c r="M122" s="20">
        <f t="shared" ca="1" si="26"/>
        <v>15103.381061290165</v>
      </c>
      <c r="N122" s="20">
        <f ca="1">IF((N121-K122+Y122)&gt;_Max_Stock_Gramos,_Max_Stock_Gramos,N121-K122+Y122)</f>
        <v>1388.0059049247739</v>
      </c>
      <c r="O122" s="20">
        <f ca="1">N122/_GramosXFrasco</f>
        <v>8.1647406172045525</v>
      </c>
      <c r="P122" s="63">
        <f ca="1">(N122/_Max_Stock_Gramos)</f>
        <v>0.81647406172045522</v>
      </c>
      <c r="Q122" s="63"/>
      <c r="R122" s="10">
        <f ca="1">IF((N121-J122)&lt;0,(N121-J122)*_Costo_Faltante,0)</f>
        <v>0</v>
      </c>
      <c r="S122">
        <f>IF(U122=0,X122*_Costo_Frasco,0)</f>
        <v>0</v>
      </c>
      <c r="T122" s="11">
        <f t="shared" ca="1" si="27"/>
        <v>-6577.8917350768079</v>
      </c>
      <c r="U122" s="10">
        <f>IF(U121=0,_Proxima_Compra,U121-1)</f>
        <v>2</v>
      </c>
      <c r="V122" s="3">
        <f t="shared" ca="1" si="22"/>
        <v>-1</v>
      </c>
      <c r="W122" s="3">
        <f ca="1">IF(W121&gt;0,W121-1,IF(V122&gt;0,LOOKUP(V122,$R$3:$R$5,$O$3:$O$5),-1))</f>
        <v>1</v>
      </c>
      <c r="X122" s="25">
        <f t="shared" ca="1" si="23"/>
        <v>0</v>
      </c>
      <c r="Y122" s="28">
        <f ca="1">X122*_GramosXFrasco</f>
        <v>0</v>
      </c>
    </row>
    <row r="123" spans="1:25" x14ac:dyDescent="0.25">
      <c r="A123" s="30">
        <f t="shared" si="24"/>
        <v>107</v>
      </c>
      <c r="B123" s="38">
        <f t="shared" ca="1" si="17"/>
        <v>3.2782397977672129E-2</v>
      </c>
      <c r="C123" s="36">
        <f t="shared" ca="1" si="18"/>
        <v>-1</v>
      </c>
      <c r="D123" s="36">
        <f t="shared" ca="1" si="19"/>
        <v>-1</v>
      </c>
      <c r="E123" s="36">
        <f t="shared" ca="1" si="28"/>
        <v>-1</v>
      </c>
      <c r="F123" s="37">
        <f ca="1">IF(E123&lt;&gt;-1,_Media_M + E123*_Sigma,-1)</f>
        <v>-1</v>
      </c>
      <c r="G123" s="3">
        <f t="shared" ca="1" si="20"/>
        <v>50</v>
      </c>
      <c r="H123" s="36">
        <f t="shared" ca="1" si="29"/>
        <v>50</v>
      </c>
      <c r="I123" s="36">
        <f t="shared" ca="1" si="21"/>
        <v>24.695285564258118</v>
      </c>
      <c r="J123" s="35">
        <f t="shared" ca="1" si="30"/>
        <v>74.695285564258114</v>
      </c>
      <c r="K123" s="19">
        <f t="shared" ca="1" si="25"/>
        <v>74.695285564258114</v>
      </c>
      <c r="L123" s="20">
        <f ca="1" xml:space="preserve"> K123*_Precio_cafe</f>
        <v>112.04292834638717</v>
      </c>
      <c r="M123" s="20">
        <f t="shared" ca="1" si="26"/>
        <v>15215.423989636553</v>
      </c>
      <c r="N123" s="20">
        <f ca="1">IF((N122-K123+Y123)&gt;_Max_Stock_Gramos,_Max_Stock_Gramos,N122-K123+Y123)</f>
        <v>1653.3106193605158</v>
      </c>
      <c r="O123" s="20">
        <f ca="1">N123/_GramosXFrasco</f>
        <v>9.7253565844736229</v>
      </c>
      <c r="P123" s="63">
        <f ca="1">(N123/_Max_Stock_Gramos)</f>
        <v>0.97253565844736223</v>
      </c>
      <c r="Q123" s="63"/>
      <c r="R123" s="10">
        <f ca="1">IF((N122-J123)&lt;0,(N122-J123)*_Costo_Faltante,0)</f>
        <v>0</v>
      </c>
      <c r="S123">
        <f>IF(U123=0,X123*_Costo_Frasco,0)</f>
        <v>0</v>
      </c>
      <c r="T123" s="11">
        <f t="shared" ca="1" si="27"/>
        <v>-6577.8917350768079</v>
      </c>
      <c r="U123" s="10">
        <f>IF(U122=0,_Proxima_Compra,U122-1)</f>
        <v>1</v>
      </c>
      <c r="V123" s="3">
        <f t="shared" ca="1" si="22"/>
        <v>-1</v>
      </c>
      <c r="W123" s="3">
        <f ca="1">IF(W122&gt;0,W122-1,IF(V123&gt;0,LOOKUP(V123,$R$3:$R$5,$O$3:$O$5),-1))</f>
        <v>0</v>
      </c>
      <c r="X123" s="25">
        <f t="shared" ca="1" si="23"/>
        <v>2</v>
      </c>
      <c r="Y123" s="28">
        <f ca="1">X123*_GramosXFrasco</f>
        <v>340</v>
      </c>
    </row>
    <row r="124" spans="1:25" x14ac:dyDescent="0.25">
      <c r="A124" s="30">
        <f t="shared" si="24"/>
        <v>108</v>
      </c>
      <c r="B124" s="38">
        <f t="shared" ca="1" si="17"/>
        <v>0.10159833919867067</v>
      </c>
      <c r="C124" s="36">
        <f t="shared" ca="1" si="18"/>
        <v>-1</v>
      </c>
      <c r="D124" s="36">
        <f t="shared" ca="1" si="19"/>
        <v>-1</v>
      </c>
      <c r="E124" s="36">
        <f t="shared" ca="1" si="28"/>
        <v>-1</v>
      </c>
      <c r="F124" s="37">
        <f ca="1">IF(E124&lt;&gt;-1,_Media_M + E124*_Sigma,-1)</f>
        <v>-1</v>
      </c>
      <c r="G124" s="3">
        <f t="shared" ca="1" si="20"/>
        <v>50</v>
      </c>
      <c r="H124" s="36">
        <f t="shared" ca="1" si="29"/>
        <v>50</v>
      </c>
      <c r="I124" s="36">
        <f t="shared" ca="1" si="21"/>
        <v>7.0641893279039092</v>
      </c>
      <c r="J124" s="35">
        <f t="shared" ca="1" si="30"/>
        <v>57.064189327903911</v>
      </c>
      <c r="K124" s="19">
        <f t="shared" ca="1" si="25"/>
        <v>57.064189327903911</v>
      </c>
      <c r="L124" s="20">
        <f ca="1" xml:space="preserve"> K124*_Precio_cafe</f>
        <v>85.59628399185587</v>
      </c>
      <c r="M124" s="20">
        <f t="shared" ca="1" si="26"/>
        <v>15301.020273628408</v>
      </c>
      <c r="N124" s="20">
        <f ca="1">IF((N123-K124+Y124)&gt;_Max_Stock_Gramos,_Max_Stock_Gramos,N123-K124+Y124)</f>
        <v>1596.2464300326119</v>
      </c>
      <c r="O124" s="20">
        <f ca="1">N124/_GramosXFrasco</f>
        <v>9.3896848825447758</v>
      </c>
      <c r="P124" s="63">
        <f ca="1">(N124/_Max_Stock_Gramos)</f>
        <v>0.93896848825447754</v>
      </c>
      <c r="Q124" s="63"/>
      <c r="R124" s="10">
        <f ca="1">IF((N123-J124)&lt;0,(N123-J124)*_Costo_Faltante,0)</f>
        <v>0</v>
      </c>
      <c r="S124">
        <f ca="1">IF(U124=0,X124*_Costo_Frasco,0)</f>
        <v>0</v>
      </c>
      <c r="T124" s="11">
        <f t="shared" ca="1" si="27"/>
        <v>-6577.8917350768079</v>
      </c>
      <c r="U124" s="10">
        <f>IF(U123=0,_Proxima_Compra,U123-1)</f>
        <v>0</v>
      </c>
      <c r="V124" s="3">
        <f t="shared" ca="1" si="22"/>
        <v>0.78181865462080735</v>
      </c>
      <c r="W124" s="3">
        <f ca="1">IF(W123&gt;0,W123-1,IF(V124&gt;0,LOOKUP(V124,$R$3:$R$5,$O$3:$O$5),-1))</f>
        <v>2</v>
      </c>
      <c r="X124" s="25">
        <f t="shared" ca="1" si="23"/>
        <v>0</v>
      </c>
      <c r="Y124" s="28">
        <f ca="1">X124*_GramosXFrasco</f>
        <v>0</v>
      </c>
    </row>
    <row r="125" spans="1:25" x14ac:dyDescent="0.25">
      <c r="A125" s="30">
        <f t="shared" si="24"/>
        <v>109</v>
      </c>
      <c r="B125" s="38">
        <f t="shared" ca="1" si="17"/>
        <v>0.25618123645058166</v>
      </c>
      <c r="C125" s="36">
        <f t="shared" ca="1" si="18"/>
        <v>-1</v>
      </c>
      <c r="D125" s="36">
        <f t="shared" ca="1" si="19"/>
        <v>-1</v>
      </c>
      <c r="E125" s="36">
        <f t="shared" ca="1" si="28"/>
        <v>-1</v>
      </c>
      <c r="F125" s="37">
        <f ca="1">IF(E125&lt;&gt;-1,_Media_M + E125*_Sigma,-1)</f>
        <v>-1</v>
      </c>
      <c r="G125" s="3">
        <f t="shared" ca="1" si="20"/>
        <v>50</v>
      </c>
      <c r="H125" s="36">
        <f t="shared" ca="1" si="29"/>
        <v>50</v>
      </c>
      <c r="I125" s="36">
        <f t="shared" ca="1" si="21"/>
        <v>7.8638514952119927</v>
      </c>
      <c r="J125" s="35">
        <f t="shared" ca="1" si="30"/>
        <v>57.863851495211989</v>
      </c>
      <c r="K125" s="19">
        <f t="shared" ca="1" si="25"/>
        <v>57.863851495211989</v>
      </c>
      <c r="L125" s="20">
        <f ca="1" xml:space="preserve"> K125*_Precio_cafe</f>
        <v>86.795777242817991</v>
      </c>
      <c r="M125" s="20">
        <f t="shared" ca="1" si="26"/>
        <v>15387.816050871226</v>
      </c>
      <c r="N125" s="20">
        <f ca="1">IF((N124-K125+Y125)&gt;_Max_Stock_Gramos,_Max_Stock_Gramos,N124-K125+Y125)</f>
        <v>1538.3825785373999</v>
      </c>
      <c r="O125" s="20">
        <f ca="1">N125/_GramosXFrasco</f>
        <v>9.0493092855141164</v>
      </c>
      <c r="P125" s="63">
        <f ca="1">(N125/_Max_Stock_Gramos)</f>
        <v>0.90493092855141177</v>
      </c>
      <c r="Q125" s="63"/>
      <c r="R125" s="10">
        <f ca="1">IF((N124-J125)&lt;0,(N124-J125)*_Costo_Faltante,0)</f>
        <v>0</v>
      </c>
      <c r="S125">
        <f>IF(U125=0,X125*_Costo_Frasco,0)</f>
        <v>0</v>
      </c>
      <c r="T125" s="11">
        <f t="shared" ca="1" si="27"/>
        <v>-6577.8917350768079</v>
      </c>
      <c r="U125" s="10">
        <f>IF(U124=0,_Proxima_Compra,U124-1)</f>
        <v>2</v>
      </c>
      <c r="V125" s="3">
        <f t="shared" ca="1" si="22"/>
        <v>-1</v>
      </c>
      <c r="W125" s="3">
        <f ca="1">IF(W124&gt;0,W124-1,IF(V125&gt;0,LOOKUP(V125,$R$3:$R$5,$O$3:$O$5),-1))</f>
        <v>1</v>
      </c>
      <c r="X125" s="25">
        <f t="shared" ca="1" si="23"/>
        <v>0</v>
      </c>
      <c r="Y125" s="28">
        <f ca="1">X125*_GramosXFrasco</f>
        <v>0</v>
      </c>
    </row>
    <row r="126" spans="1:25" x14ac:dyDescent="0.25">
      <c r="A126" s="30">
        <f t="shared" si="24"/>
        <v>110</v>
      </c>
      <c r="B126" s="38">
        <f t="shared" ca="1" si="17"/>
        <v>0.78942538830480802</v>
      </c>
      <c r="C126" s="36">
        <f t="shared" ca="1" si="18"/>
        <v>0.23693512371281367</v>
      </c>
      <c r="D126" s="36">
        <f t="shared" ca="1" si="19"/>
        <v>0.38199601894482815</v>
      </c>
      <c r="E126" s="36">
        <f t="shared" ca="1" si="28"/>
        <v>-0.35742104019438231</v>
      </c>
      <c r="F126" s="37">
        <f ca="1">IF(E126&lt;&gt;-1,_Media_M + E126*_Sigma,-1)</f>
        <v>69.638684397084262</v>
      </c>
      <c r="G126" s="3">
        <f t="shared" ca="1" si="20"/>
        <v>-1</v>
      </c>
      <c r="H126" s="36">
        <f t="shared" ca="1" si="29"/>
        <v>69.638684397084262</v>
      </c>
      <c r="I126" s="36">
        <f t="shared" ca="1" si="21"/>
        <v>56.334582792488852</v>
      </c>
      <c r="J126" s="35">
        <f t="shared" ca="1" si="30"/>
        <v>125.97326718957311</v>
      </c>
      <c r="K126" s="19">
        <f t="shared" ca="1" si="25"/>
        <v>125.97326718957311</v>
      </c>
      <c r="L126" s="20">
        <f ca="1" xml:space="preserve"> K126*_Precio_cafe</f>
        <v>188.95990078435966</v>
      </c>
      <c r="M126" s="20">
        <f t="shared" ca="1" si="26"/>
        <v>15576.775951655585</v>
      </c>
      <c r="N126" s="20">
        <f ca="1">IF((N125-K126+Y126)&gt;_Max_Stock_Gramos,_Max_Stock_Gramos,N125-K126+Y126)</f>
        <v>1700</v>
      </c>
      <c r="O126" s="20">
        <f ca="1">N126/_GramosXFrasco</f>
        <v>10</v>
      </c>
      <c r="P126" s="63">
        <f ca="1">(N126/_Max_Stock_Gramos)</f>
        <v>1</v>
      </c>
      <c r="Q126" s="63"/>
      <c r="R126" s="10">
        <f ca="1">IF((N125-J126)&lt;0,(N125-J126)*_Costo_Faltante,0)</f>
        <v>0</v>
      </c>
      <c r="S126">
        <f>IF(U126=0,X126*_Costo_Frasco,0)</f>
        <v>0</v>
      </c>
      <c r="T126" s="11">
        <f t="shared" ca="1" si="27"/>
        <v>-6577.8917350768079</v>
      </c>
      <c r="U126" s="10">
        <f>IF(U125=0,_Proxima_Compra,U125-1)</f>
        <v>1</v>
      </c>
      <c r="V126" s="3">
        <f t="shared" ca="1" si="22"/>
        <v>-1</v>
      </c>
      <c r="W126" s="3">
        <f ca="1">IF(W125&gt;0,W125-1,IF(V126&gt;0,LOOKUP(V126,$R$3:$R$5,$O$3:$O$5),-1))</f>
        <v>0</v>
      </c>
      <c r="X126" s="25">
        <f t="shared" ca="1" si="23"/>
        <v>2</v>
      </c>
      <c r="Y126" s="28">
        <f ca="1">X126*_GramosXFrasco</f>
        <v>340</v>
      </c>
    </row>
    <row r="127" spans="1:25" x14ac:dyDescent="0.25">
      <c r="A127" s="30">
        <f t="shared" si="24"/>
        <v>111</v>
      </c>
      <c r="B127" s="38">
        <f t="shared" ca="1" si="17"/>
        <v>1.1877568002420458E-2</v>
      </c>
      <c r="C127" s="36">
        <f t="shared" ca="1" si="18"/>
        <v>-1</v>
      </c>
      <c r="D127" s="36">
        <f t="shared" ca="1" si="19"/>
        <v>-1</v>
      </c>
      <c r="E127" s="36">
        <f t="shared" ca="1" si="28"/>
        <v>-1</v>
      </c>
      <c r="F127" s="37">
        <f ca="1">IF(E127&lt;&gt;-1,_Media_M + E127*_Sigma,-1)</f>
        <v>-1</v>
      </c>
      <c r="G127" s="3">
        <f t="shared" ca="1" si="20"/>
        <v>50</v>
      </c>
      <c r="H127" s="36">
        <f t="shared" ca="1" si="29"/>
        <v>50</v>
      </c>
      <c r="I127" s="36">
        <f t="shared" ca="1" si="21"/>
        <v>84.375844236358191</v>
      </c>
      <c r="J127" s="35">
        <f t="shared" ca="1" si="30"/>
        <v>134.3758442363582</v>
      </c>
      <c r="K127" s="19">
        <f t="shared" ca="1" si="25"/>
        <v>134.3758442363582</v>
      </c>
      <c r="L127" s="20">
        <f ca="1" xml:space="preserve"> K127*_Precio_cafe</f>
        <v>201.56376635453731</v>
      </c>
      <c r="M127" s="20">
        <f t="shared" ca="1" si="26"/>
        <v>15778.339718010122</v>
      </c>
      <c r="N127" s="20">
        <f ca="1">IF((N126-K127+Y127)&gt;_Max_Stock_Gramos,_Max_Stock_Gramos,N126-K127+Y127)</f>
        <v>1700</v>
      </c>
      <c r="O127" s="20">
        <f ca="1">N127/_GramosXFrasco</f>
        <v>10</v>
      </c>
      <c r="P127" s="63">
        <f ca="1">(N127/_Max_Stock_Gramos)</f>
        <v>1</v>
      </c>
      <c r="Q127" s="63"/>
      <c r="R127" s="10">
        <f ca="1">IF((N126-J127)&lt;0,(N126-J127)*_Costo_Faltante,0)</f>
        <v>0</v>
      </c>
      <c r="S127">
        <f ca="1">IF(U127=0,X127*_Costo_Frasco,0)</f>
        <v>-500</v>
      </c>
      <c r="T127" s="11">
        <f t="shared" ca="1" si="27"/>
        <v>-7077.8917350768079</v>
      </c>
      <c r="U127" s="10">
        <f>IF(U126=0,_Proxima_Compra,U126-1)</f>
        <v>0</v>
      </c>
      <c r="V127" s="3">
        <f t="shared" ca="1" si="22"/>
        <v>0.14660049279726395</v>
      </c>
      <c r="W127" s="3">
        <f ca="1">IF(W126&gt;0,W126-1,IF(V127&gt;0,LOOKUP(V127,$R$3:$R$5,$O$3:$O$5),-1))</f>
        <v>0</v>
      </c>
      <c r="X127" s="25">
        <f t="shared" ca="1" si="23"/>
        <v>2</v>
      </c>
      <c r="Y127" s="28">
        <f ca="1">X127*_GramosXFrasco</f>
        <v>340</v>
      </c>
    </row>
    <row r="128" spans="1:25" x14ac:dyDescent="0.25">
      <c r="A128" s="30">
        <f t="shared" si="24"/>
        <v>112</v>
      </c>
      <c r="B128" s="38">
        <f t="shared" ca="1" si="17"/>
        <v>0.74021205385339284</v>
      </c>
      <c r="C128" s="36">
        <f t="shared" ca="1" si="18"/>
        <v>0.52620533098983135</v>
      </c>
      <c r="D128" s="36">
        <f t="shared" ca="1" si="19"/>
        <v>0.56056897729175659</v>
      </c>
      <c r="E128" s="36">
        <f t="shared" ca="1" si="28"/>
        <v>-0.74786400119052521</v>
      </c>
      <c r="F128" s="37">
        <f ca="1">IF(E128&lt;&gt;-1,_Media_M + E128*_Sigma,-1)</f>
        <v>63.782039982142123</v>
      </c>
      <c r="G128" s="3">
        <f t="shared" ca="1" si="20"/>
        <v>-1</v>
      </c>
      <c r="H128" s="36">
        <f t="shared" ca="1" si="29"/>
        <v>63.782039982142123</v>
      </c>
      <c r="I128" s="36">
        <f t="shared" ca="1" si="21"/>
        <v>30.64527935608735</v>
      </c>
      <c r="J128" s="35">
        <f t="shared" ca="1" si="30"/>
        <v>94.427319338229466</v>
      </c>
      <c r="K128" s="19">
        <f t="shared" ca="1" si="25"/>
        <v>94.427319338229466</v>
      </c>
      <c r="L128" s="20">
        <f ca="1" xml:space="preserve"> K128*_Precio_cafe</f>
        <v>141.64097900734419</v>
      </c>
      <c r="M128" s="20">
        <f t="shared" ca="1" si="26"/>
        <v>15919.980697017467</v>
      </c>
      <c r="N128" s="20">
        <f ca="1">IF((N127-K128+Y128)&gt;_Max_Stock_Gramos,_Max_Stock_Gramos,N127-K128+Y128)</f>
        <v>1605.5726806617706</v>
      </c>
      <c r="O128" s="20">
        <f ca="1">N128/_GramosXFrasco</f>
        <v>9.444545180363356</v>
      </c>
      <c r="P128" s="63">
        <f ca="1">(N128/_Max_Stock_Gramos)</f>
        <v>0.94445451803633562</v>
      </c>
      <c r="Q128" s="63"/>
      <c r="R128" s="10">
        <f ca="1">IF((N127-J128)&lt;0,(N127-J128)*_Costo_Faltante,0)</f>
        <v>0</v>
      </c>
      <c r="S128">
        <f>IF(U128=0,X128*_Costo_Frasco,0)</f>
        <v>0</v>
      </c>
      <c r="T128" s="11">
        <f t="shared" ca="1" si="27"/>
        <v>-7077.8917350768079</v>
      </c>
      <c r="U128" s="10">
        <f>IF(U127=0,_Proxima_Compra,U127-1)</f>
        <v>2</v>
      </c>
      <c r="V128" s="3">
        <f t="shared" ca="1" si="22"/>
        <v>-1</v>
      </c>
      <c r="W128" s="3">
        <f ca="1">IF(W127&gt;0,W127-1,IF(V128&gt;0,LOOKUP(V128,$R$3:$R$5,$O$3:$O$5),-1))</f>
        <v>-1</v>
      </c>
      <c r="X128" s="25">
        <f t="shared" ca="1" si="23"/>
        <v>0</v>
      </c>
      <c r="Y128" s="28">
        <f ca="1">X128*_GramosXFrasco</f>
        <v>0</v>
      </c>
    </row>
    <row r="129" spans="1:25" x14ac:dyDescent="0.25">
      <c r="A129" s="30">
        <f t="shared" si="24"/>
        <v>113</v>
      </c>
      <c r="B129" s="38">
        <f t="shared" ca="1" si="17"/>
        <v>0.13026935650953531</v>
      </c>
      <c r="C129" s="36">
        <f t="shared" ca="1" si="18"/>
        <v>-1</v>
      </c>
      <c r="D129" s="36">
        <f t="shared" ca="1" si="19"/>
        <v>-1</v>
      </c>
      <c r="E129" s="36">
        <f t="shared" ca="1" si="28"/>
        <v>-1</v>
      </c>
      <c r="F129" s="37">
        <f ca="1">IF(E129&lt;&gt;-1,_Media_M + E129*_Sigma,-1)</f>
        <v>-1</v>
      </c>
      <c r="G129" s="3">
        <f t="shared" ca="1" si="20"/>
        <v>50</v>
      </c>
      <c r="H129" s="36">
        <f t="shared" ca="1" si="29"/>
        <v>50</v>
      </c>
      <c r="I129" s="36">
        <f t="shared" ca="1" si="21"/>
        <v>3.6274786784440005</v>
      </c>
      <c r="J129" s="35">
        <f t="shared" ca="1" si="30"/>
        <v>53.627478678444</v>
      </c>
      <c r="K129" s="19">
        <f t="shared" ca="1" si="25"/>
        <v>53.627478678444</v>
      </c>
      <c r="L129" s="20">
        <f ca="1" xml:space="preserve"> K129*_Precio_cafe</f>
        <v>80.441218017666003</v>
      </c>
      <c r="M129" s="20">
        <f t="shared" ca="1" si="26"/>
        <v>16000.421915035133</v>
      </c>
      <c r="N129" s="20">
        <f ca="1">IF((N128-K129+Y129)&gt;_Max_Stock_Gramos,_Max_Stock_Gramos,N128-K129+Y129)</f>
        <v>1551.9452019833266</v>
      </c>
      <c r="O129" s="20">
        <f ca="1">N129/_GramosXFrasco</f>
        <v>9.1290894234313331</v>
      </c>
      <c r="P129" s="63">
        <f ca="1">(N129/_Max_Stock_Gramos)</f>
        <v>0.91290894234313325</v>
      </c>
      <c r="Q129" s="63"/>
      <c r="R129" s="10">
        <f ca="1">IF((N128-J129)&lt;0,(N128-J129)*_Costo_Faltante,0)</f>
        <v>0</v>
      </c>
      <c r="S129">
        <f>IF(U129=0,X129*_Costo_Frasco,0)</f>
        <v>0</v>
      </c>
      <c r="T129" s="11">
        <f t="shared" ca="1" si="27"/>
        <v>-7077.8917350768079</v>
      </c>
      <c r="U129" s="10">
        <f>IF(U128=0,_Proxima_Compra,U128-1)</f>
        <v>1</v>
      </c>
      <c r="V129" s="3">
        <f t="shared" ca="1" si="22"/>
        <v>-1</v>
      </c>
      <c r="W129" s="3">
        <f ca="1">IF(W128&gt;0,W128-1,IF(V129&gt;0,LOOKUP(V129,$R$3:$R$5,$O$3:$O$5),-1))</f>
        <v>-1</v>
      </c>
      <c r="X129" s="25">
        <f t="shared" ca="1" si="23"/>
        <v>0</v>
      </c>
      <c r="Y129" s="28">
        <f ca="1">X129*_GramosXFrasco</f>
        <v>0</v>
      </c>
    </row>
    <row r="130" spans="1:25" x14ac:dyDescent="0.25">
      <c r="A130" s="30">
        <f t="shared" si="24"/>
        <v>114</v>
      </c>
      <c r="B130" s="38">
        <f t="shared" ca="1" si="17"/>
        <v>2.1146697799708458E-2</v>
      </c>
      <c r="C130" s="36">
        <f t="shared" ca="1" si="18"/>
        <v>-1</v>
      </c>
      <c r="D130" s="36">
        <f t="shared" ca="1" si="19"/>
        <v>-1</v>
      </c>
      <c r="E130" s="36">
        <f t="shared" ca="1" si="28"/>
        <v>-1</v>
      </c>
      <c r="F130" s="37">
        <f ca="1">IF(E130&lt;&gt;-1,_Media_M + E130*_Sigma,-1)</f>
        <v>-1</v>
      </c>
      <c r="G130" s="3">
        <f t="shared" ca="1" si="20"/>
        <v>50</v>
      </c>
      <c r="H130" s="36">
        <f t="shared" ca="1" si="29"/>
        <v>50</v>
      </c>
      <c r="I130" s="36">
        <f t="shared" ca="1" si="21"/>
        <v>26.087201240073583</v>
      </c>
      <c r="J130" s="35">
        <f t="shared" ca="1" si="30"/>
        <v>76.087201240073583</v>
      </c>
      <c r="K130" s="19">
        <f t="shared" ca="1" si="25"/>
        <v>76.087201240073583</v>
      </c>
      <c r="L130" s="20">
        <f ca="1" xml:space="preserve"> K130*_Precio_cafe</f>
        <v>114.13080186011038</v>
      </c>
      <c r="M130" s="20">
        <f t="shared" ca="1" si="26"/>
        <v>16114.552716895243</v>
      </c>
      <c r="N130" s="20">
        <f ca="1">IF((N129-K130+Y130)&gt;_Max_Stock_Gramos,_Max_Stock_Gramos,N129-K130+Y130)</f>
        <v>1475.8580007432529</v>
      </c>
      <c r="O130" s="20">
        <f ca="1">N130/_GramosXFrasco</f>
        <v>8.6815176514308998</v>
      </c>
      <c r="P130" s="63">
        <f ca="1">(N130/_Max_Stock_Gramos)</f>
        <v>0.86815176514308989</v>
      </c>
      <c r="Q130" s="63"/>
      <c r="R130" s="10">
        <f ca="1">IF((N129-J130)&lt;0,(N129-J130)*_Costo_Faltante,0)</f>
        <v>0</v>
      </c>
      <c r="S130">
        <f ca="1">IF(U130=0,X130*_Costo_Frasco,0)</f>
        <v>0</v>
      </c>
      <c r="T130" s="11">
        <f t="shared" ca="1" si="27"/>
        <v>-7077.8917350768079</v>
      </c>
      <c r="U130" s="10">
        <f>IF(U129=0,_Proxima_Compra,U129-1)</f>
        <v>0</v>
      </c>
      <c r="V130" s="3">
        <f t="shared" ca="1" si="22"/>
        <v>0.63286115919180452</v>
      </c>
      <c r="W130" s="3">
        <f ca="1">IF(W129&gt;0,W129-1,IF(V130&gt;0,LOOKUP(V130,$R$3:$R$5,$O$3:$O$5),-1))</f>
        <v>1</v>
      </c>
      <c r="X130" s="25">
        <f t="shared" ca="1" si="23"/>
        <v>0</v>
      </c>
      <c r="Y130" s="28">
        <f ca="1">X130*_GramosXFrasco</f>
        <v>0</v>
      </c>
    </row>
    <row r="131" spans="1:25" x14ac:dyDescent="0.25">
      <c r="A131" s="30">
        <f t="shared" si="24"/>
        <v>115</v>
      </c>
      <c r="B131" s="38">
        <f t="shared" ca="1" si="17"/>
        <v>0.14667424547815411</v>
      </c>
      <c r="C131" s="36">
        <f t="shared" ca="1" si="18"/>
        <v>-1</v>
      </c>
      <c r="D131" s="36">
        <f t="shared" ca="1" si="19"/>
        <v>-1</v>
      </c>
      <c r="E131" s="36">
        <f t="shared" ca="1" si="28"/>
        <v>-1</v>
      </c>
      <c r="F131" s="37">
        <f ca="1">IF(E131&lt;&gt;-1,_Media_M + E131*_Sigma,-1)</f>
        <v>-1</v>
      </c>
      <c r="G131" s="3">
        <f t="shared" ca="1" si="20"/>
        <v>50</v>
      </c>
      <c r="H131" s="36">
        <f t="shared" ca="1" si="29"/>
        <v>50</v>
      </c>
      <c r="I131" s="36">
        <f t="shared" ca="1" si="21"/>
        <v>8.5882979789654517</v>
      </c>
      <c r="J131" s="35">
        <f t="shared" ca="1" si="30"/>
        <v>58.58829797896545</v>
      </c>
      <c r="K131" s="19">
        <f t="shared" ca="1" si="25"/>
        <v>58.58829797896545</v>
      </c>
      <c r="L131" s="20">
        <f ca="1" xml:space="preserve"> K131*_Precio_cafe</f>
        <v>87.882446968448178</v>
      </c>
      <c r="M131" s="20">
        <f t="shared" ca="1" si="26"/>
        <v>16202.435163863691</v>
      </c>
      <c r="N131" s="20">
        <f ca="1">IF((N130-K131+Y131)&gt;_Max_Stock_Gramos,_Max_Stock_Gramos,N130-K131+Y131)</f>
        <v>1700</v>
      </c>
      <c r="O131" s="20">
        <f ca="1">N131/_GramosXFrasco</f>
        <v>10</v>
      </c>
      <c r="P131" s="63">
        <f ca="1">(N131/_Max_Stock_Gramos)</f>
        <v>1</v>
      </c>
      <c r="Q131" s="63"/>
      <c r="R131" s="10">
        <f ca="1">IF((N130-J131)&lt;0,(N130-J131)*_Costo_Faltante,0)</f>
        <v>0</v>
      </c>
      <c r="S131">
        <f>IF(U131=0,X131*_Costo_Frasco,0)</f>
        <v>0</v>
      </c>
      <c r="T131" s="11">
        <f t="shared" ca="1" si="27"/>
        <v>-7077.8917350768079</v>
      </c>
      <c r="U131" s="10">
        <f>IF(U130=0,_Proxima_Compra,U130-1)</f>
        <v>2</v>
      </c>
      <c r="V131" s="3">
        <f t="shared" ca="1" si="22"/>
        <v>-1</v>
      </c>
      <c r="W131" s="3">
        <f ca="1">IF(W130&gt;0,W130-1,IF(V131&gt;0,LOOKUP(V131,$R$3:$R$5,$O$3:$O$5),-1))</f>
        <v>0</v>
      </c>
      <c r="X131" s="25">
        <f t="shared" ca="1" si="23"/>
        <v>2</v>
      </c>
      <c r="Y131" s="28">
        <f ca="1">X131*_GramosXFrasco</f>
        <v>340</v>
      </c>
    </row>
    <row r="132" spans="1:25" x14ac:dyDescent="0.25">
      <c r="A132" s="30">
        <f t="shared" si="24"/>
        <v>116</v>
      </c>
      <c r="B132" s="38">
        <f t="shared" ca="1" si="17"/>
        <v>0.6790443763187699</v>
      </c>
      <c r="C132" s="36">
        <f t="shared" ca="1" si="18"/>
        <v>0.17037359614668068</v>
      </c>
      <c r="D132" s="36">
        <f t="shared" ca="1" si="19"/>
        <v>0.9064414334570714</v>
      </c>
      <c r="E132" s="36">
        <f t="shared" ca="1" si="28"/>
        <v>0.33517148854804157</v>
      </c>
      <c r="F132" s="37">
        <f ca="1">IF(E132&lt;&gt;-1,_Media_M + E132*_Sigma,-1)</f>
        <v>80.027572328220629</v>
      </c>
      <c r="G132" s="3">
        <f t="shared" ca="1" si="20"/>
        <v>-1</v>
      </c>
      <c r="H132" s="36">
        <f t="shared" ca="1" si="29"/>
        <v>80.027572328220629</v>
      </c>
      <c r="I132" s="36">
        <f t="shared" ca="1" si="21"/>
        <v>11.912675196061084</v>
      </c>
      <c r="J132" s="35">
        <f t="shared" ca="1" si="30"/>
        <v>91.940247524281716</v>
      </c>
      <c r="K132" s="19">
        <f t="shared" ca="1" si="25"/>
        <v>91.940247524281716</v>
      </c>
      <c r="L132" s="20">
        <f ca="1" xml:space="preserve"> K132*_Precio_cafe</f>
        <v>137.91037128642256</v>
      </c>
      <c r="M132" s="20">
        <f t="shared" ca="1" si="26"/>
        <v>16340.345535150114</v>
      </c>
      <c r="N132" s="20">
        <f ca="1">IF((N131-K132+Y132)&gt;_Max_Stock_Gramos,_Max_Stock_Gramos,N131-K132+Y132)</f>
        <v>1608.0597524757184</v>
      </c>
      <c r="O132" s="20">
        <f ca="1">N132/_GramosXFrasco</f>
        <v>9.4591750145630495</v>
      </c>
      <c r="P132" s="63">
        <f ca="1">(N132/_Max_Stock_Gramos)</f>
        <v>0.94591750145630493</v>
      </c>
      <c r="Q132" s="63"/>
      <c r="R132" s="10">
        <f ca="1">IF((N131-J132)&lt;0,(N131-J132)*_Costo_Faltante,0)</f>
        <v>0</v>
      </c>
      <c r="S132">
        <f>IF(U132=0,X132*_Costo_Frasco,0)</f>
        <v>0</v>
      </c>
      <c r="T132" s="11">
        <f t="shared" ca="1" si="27"/>
        <v>-7077.8917350768079</v>
      </c>
      <c r="U132" s="10">
        <f>IF(U131=0,_Proxima_Compra,U131-1)</f>
        <v>1</v>
      </c>
      <c r="V132" s="3">
        <f t="shared" ca="1" si="22"/>
        <v>-1</v>
      </c>
      <c r="W132" s="3">
        <f ca="1">IF(W131&gt;0,W131-1,IF(V132&gt;0,LOOKUP(V132,$R$3:$R$5,$O$3:$O$5),-1))</f>
        <v>-1</v>
      </c>
      <c r="X132" s="25">
        <f t="shared" ca="1" si="23"/>
        <v>0</v>
      </c>
      <c r="Y132" s="28">
        <f ca="1">X132*_GramosXFrasco</f>
        <v>0</v>
      </c>
    </row>
    <row r="133" spans="1:25" x14ac:dyDescent="0.25">
      <c r="A133" s="30">
        <f t="shared" si="24"/>
        <v>117</v>
      </c>
      <c r="B133" s="38">
        <f t="shared" ca="1" si="17"/>
        <v>0.75969307687785048</v>
      </c>
      <c r="C133" s="36">
        <f t="shared" ca="1" si="18"/>
        <v>0.14960928056781664</v>
      </c>
      <c r="D133" s="36">
        <f t="shared" ca="1" si="19"/>
        <v>0.56843049468630436</v>
      </c>
      <c r="E133" s="36">
        <f t="shared" ca="1" si="28"/>
        <v>-0.34103536043932237</v>
      </c>
      <c r="F133" s="37">
        <f ca="1">IF(E133&lt;&gt;-1,_Media_M + E133*_Sigma,-1)</f>
        <v>69.884469593410159</v>
      </c>
      <c r="G133" s="3">
        <f t="shared" ca="1" si="20"/>
        <v>-1</v>
      </c>
      <c r="H133" s="36">
        <f t="shared" ca="1" si="29"/>
        <v>69.884469593410159</v>
      </c>
      <c r="I133" s="36">
        <f t="shared" ca="1" si="21"/>
        <v>4.7455129563606029</v>
      </c>
      <c r="J133" s="35">
        <f t="shared" ca="1" si="30"/>
        <v>74.629982549770759</v>
      </c>
      <c r="K133" s="19">
        <f t="shared" ca="1" si="25"/>
        <v>74.629982549770759</v>
      </c>
      <c r="L133" s="20">
        <f ca="1" xml:space="preserve"> K133*_Precio_cafe</f>
        <v>111.94497382465613</v>
      </c>
      <c r="M133" s="20">
        <f t="shared" ca="1" si="26"/>
        <v>16452.290508974769</v>
      </c>
      <c r="N133" s="20">
        <f ca="1">IF((N132-K133+Y133)&gt;_Max_Stock_Gramos,_Max_Stock_Gramos,N132-K133+Y133)</f>
        <v>1533.4297699259475</v>
      </c>
      <c r="O133" s="20">
        <f ca="1">N133/_GramosXFrasco</f>
        <v>9.0201751172114566</v>
      </c>
      <c r="P133" s="63">
        <f ca="1">(N133/_Max_Stock_Gramos)</f>
        <v>0.90201751172114564</v>
      </c>
      <c r="Q133" s="63"/>
      <c r="R133" s="10">
        <f ca="1">IF((N132-J133)&lt;0,(N132-J133)*_Costo_Faltante,0)</f>
        <v>0</v>
      </c>
      <c r="S133">
        <f ca="1">IF(U133=0,X133*_Costo_Frasco,0)</f>
        <v>0</v>
      </c>
      <c r="T133" s="11">
        <f t="shared" ca="1" si="27"/>
        <v>-7077.8917350768079</v>
      </c>
      <c r="U133" s="10">
        <f>IF(U132=0,_Proxima_Compra,U132-1)</f>
        <v>0</v>
      </c>
      <c r="V133" s="3">
        <f t="shared" ca="1" si="22"/>
        <v>0.71553476649203274</v>
      </c>
      <c r="W133" s="3">
        <f ca="1">IF(W132&gt;0,W132-1,IF(V133&gt;0,LOOKUP(V133,$R$3:$R$5,$O$3:$O$5),-1))</f>
        <v>1</v>
      </c>
      <c r="X133" s="25">
        <f t="shared" ca="1" si="23"/>
        <v>0</v>
      </c>
      <c r="Y133" s="28">
        <f ca="1">X133*_GramosXFrasco</f>
        <v>0</v>
      </c>
    </row>
    <row r="134" spans="1:25" x14ac:dyDescent="0.25">
      <c r="A134" s="30">
        <f t="shared" si="24"/>
        <v>118</v>
      </c>
      <c r="B134" s="38">
        <f t="shared" ca="1" si="17"/>
        <v>0.43703416966711095</v>
      </c>
      <c r="C134" s="36">
        <f t="shared" ca="1" si="18"/>
        <v>-1</v>
      </c>
      <c r="D134" s="36">
        <f t="shared" ca="1" si="19"/>
        <v>-1</v>
      </c>
      <c r="E134" s="36">
        <f t="shared" ca="1" si="28"/>
        <v>-1</v>
      </c>
      <c r="F134" s="37">
        <f ca="1">IF(E134&lt;&gt;-1,_Media_M + E134*_Sigma,-1)</f>
        <v>-1</v>
      </c>
      <c r="G134" s="3">
        <f t="shared" ca="1" si="20"/>
        <v>50</v>
      </c>
      <c r="H134" s="36">
        <f t="shared" ca="1" si="29"/>
        <v>50</v>
      </c>
      <c r="I134" s="36">
        <f t="shared" ca="1" si="21"/>
        <v>8.4659659852220308</v>
      </c>
      <c r="J134" s="35">
        <f t="shared" ca="1" si="30"/>
        <v>58.465965985222027</v>
      </c>
      <c r="K134" s="19">
        <f t="shared" ca="1" si="25"/>
        <v>58.465965985222027</v>
      </c>
      <c r="L134" s="20">
        <f ca="1" xml:space="preserve"> K134*_Precio_cafe</f>
        <v>87.698948977833041</v>
      </c>
      <c r="M134" s="20">
        <f t="shared" ca="1" si="26"/>
        <v>16539.989457952601</v>
      </c>
      <c r="N134" s="20">
        <f ca="1">IF((N133-K134+Y134)&gt;_Max_Stock_Gramos,_Max_Stock_Gramos,N133-K134+Y134)</f>
        <v>1700</v>
      </c>
      <c r="O134" s="20">
        <f ca="1">N134/_GramosXFrasco</f>
        <v>10</v>
      </c>
      <c r="P134" s="63">
        <f ca="1">(N134/_Max_Stock_Gramos)</f>
        <v>1</v>
      </c>
      <c r="Q134" s="63"/>
      <c r="R134" s="10">
        <f ca="1">IF((N133-J134)&lt;0,(N133-J134)*_Costo_Faltante,0)</f>
        <v>0</v>
      </c>
      <c r="S134">
        <f>IF(U134=0,X134*_Costo_Frasco,0)</f>
        <v>0</v>
      </c>
      <c r="T134" s="11">
        <f t="shared" ca="1" si="27"/>
        <v>-7077.8917350768079</v>
      </c>
      <c r="U134" s="10">
        <f>IF(U133=0,_Proxima_Compra,U133-1)</f>
        <v>2</v>
      </c>
      <c r="V134" s="3">
        <f t="shared" ca="1" si="22"/>
        <v>-1</v>
      </c>
      <c r="W134" s="3">
        <f ca="1">IF(W133&gt;0,W133-1,IF(V134&gt;0,LOOKUP(V134,$R$3:$R$5,$O$3:$O$5),-1))</f>
        <v>0</v>
      </c>
      <c r="X134" s="25">
        <f t="shared" ca="1" si="23"/>
        <v>2</v>
      </c>
      <c r="Y134" s="28">
        <f ca="1">X134*_GramosXFrasco</f>
        <v>340</v>
      </c>
    </row>
    <row r="135" spans="1:25" x14ac:dyDescent="0.25">
      <c r="A135" s="30">
        <f t="shared" si="24"/>
        <v>119</v>
      </c>
      <c r="B135" s="38">
        <f t="shared" ca="1" si="17"/>
        <v>0.61950896742944761</v>
      </c>
      <c r="C135" s="36">
        <f t="shared" ca="1" si="18"/>
        <v>0.38253358535192805</v>
      </c>
      <c r="D135" s="36">
        <f t="shared" ca="1" si="19"/>
        <v>0.67701312182838258</v>
      </c>
      <c r="E135" s="36">
        <f t="shared" ca="1" si="28"/>
        <v>-0.28647295386550697</v>
      </c>
      <c r="F135" s="37">
        <f ca="1">IF(E135&lt;&gt;-1,_Media_M + E135*_Sigma,-1)</f>
        <v>70.702905692017396</v>
      </c>
      <c r="G135" s="3">
        <f t="shared" ca="1" si="20"/>
        <v>-1</v>
      </c>
      <c r="H135" s="36">
        <f t="shared" ca="1" si="29"/>
        <v>70.702905692017396</v>
      </c>
      <c r="I135" s="36">
        <f t="shared" ca="1" si="21"/>
        <v>131.94962539461937</v>
      </c>
      <c r="J135" s="35">
        <f t="shared" ca="1" si="30"/>
        <v>202.65253108663677</v>
      </c>
      <c r="K135" s="19">
        <f t="shared" ca="1" si="25"/>
        <v>202.65253108663677</v>
      </c>
      <c r="L135" s="20">
        <f ca="1" xml:space="preserve"> K135*_Precio_cafe</f>
        <v>303.97879662995513</v>
      </c>
      <c r="M135" s="20">
        <f t="shared" ca="1" si="26"/>
        <v>16843.968254582556</v>
      </c>
      <c r="N135" s="20">
        <f ca="1">IF((N134-K135+Y135)&gt;_Max_Stock_Gramos,_Max_Stock_Gramos,N134-K135+Y135)</f>
        <v>1497.3474689133632</v>
      </c>
      <c r="O135" s="20">
        <f ca="1">N135/_GramosXFrasco</f>
        <v>8.8079262877256657</v>
      </c>
      <c r="P135" s="63">
        <f ca="1">(N135/_Max_Stock_Gramos)</f>
        <v>0.88079262877256659</v>
      </c>
      <c r="Q135" s="63"/>
      <c r="R135" s="10">
        <f ca="1">IF((N134-J135)&lt;0,(N134-J135)*_Costo_Faltante,0)</f>
        <v>0</v>
      </c>
      <c r="S135">
        <f>IF(U135=0,X135*_Costo_Frasco,0)</f>
        <v>0</v>
      </c>
      <c r="T135" s="11">
        <f t="shared" ca="1" si="27"/>
        <v>-7077.8917350768079</v>
      </c>
      <c r="U135" s="10">
        <f>IF(U134=0,_Proxima_Compra,U134-1)</f>
        <v>1</v>
      </c>
      <c r="V135" s="3">
        <f t="shared" ca="1" si="22"/>
        <v>-1</v>
      </c>
      <c r="W135" s="3">
        <f ca="1">IF(W134&gt;0,W134-1,IF(V135&gt;0,LOOKUP(V135,$R$3:$R$5,$O$3:$O$5),-1))</f>
        <v>-1</v>
      </c>
      <c r="X135" s="25">
        <f t="shared" ca="1" si="23"/>
        <v>0</v>
      </c>
      <c r="Y135" s="28">
        <f ca="1">X135*_GramosXFrasco</f>
        <v>0</v>
      </c>
    </row>
    <row r="136" spans="1:25" x14ac:dyDescent="0.25">
      <c r="A136" s="30">
        <f t="shared" si="24"/>
        <v>120</v>
      </c>
      <c r="B136" s="38">
        <f t="shared" ca="1" si="17"/>
        <v>0.30962233564588282</v>
      </c>
      <c r="C136" s="36">
        <f t="shared" ca="1" si="18"/>
        <v>-1</v>
      </c>
      <c r="D136" s="36">
        <f t="shared" ca="1" si="19"/>
        <v>-1</v>
      </c>
      <c r="E136" s="36">
        <f t="shared" ca="1" si="28"/>
        <v>-1</v>
      </c>
      <c r="F136" s="37">
        <f ca="1">IF(E136&lt;&gt;-1,_Media_M + E136*_Sigma,-1)</f>
        <v>-1</v>
      </c>
      <c r="G136" s="3">
        <f t="shared" ca="1" si="20"/>
        <v>50</v>
      </c>
      <c r="H136" s="36">
        <f t="shared" ca="1" si="29"/>
        <v>50</v>
      </c>
      <c r="I136" s="36">
        <f t="shared" ca="1" si="21"/>
        <v>24.087725531396696</v>
      </c>
      <c r="J136" s="35">
        <f t="shared" ca="1" si="30"/>
        <v>74.0877255313967</v>
      </c>
      <c r="K136" s="19">
        <f t="shared" ca="1" si="25"/>
        <v>74.0877255313967</v>
      </c>
      <c r="L136" s="20">
        <f ca="1" xml:space="preserve"> K136*_Precio_cafe</f>
        <v>111.13158829709505</v>
      </c>
      <c r="M136" s="20">
        <f t="shared" ca="1" si="26"/>
        <v>16955.099842879652</v>
      </c>
      <c r="N136" s="20">
        <f ca="1">IF((N135-K136+Y136)&gt;_Max_Stock_Gramos,_Max_Stock_Gramos,N135-K136+Y136)</f>
        <v>1700</v>
      </c>
      <c r="O136" s="20">
        <f ca="1">N136/_GramosXFrasco</f>
        <v>10</v>
      </c>
      <c r="P136" s="63">
        <f ca="1">(N136/_Max_Stock_Gramos)</f>
        <v>1</v>
      </c>
      <c r="Q136" s="63"/>
      <c r="R136" s="10">
        <f ca="1">IF((N135-J136)&lt;0,(N135-J136)*_Costo_Faltante,0)</f>
        <v>0</v>
      </c>
      <c r="S136">
        <f ca="1">IF(U136=0,X136*_Costo_Frasco,0)</f>
        <v>-500</v>
      </c>
      <c r="T136" s="11">
        <f t="shared" ca="1" si="27"/>
        <v>-7577.8917350768079</v>
      </c>
      <c r="U136" s="10">
        <f>IF(U135=0,_Proxima_Compra,U135-1)</f>
        <v>0</v>
      </c>
      <c r="V136" s="3">
        <f t="shared" ca="1" si="22"/>
        <v>0.44930755242493603</v>
      </c>
      <c r="W136" s="3">
        <f ca="1">IF(W135&gt;0,W135-1,IF(V136&gt;0,LOOKUP(V136,$R$3:$R$5,$O$3:$O$5),-1))</f>
        <v>0</v>
      </c>
      <c r="X136" s="25">
        <f t="shared" ca="1" si="23"/>
        <v>2</v>
      </c>
      <c r="Y136" s="28">
        <f ca="1">X136*_GramosXFrasco</f>
        <v>340</v>
      </c>
    </row>
    <row r="137" spans="1:25" x14ac:dyDescent="0.25">
      <c r="A137" s="30">
        <f t="shared" si="24"/>
        <v>121</v>
      </c>
      <c r="B137" s="38">
        <f t="shared" ca="1" si="17"/>
        <v>0.22066317978528394</v>
      </c>
      <c r="C137" s="36">
        <f t="shared" ca="1" si="18"/>
        <v>-1</v>
      </c>
      <c r="D137" s="36">
        <f t="shared" ca="1" si="19"/>
        <v>-1</v>
      </c>
      <c r="E137" s="36">
        <f t="shared" ca="1" si="28"/>
        <v>-1</v>
      </c>
      <c r="F137" s="37">
        <f ca="1">IF(E137&lt;&gt;-1,_Media_M + E137*_Sigma,-1)</f>
        <v>-1</v>
      </c>
      <c r="G137" s="3">
        <f t="shared" ca="1" si="20"/>
        <v>50</v>
      </c>
      <c r="H137" s="36">
        <f t="shared" ca="1" si="29"/>
        <v>50</v>
      </c>
      <c r="I137" s="36">
        <f t="shared" ca="1" si="21"/>
        <v>12.314245559101353</v>
      </c>
      <c r="J137" s="35">
        <f t="shared" ca="1" si="30"/>
        <v>62.314245559101352</v>
      </c>
      <c r="K137" s="19">
        <f t="shared" ca="1" si="25"/>
        <v>62.314245559101352</v>
      </c>
      <c r="L137" s="20">
        <f ca="1" xml:space="preserve"> K137*_Precio_cafe</f>
        <v>93.471368338652027</v>
      </c>
      <c r="M137" s="20">
        <f t="shared" ca="1" si="26"/>
        <v>17048.571211218303</v>
      </c>
      <c r="N137" s="20">
        <f ca="1">IF((N136-K137+Y137)&gt;_Max_Stock_Gramos,_Max_Stock_Gramos,N136-K137+Y137)</f>
        <v>1637.6857544408986</v>
      </c>
      <c r="O137" s="20">
        <f ca="1">N137/_GramosXFrasco</f>
        <v>9.6334456143582265</v>
      </c>
      <c r="P137" s="63">
        <f ca="1">(N137/_Max_Stock_Gramos)</f>
        <v>0.9633445614358227</v>
      </c>
      <c r="Q137" s="63"/>
      <c r="R137" s="10">
        <f ca="1">IF((N136-J137)&lt;0,(N136-J137)*_Costo_Faltante,0)</f>
        <v>0</v>
      </c>
      <c r="S137">
        <f>IF(U137=0,X137*_Costo_Frasco,0)</f>
        <v>0</v>
      </c>
      <c r="T137" s="11">
        <f t="shared" ca="1" si="27"/>
        <v>-7577.8917350768079</v>
      </c>
      <c r="U137" s="10">
        <f>IF(U136=0,_Proxima_Compra,U136-1)</f>
        <v>2</v>
      </c>
      <c r="V137" s="3">
        <f t="shared" ca="1" si="22"/>
        <v>-1</v>
      </c>
      <c r="W137" s="3">
        <f ca="1">IF(W136&gt;0,W136-1,IF(V137&gt;0,LOOKUP(V137,$R$3:$R$5,$O$3:$O$5),-1))</f>
        <v>-1</v>
      </c>
      <c r="X137" s="25">
        <f t="shared" ca="1" si="23"/>
        <v>0</v>
      </c>
      <c r="Y137" s="28">
        <f ca="1">X137*_GramosXFrasco</f>
        <v>0</v>
      </c>
    </row>
    <row r="138" spans="1:25" x14ac:dyDescent="0.25">
      <c r="A138" s="30">
        <f t="shared" si="24"/>
        <v>122</v>
      </c>
      <c r="B138" s="38">
        <f t="shared" ca="1" si="17"/>
        <v>0.83455594020394874</v>
      </c>
      <c r="C138" s="36">
        <f t="shared" ca="1" si="18"/>
        <v>0.45884038585333831</v>
      </c>
      <c r="D138" s="36">
        <f t="shared" ca="1" si="19"/>
        <v>0.57125724745656736</v>
      </c>
      <c r="E138" s="36">
        <f t="shared" ca="1" si="28"/>
        <v>-0.65832515913869116</v>
      </c>
      <c r="F138" s="37">
        <f ca="1">IF(E138&lt;&gt;-1,_Media_M + E138*_Sigma,-1)</f>
        <v>65.125122612919625</v>
      </c>
      <c r="G138" s="3">
        <f t="shared" ca="1" si="20"/>
        <v>-1</v>
      </c>
      <c r="H138" s="36">
        <f t="shared" ca="1" si="29"/>
        <v>65.125122612919625</v>
      </c>
      <c r="I138" s="36">
        <f t="shared" ca="1" si="21"/>
        <v>18.127908841213916</v>
      </c>
      <c r="J138" s="35">
        <f t="shared" ca="1" si="30"/>
        <v>83.253031454133549</v>
      </c>
      <c r="K138" s="19">
        <f t="shared" ca="1" si="25"/>
        <v>83.253031454133549</v>
      </c>
      <c r="L138" s="20">
        <f ca="1" xml:space="preserve"> K138*_Precio_cafe</f>
        <v>124.87954718120032</v>
      </c>
      <c r="M138" s="20">
        <f t="shared" ca="1" si="26"/>
        <v>17173.450758399504</v>
      </c>
      <c r="N138" s="20">
        <f ca="1">IF((N137-K138+Y138)&gt;_Max_Stock_Gramos,_Max_Stock_Gramos,N137-K138+Y138)</f>
        <v>1554.4327229867649</v>
      </c>
      <c r="O138" s="20">
        <f ca="1">N138/_GramosXFrasco</f>
        <v>9.1437218999221468</v>
      </c>
      <c r="P138" s="63">
        <f ca="1">(N138/_Max_Stock_Gramos)</f>
        <v>0.9143721899922147</v>
      </c>
      <c r="Q138" s="63"/>
      <c r="R138" s="10">
        <f ca="1">IF((N137-J138)&lt;0,(N137-J138)*_Costo_Faltante,0)</f>
        <v>0</v>
      </c>
      <c r="S138">
        <f>IF(U138=0,X138*_Costo_Frasco,0)</f>
        <v>0</v>
      </c>
      <c r="T138" s="11">
        <f t="shared" ca="1" si="27"/>
        <v>-7577.8917350768079</v>
      </c>
      <c r="U138" s="10">
        <f>IF(U137=0,_Proxima_Compra,U137-1)</f>
        <v>1</v>
      </c>
      <c r="V138" s="3">
        <f t="shared" ca="1" si="22"/>
        <v>-1</v>
      </c>
      <c r="W138" s="3">
        <f ca="1">IF(W137&gt;0,W137-1,IF(V138&gt;0,LOOKUP(V138,$R$3:$R$5,$O$3:$O$5),-1))</f>
        <v>-1</v>
      </c>
      <c r="X138" s="25">
        <f t="shared" ca="1" si="23"/>
        <v>0</v>
      </c>
      <c r="Y138" s="28">
        <f ca="1">X138*_GramosXFrasco</f>
        <v>0</v>
      </c>
    </row>
    <row r="139" spans="1:25" x14ac:dyDescent="0.25">
      <c r="A139" s="30">
        <f t="shared" si="24"/>
        <v>123</v>
      </c>
      <c r="B139" s="38">
        <f t="shared" ca="1" si="17"/>
        <v>0.388228692184027</v>
      </c>
      <c r="C139" s="36">
        <f t="shared" ca="1" si="18"/>
        <v>-1</v>
      </c>
      <c r="D139" s="36">
        <f t="shared" ca="1" si="19"/>
        <v>-1</v>
      </c>
      <c r="E139" s="36">
        <f t="shared" ca="1" si="28"/>
        <v>-1</v>
      </c>
      <c r="F139" s="37">
        <f ca="1">IF(E139&lt;&gt;-1,_Media_M + E139*_Sigma,-1)</f>
        <v>-1</v>
      </c>
      <c r="G139" s="3">
        <f t="shared" ca="1" si="20"/>
        <v>50</v>
      </c>
      <c r="H139" s="36">
        <f t="shared" ca="1" si="29"/>
        <v>50</v>
      </c>
      <c r="I139" s="36">
        <f t="shared" ca="1" si="21"/>
        <v>3.7855570005877563</v>
      </c>
      <c r="J139" s="35">
        <f t="shared" ca="1" si="30"/>
        <v>53.785557000587758</v>
      </c>
      <c r="K139" s="19">
        <f t="shared" ca="1" si="25"/>
        <v>53.785557000587758</v>
      </c>
      <c r="L139" s="20">
        <f ca="1" xml:space="preserve"> K139*_Precio_cafe</f>
        <v>80.678335500881644</v>
      </c>
      <c r="M139" s="20">
        <f t="shared" ca="1" si="26"/>
        <v>17254.129093900385</v>
      </c>
      <c r="N139" s="20">
        <f ca="1">IF((N138-K139+Y139)&gt;_Max_Stock_Gramos,_Max_Stock_Gramos,N138-K139+Y139)</f>
        <v>1500.6471659861772</v>
      </c>
      <c r="O139" s="20">
        <f ca="1">N139/_GramosXFrasco</f>
        <v>8.8273362705069243</v>
      </c>
      <c r="P139" s="63">
        <f ca="1">(N139/_Max_Stock_Gramos)</f>
        <v>0.88273362705069247</v>
      </c>
      <c r="Q139" s="63"/>
      <c r="R139" s="10">
        <f ca="1">IF((N138-J139)&lt;0,(N138-J139)*_Costo_Faltante,0)</f>
        <v>0</v>
      </c>
      <c r="S139">
        <f ca="1">IF(U139=0,X139*_Costo_Frasco,0)</f>
        <v>0</v>
      </c>
      <c r="T139" s="11">
        <f t="shared" ca="1" si="27"/>
        <v>-7577.8917350768079</v>
      </c>
      <c r="U139" s="10">
        <f>IF(U138=0,_Proxima_Compra,U138-1)</f>
        <v>0</v>
      </c>
      <c r="V139" s="3">
        <f t="shared" ca="1" si="22"/>
        <v>0.63278034922643711</v>
      </c>
      <c r="W139" s="3">
        <f ca="1">IF(W138&gt;0,W138-1,IF(V139&gt;0,LOOKUP(V139,$R$3:$R$5,$O$3:$O$5),-1))</f>
        <v>1</v>
      </c>
      <c r="X139" s="25">
        <f t="shared" ca="1" si="23"/>
        <v>0</v>
      </c>
      <c r="Y139" s="28">
        <f ca="1">X139*_GramosXFrasco</f>
        <v>0</v>
      </c>
    </row>
    <row r="140" spans="1:25" x14ac:dyDescent="0.25">
      <c r="A140" s="30">
        <f t="shared" si="24"/>
        <v>124</v>
      </c>
      <c r="B140" s="38">
        <f t="shared" ca="1" si="17"/>
        <v>0.91104990879196213</v>
      </c>
      <c r="C140" s="36">
        <f t="shared" ca="1" si="18"/>
        <v>0.52410522587568931</v>
      </c>
      <c r="D140" s="36">
        <f t="shared" ca="1" si="19"/>
        <v>5.1665863928015754E-2</v>
      </c>
      <c r="E140" s="36">
        <f t="shared" ca="1" si="28"/>
        <v>0.76115912852892331</v>
      </c>
      <c r="F140" s="37">
        <f ca="1">IF(E140&lt;&gt;-1,_Media_M + E140*_Sigma,-1)</f>
        <v>86.417386927933848</v>
      </c>
      <c r="G140" s="3">
        <f t="shared" ca="1" si="20"/>
        <v>-1</v>
      </c>
      <c r="H140" s="36">
        <f t="shared" ca="1" si="29"/>
        <v>86.417386927933848</v>
      </c>
      <c r="I140" s="36">
        <f t="shared" ca="1" si="21"/>
        <v>0.5747719304833232</v>
      </c>
      <c r="J140" s="35">
        <f t="shared" ca="1" si="30"/>
        <v>86.99215885841717</v>
      </c>
      <c r="K140" s="19">
        <f t="shared" ca="1" si="25"/>
        <v>86.99215885841717</v>
      </c>
      <c r="L140" s="20">
        <f ca="1" xml:space="preserve"> K140*_Precio_cafe</f>
        <v>130.48823828762576</v>
      </c>
      <c r="M140" s="20">
        <f t="shared" ca="1" si="26"/>
        <v>17384.617332188009</v>
      </c>
      <c r="N140" s="20">
        <f ca="1">IF((N139-K140+Y140)&gt;_Max_Stock_Gramos,_Max_Stock_Gramos,N139-K140+Y140)</f>
        <v>1700</v>
      </c>
      <c r="O140" s="20">
        <f ca="1">N140/_GramosXFrasco</f>
        <v>10</v>
      </c>
      <c r="P140" s="63">
        <f ca="1">(N140/_Max_Stock_Gramos)</f>
        <v>1</v>
      </c>
      <c r="Q140" s="63"/>
      <c r="R140" s="10">
        <f ca="1">IF((N139-J140)&lt;0,(N139-J140)*_Costo_Faltante,0)</f>
        <v>0</v>
      </c>
      <c r="S140">
        <f>IF(U140=0,X140*_Costo_Frasco,0)</f>
        <v>0</v>
      </c>
      <c r="T140" s="11">
        <f t="shared" ca="1" si="27"/>
        <v>-7577.8917350768079</v>
      </c>
      <c r="U140" s="10">
        <f>IF(U139=0,_Proxima_Compra,U139-1)</f>
        <v>2</v>
      </c>
      <c r="V140" s="3">
        <f t="shared" ca="1" si="22"/>
        <v>-1</v>
      </c>
      <c r="W140" s="3">
        <f ca="1">IF(W139&gt;0,W139-1,IF(V140&gt;0,LOOKUP(V140,$R$3:$R$5,$O$3:$O$5),-1))</f>
        <v>0</v>
      </c>
      <c r="X140" s="25">
        <f t="shared" ca="1" si="23"/>
        <v>2</v>
      </c>
      <c r="Y140" s="28">
        <f ca="1">X140*_GramosXFrasco</f>
        <v>340</v>
      </c>
    </row>
    <row r="141" spans="1:25" x14ac:dyDescent="0.25">
      <c r="A141" s="30">
        <f t="shared" si="24"/>
        <v>125</v>
      </c>
      <c r="B141" s="38">
        <f t="shared" ca="1" si="17"/>
        <v>0.52439534252400277</v>
      </c>
      <c r="C141" s="36">
        <f t="shared" ca="1" si="18"/>
        <v>0.36625244697786308</v>
      </c>
      <c r="D141" s="36">
        <f t="shared" ca="1" si="19"/>
        <v>0.78093531005653694</v>
      </c>
      <c r="E141" s="36">
        <f t="shared" ca="1" si="28"/>
        <v>0.12157257402570246</v>
      </c>
      <c r="F141" s="37">
        <f ca="1">IF(E141&lt;&gt;-1,_Media_M + E141*_Sigma,-1)</f>
        <v>76.823588610385542</v>
      </c>
      <c r="G141" s="3">
        <f t="shared" ca="1" si="20"/>
        <v>-1</v>
      </c>
      <c r="H141" s="36">
        <f t="shared" ca="1" si="29"/>
        <v>76.823588610385542</v>
      </c>
      <c r="I141" s="36">
        <f t="shared" ca="1" si="21"/>
        <v>44.571995269222739</v>
      </c>
      <c r="J141" s="35">
        <f t="shared" ca="1" si="30"/>
        <v>121.39558387960828</v>
      </c>
      <c r="K141" s="19">
        <f t="shared" ca="1" si="25"/>
        <v>121.39558387960828</v>
      </c>
      <c r="L141" s="20">
        <f ca="1" xml:space="preserve"> K141*_Precio_cafe</f>
        <v>182.09337581941242</v>
      </c>
      <c r="M141" s="20">
        <f t="shared" ca="1" si="26"/>
        <v>17566.71070800742</v>
      </c>
      <c r="N141" s="20">
        <f ca="1">IF((N140-K141+Y141)&gt;_Max_Stock_Gramos,_Max_Stock_Gramos,N140-K141+Y141)</f>
        <v>1578.6044161203918</v>
      </c>
      <c r="O141" s="20">
        <f ca="1">N141/_GramosXFrasco</f>
        <v>9.2859083301199519</v>
      </c>
      <c r="P141" s="63">
        <f ca="1">(N141/_Max_Stock_Gramos)</f>
        <v>0.92859083301199519</v>
      </c>
      <c r="Q141" s="63"/>
      <c r="R141" s="10">
        <f ca="1">IF((N140-J141)&lt;0,(N140-J141)*_Costo_Faltante,0)</f>
        <v>0</v>
      </c>
      <c r="S141">
        <f>IF(U141=0,X141*_Costo_Frasco,0)</f>
        <v>0</v>
      </c>
      <c r="T141" s="11">
        <f t="shared" ca="1" si="27"/>
        <v>-7577.8917350768079</v>
      </c>
      <c r="U141" s="10">
        <f>IF(U140=0,_Proxima_Compra,U140-1)</f>
        <v>1</v>
      </c>
      <c r="V141" s="3">
        <f t="shared" ca="1" si="22"/>
        <v>-1</v>
      </c>
      <c r="W141" s="3">
        <f ca="1">IF(W140&gt;0,W140-1,IF(V141&gt;0,LOOKUP(V141,$R$3:$R$5,$O$3:$O$5),-1))</f>
        <v>-1</v>
      </c>
      <c r="X141" s="25">
        <f t="shared" ca="1" si="23"/>
        <v>0</v>
      </c>
      <c r="Y141" s="28">
        <f ca="1">X141*_GramosXFrasco</f>
        <v>0</v>
      </c>
    </row>
    <row r="142" spans="1:25" x14ac:dyDescent="0.25">
      <c r="A142" s="30">
        <f t="shared" si="24"/>
        <v>126</v>
      </c>
      <c r="B142" s="38">
        <f t="shared" ca="1" si="17"/>
        <v>0.43273180304191894</v>
      </c>
      <c r="C142" s="36">
        <f t="shared" ca="1" si="18"/>
        <v>-1</v>
      </c>
      <c r="D142" s="36">
        <f t="shared" ca="1" si="19"/>
        <v>-1</v>
      </c>
      <c r="E142" s="36">
        <f t="shared" ca="1" si="28"/>
        <v>-1</v>
      </c>
      <c r="F142" s="37">
        <f ca="1">IF(E142&lt;&gt;-1,_Media_M + E142*_Sigma,-1)</f>
        <v>-1</v>
      </c>
      <c r="G142" s="3">
        <f t="shared" ca="1" si="20"/>
        <v>50</v>
      </c>
      <c r="H142" s="36">
        <f t="shared" ca="1" si="29"/>
        <v>50</v>
      </c>
      <c r="I142" s="36">
        <f t="shared" ca="1" si="21"/>
        <v>4.8967978375343861</v>
      </c>
      <c r="J142" s="35">
        <f t="shared" ca="1" si="30"/>
        <v>54.896797837534386</v>
      </c>
      <c r="K142" s="19">
        <f t="shared" ca="1" si="25"/>
        <v>54.896797837534386</v>
      </c>
      <c r="L142" s="20">
        <f ca="1" xml:space="preserve"> K142*_Precio_cafe</f>
        <v>82.345196756301576</v>
      </c>
      <c r="M142" s="20">
        <f t="shared" ca="1" si="26"/>
        <v>17649.055904763722</v>
      </c>
      <c r="N142" s="20">
        <f ca="1">IF((N141-K142+Y142)&gt;_Max_Stock_Gramos,_Max_Stock_Gramos,N141-K142+Y142)</f>
        <v>1523.7076182828573</v>
      </c>
      <c r="O142" s="20">
        <f ca="1">N142/_GramosXFrasco</f>
        <v>8.9629859898991615</v>
      </c>
      <c r="P142" s="63">
        <f ca="1">(N142/_Max_Stock_Gramos)</f>
        <v>0.89629859898991604</v>
      </c>
      <c r="Q142" s="63"/>
      <c r="R142" s="10">
        <f ca="1">IF((N141-J142)&lt;0,(N141-J142)*_Costo_Faltante,0)</f>
        <v>0</v>
      </c>
      <c r="S142">
        <f ca="1">IF(U142=0,X142*_Costo_Frasco,0)</f>
        <v>0</v>
      </c>
      <c r="T142" s="11">
        <f t="shared" ca="1" si="27"/>
        <v>-7577.8917350768079</v>
      </c>
      <c r="U142" s="10">
        <f>IF(U141=0,_Proxima_Compra,U141-1)</f>
        <v>0</v>
      </c>
      <c r="V142" s="3">
        <f t="shared" ca="1" si="22"/>
        <v>0.76880208428834473</v>
      </c>
      <c r="W142" s="3">
        <f ca="1">IF(W141&gt;0,W141-1,IF(V142&gt;0,LOOKUP(V142,$R$3:$R$5,$O$3:$O$5),-1))</f>
        <v>2</v>
      </c>
      <c r="X142" s="25">
        <f t="shared" ca="1" si="23"/>
        <v>0</v>
      </c>
      <c r="Y142" s="28">
        <f ca="1">X142*_GramosXFrasco</f>
        <v>0</v>
      </c>
    </row>
    <row r="143" spans="1:25" x14ac:dyDescent="0.25">
      <c r="A143" s="30">
        <f t="shared" si="24"/>
        <v>127</v>
      </c>
      <c r="B143" s="38">
        <f t="shared" ca="1" si="17"/>
        <v>0.77213928454351666</v>
      </c>
      <c r="C143" s="36">
        <f t="shared" ca="1" si="18"/>
        <v>0.17204982575335526</v>
      </c>
      <c r="D143" s="36">
        <f t="shared" ca="1" si="19"/>
        <v>0.49228591191320359</v>
      </c>
      <c r="E143" s="36">
        <f t="shared" ca="1" si="28"/>
        <v>-0.40448317746398232</v>
      </c>
      <c r="F143" s="37">
        <f ca="1">IF(E143&lt;&gt;-1,_Media_M + E143*_Sigma,-1)</f>
        <v>68.93275233804026</v>
      </c>
      <c r="G143" s="3">
        <f t="shared" ca="1" si="20"/>
        <v>-1</v>
      </c>
      <c r="H143" s="36">
        <f t="shared" ca="1" si="29"/>
        <v>68.93275233804026</v>
      </c>
      <c r="I143" s="36">
        <f t="shared" ca="1" si="21"/>
        <v>9.2090689809572979</v>
      </c>
      <c r="J143" s="35">
        <f t="shared" ca="1" si="30"/>
        <v>78.141821318997557</v>
      </c>
      <c r="K143" s="19">
        <f t="shared" ca="1" si="25"/>
        <v>78.141821318997557</v>
      </c>
      <c r="L143" s="20">
        <f ca="1" xml:space="preserve"> K143*_Precio_cafe</f>
        <v>117.21273197849634</v>
      </c>
      <c r="M143" s="20">
        <f t="shared" ca="1" si="26"/>
        <v>17766.268636742217</v>
      </c>
      <c r="N143" s="20">
        <f ca="1">IF((N142-K143+Y143)&gt;_Max_Stock_Gramos,_Max_Stock_Gramos,N142-K143+Y143)</f>
        <v>1445.5657969638598</v>
      </c>
      <c r="O143" s="20">
        <f ca="1">N143/_GramosXFrasco</f>
        <v>8.5033282174344702</v>
      </c>
      <c r="P143" s="63">
        <f ca="1">(N143/_Max_Stock_Gramos)</f>
        <v>0.85033282174344693</v>
      </c>
      <c r="Q143" s="63"/>
      <c r="R143" s="10">
        <f ca="1">IF((N142-J143)&lt;0,(N142-J143)*_Costo_Faltante,0)</f>
        <v>0</v>
      </c>
      <c r="S143">
        <f>IF(U143=0,X143*_Costo_Frasco,0)</f>
        <v>0</v>
      </c>
      <c r="T143" s="11">
        <f t="shared" ca="1" si="27"/>
        <v>-7577.8917350768079</v>
      </c>
      <c r="U143" s="10">
        <f>IF(U142=0,_Proxima_Compra,U142-1)</f>
        <v>2</v>
      </c>
      <c r="V143" s="3">
        <f t="shared" ca="1" si="22"/>
        <v>-1</v>
      </c>
      <c r="W143" s="3">
        <f ca="1">IF(W142&gt;0,W142-1,IF(V143&gt;0,LOOKUP(V143,$R$3:$R$5,$O$3:$O$5),-1))</f>
        <v>1</v>
      </c>
      <c r="X143" s="25">
        <f t="shared" ca="1" si="23"/>
        <v>0</v>
      </c>
      <c r="Y143" s="28">
        <f ca="1">X143*_GramosXFrasco</f>
        <v>0</v>
      </c>
    </row>
    <row r="144" spans="1:25" x14ac:dyDescent="0.25">
      <c r="A144" s="30">
        <f t="shared" si="24"/>
        <v>128</v>
      </c>
      <c r="B144" s="38">
        <f t="shared" ca="1" si="17"/>
        <v>0.4175812167838584</v>
      </c>
      <c r="C144" s="36">
        <f t="shared" ca="1" si="18"/>
        <v>-1</v>
      </c>
      <c r="D144" s="36">
        <f t="shared" ca="1" si="19"/>
        <v>-1</v>
      </c>
      <c r="E144" s="36">
        <f t="shared" ca="1" si="28"/>
        <v>-1</v>
      </c>
      <c r="F144" s="37">
        <f ca="1">IF(E144&lt;&gt;-1,_Media_M + E144*_Sigma,-1)</f>
        <v>-1</v>
      </c>
      <c r="G144" s="3">
        <f t="shared" ca="1" si="20"/>
        <v>50</v>
      </c>
      <c r="H144" s="36">
        <f t="shared" ca="1" si="29"/>
        <v>50</v>
      </c>
      <c r="I144" s="36">
        <f t="shared" ca="1" si="21"/>
        <v>2.8938676234738003</v>
      </c>
      <c r="J144" s="35">
        <f t="shared" ca="1" si="30"/>
        <v>52.893867623473803</v>
      </c>
      <c r="K144" s="19">
        <f t="shared" ca="1" si="25"/>
        <v>52.893867623473803</v>
      </c>
      <c r="L144" s="20">
        <f ca="1" xml:space="preserve"> K144*_Precio_cafe</f>
        <v>79.340801435210707</v>
      </c>
      <c r="M144" s="20">
        <f t="shared" ca="1" si="26"/>
        <v>17845.609438177427</v>
      </c>
      <c r="N144" s="20">
        <f ca="1">IF((N143-K144+Y144)&gt;_Max_Stock_Gramos,_Max_Stock_Gramos,N143-K144+Y144)</f>
        <v>1700</v>
      </c>
      <c r="O144" s="20">
        <f ca="1">N144/_GramosXFrasco</f>
        <v>10</v>
      </c>
      <c r="P144" s="63">
        <f ca="1">(N144/_Max_Stock_Gramos)</f>
        <v>1</v>
      </c>
      <c r="Q144" s="63"/>
      <c r="R144" s="10">
        <f ca="1">IF((N143-J144)&lt;0,(N143-J144)*_Costo_Faltante,0)</f>
        <v>0</v>
      </c>
      <c r="S144">
        <f>IF(U144=0,X144*_Costo_Frasco,0)</f>
        <v>0</v>
      </c>
      <c r="T144" s="11">
        <f t="shared" ca="1" si="27"/>
        <v>-7577.8917350768079</v>
      </c>
      <c r="U144" s="10">
        <f>IF(U143=0,_Proxima_Compra,U143-1)</f>
        <v>1</v>
      </c>
      <c r="V144" s="3">
        <f t="shared" ca="1" si="22"/>
        <v>-1</v>
      </c>
      <c r="W144" s="3">
        <f ca="1">IF(W143&gt;0,W143-1,IF(V144&gt;0,LOOKUP(V144,$R$3:$R$5,$O$3:$O$5),-1))</f>
        <v>0</v>
      </c>
      <c r="X144" s="25">
        <f t="shared" ca="1" si="23"/>
        <v>2</v>
      </c>
      <c r="Y144" s="28">
        <f ca="1">X144*_GramosXFrasco</f>
        <v>340</v>
      </c>
    </row>
    <row r="145" spans="1:25" x14ac:dyDescent="0.25">
      <c r="A145" s="30">
        <f t="shared" si="24"/>
        <v>129</v>
      </c>
      <c r="B145" s="38">
        <f t="shared" ref="B145:B208" ca="1" si="31">RAND()</f>
        <v>0.26460732365291817</v>
      </c>
      <c r="C145" s="36">
        <f t="shared" ref="C145:C208" ca="1" si="32">IF(B145&gt;0.5,RAND(),-1)</f>
        <v>-1</v>
      </c>
      <c r="D145" s="36">
        <f t="shared" ref="D145:D208" ca="1" si="33">IF(B145&gt;0.5,RAND(),-1)</f>
        <v>-1</v>
      </c>
      <c r="E145" s="36">
        <f t="shared" ca="1" si="28"/>
        <v>-1</v>
      </c>
      <c r="F145" s="37">
        <f ca="1">IF(E145&lt;&gt;-1,_Media_M + E145*_Sigma,-1)</f>
        <v>-1</v>
      </c>
      <c r="G145" s="3">
        <f t="shared" ref="G145:G208" ca="1" si="34">IF(F145=-1,50,-1)</f>
        <v>50</v>
      </c>
      <c r="H145" s="36">
        <f t="shared" ca="1" si="29"/>
        <v>50</v>
      </c>
      <c r="I145" s="36">
        <f t="shared" ref="I145:I208" ca="1" si="35">(-1/(1/70)*(LOG(1-RAND())))</f>
        <v>38.817635962335096</v>
      </c>
      <c r="J145" s="35">
        <f t="shared" ca="1" si="30"/>
        <v>88.817635962335089</v>
      </c>
      <c r="K145" s="19">
        <f t="shared" ca="1" si="25"/>
        <v>88.817635962335089</v>
      </c>
      <c r="L145" s="20">
        <f ca="1" xml:space="preserve"> K145*_Precio_cafe</f>
        <v>133.22645394350263</v>
      </c>
      <c r="M145" s="20">
        <f t="shared" ca="1" si="26"/>
        <v>17978.835892120929</v>
      </c>
      <c r="N145" s="20">
        <f ca="1">IF((N144-K145+Y145)&gt;_Max_Stock_Gramos,_Max_Stock_Gramos,N144-K145+Y145)</f>
        <v>1611.1823640376649</v>
      </c>
      <c r="O145" s="20">
        <f ca="1">N145/_GramosXFrasco</f>
        <v>9.4775433178686175</v>
      </c>
      <c r="P145" s="63">
        <f ca="1">(N145/_Max_Stock_Gramos)</f>
        <v>0.94775433178686175</v>
      </c>
      <c r="Q145" s="63"/>
      <c r="R145" s="10">
        <f ca="1">IF((N144-J145)&lt;0,(N144-J145)*_Costo_Faltante,0)</f>
        <v>0</v>
      </c>
      <c r="S145">
        <f ca="1">IF(U145=0,X145*_Costo_Frasco,0)</f>
        <v>0</v>
      </c>
      <c r="T145" s="11">
        <f t="shared" ca="1" si="27"/>
        <v>-7577.8917350768079</v>
      </c>
      <c r="U145" s="10">
        <f>IF(U144=0,_Proxima_Compra,U144-1)</f>
        <v>0</v>
      </c>
      <c r="V145" s="3">
        <f t="shared" ref="V145:V208" ca="1" si="36">IF(U145=0,RAND(),-1)</f>
        <v>0.98621048825464253</v>
      </c>
      <c r="W145" s="3">
        <f ca="1">IF(W144&gt;0,W144-1,IF(V145&gt;0,LOOKUP(V145,$R$3:$R$5,$O$3:$O$5),-1))</f>
        <v>2</v>
      </c>
      <c r="X145" s="25">
        <f t="shared" ref="X145:X208" ca="1" si="37">IF(W145=0,2,)</f>
        <v>0</v>
      </c>
      <c r="Y145" s="28">
        <f ca="1">X145*_GramosXFrasco</f>
        <v>0</v>
      </c>
    </row>
    <row r="146" spans="1:25" x14ac:dyDescent="0.25">
      <c r="A146" s="30">
        <f t="shared" ref="A146:A209" si="38">A145+1</f>
        <v>130</v>
      </c>
      <c r="B146" s="38">
        <f t="shared" ca="1" si="31"/>
        <v>0.5383488457574227</v>
      </c>
      <c r="C146" s="36">
        <f t="shared" ca="1" si="32"/>
        <v>0.66347692624116561</v>
      </c>
      <c r="D146" s="36">
        <f t="shared" ca="1" si="33"/>
        <v>0.87219084883887854</v>
      </c>
      <c r="E146" s="36">
        <f t="shared" ca="1" si="28"/>
        <v>0.67549378224774403</v>
      </c>
      <c r="F146" s="37">
        <f ca="1">IF(E146&lt;&gt;-1,_Media_M + E146*_Sigma,-1)</f>
        <v>85.132406733716167</v>
      </c>
      <c r="G146" s="3">
        <f t="shared" ca="1" si="34"/>
        <v>-1</v>
      </c>
      <c r="H146" s="36">
        <f t="shared" ca="1" si="29"/>
        <v>85.132406733716167</v>
      </c>
      <c r="I146" s="36">
        <f t="shared" ca="1" si="35"/>
        <v>89.677984333177633</v>
      </c>
      <c r="J146" s="35">
        <f t="shared" ca="1" si="30"/>
        <v>174.8103910668938</v>
      </c>
      <c r="K146" s="19">
        <f t="shared" ref="K146:K209" ca="1" si="39">IF(J146&lt;N145,J146,N145)</f>
        <v>174.8103910668938</v>
      </c>
      <c r="L146" s="20">
        <f ca="1" xml:space="preserve"> K146*_Precio_cafe</f>
        <v>262.21558660034071</v>
      </c>
      <c r="M146" s="20">
        <f t="shared" ref="M146:M209" ca="1" si="40">L146+M145</f>
        <v>18241.051478721271</v>
      </c>
      <c r="N146" s="20">
        <f ca="1">IF((N145-K146+Y146)&gt;_Max_Stock_Gramos,_Max_Stock_Gramos,N145-K146+Y146)</f>
        <v>1436.3719729707711</v>
      </c>
      <c r="O146" s="20">
        <f ca="1">N146/_GramosXFrasco</f>
        <v>8.449246899828065</v>
      </c>
      <c r="P146" s="63">
        <f ca="1">(N146/_Max_Stock_Gramos)</f>
        <v>0.84492468998280656</v>
      </c>
      <c r="Q146" s="63"/>
      <c r="R146" s="10">
        <f ca="1">IF((N145-J146)&lt;0,(N145-J146)*_Costo_Faltante,0)</f>
        <v>0</v>
      </c>
      <c r="S146">
        <f>IF(U146=0,X146*_Costo_Frasco,0)</f>
        <v>0</v>
      </c>
      <c r="T146" s="11">
        <f t="shared" ref="T146:T209" ca="1" si="41">R146+S146+T145</f>
        <v>-7577.8917350768079</v>
      </c>
      <c r="U146" s="10">
        <f>IF(U145=0,_Proxima_Compra,U145-1)</f>
        <v>2</v>
      </c>
      <c r="V146" s="3">
        <f t="shared" ca="1" si="36"/>
        <v>-1</v>
      </c>
      <c r="W146" s="3">
        <f ca="1">IF(W145&gt;0,W145-1,IF(V146&gt;0,LOOKUP(V146,$R$3:$R$5,$O$3:$O$5),-1))</f>
        <v>1</v>
      </c>
      <c r="X146" s="25">
        <f t="shared" ca="1" si="37"/>
        <v>0</v>
      </c>
      <c r="Y146" s="28">
        <f ca="1">X146*_GramosXFrasco</f>
        <v>0</v>
      </c>
    </row>
    <row r="147" spans="1:25" x14ac:dyDescent="0.25">
      <c r="A147" s="30">
        <f t="shared" si="38"/>
        <v>131</v>
      </c>
      <c r="B147" s="38">
        <f t="shared" ca="1" si="31"/>
        <v>0.32985466331086</v>
      </c>
      <c r="C147" s="36">
        <f t="shared" ca="1" si="32"/>
        <v>-1</v>
      </c>
      <c r="D147" s="36">
        <f t="shared" ca="1" si="33"/>
        <v>-1</v>
      </c>
      <c r="E147" s="36">
        <f t="shared" ca="1" si="28"/>
        <v>-1</v>
      </c>
      <c r="F147" s="37">
        <f ca="1">IF(E147&lt;&gt;-1,_Media_M + E147*_Sigma,-1)</f>
        <v>-1</v>
      </c>
      <c r="G147" s="3">
        <f t="shared" ca="1" si="34"/>
        <v>50</v>
      </c>
      <c r="H147" s="36">
        <f t="shared" ca="1" si="29"/>
        <v>50</v>
      </c>
      <c r="I147" s="36">
        <f t="shared" ca="1" si="35"/>
        <v>14.629424860377021</v>
      </c>
      <c r="J147" s="35">
        <f t="shared" ca="1" si="30"/>
        <v>64.629424860377014</v>
      </c>
      <c r="K147" s="19">
        <f t="shared" ca="1" si="39"/>
        <v>64.629424860377014</v>
      </c>
      <c r="L147" s="20">
        <f ca="1" xml:space="preserve"> K147*_Precio_cafe</f>
        <v>96.944137290565521</v>
      </c>
      <c r="M147" s="20">
        <f t="shared" ca="1" si="40"/>
        <v>18337.995616011834</v>
      </c>
      <c r="N147" s="20">
        <f ca="1">IF((N146-K147+Y147)&gt;_Max_Stock_Gramos,_Max_Stock_Gramos,N146-K147+Y147)</f>
        <v>1700</v>
      </c>
      <c r="O147" s="20">
        <f ca="1">N147/_GramosXFrasco</f>
        <v>10</v>
      </c>
      <c r="P147" s="63">
        <f ca="1">(N147/_Max_Stock_Gramos)</f>
        <v>1</v>
      </c>
      <c r="Q147" s="63"/>
      <c r="R147" s="10">
        <f ca="1">IF((N146-J147)&lt;0,(N146-J147)*_Costo_Faltante,0)</f>
        <v>0</v>
      </c>
      <c r="S147">
        <f>IF(U147=0,X147*_Costo_Frasco,0)</f>
        <v>0</v>
      </c>
      <c r="T147" s="11">
        <f t="shared" ca="1" si="41"/>
        <v>-7577.8917350768079</v>
      </c>
      <c r="U147" s="10">
        <f>IF(U146=0,_Proxima_Compra,U146-1)</f>
        <v>1</v>
      </c>
      <c r="V147" s="3">
        <f t="shared" ca="1" si="36"/>
        <v>-1</v>
      </c>
      <c r="W147" s="3">
        <f ca="1">IF(W146&gt;0,W146-1,IF(V147&gt;0,LOOKUP(V147,$R$3:$R$5,$O$3:$O$5),-1))</f>
        <v>0</v>
      </c>
      <c r="X147" s="25">
        <f t="shared" ca="1" si="37"/>
        <v>2</v>
      </c>
      <c r="Y147" s="28">
        <f ca="1">X147*_GramosXFrasco</f>
        <v>340</v>
      </c>
    </row>
    <row r="148" spans="1:25" x14ac:dyDescent="0.25">
      <c r="A148" s="30">
        <f t="shared" si="38"/>
        <v>132</v>
      </c>
      <c r="B148" s="38">
        <f t="shared" ca="1" si="31"/>
        <v>0.72118535182544063</v>
      </c>
      <c r="C148" s="36">
        <f t="shared" ca="1" si="32"/>
        <v>8.3529385233538478E-2</v>
      </c>
      <c r="D148" s="36">
        <f t="shared" ca="1" si="33"/>
        <v>0.60072482262659099</v>
      </c>
      <c r="E148" s="36">
        <f t="shared" ca="1" si="28"/>
        <v>-0.2219433177473781</v>
      </c>
      <c r="F148" s="37">
        <f ca="1">IF(E148&lt;&gt;-1,_Media_M + E148*_Sigma,-1)</f>
        <v>71.670850233789324</v>
      </c>
      <c r="G148" s="3">
        <f t="shared" ca="1" si="34"/>
        <v>-1</v>
      </c>
      <c r="H148" s="36">
        <f t="shared" ca="1" si="29"/>
        <v>71.670850233789324</v>
      </c>
      <c r="I148" s="36">
        <f t="shared" ca="1" si="35"/>
        <v>27.29123998903485</v>
      </c>
      <c r="J148" s="35">
        <f t="shared" ca="1" si="30"/>
        <v>98.962090222824173</v>
      </c>
      <c r="K148" s="19">
        <f t="shared" ca="1" si="39"/>
        <v>98.962090222824173</v>
      </c>
      <c r="L148" s="20">
        <f ca="1" xml:space="preserve"> K148*_Precio_cafe</f>
        <v>148.44313533423627</v>
      </c>
      <c r="M148" s="20">
        <f t="shared" ca="1" si="40"/>
        <v>18486.438751346072</v>
      </c>
      <c r="N148" s="20">
        <f ca="1">IF((N147-K148+Y148)&gt;_Max_Stock_Gramos,_Max_Stock_Gramos,N147-K148+Y148)</f>
        <v>1700</v>
      </c>
      <c r="O148" s="20">
        <f ca="1">N148/_GramosXFrasco</f>
        <v>10</v>
      </c>
      <c r="P148" s="63">
        <f ca="1">(N148/_Max_Stock_Gramos)</f>
        <v>1</v>
      </c>
      <c r="Q148" s="63"/>
      <c r="R148" s="10">
        <f ca="1">IF((N147-J148)&lt;0,(N147-J148)*_Costo_Faltante,0)</f>
        <v>0</v>
      </c>
      <c r="S148">
        <f ca="1">IF(U148=0,X148*_Costo_Frasco,0)</f>
        <v>-500</v>
      </c>
      <c r="T148" s="11">
        <f t="shared" ca="1" si="41"/>
        <v>-8077.8917350768079</v>
      </c>
      <c r="U148" s="10">
        <f>IF(U147=0,_Proxima_Compra,U147-1)</f>
        <v>0</v>
      </c>
      <c r="V148" s="3">
        <f t="shared" ca="1" si="36"/>
        <v>0.19559241746750577</v>
      </c>
      <c r="W148" s="3">
        <f ca="1">IF(W147&gt;0,W147-1,IF(V148&gt;0,LOOKUP(V148,$R$3:$R$5,$O$3:$O$5),-1))</f>
        <v>0</v>
      </c>
      <c r="X148" s="25">
        <f t="shared" ca="1" si="37"/>
        <v>2</v>
      </c>
      <c r="Y148" s="28">
        <f ca="1">X148*_GramosXFrasco</f>
        <v>340</v>
      </c>
    </row>
    <row r="149" spans="1:25" x14ac:dyDescent="0.25">
      <c r="A149" s="30">
        <f t="shared" si="38"/>
        <v>133</v>
      </c>
      <c r="B149" s="38">
        <f t="shared" ca="1" si="31"/>
        <v>0.31398010806656285</v>
      </c>
      <c r="C149" s="36">
        <f t="shared" ca="1" si="32"/>
        <v>-1</v>
      </c>
      <c r="D149" s="36">
        <f t="shared" ca="1" si="33"/>
        <v>-1</v>
      </c>
      <c r="E149" s="36">
        <f t="shared" ca="1" si="28"/>
        <v>-1</v>
      </c>
      <c r="F149" s="37">
        <f ca="1">IF(E149&lt;&gt;-1,_Media_M + E149*_Sigma,-1)</f>
        <v>-1</v>
      </c>
      <c r="G149" s="3">
        <f t="shared" ca="1" si="34"/>
        <v>50</v>
      </c>
      <c r="H149" s="36">
        <f t="shared" ca="1" si="29"/>
        <v>50</v>
      </c>
      <c r="I149" s="36">
        <f t="shared" ca="1" si="35"/>
        <v>63.764797947096469</v>
      </c>
      <c r="J149" s="35">
        <f t="shared" ca="1" si="30"/>
        <v>113.76479794709647</v>
      </c>
      <c r="K149" s="19">
        <f t="shared" ca="1" si="39"/>
        <v>113.76479794709647</v>
      </c>
      <c r="L149" s="20">
        <f ca="1" xml:space="preserve"> K149*_Precio_cafe</f>
        <v>170.64719692064472</v>
      </c>
      <c r="M149" s="20">
        <f t="shared" ca="1" si="40"/>
        <v>18657.085948266715</v>
      </c>
      <c r="N149" s="20">
        <f ca="1">IF((N148-K149+Y149)&gt;_Max_Stock_Gramos,_Max_Stock_Gramos,N148-K149+Y149)</f>
        <v>1586.2352020529036</v>
      </c>
      <c r="O149" s="20">
        <f ca="1">N149/_GramosXFrasco</f>
        <v>9.3307953061935507</v>
      </c>
      <c r="P149" s="63">
        <f ca="1">(N149/_Max_Stock_Gramos)</f>
        <v>0.933079530619355</v>
      </c>
      <c r="Q149" s="63"/>
      <c r="R149" s="10">
        <f ca="1">IF((N148-J149)&lt;0,(N148-J149)*_Costo_Faltante,0)</f>
        <v>0</v>
      </c>
      <c r="S149">
        <f>IF(U149=0,X149*_Costo_Frasco,0)</f>
        <v>0</v>
      </c>
      <c r="T149" s="11">
        <f t="shared" ca="1" si="41"/>
        <v>-8077.8917350768079</v>
      </c>
      <c r="U149" s="10">
        <f>IF(U148=0,_Proxima_Compra,U148-1)</f>
        <v>2</v>
      </c>
      <c r="V149" s="3">
        <f t="shared" ca="1" si="36"/>
        <v>-1</v>
      </c>
      <c r="W149" s="3">
        <f ca="1">IF(W148&gt;0,W148-1,IF(V149&gt;0,LOOKUP(V149,$R$3:$R$5,$O$3:$O$5),-1))</f>
        <v>-1</v>
      </c>
      <c r="X149" s="25">
        <f t="shared" ca="1" si="37"/>
        <v>0</v>
      </c>
      <c r="Y149" s="28">
        <f ca="1">X149*_GramosXFrasco</f>
        <v>0</v>
      </c>
    </row>
    <row r="150" spans="1:25" x14ac:dyDescent="0.25">
      <c r="A150" s="30">
        <f t="shared" si="38"/>
        <v>134</v>
      </c>
      <c r="B150" s="38">
        <f t="shared" ca="1" si="31"/>
        <v>0.67697866947698604</v>
      </c>
      <c r="C150" s="36">
        <f t="shared" ca="1" si="32"/>
        <v>0.70419282027765751</v>
      </c>
      <c r="D150" s="36">
        <f t="shared" ca="1" si="33"/>
        <v>0.86133456667400321</v>
      </c>
      <c r="E150" s="36">
        <f t="shared" ca="1" si="28"/>
        <v>0.66226590591881007</v>
      </c>
      <c r="F150" s="37">
        <f ca="1">IF(E150&lt;&gt;-1,_Media_M + E150*_Sigma,-1)</f>
        <v>84.933988588782157</v>
      </c>
      <c r="G150" s="3">
        <f t="shared" ca="1" si="34"/>
        <v>-1</v>
      </c>
      <c r="H150" s="36">
        <f t="shared" ca="1" si="29"/>
        <v>84.933988588782157</v>
      </c>
      <c r="I150" s="36">
        <f t="shared" ca="1" si="35"/>
        <v>5.3278659452972388</v>
      </c>
      <c r="J150" s="35">
        <f t="shared" ca="1" si="30"/>
        <v>90.26185453407939</v>
      </c>
      <c r="K150" s="19">
        <f t="shared" ca="1" si="39"/>
        <v>90.26185453407939</v>
      </c>
      <c r="L150" s="20">
        <f ca="1" xml:space="preserve"> K150*_Precio_cafe</f>
        <v>135.3927818011191</v>
      </c>
      <c r="M150" s="20">
        <f t="shared" ca="1" si="40"/>
        <v>18792.478730067833</v>
      </c>
      <c r="N150" s="20">
        <f ca="1">IF((N149-K150+Y150)&gt;_Max_Stock_Gramos,_Max_Stock_Gramos,N149-K150+Y150)</f>
        <v>1495.9733475188241</v>
      </c>
      <c r="O150" s="20">
        <f ca="1">N150/_GramosXFrasco</f>
        <v>8.7998432206989659</v>
      </c>
      <c r="P150" s="63">
        <f ca="1">(N150/_Max_Stock_Gramos)</f>
        <v>0.87998432206989652</v>
      </c>
      <c r="Q150" s="63"/>
      <c r="R150" s="10">
        <f ca="1">IF((N149-J150)&lt;0,(N149-J150)*_Costo_Faltante,0)</f>
        <v>0</v>
      </c>
      <c r="S150">
        <f>IF(U150=0,X150*_Costo_Frasco,0)</f>
        <v>0</v>
      </c>
      <c r="T150" s="11">
        <f t="shared" ca="1" si="41"/>
        <v>-8077.8917350768079</v>
      </c>
      <c r="U150" s="10">
        <f>IF(U149=0,_Proxima_Compra,U149-1)</f>
        <v>1</v>
      </c>
      <c r="V150" s="3">
        <f t="shared" ca="1" si="36"/>
        <v>-1</v>
      </c>
      <c r="W150" s="3">
        <f ca="1">IF(W149&gt;0,W149-1,IF(V150&gt;0,LOOKUP(V150,$R$3:$R$5,$O$3:$O$5),-1))</f>
        <v>-1</v>
      </c>
      <c r="X150" s="25">
        <f t="shared" ca="1" si="37"/>
        <v>0</v>
      </c>
      <c r="Y150" s="28">
        <f ca="1">X150*_GramosXFrasco</f>
        <v>0</v>
      </c>
    </row>
    <row r="151" spans="1:25" x14ac:dyDescent="0.25">
      <c r="A151" s="30">
        <f t="shared" si="38"/>
        <v>135</v>
      </c>
      <c r="B151" s="38">
        <f t="shared" ca="1" si="31"/>
        <v>0.39005011607709339</v>
      </c>
      <c r="C151" s="36">
        <f t="shared" ca="1" si="32"/>
        <v>-1</v>
      </c>
      <c r="D151" s="36">
        <f t="shared" ca="1" si="33"/>
        <v>-1</v>
      </c>
      <c r="E151" s="36">
        <f t="shared" ca="1" si="28"/>
        <v>-1</v>
      </c>
      <c r="F151" s="37">
        <f ca="1">IF(E151&lt;&gt;-1,_Media_M + E151*_Sigma,-1)</f>
        <v>-1</v>
      </c>
      <c r="G151" s="3">
        <f t="shared" ca="1" si="34"/>
        <v>50</v>
      </c>
      <c r="H151" s="36">
        <f t="shared" ca="1" si="29"/>
        <v>50</v>
      </c>
      <c r="I151" s="36">
        <f t="shared" ca="1" si="35"/>
        <v>58.207138240460523</v>
      </c>
      <c r="J151" s="35">
        <f t="shared" ca="1" si="30"/>
        <v>108.20713824046052</v>
      </c>
      <c r="K151" s="19">
        <f t="shared" ca="1" si="39"/>
        <v>108.20713824046052</v>
      </c>
      <c r="L151" s="20">
        <f ca="1" xml:space="preserve"> K151*_Precio_cafe</f>
        <v>162.3107073606908</v>
      </c>
      <c r="M151" s="20">
        <f t="shared" ca="1" si="40"/>
        <v>18954.789437428524</v>
      </c>
      <c r="N151" s="20">
        <f ca="1">IF((N150-K151+Y151)&gt;_Max_Stock_Gramos,_Max_Stock_Gramos,N150-K151+Y151)</f>
        <v>1387.7662092783635</v>
      </c>
      <c r="O151" s="20">
        <f ca="1">N151/_GramosXFrasco</f>
        <v>8.1633306428139036</v>
      </c>
      <c r="P151" s="63">
        <f ca="1">(N151/_Max_Stock_Gramos)</f>
        <v>0.8163330642813903</v>
      </c>
      <c r="Q151" s="63"/>
      <c r="R151" s="10">
        <f ca="1">IF((N150-J151)&lt;0,(N150-J151)*_Costo_Faltante,0)</f>
        <v>0</v>
      </c>
      <c r="S151">
        <f ca="1">IF(U151=0,X151*_Costo_Frasco,0)</f>
        <v>0</v>
      </c>
      <c r="T151" s="11">
        <f t="shared" ca="1" si="41"/>
        <v>-8077.8917350768079</v>
      </c>
      <c r="U151" s="10">
        <f>IF(U150=0,_Proxima_Compra,U150-1)</f>
        <v>0</v>
      </c>
      <c r="V151" s="3">
        <f t="shared" ca="1" si="36"/>
        <v>0.85953346607066039</v>
      </c>
      <c r="W151" s="3">
        <f ca="1">IF(W150&gt;0,W150-1,IF(V151&gt;0,LOOKUP(V151,$R$3:$R$5,$O$3:$O$5),-1))</f>
        <v>2</v>
      </c>
      <c r="X151" s="25">
        <f t="shared" ca="1" si="37"/>
        <v>0</v>
      </c>
      <c r="Y151" s="28">
        <f ca="1">X151*_GramosXFrasco</f>
        <v>0</v>
      </c>
    </row>
    <row r="152" spans="1:25" x14ac:dyDescent="0.25">
      <c r="A152" s="30">
        <f t="shared" si="38"/>
        <v>136</v>
      </c>
      <c r="B152" s="38">
        <f t="shared" ca="1" si="31"/>
        <v>0.42865710175089544</v>
      </c>
      <c r="C152" s="36">
        <f t="shared" ca="1" si="32"/>
        <v>-1</v>
      </c>
      <c r="D152" s="36">
        <f t="shared" ca="1" si="33"/>
        <v>-1</v>
      </c>
      <c r="E152" s="36">
        <f t="shared" ca="1" si="28"/>
        <v>-1</v>
      </c>
      <c r="F152" s="37">
        <f ca="1">IF(E152&lt;&gt;-1,_Media_M + E152*_Sigma,-1)</f>
        <v>-1</v>
      </c>
      <c r="G152" s="3">
        <f t="shared" ca="1" si="34"/>
        <v>50</v>
      </c>
      <c r="H152" s="36">
        <f t="shared" ca="1" si="29"/>
        <v>50</v>
      </c>
      <c r="I152" s="36">
        <f t="shared" ca="1" si="35"/>
        <v>6.852821216825145</v>
      </c>
      <c r="J152" s="35">
        <f t="shared" ca="1" si="30"/>
        <v>56.852821216825149</v>
      </c>
      <c r="K152" s="19">
        <f t="shared" ca="1" si="39"/>
        <v>56.852821216825149</v>
      </c>
      <c r="L152" s="20">
        <f ca="1" xml:space="preserve"> K152*_Precio_cafe</f>
        <v>85.27923182523773</v>
      </c>
      <c r="M152" s="20">
        <f t="shared" ca="1" si="40"/>
        <v>19040.068669253764</v>
      </c>
      <c r="N152" s="20">
        <f ca="1">IF((N151-K152+Y152)&gt;_Max_Stock_Gramos,_Max_Stock_Gramos,N151-K152+Y152)</f>
        <v>1330.9133880615384</v>
      </c>
      <c r="O152" s="20">
        <f ca="1">N152/_GramosXFrasco</f>
        <v>7.8289022827149317</v>
      </c>
      <c r="P152" s="63">
        <f ca="1">(N152/_Max_Stock_Gramos)</f>
        <v>0.78289022827149313</v>
      </c>
      <c r="Q152" s="63"/>
      <c r="R152" s="10">
        <f ca="1">IF((N151-J152)&lt;0,(N151-J152)*_Costo_Faltante,0)</f>
        <v>0</v>
      </c>
      <c r="S152">
        <f>IF(U152=0,X152*_Costo_Frasco,0)</f>
        <v>0</v>
      </c>
      <c r="T152" s="11">
        <f t="shared" ca="1" si="41"/>
        <v>-8077.8917350768079</v>
      </c>
      <c r="U152" s="10">
        <f>IF(U151=0,_Proxima_Compra,U151-1)</f>
        <v>2</v>
      </c>
      <c r="V152" s="3">
        <f t="shared" ca="1" si="36"/>
        <v>-1</v>
      </c>
      <c r="W152" s="3">
        <f ca="1">IF(W151&gt;0,W151-1,IF(V152&gt;0,LOOKUP(V152,$R$3:$R$5,$O$3:$O$5),-1))</f>
        <v>1</v>
      </c>
      <c r="X152" s="25">
        <f t="shared" ca="1" si="37"/>
        <v>0</v>
      </c>
      <c r="Y152" s="28">
        <f ca="1">X152*_GramosXFrasco</f>
        <v>0</v>
      </c>
    </row>
    <row r="153" spans="1:25" x14ac:dyDescent="0.25">
      <c r="A153" s="30">
        <f t="shared" si="38"/>
        <v>137</v>
      </c>
      <c r="B153" s="38">
        <f t="shared" ca="1" si="31"/>
        <v>6.3612491285671702E-3</v>
      </c>
      <c r="C153" s="36">
        <f t="shared" ca="1" si="32"/>
        <v>-1</v>
      </c>
      <c r="D153" s="36">
        <f t="shared" ca="1" si="33"/>
        <v>-1</v>
      </c>
      <c r="E153" s="36">
        <f t="shared" ca="1" si="28"/>
        <v>-1</v>
      </c>
      <c r="F153" s="37">
        <f ca="1">IF(E153&lt;&gt;-1,_Media_M + E153*_Sigma,-1)</f>
        <v>-1</v>
      </c>
      <c r="G153" s="3">
        <f t="shared" ca="1" si="34"/>
        <v>50</v>
      </c>
      <c r="H153" s="36">
        <f t="shared" ca="1" si="29"/>
        <v>50</v>
      </c>
      <c r="I153" s="36">
        <f t="shared" ca="1" si="35"/>
        <v>8.861153242537549</v>
      </c>
      <c r="J153" s="35">
        <f t="shared" ca="1" si="30"/>
        <v>58.861153242537547</v>
      </c>
      <c r="K153" s="19">
        <f t="shared" ca="1" si="39"/>
        <v>58.861153242537547</v>
      </c>
      <c r="L153" s="20">
        <f ca="1" xml:space="preserve"> K153*_Precio_cafe</f>
        <v>88.291729863806324</v>
      </c>
      <c r="M153" s="20">
        <f t="shared" ca="1" si="40"/>
        <v>19128.36039911757</v>
      </c>
      <c r="N153" s="20">
        <f ca="1">IF((N152-K153+Y153)&gt;_Max_Stock_Gramos,_Max_Stock_Gramos,N152-K153+Y153)</f>
        <v>1612.0522348190009</v>
      </c>
      <c r="O153" s="20">
        <f ca="1">N153/_GramosXFrasco</f>
        <v>9.4826602048176518</v>
      </c>
      <c r="P153" s="63">
        <f ca="1">(N153/_Max_Stock_Gramos)</f>
        <v>0.94826602048176523</v>
      </c>
      <c r="Q153" s="63"/>
      <c r="R153" s="10">
        <f ca="1">IF((N152-J153)&lt;0,(N152-J153)*_Costo_Faltante,0)</f>
        <v>0</v>
      </c>
      <c r="S153">
        <f>IF(U153=0,X153*_Costo_Frasco,0)</f>
        <v>0</v>
      </c>
      <c r="T153" s="11">
        <f t="shared" ca="1" si="41"/>
        <v>-8077.8917350768079</v>
      </c>
      <c r="U153" s="10">
        <f>IF(U152=0,_Proxima_Compra,U152-1)</f>
        <v>1</v>
      </c>
      <c r="V153" s="3">
        <f t="shared" ca="1" si="36"/>
        <v>-1</v>
      </c>
      <c r="W153" s="3">
        <f ca="1">IF(W152&gt;0,W152-1,IF(V153&gt;0,LOOKUP(V153,$R$3:$R$5,$O$3:$O$5),-1))</f>
        <v>0</v>
      </c>
      <c r="X153" s="25">
        <f t="shared" ca="1" si="37"/>
        <v>2</v>
      </c>
      <c r="Y153" s="28">
        <f ca="1">X153*_GramosXFrasco</f>
        <v>340</v>
      </c>
    </row>
    <row r="154" spans="1:25" x14ac:dyDescent="0.25">
      <c r="A154" s="30">
        <f t="shared" si="38"/>
        <v>138</v>
      </c>
      <c r="B154" s="38">
        <f t="shared" ca="1" si="31"/>
        <v>0.67772858453565432</v>
      </c>
      <c r="C154" s="36">
        <f t="shared" ca="1" si="32"/>
        <v>0.10860683593337062</v>
      </c>
      <c r="D154" s="36">
        <f t="shared" ca="1" si="33"/>
        <v>0.21740356759257318</v>
      </c>
      <c r="E154" s="36">
        <f t="shared" ca="1" si="28"/>
        <v>6.4269998910491455E-2</v>
      </c>
      <c r="F154" s="37">
        <f ca="1">IF(E154&lt;&gt;-1,_Media_M + E154*_Sigma,-1)</f>
        <v>75.964049983657375</v>
      </c>
      <c r="G154" s="3">
        <f t="shared" ca="1" si="34"/>
        <v>-1</v>
      </c>
      <c r="H154" s="36">
        <f t="shared" ca="1" si="29"/>
        <v>75.964049983657375</v>
      </c>
      <c r="I154" s="36">
        <f t="shared" ca="1" si="35"/>
        <v>26.253548234509996</v>
      </c>
      <c r="J154" s="35">
        <f t="shared" ca="1" si="30"/>
        <v>102.21759821816737</v>
      </c>
      <c r="K154" s="19">
        <f t="shared" ca="1" si="39"/>
        <v>102.21759821816737</v>
      </c>
      <c r="L154" s="20">
        <f ca="1" xml:space="preserve"> K154*_Precio_cafe</f>
        <v>153.32639732725104</v>
      </c>
      <c r="M154" s="20">
        <f t="shared" ca="1" si="40"/>
        <v>19281.686796444821</v>
      </c>
      <c r="N154" s="20">
        <f ca="1">IF((N153-K154+Y154)&gt;_Max_Stock_Gramos,_Max_Stock_Gramos,N153-K154+Y154)</f>
        <v>1700</v>
      </c>
      <c r="O154" s="20">
        <f ca="1">N154/_GramosXFrasco</f>
        <v>10</v>
      </c>
      <c r="P154" s="63">
        <f ca="1">(N154/_Max_Stock_Gramos)</f>
        <v>1</v>
      </c>
      <c r="Q154" s="63"/>
      <c r="R154" s="10">
        <f ca="1">IF((N153-J154)&lt;0,(N153-J154)*_Costo_Faltante,0)</f>
        <v>0</v>
      </c>
      <c r="S154">
        <f ca="1">IF(U154=0,X154*_Costo_Frasco,0)</f>
        <v>-500</v>
      </c>
      <c r="T154" s="11">
        <f t="shared" ca="1" si="41"/>
        <v>-8577.8917350768079</v>
      </c>
      <c r="U154" s="10">
        <f>IF(U153=0,_Proxima_Compra,U153-1)</f>
        <v>0</v>
      </c>
      <c r="V154" s="3">
        <f t="shared" ca="1" si="36"/>
        <v>0.2602679340744376</v>
      </c>
      <c r="W154" s="3">
        <f ca="1">IF(W153&gt;0,W153-1,IF(V154&gt;0,LOOKUP(V154,$R$3:$R$5,$O$3:$O$5),-1))</f>
        <v>0</v>
      </c>
      <c r="X154" s="25">
        <f t="shared" ca="1" si="37"/>
        <v>2</v>
      </c>
      <c r="Y154" s="28">
        <f ca="1">X154*_GramosXFrasco</f>
        <v>340</v>
      </c>
    </row>
    <row r="155" spans="1:25" x14ac:dyDescent="0.25">
      <c r="A155" s="30">
        <f t="shared" si="38"/>
        <v>139</v>
      </c>
      <c r="B155" s="38">
        <f t="shared" ca="1" si="31"/>
        <v>0.28375445824094103</v>
      </c>
      <c r="C155" s="36">
        <f t="shared" ca="1" si="32"/>
        <v>-1</v>
      </c>
      <c r="D155" s="36">
        <f t="shared" ca="1" si="33"/>
        <v>-1</v>
      </c>
      <c r="E155" s="36">
        <f t="shared" ca="1" si="28"/>
        <v>-1</v>
      </c>
      <c r="F155" s="37">
        <f ca="1">IF(E155&lt;&gt;-1,_Media_M + E155*_Sigma,-1)</f>
        <v>-1</v>
      </c>
      <c r="G155" s="3">
        <f t="shared" ca="1" si="34"/>
        <v>50</v>
      </c>
      <c r="H155" s="36">
        <f t="shared" ca="1" si="29"/>
        <v>50</v>
      </c>
      <c r="I155" s="36">
        <f t="shared" ca="1" si="35"/>
        <v>26.056603252763065</v>
      </c>
      <c r="J155" s="35">
        <f t="shared" ca="1" si="30"/>
        <v>76.056603252763068</v>
      </c>
      <c r="K155" s="19">
        <f t="shared" ca="1" si="39"/>
        <v>76.056603252763068</v>
      </c>
      <c r="L155" s="20">
        <f ca="1" xml:space="preserve"> K155*_Precio_cafe</f>
        <v>114.0849048791446</v>
      </c>
      <c r="M155" s="20">
        <f t="shared" ca="1" si="40"/>
        <v>19395.771701323967</v>
      </c>
      <c r="N155" s="20">
        <f ca="1">IF((N154-K155+Y155)&gt;_Max_Stock_Gramos,_Max_Stock_Gramos,N154-K155+Y155)</f>
        <v>1623.9433967472369</v>
      </c>
      <c r="O155" s="20">
        <f ca="1">N155/_GramosXFrasco</f>
        <v>9.5526082161602162</v>
      </c>
      <c r="P155" s="63">
        <f ca="1">(N155/_Max_Stock_Gramos)</f>
        <v>0.95526082161602166</v>
      </c>
      <c r="Q155" s="63"/>
      <c r="R155" s="10">
        <f ca="1">IF((N154-J155)&lt;0,(N154-J155)*_Costo_Faltante,0)</f>
        <v>0</v>
      </c>
      <c r="S155">
        <f>IF(U155=0,X155*_Costo_Frasco,0)</f>
        <v>0</v>
      </c>
      <c r="T155" s="11">
        <f t="shared" ca="1" si="41"/>
        <v>-8577.8917350768079</v>
      </c>
      <c r="U155" s="10">
        <f>IF(U154=0,_Proxima_Compra,U154-1)</f>
        <v>2</v>
      </c>
      <c r="V155" s="3">
        <f t="shared" ca="1" si="36"/>
        <v>-1</v>
      </c>
      <c r="W155" s="3">
        <f ca="1">IF(W154&gt;0,W154-1,IF(V155&gt;0,LOOKUP(V155,$R$3:$R$5,$O$3:$O$5),-1))</f>
        <v>-1</v>
      </c>
      <c r="X155" s="25">
        <f t="shared" ca="1" si="37"/>
        <v>0</v>
      </c>
      <c r="Y155" s="28">
        <f ca="1">X155*_GramosXFrasco</f>
        <v>0</v>
      </c>
    </row>
    <row r="156" spans="1:25" x14ac:dyDescent="0.25">
      <c r="A156" s="30">
        <f t="shared" si="38"/>
        <v>140</v>
      </c>
      <c r="B156" s="38">
        <f t="shared" ca="1" si="31"/>
        <v>0.5471767101808912</v>
      </c>
      <c r="C156" s="36">
        <f t="shared" ca="1" si="32"/>
        <v>0.68087796405345791</v>
      </c>
      <c r="D156" s="36">
        <f t="shared" ca="1" si="33"/>
        <v>0.56455949427242136</v>
      </c>
      <c r="E156" s="36">
        <f t="shared" ca="1" si="28"/>
        <v>-0.91520740368600095</v>
      </c>
      <c r="F156" s="37">
        <f ca="1">IF(E156&lt;&gt;-1,_Media_M + E156*_Sigma,-1)</f>
        <v>61.271888944709985</v>
      </c>
      <c r="G156" s="3">
        <f t="shared" ca="1" si="34"/>
        <v>-1</v>
      </c>
      <c r="H156" s="36">
        <f t="shared" ca="1" si="29"/>
        <v>61.271888944709985</v>
      </c>
      <c r="I156" s="36">
        <f t="shared" ca="1" si="35"/>
        <v>90.09538476342199</v>
      </c>
      <c r="J156" s="35">
        <f t="shared" ca="1" si="30"/>
        <v>151.36727370813196</v>
      </c>
      <c r="K156" s="19">
        <f t="shared" ca="1" si="39"/>
        <v>151.36727370813196</v>
      </c>
      <c r="L156" s="20">
        <f ca="1" xml:space="preserve"> K156*_Precio_cafe</f>
        <v>227.05091056219794</v>
      </c>
      <c r="M156" s="20">
        <f t="shared" ca="1" si="40"/>
        <v>19622.822611886164</v>
      </c>
      <c r="N156" s="20">
        <f ca="1">IF((N155-K156+Y156)&gt;_Max_Stock_Gramos,_Max_Stock_Gramos,N155-K156+Y156)</f>
        <v>1472.5761230391049</v>
      </c>
      <c r="O156" s="20">
        <f ca="1">N156/_GramosXFrasco</f>
        <v>8.6622124884653235</v>
      </c>
      <c r="P156" s="63">
        <f ca="1">(N156/_Max_Stock_Gramos)</f>
        <v>0.86622124884653229</v>
      </c>
      <c r="Q156" s="63"/>
      <c r="R156" s="10">
        <f ca="1">IF((N155-J156)&lt;0,(N155-J156)*_Costo_Faltante,0)</f>
        <v>0</v>
      </c>
      <c r="S156">
        <f>IF(U156=0,X156*_Costo_Frasco,0)</f>
        <v>0</v>
      </c>
      <c r="T156" s="11">
        <f t="shared" ca="1" si="41"/>
        <v>-8577.8917350768079</v>
      </c>
      <c r="U156" s="10">
        <f>IF(U155=0,_Proxima_Compra,U155-1)</f>
        <v>1</v>
      </c>
      <c r="V156" s="3">
        <f t="shared" ca="1" si="36"/>
        <v>-1</v>
      </c>
      <c r="W156" s="3">
        <f ca="1">IF(W155&gt;0,W155-1,IF(V156&gt;0,LOOKUP(V156,$R$3:$R$5,$O$3:$O$5),-1))</f>
        <v>-1</v>
      </c>
      <c r="X156" s="25">
        <f t="shared" ca="1" si="37"/>
        <v>0</v>
      </c>
      <c r="Y156" s="28">
        <f ca="1">X156*_GramosXFrasco</f>
        <v>0</v>
      </c>
    </row>
    <row r="157" spans="1:25" x14ac:dyDescent="0.25">
      <c r="A157" s="30">
        <f t="shared" si="38"/>
        <v>141</v>
      </c>
      <c r="B157" s="38">
        <f t="shared" ca="1" si="31"/>
        <v>7.2629428368150117E-2</v>
      </c>
      <c r="C157" s="36">
        <f t="shared" ca="1" si="32"/>
        <v>-1</v>
      </c>
      <c r="D157" s="36">
        <f t="shared" ca="1" si="33"/>
        <v>-1</v>
      </c>
      <c r="E157" s="36">
        <f t="shared" ca="1" si="28"/>
        <v>-1</v>
      </c>
      <c r="F157" s="37">
        <f ca="1">IF(E157&lt;&gt;-1,_Media_M + E157*_Sigma,-1)</f>
        <v>-1</v>
      </c>
      <c r="G157" s="3">
        <f t="shared" ca="1" si="34"/>
        <v>50</v>
      </c>
      <c r="H157" s="36">
        <f t="shared" ca="1" si="29"/>
        <v>50</v>
      </c>
      <c r="I157" s="36">
        <f t="shared" ca="1" si="35"/>
        <v>45.02993081872502</v>
      </c>
      <c r="J157" s="35">
        <f t="shared" ca="1" si="30"/>
        <v>95.02993081872502</v>
      </c>
      <c r="K157" s="19">
        <f t="shared" ca="1" si="39"/>
        <v>95.02993081872502</v>
      </c>
      <c r="L157" s="20">
        <f ca="1" xml:space="preserve"> K157*_Precio_cafe</f>
        <v>142.54489622808754</v>
      </c>
      <c r="M157" s="20">
        <f t="shared" ca="1" si="40"/>
        <v>19765.36750811425</v>
      </c>
      <c r="N157" s="20">
        <f ca="1">IF((N156-K157+Y157)&gt;_Max_Stock_Gramos,_Max_Stock_Gramos,N156-K157+Y157)</f>
        <v>1377.5461922203799</v>
      </c>
      <c r="O157" s="20">
        <f ca="1">N157/_GramosXFrasco</f>
        <v>8.1032128954139999</v>
      </c>
      <c r="P157" s="63">
        <f ca="1">(N157/_Max_Stock_Gramos)</f>
        <v>0.81032128954139993</v>
      </c>
      <c r="Q157" s="63"/>
      <c r="R157" s="10">
        <f ca="1">IF((N156-J157)&lt;0,(N156-J157)*_Costo_Faltante,0)</f>
        <v>0</v>
      </c>
      <c r="S157">
        <f ca="1">IF(U157=0,X157*_Costo_Frasco,0)</f>
        <v>0</v>
      </c>
      <c r="T157" s="11">
        <f t="shared" ca="1" si="41"/>
        <v>-8577.8917350768079</v>
      </c>
      <c r="U157" s="10">
        <f>IF(U156=0,_Proxima_Compra,U156-1)</f>
        <v>0</v>
      </c>
      <c r="V157" s="3">
        <f t="shared" ca="1" si="36"/>
        <v>0.91593448972832892</v>
      </c>
      <c r="W157" s="3">
        <f ca="1">IF(W156&gt;0,W156-1,IF(V157&gt;0,LOOKUP(V157,$R$3:$R$5,$O$3:$O$5),-1))</f>
        <v>2</v>
      </c>
      <c r="X157" s="25">
        <f t="shared" ca="1" si="37"/>
        <v>0</v>
      </c>
      <c r="Y157" s="28">
        <f ca="1">X157*_GramosXFrasco</f>
        <v>0</v>
      </c>
    </row>
    <row r="158" spans="1:25" x14ac:dyDescent="0.25">
      <c r="A158" s="30">
        <f t="shared" si="38"/>
        <v>142</v>
      </c>
      <c r="B158" s="38">
        <f t="shared" ca="1" si="31"/>
        <v>0.14193581334292293</v>
      </c>
      <c r="C158" s="36">
        <f t="shared" ca="1" si="32"/>
        <v>-1</v>
      </c>
      <c r="D158" s="36">
        <f t="shared" ca="1" si="33"/>
        <v>-1</v>
      </c>
      <c r="E158" s="36">
        <f t="shared" ca="1" si="28"/>
        <v>-1</v>
      </c>
      <c r="F158" s="37">
        <f ca="1">IF(E158&lt;&gt;-1,_Media_M + E158*_Sigma,-1)</f>
        <v>-1</v>
      </c>
      <c r="G158" s="3">
        <f t="shared" ca="1" si="34"/>
        <v>50</v>
      </c>
      <c r="H158" s="36">
        <f t="shared" ca="1" si="29"/>
        <v>50</v>
      </c>
      <c r="I158" s="36">
        <f t="shared" ca="1" si="35"/>
        <v>2.1515418302316989</v>
      </c>
      <c r="J158" s="35">
        <f t="shared" ca="1" si="30"/>
        <v>52.1515418302317</v>
      </c>
      <c r="K158" s="19">
        <f t="shared" ca="1" si="39"/>
        <v>52.1515418302317</v>
      </c>
      <c r="L158" s="20">
        <f ca="1" xml:space="preserve"> K158*_Precio_cafe</f>
        <v>78.227312745347547</v>
      </c>
      <c r="M158" s="20">
        <f t="shared" ca="1" si="40"/>
        <v>19843.594820859598</v>
      </c>
      <c r="N158" s="20">
        <f ca="1">IF((N157-K158+Y158)&gt;_Max_Stock_Gramos,_Max_Stock_Gramos,N157-K158+Y158)</f>
        <v>1325.3946503901482</v>
      </c>
      <c r="O158" s="20">
        <f ca="1">N158/_GramosXFrasco</f>
        <v>7.7964391199420477</v>
      </c>
      <c r="P158" s="63">
        <f ca="1">(N158/_Max_Stock_Gramos)</f>
        <v>0.7796439119942048</v>
      </c>
      <c r="Q158" s="63"/>
      <c r="R158" s="10">
        <f ca="1">IF((N157-J158)&lt;0,(N157-J158)*_Costo_Faltante,0)</f>
        <v>0</v>
      </c>
      <c r="S158">
        <f>IF(U158=0,X158*_Costo_Frasco,0)</f>
        <v>0</v>
      </c>
      <c r="T158" s="11">
        <f t="shared" ca="1" si="41"/>
        <v>-8577.8917350768079</v>
      </c>
      <c r="U158" s="10">
        <f>IF(U157=0,_Proxima_Compra,U157-1)</f>
        <v>2</v>
      </c>
      <c r="V158" s="3">
        <f t="shared" ca="1" si="36"/>
        <v>-1</v>
      </c>
      <c r="W158" s="3">
        <f ca="1">IF(W157&gt;0,W157-1,IF(V158&gt;0,LOOKUP(V158,$R$3:$R$5,$O$3:$O$5),-1))</f>
        <v>1</v>
      </c>
      <c r="X158" s="25">
        <f t="shared" ca="1" si="37"/>
        <v>0</v>
      </c>
      <c r="Y158" s="28">
        <f ca="1">X158*_GramosXFrasco</f>
        <v>0</v>
      </c>
    </row>
    <row r="159" spans="1:25" x14ac:dyDescent="0.25">
      <c r="A159" s="30">
        <f t="shared" si="38"/>
        <v>143</v>
      </c>
      <c r="B159" s="38">
        <f t="shared" ca="1" si="31"/>
        <v>0.43283879798008984</v>
      </c>
      <c r="C159" s="36">
        <f t="shared" ca="1" si="32"/>
        <v>-1</v>
      </c>
      <c r="D159" s="36">
        <f t="shared" ca="1" si="33"/>
        <v>-1</v>
      </c>
      <c r="E159" s="36">
        <f t="shared" ca="1" si="28"/>
        <v>-1</v>
      </c>
      <c r="F159" s="37">
        <f ca="1">IF(E159&lt;&gt;-1,_Media_M + E159*_Sigma,-1)</f>
        <v>-1</v>
      </c>
      <c r="G159" s="3">
        <f t="shared" ca="1" si="34"/>
        <v>50</v>
      </c>
      <c r="H159" s="36">
        <f t="shared" ca="1" si="29"/>
        <v>50</v>
      </c>
      <c r="I159" s="36">
        <f t="shared" ca="1" si="35"/>
        <v>104.66545808632374</v>
      </c>
      <c r="J159" s="35">
        <f t="shared" ca="1" si="30"/>
        <v>154.66545808632372</v>
      </c>
      <c r="K159" s="19">
        <f t="shared" ca="1" si="39"/>
        <v>154.66545808632372</v>
      </c>
      <c r="L159" s="20">
        <f ca="1" xml:space="preserve"> K159*_Precio_cafe</f>
        <v>231.99818712948559</v>
      </c>
      <c r="M159" s="20">
        <f t="shared" ca="1" si="40"/>
        <v>20075.593007989082</v>
      </c>
      <c r="N159" s="20">
        <f ca="1">IF((N158-K159+Y159)&gt;_Max_Stock_Gramos,_Max_Stock_Gramos,N158-K159+Y159)</f>
        <v>1510.7291923038244</v>
      </c>
      <c r="O159" s="20">
        <f ca="1">N159/_GramosXFrasco</f>
        <v>8.8866423076695558</v>
      </c>
      <c r="P159" s="63">
        <f ca="1">(N159/_Max_Stock_Gramos)</f>
        <v>0.88866423076695555</v>
      </c>
      <c r="Q159" s="63"/>
      <c r="R159" s="10">
        <f ca="1">IF((N158-J159)&lt;0,(N158-J159)*_Costo_Faltante,0)</f>
        <v>0</v>
      </c>
      <c r="S159">
        <f>IF(U159=0,X159*_Costo_Frasco,0)</f>
        <v>0</v>
      </c>
      <c r="T159" s="11">
        <f t="shared" ca="1" si="41"/>
        <v>-8577.8917350768079</v>
      </c>
      <c r="U159" s="10">
        <f>IF(U158=0,_Proxima_Compra,U158-1)</f>
        <v>1</v>
      </c>
      <c r="V159" s="3">
        <f t="shared" ca="1" si="36"/>
        <v>-1</v>
      </c>
      <c r="W159" s="3">
        <f ca="1">IF(W158&gt;0,W158-1,IF(V159&gt;0,LOOKUP(V159,$R$3:$R$5,$O$3:$O$5),-1))</f>
        <v>0</v>
      </c>
      <c r="X159" s="25">
        <f t="shared" ca="1" si="37"/>
        <v>2</v>
      </c>
      <c r="Y159" s="28">
        <f ca="1">X159*_GramosXFrasco</f>
        <v>340</v>
      </c>
    </row>
    <row r="160" spans="1:25" x14ac:dyDescent="0.25">
      <c r="A160" s="30">
        <f t="shared" si="38"/>
        <v>144</v>
      </c>
      <c r="B160" s="38">
        <f t="shared" ca="1" si="31"/>
        <v>0.18751300461902709</v>
      </c>
      <c r="C160" s="36">
        <f t="shared" ca="1" si="32"/>
        <v>-1</v>
      </c>
      <c r="D160" s="36">
        <f t="shared" ca="1" si="33"/>
        <v>-1</v>
      </c>
      <c r="E160" s="36">
        <f t="shared" ca="1" si="28"/>
        <v>-1</v>
      </c>
      <c r="F160" s="37">
        <f ca="1">IF(E160&lt;&gt;-1,_Media_M + E160*_Sigma,-1)</f>
        <v>-1</v>
      </c>
      <c r="G160" s="3">
        <f t="shared" ca="1" si="34"/>
        <v>50</v>
      </c>
      <c r="H160" s="36">
        <f t="shared" ca="1" si="29"/>
        <v>50</v>
      </c>
      <c r="I160" s="36">
        <f t="shared" ca="1" si="35"/>
        <v>4.0390400184355171</v>
      </c>
      <c r="J160" s="35">
        <f t="shared" ca="1" si="30"/>
        <v>54.039040018435514</v>
      </c>
      <c r="K160" s="19">
        <f t="shared" ca="1" si="39"/>
        <v>54.039040018435514</v>
      </c>
      <c r="L160" s="20">
        <f ca="1" xml:space="preserve"> K160*_Precio_cafe</f>
        <v>81.058560027653272</v>
      </c>
      <c r="M160" s="20">
        <f t="shared" ca="1" si="40"/>
        <v>20156.651568016736</v>
      </c>
      <c r="N160" s="20">
        <f ca="1">IF((N159-K160+Y160)&gt;_Max_Stock_Gramos,_Max_Stock_Gramos,N159-K160+Y160)</f>
        <v>1700</v>
      </c>
      <c r="O160" s="20">
        <f ca="1">N160/_GramosXFrasco</f>
        <v>10</v>
      </c>
      <c r="P160" s="63">
        <f ca="1">(N160/_Max_Stock_Gramos)</f>
        <v>1</v>
      </c>
      <c r="Q160" s="63"/>
      <c r="R160" s="10">
        <f ca="1">IF((N159-J160)&lt;0,(N159-J160)*_Costo_Faltante,0)</f>
        <v>0</v>
      </c>
      <c r="S160">
        <f ca="1">IF(U160=0,X160*_Costo_Frasco,0)</f>
        <v>-500</v>
      </c>
      <c r="T160" s="11">
        <f t="shared" ca="1" si="41"/>
        <v>-9077.8917350768079</v>
      </c>
      <c r="U160" s="10">
        <f>IF(U159=0,_Proxima_Compra,U159-1)</f>
        <v>0</v>
      </c>
      <c r="V160" s="3">
        <f t="shared" ca="1" si="36"/>
        <v>0.12541684644429485</v>
      </c>
      <c r="W160" s="3">
        <f ca="1">IF(W159&gt;0,W159-1,IF(V160&gt;0,LOOKUP(V160,$R$3:$R$5,$O$3:$O$5),-1))</f>
        <v>0</v>
      </c>
      <c r="X160" s="25">
        <f t="shared" ca="1" si="37"/>
        <v>2</v>
      </c>
      <c r="Y160" s="28">
        <f ca="1">X160*_GramosXFrasco</f>
        <v>340</v>
      </c>
    </row>
    <row r="161" spans="1:25" x14ac:dyDescent="0.25">
      <c r="A161" s="30">
        <f t="shared" si="38"/>
        <v>145</v>
      </c>
      <c r="B161" s="38">
        <f t="shared" ca="1" si="31"/>
        <v>0.51805369553047687</v>
      </c>
      <c r="C161" s="36">
        <f t="shared" ca="1" si="32"/>
        <v>0.77376315597301593</v>
      </c>
      <c r="D161" s="36">
        <f t="shared" ca="1" si="33"/>
        <v>0.13098177093660945</v>
      </c>
      <c r="E161" s="36">
        <f t="shared" ca="1" si="28"/>
        <v>0.77263537156100481</v>
      </c>
      <c r="F161" s="37">
        <f ca="1">IF(E161&lt;&gt;-1,_Media_M + E161*_Sigma,-1)</f>
        <v>86.589530573415075</v>
      </c>
      <c r="G161" s="3">
        <f t="shared" ca="1" si="34"/>
        <v>-1</v>
      </c>
      <c r="H161" s="36">
        <f t="shared" ca="1" si="29"/>
        <v>86.589530573415075</v>
      </c>
      <c r="I161" s="36">
        <f t="shared" ca="1" si="35"/>
        <v>119.3023518116258</v>
      </c>
      <c r="J161" s="35">
        <f t="shared" ca="1" si="30"/>
        <v>205.89188238504087</v>
      </c>
      <c r="K161" s="19">
        <f t="shared" ca="1" si="39"/>
        <v>205.89188238504087</v>
      </c>
      <c r="L161" s="20">
        <f ca="1" xml:space="preserve"> K161*_Precio_cafe</f>
        <v>308.83782357756132</v>
      </c>
      <c r="M161" s="20">
        <f t="shared" ca="1" si="40"/>
        <v>20465.489391594296</v>
      </c>
      <c r="N161" s="20">
        <f ca="1">IF((N160-K161+Y161)&gt;_Max_Stock_Gramos,_Max_Stock_Gramos,N160-K161+Y161)</f>
        <v>1494.1081176149592</v>
      </c>
      <c r="O161" s="20">
        <f ca="1">N161/_GramosXFrasco</f>
        <v>8.7888712800879958</v>
      </c>
      <c r="P161" s="63">
        <f ca="1">(N161/_Max_Stock_Gramos)</f>
        <v>0.87888712800879953</v>
      </c>
      <c r="Q161" s="63"/>
      <c r="R161" s="10">
        <f ca="1">IF((N160-J161)&lt;0,(N160-J161)*_Costo_Faltante,0)</f>
        <v>0</v>
      </c>
      <c r="S161">
        <f>IF(U161=0,X161*_Costo_Frasco,0)</f>
        <v>0</v>
      </c>
      <c r="T161" s="11">
        <f t="shared" ca="1" si="41"/>
        <v>-9077.8917350768079</v>
      </c>
      <c r="U161" s="10">
        <f>IF(U160=0,_Proxima_Compra,U160-1)</f>
        <v>2</v>
      </c>
      <c r="V161" s="3">
        <f t="shared" ca="1" si="36"/>
        <v>-1</v>
      </c>
      <c r="W161" s="3">
        <f ca="1">IF(W160&gt;0,W160-1,IF(V161&gt;0,LOOKUP(V161,$R$3:$R$5,$O$3:$O$5),-1))</f>
        <v>-1</v>
      </c>
      <c r="X161" s="25">
        <f t="shared" ca="1" si="37"/>
        <v>0</v>
      </c>
      <c r="Y161" s="28">
        <f ca="1">X161*_GramosXFrasco</f>
        <v>0</v>
      </c>
    </row>
    <row r="162" spans="1:25" x14ac:dyDescent="0.25">
      <c r="A162" s="30">
        <f t="shared" si="38"/>
        <v>146</v>
      </c>
      <c r="B162" s="38">
        <f t="shared" ca="1" si="31"/>
        <v>0.72196840133267548</v>
      </c>
      <c r="C162" s="36">
        <f t="shared" ca="1" si="32"/>
        <v>0.45082516650173077</v>
      </c>
      <c r="D162" s="36">
        <f t="shared" ca="1" si="33"/>
        <v>0.83358957281291679</v>
      </c>
      <c r="E162" s="36">
        <f t="shared" ca="1" si="28"/>
        <v>0.36176125193387831</v>
      </c>
      <c r="F162" s="37">
        <f ca="1">IF(E162&lt;&gt;-1,_Media_M + E162*_Sigma,-1)</f>
        <v>80.426418779008173</v>
      </c>
      <c r="G162" s="3">
        <f t="shared" ca="1" si="34"/>
        <v>-1</v>
      </c>
      <c r="H162" s="36">
        <f t="shared" ca="1" si="29"/>
        <v>80.426418779008173</v>
      </c>
      <c r="I162" s="36">
        <f t="shared" ca="1" si="35"/>
        <v>35.219174846392718</v>
      </c>
      <c r="J162" s="35">
        <f t="shared" ca="1" si="30"/>
        <v>115.64559362540089</v>
      </c>
      <c r="K162" s="19">
        <f t="shared" ca="1" si="39"/>
        <v>115.64559362540089</v>
      </c>
      <c r="L162" s="20">
        <f ca="1" xml:space="preserve"> K162*_Precio_cafe</f>
        <v>173.46839043810132</v>
      </c>
      <c r="M162" s="20">
        <f t="shared" ca="1" si="40"/>
        <v>20638.957782032398</v>
      </c>
      <c r="N162" s="20">
        <f ca="1">IF((N161-K162+Y162)&gt;_Max_Stock_Gramos,_Max_Stock_Gramos,N161-K162+Y162)</f>
        <v>1378.4625239895583</v>
      </c>
      <c r="O162" s="20">
        <f ca="1">N162/_GramosXFrasco</f>
        <v>8.1086030822915198</v>
      </c>
      <c r="P162" s="63">
        <f ca="1">(N162/_Max_Stock_Gramos)</f>
        <v>0.810860308229152</v>
      </c>
      <c r="Q162" s="63"/>
      <c r="R162" s="10">
        <f ca="1">IF((N161-J162)&lt;0,(N161-J162)*_Costo_Faltante,0)</f>
        <v>0</v>
      </c>
      <c r="S162">
        <f>IF(U162=0,X162*_Costo_Frasco,0)</f>
        <v>0</v>
      </c>
      <c r="T162" s="11">
        <f t="shared" ca="1" si="41"/>
        <v>-9077.8917350768079</v>
      </c>
      <c r="U162" s="10">
        <f>IF(U161=0,_Proxima_Compra,U161-1)</f>
        <v>1</v>
      </c>
      <c r="V162" s="3">
        <f t="shared" ca="1" si="36"/>
        <v>-1</v>
      </c>
      <c r="W162" s="3">
        <f ca="1">IF(W161&gt;0,W161-1,IF(V162&gt;0,LOOKUP(V162,$R$3:$R$5,$O$3:$O$5),-1))</f>
        <v>-1</v>
      </c>
      <c r="X162" s="25">
        <f t="shared" ca="1" si="37"/>
        <v>0</v>
      </c>
      <c r="Y162" s="28">
        <f ca="1">X162*_GramosXFrasco</f>
        <v>0</v>
      </c>
    </row>
    <row r="163" spans="1:25" x14ac:dyDescent="0.25">
      <c r="A163" s="30">
        <f t="shared" si="38"/>
        <v>147</v>
      </c>
      <c r="B163" s="38">
        <f t="shared" ca="1" si="31"/>
        <v>7.1774232676880656E-2</v>
      </c>
      <c r="C163" s="36">
        <f t="shared" ca="1" si="32"/>
        <v>-1</v>
      </c>
      <c r="D163" s="36">
        <f t="shared" ca="1" si="33"/>
        <v>-1</v>
      </c>
      <c r="E163" s="36">
        <f t="shared" ca="1" si="28"/>
        <v>-1</v>
      </c>
      <c r="F163" s="37">
        <f ca="1">IF(E163&lt;&gt;-1,_Media_M + E163*_Sigma,-1)</f>
        <v>-1</v>
      </c>
      <c r="G163" s="3">
        <f t="shared" ca="1" si="34"/>
        <v>50</v>
      </c>
      <c r="H163" s="36">
        <f t="shared" ca="1" si="29"/>
        <v>50</v>
      </c>
      <c r="I163" s="36">
        <f t="shared" ca="1" si="35"/>
        <v>0.57079458850911058</v>
      </c>
      <c r="J163" s="35">
        <f t="shared" ca="1" si="30"/>
        <v>50.570794588509109</v>
      </c>
      <c r="K163" s="19">
        <f t="shared" ca="1" si="39"/>
        <v>50.570794588509109</v>
      </c>
      <c r="L163" s="20">
        <f ca="1" xml:space="preserve"> K163*_Precio_cafe</f>
        <v>75.856191882763667</v>
      </c>
      <c r="M163" s="20">
        <f t="shared" ca="1" si="40"/>
        <v>20714.813973915163</v>
      </c>
      <c r="N163" s="20">
        <f ca="1">IF((N162-K163+Y163)&gt;_Max_Stock_Gramos,_Max_Stock_Gramos,N162-K163+Y163)</f>
        <v>1667.8917294010491</v>
      </c>
      <c r="O163" s="20">
        <f ca="1">N163/_GramosXFrasco</f>
        <v>9.8111278200061722</v>
      </c>
      <c r="P163" s="63">
        <f ca="1">(N163/_Max_Stock_Gramos)</f>
        <v>0.98111278200061713</v>
      </c>
      <c r="Q163" s="63"/>
      <c r="R163" s="10">
        <f ca="1">IF((N162-J163)&lt;0,(N162-J163)*_Costo_Faltante,0)</f>
        <v>0</v>
      </c>
      <c r="S163">
        <f ca="1">IF(U163=0,X163*_Costo_Frasco,0)</f>
        <v>-500</v>
      </c>
      <c r="T163" s="11">
        <f t="shared" ca="1" si="41"/>
        <v>-9577.8917350768079</v>
      </c>
      <c r="U163" s="10">
        <f>IF(U162=0,_Proxima_Compra,U162-1)</f>
        <v>0</v>
      </c>
      <c r="V163" s="3">
        <f t="shared" ca="1" si="36"/>
        <v>0.31348468466113488</v>
      </c>
      <c r="W163" s="3">
        <f ca="1">IF(W162&gt;0,W162-1,IF(V163&gt;0,LOOKUP(V163,$R$3:$R$5,$O$3:$O$5),-1))</f>
        <v>0</v>
      </c>
      <c r="X163" s="25">
        <f t="shared" ca="1" si="37"/>
        <v>2</v>
      </c>
      <c r="Y163" s="28">
        <f ca="1">X163*_GramosXFrasco</f>
        <v>340</v>
      </c>
    </row>
    <row r="164" spans="1:25" x14ac:dyDescent="0.25">
      <c r="A164" s="30">
        <f t="shared" si="38"/>
        <v>148</v>
      </c>
      <c r="B164" s="38">
        <f t="shared" ca="1" si="31"/>
        <v>0.41568832478743079</v>
      </c>
      <c r="C164" s="36">
        <f t="shared" ca="1" si="32"/>
        <v>-1</v>
      </c>
      <c r="D164" s="36">
        <f t="shared" ca="1" si="33"/>
        <v>-1</v>
      </c>
      <c r="E164" s="36">
        <f t="shared" ref="E164:E227" ca="1" si="42">IF(D164&gt;0,SQRT(-2*LOG(1-C164)) * COS(2*PI()*D164),-1)</f>
        <v>-1</v>
      </c>
      <c r="F164" s="37">
        <f ca="1">IF(E164&lt;&gt;-1,_Media_M + E164*_Sigma,-1)</f>
        <v>-1</v>
      </c>
      <c r="G164" s="3">
        <f t="shared" ca="1" si="34"/>
        <v>50</v>
      </c>
      <c r="H164" s="36">
        <f t="shared" ref="H164:H227" ca="1" si="43">IF(F164=-1,G164,F164)</f>
        <v>50</v>
      </c>
      <c r="I164" s="36">
        <f t="shared" ca="1" si="35"/>
        <v>20.004196060922776</v>
      </c>
      <c r="J164" s="35">
        <f t="shared" ref="J164:J227" ca="1" si="44">H164+I164</f>
        <v>70.00419606092278</v>
      </c>
      <c r="K164" s="19">
        <f t="shared" ca="1" si="39"/>
        <v>70.00419606092278</v>
      </c>
      <c r="L164" s="20">
        <f ca="1" xml:space="preserve"> K164*_Precio_cafe</f>
        <v>105.00629409138418</v>
      </c>
      <c r="M164" s="20">
        <f t="shared" ca="1" si="40"/>
        <v>20819.820268006548</v>
      </c>
      <c r="N164" s="20">
        <f ca="1">IF((N163-K164+Y164)&gt;_Max_Stock_Gramos,_Max_Stock_Gramos,N163-K164+Y164)</f>
        <v>1597.8875333401263</v>
      </c>
      <c r="O164" s="20">
        <f ca="1">N164/_GramosXFrasco</f>
        <v>9.3993384314125077</v>
      </c>
      <c r="P164" s="63">
        <f ca="1">(N164/_Max_Stock_Gramos)</f>
        <v>0.93993384314125072</v>
      </c>
      <c r="Q164" s="63"/>
      <c r="R164" s="10">
        <f ca="1">IF((N163-J164)&lt;0,(N163-J164)*_Costo_Faltante,0)</f>
        <v>0</v>
      </c>
      <c r="S164">
        <f>IF(U164=0,X164*_Costo_Frasco,0)</f>
        <v>0</v>
      </c>
      <c r="T164" s="11">
        <f t="shared" ca="1" si="41"/>
        <v>-9577.8917350768079</v>
      </c>
      <c r="U164" s="10">
        <f>IF(U163=0,_Proxima_Compra,U163-1)</f>
        <v>2</v>
      </c>
      <c r="V164" s="3">
        <f t="shared" ca="1" si="36"/>
        <v>-1</v>
      </c>
      <c r="W164" s="3">
        <f ca="1">IF(W163&gt;0,W163-1,IF(V164&gt;0,LOOKUP(V164,$R$3:$R$5,$O$3:$O$5),-1))</f>
        <v>-1</v>
      </c>
      <c r="X164" s="25">
        <f t="shared" ca="1" si="37"/>
        <v>0</v>
      </c>
      <c r="Y164" s="28">
        <f ca="1">X164*_GramosXFrasco</f>
        <v>0</v>
      </c>
    </row>
    <row r="165" spans="1:25" x14ac:dyDescent="0.25">
      <c r="A165" s="30">
        <f t="shared" si="38"/>
        <v>149</v>
      </c>
      <c r="B165" s="38">
        <f t="shared" ca="1" si="31"/>
        <v>0.73613123292392335</v>
      </c>
      <c r="C165" s="36">
        <f t="shared" ca="1" si="32"/>
        <v>0.52357434865542363</v>
      </c>
      <c r="D165" s="36">
        <f t="shared" ca="1" si="33"/>
        <v>0.35469835424092555</v>
      </c>
      <c r="E165" s="36">
        <f t="shared" ca="1" si="42"/>
        <v>-0.49065654629306404</v>
      </c>
      <c r="F165" s="37">
        <f ca="1">IF(E165&lt;&gt;-1,_Media_M + E165*_Sigma,-1)</f>
        <v>67.640151805604035</v>
      </c>
      <c r="G165" s="3">
        <f t="shared" ca="1" si="34"/>
        <v>-1</v>
      </c>
      <c r="H165" s="36">
        <f t="shared" ca="1" si="43"/>
        <v>67.640151805604035</v>
      </c>
      <c r="I165" s="36">
        <f t="shared" ca="1" si="35"/>
        <v>52.277026577181964</v>
      </c>
      <c r="J165" s="35">
        <f t="shared" ca="1" si="44"/>
        <v>119.91717838278601</v>
      </c>
      <c r="K165" s="19">
        <f t="shared" ca="1" si="39"/>
        <v>119.91717838278601</v>
      </c>
      <c r="L165" s="20">
        <f ca="1" xml:space="preserve"> K165*_Precio_cafe</f>
        <v>179.87576757417901</v>
      </c>
      <c r="M165" s="20">
        <f t="shared" ca="1" si="40"/>
        <v>20999.696035580728</v>
      </c>
      <c r="N165" s="20">
        <f ca="1">IF((N164-K165+Y165)&gt;_Max_Stock_Gramos,_Max_Stock_Gramos,N164-K165+Y165)</f>
        <v>1477.9703549573403</v>
      </c>
      <c r="O165" s="20">
        <f ca="1">N165/_GramosXFrasco</f>
        <v>8.6939432644549424</v>
      </c>
      <c r="P165" s="63">
        <f ca="1">(N165/_Max_Stock_Gramos)</f>
        <v>0.8693943264454943</v>
      </c>
      <c r="Q165" s="63"/>
      <c r="R165" s="10">
        <f ca="1">IF((N164-J165)&lt;0,(N164-J165)*_Costo_Faltante,0)</f>
        <v>0</v>
      </c>
      <c r="S165">
        <f>IF(U165=0,X165*_Costo_Frasco,0)</f>
        <v>0</v>
      </c>
      <c r="T165" s="11">
        <f t="shared" ca="1" si="41"/>
        <v>-9577.8917350768079</v>
      </c>
      <c r="U165" s="10">
        <f>IF(U164=0,_Proxima_Compra,U164-1)</f>
        <v>1</v>
      </c>
      <c r="V165" s="3">
        <f t="shared" ca="1" si="36"/>
        <v>-1</v>
      </c>
      <c r="W165" s="3">
        <f ca="1">IF(W164&gt;0,W164-1,IF(V165&gt;0,LOOKUP(V165,$R$3:$R$5,$O$3:$O$5),-1))</f>
        <v>-1</v>
      </c>
      <c r="X165" s="25">
        <f t="shared" ca="1" si="37"/>
        <v>0</v>
      </c>
      <c r="Y165" s="28">
        <f ca="1">X165*_GramosXFrasco</f>
        <v>0</v>
      </c>
    </row>
    <row r="166" spans="1:25" x14ac:dyDescent="0.25">
      <c r="A166" s="30">
        <f t="shared" si="38"/>
        <v>150</v>
      </c>
      <c r="B166" s="38">
        <f t="shared" ca="1" si="31"/>
        <v>0.1421514811763015</v>
      </c>
      <c r="C166" s="36">
        <f t="shared" ca="1" si="32"/>
        <v>-1</v>
      </c>
      <c r="D166" s="36">
        <f t="shared" ca="1" si="33"/>
        <v>-1</v>
      </c>
      <c r="E166" s="36">
        <f t="shared" ca="1" si="42"/>
        <v>-1</v>
      </c>
      <c r="F166" s="37">
        <f ca="1">IF(E166&lt;&gt;-1,_Media_M + E166*_Sigma,-1)</f>
        <v>-1</v>
      </c>
      <c r="G166" s="3">
        <f t="shared" ca="1" si="34"/>
        <v>50</v>
      </c>
      <c r="H166" s="36">
        <f t="shared" ca="1" si="43"/>
        <v>50</v>
      </c>
      <c r="I166" s="36">
        <f t="shared" ca="1" si="35"/>
        <v>5.3438604370800249</v>
      </c>
      <c r="J166" s="35">
        <f t="shared" ca="1" si="44"/>
        <v>55.343860437080025</v>
      </c>
      <c r="K166" s="19">
        <f t="shared" ca="1" si="39"/>
        <v>55.343860437080025</v>
      </c>
      <c r="L166" s="20">
        <f ca="1" xml:space="preserve"> K166*_Precio_cafe</f>
        <v>83.015790655620037</v>
      </c>
      <c r="M166" s="20">
        <f t="shared" ca="1" si="40"/>
        <v>21082.711826236347</v>
      </c>
      <c r="N166" s="20">
        <f ca="1">IF((N165-K166+Y166)&gt;_Max_Stock_Gramos,_Max_Stock_Gramos,N165-K166+Y166)</f>
        <v>1700</v>
      </c>
      <c r="O166" s="20">
        <f ca="1">N166/_GramosXFrasco</f>
        <v>10</v>
      </c>
      <c r="P166" s="63">
        <f ca="1">(N166/_Max_Stock_Gramos)</f>
        <v>1</v>
      </c>
      <c r="Q166" s="63"/>
      <c r="R166" s="10">
        <f ca="1">IF((N165-J166)&lt;0,(N165-J166)*_Costo_Faltante,0)</f>
        <v>0</v>
      </c>
      <c r="S166">
        <f ca="1">IF(U166=0,X166*_Costo_Frasco,0)</f>
        <v>-500</v>
      </c>
      <c r="T166" s="11">
        <f t="shared" ca="1" si="41"/>
        <v>-10077.891735076808</v>
      </c>
      <c r="U166" s="10">
        <f>IF(U165=0,_Proxima_Compra,U165-1)</f>
        <v>0</v>
      </c>
      <c r="V166" s="3">
        <f t="shared" ca="1" si="36"/>
        <v>8.8675908164246753E-2</v>
      </c>
      <c r="W166" s="3">
        <f ca="1">IF(W165&gt;0,W165-1,IF(V166&gt;0,LOOKUP(V166,$R$3:$R$5,$O$3:$O$5),-1))</f>
        <v>0</v>
      </c>
      <c r="X166" s="25">
        <f t="shared" ca="1" si="37"/>
        <v>2</v>
      </c>
      <c r="Y166" s="28">
        <f ca="1">X166*_GramosXFrasco</f>
        <v>340</v>
      </c>
    </row>
    <row r="167" spans="1:25" x14ac:dyDescent="0.25">
      <c r="A167" s="30">
        <f t="shared" si="38"/>
        <v>151</v>
      </c>
      <c r="B167" s="38">
        <f t="shared" ca="1" si="31"/>
        <v>0.53749125044664892</v>
      </c>
      <c r="C167" s="36">
        <f t="shared" ca="1" si="32"/>
        <v>0.63438712056716617</v>
      </c>
      <c r="D167" s="36">
        <f t="shared" ca="1" si="33"/>
        <v>0.56190162815730704</v>
      </c>
      <c r="E167" s="36">
        <f t="shared" ca="1" si="42"/>
        <v>-0.86503389430306943</v>
      </c>
      <c r="F167" s="37">
        <f ca="1">IF(E167&lt;&gt;-1,_Media_M + E167*_Sigma,-1)</f>
        <v>62.024491585453958</v>
      </c>
      <c r="G167" s="3">
        <f t="shared" ca="1" si="34"/>
        <v>-1</v>
      </c>
      <c r="H167" s="36">
        <f t="shared" ca="1" si="43"/>
        <v>62.024491585453958</v>
      </c>
      <c r="I167" s="36">
        <f t="shared" ca="1" si="35"/>
        <v>23.881258896574003</v>
      </c>
      <c r="J167" s="35">
        <f t="shared" ca="1" si="44"/>
        <v>85.905750482027969</v>
      </c>
      <c r="K167" s="19">
        <f t="shared" ca="1" si="39"/>
        <v>85.905750482027969</v>
      </c>
      <c r="L167" s="20">
        <f ca="1" xml:space="preserve"> K167*_Precio_cafe</f>
        <v>128.85862572304194</v>
      </c>
      <c r="M167" s="20">
        <f t="shared" ca="1" si="40"/>
        <v>21211.570451959389</v>
      </c>
      <c r="N167" s="20">
        <f ca="1">IF((N166-K167+Y167)&gt;_Max_Stock_Gramos,_Max_Stock_Gramos,N166-K167+Y167)</f>
        <v>1614.094249517972</v>
      </c>
      <c r="O167" s="20">
        <f ca="1">N167/_GramosXFrasco</f>
        <v>9.4946720559880706</v>
      </c>
      <c r="P167" s="63">
        <f ca="1">(N167/_Max_Stock_Gramos)</f>
        <v>0.94946720559880704</v>
      </c>
      <c r="Q167" s="63"/>
      <c r="R167" s="10">
        <f ca="1">IF((N166-J167)&lt;0,(N166-J167)*_Costo_Faltante,0)</f>
        <v>0</v>
      </c>
      <c r="S167">
        <f>IF(U167=0,X167*_Costo_Frasco,0)</f>
        <v>0</v>
      </c>
      <c r="T167" s="11">
        <f t="shared" ca="1" si="41"/>
        <v>-10077.891735076808</v>
      </c>
      <c r="U167" s="10">
        <f>IF(U166=0,_Proxima_Compra,U166-1)</f>
        <v>2</v>
      </c>
      <c r="V167" s="3">
        <f t="shared" ca="1" si="36"/>
        <v>-1</v>
      </c>
      <c r="W167" s="3">
        <f ca="1">IF(W166&gt;0,W166-1,IF(V167&gt;0,LOOKUP(V167,$R$3:$R$5,$O$3:$O$5),-1))</f>
        <v>-1</v>
      </c>
      <c r="X167" s="25">
        <f t="shared" ca="1" si="37"/>
        <v>0</v>
      </c>
      <c r="Y167" s="28">
        <f ca="1">X167*_GramosXFrasco</f>
        <v>0</v>
      </c>
    </row>
    <row r="168" spans="1:25" x14ac:dyDescent="0.25">
      <c r="A168" s="30">
        <f t="shared" si="38"/>
        <v>152</v>
      </c>
      <c r="B168" s="38">
        <f t="shared" ca="1" si="31"/>
        <v>6.6787526797905117E-2</v>
      </c>
      <c r="C168" s="36">
        <f t="shared" ca="1" si="32"/>
        <v>-1</v>
      </c>
      <c r="D168" s="36">
        <f t="shared" ca="1" si="33"/>
        <v>-1</v>
      </c>
      <c r="E168" s="36">
        <f t="shared" ca="1" si="42"/>
        <v>-1</v>
      </c>
      <c r="F168" s="37">
        <f ca="1">IF(E168&lt;&gt;-1,_Media_M + E168*_Sigma,-1)</f>
        <v>-1</v>
      </c>
      <c r="G168" s="3">
        <f t="shared" ca="1" si="34"/>
        <v>50</v>
      </c>
      <c r="H168" s="36">
        <f t="shared" ca="1" si="43"/>
        <v>50</v>
      </c>
      <c r="I168" s="36">
        <f t="shared" ca="1" si="35"/>
        <v>10.45450733071937</v>
      </c>
      <c r="J168" s="35">
        <f t="shared" ca="1" si="44"/>
        <v>60.454507330719366</v>
      </c>
      <c r="K168" s="19">
        <f t="shared" ca="1" si="39"/>
        <v>60.454507330719366</v>
      </c>
      <c r="L168" s="20">
        <f ca="1" xml:space="preserve"> K168*_Precio_cafe</f>
        <v>90.681760996079049</v>
      </c>
      <c r="M168" s="20">
        <f t="shared" ca="1" si="40"/>
        <v>21302.252212955467</v>
      </c>
      <c r="N168" s="20">
        <f ca="1">IF((N167-K168+Y168)&gt;_Max_Stock_Gramos,_Max_Stock_Gramos,N167-K168+Y168)</f>
        <v>1553.6397421872525</v>
      </c>
      <c r="O168" s="20">
        <f ca="1">N168/_GramosXFrasco</f>
        <v>9.1390573069838386</v>
      </c>
      <c r="P168" s="63">
        <f ca="1">(N168/_Max_Stock_Gramos)</f>
        <v>0.91390573069838388</v>
      </c>
      <c r="Q168" s="63"/>
      <c r="R168" s="10">
        <f ca="1">IF((N167-J168)&lt;0,(N167-J168)*_Costo_Faltante,0)</f>
        <v>0</v>
      </c>
      <c r="S168">
        <f>IF(U168=0,X168*_Costo_Frasco,0)</f>
        <v>0</v>
      </c>
      <c r="T168" s="11">
        <f t="shared" ca="1" si="41"/>
        <v>-10077.891735076808</v>
      </c>
      <c r="U168" s="10">
        <f>IF(U167=0,_Proxima_Compra,U167-1)</f>
        <v>1</v>
      </c>
      <c r="V168" s="3">
        <f t="shared" ca="1" si="36"/>
        <v>-1</v>
      </c>
      <c r="W168" s="3">
        <f ca="1">IF(W167&gt;0,W167-1,IF(V168&gt;0,LOOKUP(V168,$R$3:$R$5,$O$3:$O$5),-1))</f>
        <v>-1</v>
      </c>
      <c r="X168" s="25">
        <f t="shared" ca="1" si="37"/>
        <v>0</v>
      </c>
      <c r="Y168" s="28">
        <f ca="1">X168*_GramosXFrasco</f>
        <v>0</v>
      </c>
    </row>
    <row r="169" spans="1:25" x14ac:dyDescent="0.25">
      <c r="A169" s="30">
        <f t="shared" si="38"/>
        <v>153</v>
      </c>
      <c r="B169" s="38">
        <f t="shared" ca="1" si="31"/>
        <v>0.58871974342136613</v>
      </c>
      <c r="C169" s="36">
        <f t="shared" ca="1" si="32"/>
        <v>0.4041375306364241</v>
      </c>
      <c r="D169" s="36">
        <f t="shared" ca="1" si="33"/>
        <v>0.28789141061135504</v>
      </c>
      <c r="E169" s="36">
        <f t="shared" ca="1" si="42"/>
        <v>-0.15815225713713157</v>
      </c>
      <c r="F169" s="37">
        <f ca="1">IF(E169&lt;&gt;-1,_Media_M + E169*_Sigma,-1)</f>
        <v>72.627716142943029</v>
      </c>
      <c r="G169" s="3">
        <f t="shared" ca="1" si="34"/>
        <v>-1</v>
      </c>
      <c r="H169" s="36">
        <f t="shared" ca="1" si="43"/>
        <v>72.627716142943029</v>
      </c>
      <c r="I169" s="36">
        <f t="shared" ca="1" si="35"/>
        <v>36.218338823821476</v>
      </c>
      <c r="J169" s="35">
        <f t="shared" ca="1" si="44"/>
        <v>108.84605496676451</v>
      </c>
      <c r="K169" s="19">
        <f t="shared" ca="1" si="39"/>
        <v>108.84605496676451</v>
      </c>
      <c r="L169" s="20">
        <f ca="1" xml:space="preserve"> K169*_Precio_cafe</f>
        <v>163.26908245014675</v>
      </c>
      <c r="M169" s="20">
        <f t="shared" ca="1" si="40"/>
        <v>21465.521295405615</v>
      </c>
      <c r="N169" s="20">
        <f ca="1">IF((N168-K169+Y169)&gt;_Max_Stock_Gramos,_Max_Stock_Gramos,N168-K169+Y169)</f>
        <v>1700</v>
      </c>
      <c r="O169" s="20">
        <f ca="1">N169/_GramosXFrasco</f>
        <v>10</v>
      </c>
      <c r="P169" s="63">
        <f ca="1">(N169/_Max_Stock_Gramos)</f>
        <v>1</v>
      </c>
      <c r="Q169" s="63"/>
      <c r="R169" s="10">
        <f ca="1">IF((N168-J169)&lt;0,(N168-J169)*_Costo_Faltante,0)</f>
        <v>0</v>
      </c>
      <c r="S169">
        <f ca="1">IF(U169=0,X169*_Costo_Frasco,0)</f>
        <v>-500</v>
      </c>
      <c r="T169" s="11">
        <f t="shared" ca="1" si="41"/>
        <v>-10577.891735076808</v>
      </c>
      <c r="U169" s="10">
        <f>IF(U168=0,_Proxima_Compra,U168-1)</f>
        <v>0</v>
      </c>
      <c r="V169" s="3">
        <f t="shared" ca="1" si="36"/>
        <v>1.8572108913427643E-2</v>
      </c>
      <c r="W169" s="3">
        <f ca="1">IF(W168&gt;0,W168-1,IF(V169&gt;0,LOOKUP(V169,$R$3:$R$5,$O$3:$O$5),-1))</f>
        <v>0</v>
      </c>
      <c r="X169" s="25">
        <f t="shared" ca="1" si="37"/>
        <v>2</v>
      </c>
      <c r="Y169" s="28">
        <f ca="1">X169*_GramosXFrasco</f>
        <v>340</v>
      </c>
    </row>
    <row r="170" spans="1:25" x14ac:dyDescent="0.25">
      <c r="A170" s="30">
        <f t="shared" si="38"/>
        <v>154</v>
      </c>
      <c r="B170" s="38">
        <f t="shared" ca="1" si="31"/>
        <v>0.37970503128057553</v>
      </c>
      <c r="C170" s="36">
        <f t="shared" ca="1" si="32"/>
        <v>-1</v>
      </c>
      <c r="D170" s="36">
        <f t="shared" ca="1" si="33"/>
        <v>-1</v>
      </c>
      <c r="E170" s="36">
        <f t="shared" ca="1" si="42"/>
        <v>-1</v>
      </c>
      <c r="F170" s="37">
        <f ca="1">IF(E170&lt;&gt;-1,_Media_M + E170*_Sigma,-1)</f>
        <v>-1</v>
      </c>
      <c r="G170" s="3">
        <f t="shared" ca="1" si="34"/>
        <v>50</v>
      </c>
      <c r="H170" s="36">
        <f t="shared" ca="1" si="43"/>
        <v>50</v>
      </c>
      <c r="I170" s="36">
        <f t="shared" ca="1" si="35"/>
        <v>74.234132467469578</v>
      </c>
      <c r="J170" s="35">
        <f t="shared" ca="1" si="44"/>
        <v>124.23413246746958</v>
      </c>
      <c r="K170" s="19">
        <f t="shared" ca="1" si="39"/>
        <v>124.23413246746958</v>
      </c>
      <c r="L170" s="20">
        <f ca="1" xml:space="preserve"> K170*_Precio_cafe</f>
        <v>186.35119870120437</v>
      </c>
      <c r="M170" s="20">
        <f t="shared" ca="1" si="40"/>
        <v>21651.872494106821</v>
      </c>
      <c r="N170" s="20">
        <f ca="1">IF((N169-K170+Y170)&gt;_Max_Stock_Gramos,_Max_Stock_Gramos,N169-K170+Y170)</f>
        <v>1575.7658675325304</v>
      </c>
      <c r="O170" s="20">
        <f ca="1">N170/_GramosXFrasco</f>
        <v>9.2692109854854721</v>
      </c>
      <c r="P170" s="63">
        <f ca="1">(N170/_Max_Stock_Gramos)</f>
        <v>0.92692109854854732</v>
      </c>
      <c r="Q170" s="63"/>
      <c r="R170" s="10">
        <f ca="1">IF((N169-J170)&lt;0,(N169-J170)*_Costo_Faltante,0)</f>
        <v>0</v>
      </c>
      <c r="S170">
        <f>IF(U170=0,X170*_Costo_Frasco,0)</f>
        <v>0</v>
      </c>
      <c r="T170" s="11">
        <f t="shared" ca="1" si="41"/>
        <v>-10577.891735076808</v>
      </c>
      <c r="U170" s="10">
        <f>IF(U169=0,_Proxima_Compra,U169-1)</f>
        <v>2</v>
      </c>
      <c r="V170" s="3">
        <f t="shared" ca="1" si="36"/>
        <v>-1</v>
      </c>
      <c r="W170" s="3">
        <f ca="1">IF(W169&gt;0,W169-1,IF(V170&gt;0,LOOKUP(V170,$R$3:$R$5,$O$3:$O$5),-1))</f>
        <v>-1</v>
      </c>
      <c r="X170" s="25">
        <f t="shared" ca="1" si="37"/>
        <v>0</v>
      </c>
      <c r="Y170" s="28">
        <f ca="1">X170*_GramosXFrasco</f>
        <v>0</v>
      </c>
    </row>
    <row r="171" spans="1:25" x14ac:dyDescent="0.25">
      <c r="A171" s="30">
        <f t="shared" si="38"/>
        <v>155</v>
      </c>
      <c r="B171" s="38">
        <f t="shared" ca="1" si="31"/>
        <v>7.898143319492279E-2</v>
      </c>
      <c r="C171" s="36">
        <f t="shared" ca="1" si="32"/>
        <v>-1</v>
      </c>
      <c r="D171" s="36">
        <f t="shared" ca="1" si="33"/>
        <v>-1</v>
      </c>
      <c r="E171" s="36">
        <f t="shared" ca="1" si="42"/>
        <v>-1</v>
      </c>
      <c r="F171" s="37">
        <f ca="1">IF(E171&lt;&gt;-1,_Media_M + E171*_Sigma,-1)</f>
        <v>-1</v>
      </c>
      <c r="G171" s="3">
        <f t="shared" ca="1" si="34"/>
        <v>50</v>
      </c>
      <c r="H171" s="36">
        <f t="shared" ca="1" si="43"/>
        <v>50</v>
      </c>
      <c r="I171" s="36">
        <f t="shared" ca="1" si="35"/>
        <v>4.0779719894375575</v>
      </c>
      <c r="J171" s="35">
        <f t="shared" ca="1" si="44"/>
        <v>54.077971989437557</v>
      </c>
      <c r="K171" s="19">
        <f t="shared" ca="1" si="39"/>
        <v>54.077971989437557</v>
      </c>
      <c r="L171" s="20">
        <f ca="1" xml:space="preserve"> K171*_Precio_cafe</f>
        <v>81.116957984156329</v>
      </c>
      <c r="M171" s="20">
        <f t="shared" ca="1" si="40"/>
        <v>21732.989452090977</v>
      </c>
      <c r="N171" s="20">
        <f ca="1">IF((N170-K171+Y171)&gt;_Max_Stock_Gramos,_Max_Stock_Gramos,N170-K171+Y171)</f>
        <v>1521.6878955430927</v>
      </c>
      <c r="O171" s="20">
        <f ca="1">N171/_GramosXFrasco</f>
        <v>8.9511052679005463</v>
      </c>
      <c r="P171" s="63">
        <f ca="1">(N171/_Max_Stock_Gramos)</f>
        <v>0.89511052679005454</v>
      </c>
      <c r="Q171" s="63"/>
      <c r="R171" s="10">
        <f ca="1">IF((N170-J171)&lt;0,(N170-J171)*_Costo_Faltante,0)</f>
        <v>0</v>
      </c>
      <c r="S171">
        <f>IF(U171=0,X171*_Costo_Frasco,0)</f>
        <v>0</v>
      </c>
      <c r="T171" s="11">
        <f t="shared" ca="1" si="41"/>
        <v>-10577.891735076808</v>
      </c>
      <c r="U171" s="10">
        <f>IF(U170=0,_Proxima_Compra,U170-1)</f>
        <v>1</v>
      </c>
      <c r="V171" s="3">
        <f t="shared" ca="1" si="36"/>
        <v>-1</v>
      </c>
      <c r="W171" s="3">
        <f ca="1">IF(W170&gt;0,W170-1,IF(V171&gt;0,LOOKUP(V171,$R$3:$R$5,$O$3:$O$5),-1))</f>
        <v>-1</v>
      </c>
      <c r="X171" s="25">
        <f t="shared" ca="1" si="37"/>
        <v>0</v>
      </c>
      <c r="Y171" s="28">
        <f ca="1">X171*_GramosXFrasco</f>
        <v>0</v>
      </c>
    </row>
    <row r="172" spans="1:25" x14ac:dyDescent="0.25">
      <c r="A172" s="30">
        <f t="shared" si="38"/>
        <v>156</v>
      </c>
      <c r="B172" s="38">
        <f t="shared" ca="1" si="31"/>
        <v>0.85475441378131456</v>
      </c>
      <c r="C172" s="36">
        <f t="shared" ca="1" si="32"/>
        <v>0.41881972658689648</v>
      </c>
      <c r="D172" s="36">
        <f t="shared" ca="1" si="33"/>
        <v>0.42273592021361017</v>
      </c>
      <c r="E172" s="36">
        <f t="shared" ca="1" si="42"/>
        <v>-0.60724246402891857</v>
      </c>
      <c r="F172" s="37">
        <f ca="1">IF(E172&lt;&gt;-1,_Media_M + E172*_Sigma,-1)</f>
        <v>65.891363039566215</v>
      </c>
      <c r="G172" s="3">
        <f t="shared" ca="1" si="34"/>
        <v>-1</v>
      </c>
      <c r="H172" s="36">
        <f t="shared" ca="1" si="43"/>
        <v>65.891363039566215</v>
      </c>
      <c r="I172" s="36">
        <f t="shared" ca="1" si="35"/>
        <v>2.9053550187615955</v>
      </c>
      <c r="J172" s="35">
        <f t="shared" ca="1" si="44"/>
        <v>68.796718058327812</v>
      </c>
      <c r="K172" s="19">
        <f t="shared" ca="1" si="39"/>
        <v>68.796718058327812</v>
      </c>
      <c r="L172" s="20">
        <f ca="1" xml:space="preserve"> K172*_Precio_cafe</f>
        <v>103.19507708749171</v>
      </c>
      <c r="M172" s="20">
        <f t="shared" ca="1" si="40"/>
        <v>21836.184529178467</v>
      </c>
      <c r="N172" s="20">
        <f ca="1">IF((N171-K172+Y172)&gt;_Max_Stock_Gramos,_Max_Stock_Gramos,N171-K172+Y172)</f>
        <v>1700</v>
      </c>
      <c r="O172" s="20">
        <f ca="1">N172/_GramosXFrasco</f>
        <v>10</v>
      </c>
      <c r="P172" s="63">
        <f ca="1">(N172/_Max_Stock_Gramos)</f>
        <v>1</v>
      </c>
      <c r="Q172" s="63"/>
      <c r="R172" s="10">
        <f ca="1">IF((N171-J172)&lt;0,(N171-J172)*_Costo_Faltante,0)</f>
        <v>0</v>
      </c>
      <c r="S172">
        <f ca="1">IF(U172=0,X172*_Costo_Frasco,0)</f>
        <v>-500</v>
      </c>
      <c r="T172" s="11">
        <f t="shared" ca="1" si="41"/>
        <v>-11077.891735076808</v>
      </c>
      <c r="U172" s="10">
        <f>IF(U171=0,_Proxima_Compra,U171-1)</f>
        <v>0</v>
      </c>
      <c r="V172" s="3">
        <f t="shared" ca="1" si="36"/>
        <v>0.49879030592748352</v>
      </c>
      <c r="W172" s="3">
        <f ca="1">IF(W171&gt;0,W171-1,IF(V172&gt;0,LOOKUP(V172,$R$3:$R$5,$O$3:$O$5),-1))</f>
        <v>0</v>
      </c>
      <c r="X172" s="25">
        <f t="shared" ca="1" si="37"/>
        <v>2</v>
      </c>
      <c r="Y172" s="28">
        <f ca="1">X172*_GramosXFrasco</f>
        <v>340</v>
      </c>
    </row>
    <row r="173" spans="1:25" x14ac:dyDescent="0.25">
      <c r="A173" s="30">
        <f t="shared" si="38"/>
        <v>157</v>
      </c>
      <c r="B173" s="38">
        <f t="shared" ca="1" si="31"/>
        <v>0.44429655625992026</v>
      </c>
      <c r="C173" s="36">
        <f t="shared" ca="1" si="32"/>
        <v>-1</v>
      </c>
      <c r="D173" s="36">
        <f t="shared" ca="1" si="33"/>
        <v>-1</v>
      </c>
      <c r="E173" s="36">
        <f t="shared" ca="1" si="42"/>
        <v>-1</v>
      </c>
      <c r="F173" s="37">
        <f ca="1">IF(E173&lt;&gt;-1,_Media_M + E173*_Sigma,-1)</f>
        <v>-1</v>
      </c>
      <c r="G173" s="3">
        <f t="shared" ca="1" si="34"/>
        <v>50</v>
      </c>
      <c r="H173" s="36">
        <f t="shared" ca="1" si="43"/>
        <v>50</v>
      </c>
      <c r="I173" s="36">
        <f t="shared" ca="1" si="35"/>
        <v>83.035849374098575</v>
      </c>
      <c r="J173" s="35">
        <f t="shared" ca="1" si="44"/>
        <v>133.03584937409858</v>
      </c>
      <c r="K173" s="19">
        <f t="shared" ca="1" si="39"/>
        <v>133.03584937409858</v>
      </c>
      <c r="L173" s="20">
        <f ca="1" xml:space="preserve"> K173*_Precio_cafe</f>
        <v>199.55377406114786</v>
      </c>
      <c r="M173" s="20">
        <f t="shared" ca="1" si="40"/>
        <v>22035.738303239614</v>
      </c>
      <c r="N173" s="20">
        <f ca="1">IF((N172-K173+Y173)&gt;_Max_Stock_Gramos,_Max_Stock_Gramos,N172-K173+Y173)</f>
        <v>1566.9641506259013</v>
      </c>
      <c r="O173" s="20">
        <f ca="1">N173/_GramosXFrasco</f>
        <v>9.2174361801523599</v>
      </c>
      <c r="P173" s="63">
        <f ca="1">(N173/_Max_Stock_Gramos)</f>
        <v>0.92174361801523608</v>
      </c>
      <c r="Q173" s="63"/>
      <c r="R173" s="10">
        <f ca="1">IF((N172-J173)&lt;0,(N172-J173)*_Costo_Faltante,0)</f>
        <v>0</v>
      </c>
      <c r="S173">
        <f>IF(U173=0,X173*_Costo_Frasco,0)</f>
        <v>0</v>
      </c>
      <c r="T173" s="11">
        <f t="shared" ca="1" si="41"/>
        <v>-11077.891735076808</v>
      </c>
      <c r="U173" s="10">
        <f>IF(U172=0,_Proxima_Compra,U172-1)</f>
        <v>2</v>
      </c>
      <c r="V173" s="3">
        <f t="shared" ca="1" si="36"/>
        <v>-1</v>
      </c>
      <c r="W173" s="3">
        <f ca="1">IF(W172&gt;0,W172-1,IF(V173&gt;0,LOOKUP(V173,$R$3:$R$5,$O$3:$O$5),-1))</f>
        <v>-1</v>
      </c>
      <c r="X173" s="25">
        <f t="shared" ca="1" si="37"/>
        <v>0</v>
      </c>
      <c r="Y173" s="28">
        <f ca="1">X173*_GramosXFrasco</f>
        <v>0</v>
      </c>
    </row>
    <row r="174" spans="1:25" x14ac:dyDescent="0.25">
      <c r="A174" s="30">
        <f t="shared" si="38"/>
        <v>158</v>
      </c>
      <c r="B174" s="38">
        <f t="shared" ca="1" si="31"/>
        <v>0.39310393529954024</v>
      </c>
      <c r="C174" s="36">
        <f t="shared" ca="1" si="32"/>
        <v>-1</v>
      </c>
      <c r="D174" s="36">
        <f t="shared" ca="1" si="33"/>
        <v>-1</v>
      </c>
      <c r="E174" s="36">
        <f t="shared" ca="1" si="42"/>
        <v>-1</v>
      </c>
      <c r="F174" s="37">
        <f ca="1">IF(E174&lt;&gt;-1,_Media_M + E174*_Sigma,-1)</f>
        <v>-1</v>
      </c>
      <c r="G174" s="3">
        <f t="shared" ca="1" si="34"/>
        <v>50</v>
      </c>
      <c r="H174" s="36">
        <f t="shared" ca="1" si="43"/>
        <v>50</v>
      </c>
      <c r="I174" s="36">
        <f t="shared" ca="1" si="35"/>
        <v>12.495769947699454</v>
      </c>
      <c r="J174" s="35">
        <f t="shared" ca="1" si="44"/>
        <v>62.495769947699458</v>
      </c>
      <c r="K174" s="19">
        <f t="shared" ca="1" si="39"/>
        <v>62.495769947699458</v>
      </c>
      <c r="L174" s="20">
        <f ca="1" xml:space="preserve"> K174*_Precio_cafe</f>
        <v>93.743654921549194</v>
      </c>
      <c r="M174" s="20">
        <f t="shared" ca="1" si="40"/>
        <v>22129.481958161163</v>
      </c>
      <c r="N174" s="20">
        <f ca="1">IF((N173-K174+Y174)&gt;_Max_Stock_Gramos,_Max_Stock_Gramos,N173-K174+Y174)</f>
        <v>1504.4683806782018</v>
      </c>
      <c r="O174" s="20">
        <f ca="1">N174/_GramosXFrasco</f>
        <v>8.8498140039894224</v>
      </c>
      <c r="P174" s="63">
        <f ca="1">(N174/_Max_Stock_Gramos)</f>
        <v>0.88498140039894224</v>
      </c>
      <c r="Q174" s="63"/>
      <c r="R174" s="10">
        <f ca="1">IF((N173-J174)&lt;0,(N173-J174)*_Costo_Faltante,0)</f>
        <v>0</v>
      </c>
      <c r="S174">
        <f>IF(U174=0,X174*_Costo_Frasco,0)</f>
        <v>0</v>
      </c>
      <c r="T174" s="11">
        <f t="shared" ca="1" si="41"/>
        <v>-11077.891735076808</v>
      </c>
      <c r="U174" s="10">
        <f>IF(U173=0,_Proxima_Compra,U173-1)</f>
        <v>1</v>
      </c>
      <c r="V174" s="3">
        <f t="shared" ca="1" si="36"/>
        <v>-1</v>
      </c>
      <c r="W174" s="3">
        <f ca="1">IF(W173&gt;0,W173-1,IF(V174&gt;0,LOOKUP(V174,$R$3:$R$5,$O$3:$O$5),-1))</f>
        <v>-1</v>
      </c>
      <c r="X174" s="25">
        <f t="shared" ca="1" si="37"/>
        <v>0</v>
      </c>
      <c r="Y174" s="28">
        <f ca="1">X174*_GramosXFrasco</f>
        <v>0</v>
      </c>
    </row>
    <row r="175" spans="1:25" x14ac:dyDescent="0.25">
      <c r="A175" s="30">
        <f t="shared" si="38"/>
        <v>159</v>
      </c>
      <c r="B175" s="38">
        <f t="shared" ca="1" si="31"/>
        <v>0.14771752028767426</v>
      </c>
      <c r="C175" s="36">
        <f t="shared" ca="1" si="32"/>
        <v>-1</v>
      </c>
      <c r="D175" s="36">
        <f t="shared" ca="1" si="33"/>
        <v>-1</v>
      </c>
      <c r="E175" s="36">
        <f t="shared" ca="1" si="42"/>
        <v>-1</v>
      </c>
      <c r="F175" s="37">
        <f ca="1">IF(E175&lt;&gt;-1,_Media_M + E175*_Sigma,-1)</f>
        <v>-1</v>
      </c>
      <c r="G175" s="3">
        <f t="shared" ca="1" si="34"/>
        <v>50</v>
      </c>
      <c r="H175" s="36">
        <f t="shared" ca="1" si="43"/>
        <v>50</v>
      </c>
      <c r="I175" s="36">
        <f t="shared" ca="1" si="35"/>
        <v>5.4591268312056309</v>
      </c>
      <c r="J175" s="35">
        <f t="shared" ca="1" si="44"/>
        <v>55.45912683120563</v>
      </c>
      <c r="K175" s="19">
        <f t="shared" ca="1" si="39"/>
        <v>55.45912683120563</v>
      </c>
      <c r="L175" s="20">
        <f ca="1" xml:space="preserve"> K175*_Precio_cafe</f>
        <v>83.188690246808449</v>
      </c>
      <c r="M175" s="20">
        <f t="shared" ca="1" si="40"/>
        <v>22212.67064840797</v>
      </c>
      <c r="N175" s="20">
        <f ca="1">IF((N174-K175+Y175)&gt;_Max_Stock_Gramos,_Max_Stock_Gramos,N174-K175+Y175)</f>
        <v>1700</v>
      </c>
      <c r="O175" s="20">
        <f ca="1">N175/_GramosXFrasco</f>
        <v>10</v>
      </c>
      <c r="P175" s="63">
        <f ca="1">(N175/_Max_Stock_Gramos)</f>
        <v>1</v>
      </c>
      <c r="Q175" s="63"/>
      <c r="R175" s="10">
        <f ca="1">IF((N174-J175)&lt;0,(N174-J175)*_Costo_Faltante,0)</f>
        <v>0</v>
      </c>
      <c r="S175">
        <f ca="1">IF(U175=0,X175*_Costo_Frasco,0)</f>
        <v>-500</v>
      </c>
      <c r="T175" s="11">
        <f t="shared" ca="1" si="41"/>
        <v>-11577.891735076808</v>
      </c>
      <c r="U175" s="10">
        <f>IF(U174=0,_Proxima_Compra,U174-1)</f>
        <v>0</v>
      </c>
      <c r="V175" s="3">
        <f t="shared" ca="1" si="36"/>
        <v>0.35903119396622152</v>
      </c>
      <c r="W175" s="3">
        <f ca="1">IF(W174&gt;0,W174-1,IF(V175&gt;0,LOOKUP(V175,$R$3:$R$5,$O$3:$O$5),-1))</f>
        <v>0</v>
      </c>
      <c r="X175" s="25">
        <f t="shared" ca="1" si="37"/>
        <v>2</v>
      </c>
      <c r="Y175" s="28">
        <f ca="1">X175*_GramosXFrasco</f>
        <v>340</v>
      </c>
    </row>
    <row r="176" spans="1:25" x14ac:dyDescent="0.25">
      <c r="A176" s="30">
        <f t="shared" si="38"/>
        <v>160</v>
      </c>
      <c r="B176" s="38">
        <f t="shared" ca="1" si="31"/>
        <v>0.90291695752748591</v>
      </c>
      <c r="C176" s="36">
        <f t="shared" ca="1" si="32"/>
        <v>0.68089555471279739</v>
      </c>
      <c r="D176" s="36">
        <f t="shared" ca="1" si="33"/>
        <v>0.89118812221175392</v>
      </c>
      <c r="E176" s="36">
        <f t="shared" ca="1" si="42"/>
        <v>0.77219525586235149</v>
      </c>
      <c r="F176" s="37">
        <f ca="1">IF(E176&lt;&gt;-1,_Media_M + E176*_Sigma,-1)</f>
        <v>86.58292883793527</v>
      </c>
      <c r="G176" s="3">
        <f t="shared" ca="1" si="34"/>
        <v>-1</v>
      </c>
      <c r="H176" s="36">
        <f t="shared" ca="1" si="43"/>
        <v>86.58292883793527</v>
      </c>
      <c r="I176" s="36">
        <f t="shared" ca="1" si="35"/>
        <v>54.045205636944829</v>
      </c>
      <c r="J176" s="35">
        <f t="shared" ca="1" si="44"/>
        <v>140.62813447488008</v>
      </c>
      <c r="K176" s="19">
        <f t="shared" ca="1" si="39"/>
        <v>140.62813447488008</v>
      </c>
      <c r="L176" s="20">
        <f ca="1" xml:space="preserve"> K176*_Precio_cafe</f>
        <v>210.94220171232013</v>
      </c>
      <c r="M176" s="20">
        <f t="shared" ca="1" si="40"/>
        <v>22423.612850120291</v>
      </c>
      <c r="N176" s="20">
        <f ca="1">IF((N175-K176+Y176)&gt;_Max_Stock_Gramos,_Max_Stock_Gramos,N175-K176+Y176)</f>
        <v>1559.37186552512</v>
      </c>
      <c r="O176" s="20">
        <f ca="1">N176/_GramosXFrasco</f>
        <v>9.1727756795595301</v>
      </c>
      <c r="P176" s="63">
        <f ca="1">(N176/_Max_Stock_Gramos)</f>
        <v>0.91727756795595294</v>
      </c>
      <c r="Q176" s="63"/>
      <c r="R176" s="10">
        <f ca="1">IF((N175-J176)&lt;0,(N175-J176)*_Costo_Faltante,0)</f>
        <v>0</v>
      </c>
      <c r="S176">
        <f>IF(U176=0,X176*_Costo_Frasco,0)</f>
        <v>0</v>
      </c>
      <c r="T176" s="11">
        <f t="shared" ca="1" si="41"/>
        <v>-11577.891735076808</v>
      </c>
      <c r="U176" s="10">
        <f>IF(U175=0,_Proxima_Compra,U175-1)</f>
        <v>2</v>
      </c>
      <c r="V176" s="3">
        <f t="shared" ca="1" si="36"/>
        <v>-1</v>
      </c>
      <c r="W176" s="3">
        <f ca="1">IF(W175&gt;0,W175-1,IF(V176&gt;0,LOOKUP(V176,$R$3:$R$5,$O$3:$O$5),-1))</f>
        <v>-1</v>
      </c>
      <c r="X176" s="25">
        <f t="shared" ca="1" si="37"/>
        <v>0</v>
      </c>
      <c r="Y176" s="28">
        <f ca="1">X176*_GramosXFrasco</f>
        <v>0</v>
      </c>
    </row>
    <row r="177" spans="1:25" x14ac:dyDescent="0.25">
      <c r="A177" s="30">
        <f t="shared" si="38"/>
        <v>161</v>
      </c>
      <c r="B177" s="38">
        <f t="shared" ca="1" si="31"/>
        <v>0.56288642587957327</v>
      </c>
      <c r="C177" s="36">
        <f t="shared" ca="1" si="32"/>
        <v>0.54885533585047064</v>
      </c>
      <c r="D177" s="36">
        <f t="shared" ca="1" si="33"/>
        <v>0.82929866340574809</v>
      </c>
      <c r="E177" s="36">
        <f t="shared" ca="1" si="42"/>
        <v>0.39735654800146314</v>
      </c>
      <c r="F177" s="37">
        <f ca="1">IF(E177&lt;&gt;-1,_Media_M + E177*_Sigma,-1)</f>
        <v>80.960348220021942</v>
      </c>
      <c r="G177" s="3">
        <f t="shared" ca="1" si="34"/>
        <v>-1</v>
      </c>
      <c r="H177" s="36">
        <f t="shared" ca="1" si="43"/>
        <v>80.960348220021942</v>
      </c>
      <c r="I177" s="36">
        <f t="shared" ca="1" si="35"/>
        <v>25.359626868701017</v>
      </c>
      <c r="J177" s="35">
        <f t="shared" ca="1" si="44"/>
        <v>106.31997508872296</v>
      </c>
      <c r="K177" s="19">
        <f t="shared" ca="1" si="39"/>
        <v>106.31997508872296</v>
      </c>
      <c r="L177" s="20">
        <f ca="1" xml:space="preserve"> K177*_Precio_cafe</f>
        <v>159.47996263308443</v>
      </c>
      <c r="M177" s="20">
        <f t="shared" ca="1" si="40"/>
        <v>22583.092812753377</v>
      </c>
      <c r="N177" s="20">
        <f ca="1">IF((N176-K177+Y177)&gt;_Max_Stock_Gramos,_Max_Stock_Gramos,N176-K177+Y177)</f>
        <v>1453.0518904363971</v>
      </c>
      <c r="O177" s="20">
        <f ca="1">N177/_GramosXFrasco</f>
        <v>8.5473640613905708</v>
      </c>
      <c r="P177" s="63">
        <f ca="1">(N177/_Max_Stock_Gramos)</f>
        <v>0.8547364061390571</v>
      </c>
      <c r="Q177" s="63"/>
      <c r="R177" s="10">
        <f ca="1">IF((N176-J177)&lt;0,(N176-J177)*_Costo_Faltante,0)</f>
        <v>0</v>
      </c>
      <c r="S177">
        <f>IF(U177=0,X177*_Costo_Frasco,0)</f>
        <v>0</v>
      </c>
      <c r="T177" s="11">
        <f t="shared" ca="1" si="41"/>
        <v>-11577.891735076808</v>
      </c>
      <c r="U177" s="10">
        <f>IF(U176=0,_Proxima_Compra,U176-1)</f>
        <v>1</v>
      </c>
      <c r="V177" s="3">
        <f t="shared" ca="1" si="36"/>
        <v>-1</v>
      </c>
      <c r="W177" s="3">
        <f ca="1">IF(W176&gt;0,W176-1,IF(V177&gt;0,LOOKUP(V177,$R$3:$R$5,$O$3:$O$5),-1))</f>
        <v>-1</v>
      </c>
      <c r="X177" s="25">
        <f t="shared" ca="1" si="37"/>
        <v>0</v>
      </c>
      <c r="Y177" s="28">
        <f ca="1">X177*_GramosXFrasco</f>
        <v>0</v>
      </c>
    </row>
    <row r="178" spans="1:25" x14ac:dyDescent="0.25">
      <c r="A178" s="30">
        <f t="shared" si="38"/>
        <v>162</v>
      </c>
      <c r="B178" s="38">
        <f t="shared" ca="1" si="31"/>
        <v>0.74212624790839765</v>
      </c>
      <c r="C178" s="36">
        <f t="shared" ca="1" si="32"/>
        <v>0.66878925023836411</v>
      </c>
      <c r="D178" s="36">
        <f t="shared" ca="1" si="33"/>
        <v>0.68851320358519019</v>
      </c>
      <c r="E178" s="36">
        <f t="shared" ca="1" si="42"/>
        <v>-0.36914121768421848</v>
      </c>
      <c r="F178" s="37">
        <f ca="1">IF(E178&lt;&gt;-1,_Media_M + E178*_Sigma,-1)</f>
        <v>69.462881734736726</v>
      </c>
      <c r="G178" s="3">
        <f t="shared" ca="1" si="34"/>
        <v>-1</v>
      </c>
      <c r="H178" s="36">
        <f t="shared" ca="1" si="43"/>
        <v>69.462881734736726</v>
      </c>
      <c r="I178" s="36">
        <f t="shared" ca="1" si="35"/>
        <v>92.908820549972873</v>
      </c>
      <c r="J178" s="35">
        <f t="shared" ca="1" si="44"/>
        <v>162.37170228470961</v>
      </c>
      <c r="K178" s="19">
        <f t="shared" ca="1" si="39"/>
        <v>162.37170228470961</v>
      </c>
      <c r="L178" s="20">
        <f ca="1" xml:space="preserve"> K178*_Precio_cafe</f>
        <v>243.55755342706442</v>
      </c>
      <c r="M178" s="20">
        <f t="shared" ca="1" si="40"/>
        <v>22826.650366180442</v>
      </c>
      <c r="N178" s="20">
        <f ca="1">IF((N177-K178+Y178)&gt;_Max_Stock_Gramos,_Max_Stock_Gramos,N177-K178+Y178)</f>
        <v>1630.6801881516876</v>
      </c>
      <c r="O178" s="20">
        <f ca="1">N178/_GramosXFrasco</f>
        <v>9.5922364008922809</v>
      </c>
      <c r="P178" s="63">
        <f ca="1">(N178/_Max_Stock_Gramos)</f>
        <v>0.959223640089228</v>
      </c>
      <c r="Q178" s="63"/>
      <c r="R178" s="10">
        <f ca="1">IF((N177-J178)&lt;0,(N177-J178)*_Costo_Faltante,0)</f>
        <v>0</v>
      </c>
      <c r="S178">
        <f ca="1">IF(U178=0,X178*_Costo_Frasco,0)</f>
        <v>-500</v>
      </c>
      <c r="T178" s="11">
        <f t="shared" ca="1" si="41"/>
        <v>-12077.891735076808</v>
      </c>
      <c r="U178" s="10">
        <f>IF(U177=0,_Proxima_Compra,U177-1)</f>
        <v>0</v>
      </c>
      <c r="V178" s="3">
        <f t="shared" ca="1" si="36"/>
        <v>0.38993072924943961</v>
      </c>
      <c r="W178" s="3">
        <f ca="1">IF(W177&gt;0,W177-1,IF(V178&gt;0,LOOKUP(V178,$R$3:$R$5,$O$3:$O$5),-1))</f>
        <v>0</v>
      </c>
      <c r="X178" s="25">
        <f t="shared" ca="1" si="37"/>
        <v>2</v>
      </c>
      <c r="Y178" s="28">
        <f ca="1">X178*_GramosXFrasco</f>
        <v>340</v>
      </c>
    </row>
    <row r="179" spans="1:25" x14ac:dyDescent="0.25">
      <c r="A179" s="30">
        <f t="shared" si="38"/>
        <v>163</v>
      </c>
      <c r="B179" s="38">
        <f t="shared" ca="1" si="31"/>
        <v>0.14124853091159972</v>
      </c>
      <c r="C179" s="36">
        <f t="shared" ca="1" si="32"/>
        <v>-1</v>
      </c>
      <c r="D179" s="36">
        <f t="shared" ca="1" si="33"/>
        <v>-1</v>
      </c>
      <c r="E179" s="36">
        <f t="shared" ca="1" si="42"/>
        <v>-1</v>
      </c>
      <c r="F179" s="37">
        <f ca="1">IF(E179&lt;&gt;-1,_Media_M + E179*_Sigma,-1)</f>
        <v>-1</v>
      </c>
      <c r="G179" s="3">
        <f t="shared" ca="1" si="34"/>
        <v>50</v>
      </c>
      <c r="H179" s="36">
        <f t="shared" ca="1" si="43"/>
        <v>50</v>
      </c>
      <c r="I179" s="36">
        <f t="shared" ca="1" si="35"/>
        <v>25.829604011213227</v>
      </c>
      <c r="J179" s="35">
        <f t="shared" ca="1" si="44"/>
        <v>75.829604011213235</v>
      </c>
      <c r="K179" s="19">
        <f t="shared" ca="1" si="39"/>
        <v>75.829604011213235</v>
      </c>
      <c r="L179" s="20">
        <f ca="1" xml:space="preserve"> K179*_Precio_cafe</f>
        <v>113.74440601681985</v>
      </c>
      <c r="M179" s="20">
        <f t="shared" ca="1" si="40"/>
        <v>22940.394772197262</v>
      </c>
      <c r="N179" s="20">
        <f ca="1">IF((N178-K179+Y179)&gt;_Max_Stock_Gramos,_Max_Stock_Gramos,N178-K179+Y179)</f>
        <v>1554.8505841404744</v>
      </c>
      <c r="O179" s="20">
        <f ca="1">N179/_GramosXFrasco</f>
        <v>9.1461799067086726</v>
      </c>
      <c r="P179" s="63">
        <f ca="1">(N179/_Max_Stock_Gramos)</f>
        <v>0.91461799067086735</v>
      </c>
      <c r="Q179" s="63"/>
      <c r="R179" s="10">
        <f ca="1">IF((N178-J179)&lt;0,(N178-J179)*_Costo_Faltante,0)</f>
        <v>0</v>
      </c>
      <c r="S179">
        <f>IF(U179=0,X179*_Costo_Frasco,0)</f>
        <v>0</v>
      </c>
      <c r="T179" s="11">
        <f t="shared" ca="1" si="41"/>
        <v>-12077.891735076808</v>
      </c>
      <c r="U179" s="10">
        <f>IF(U178=0,_Proxima_Compra,U178-1)</f>
        <v>2</v>
      </c>
      <c r="V179" s="3">
        <f t="shared" ca="1" si="36"/>
        <v>-1</v>
      </c>
      <c r="W179" s="3">
        <f ca="1">IF(W178&gt;0,W178-1,IF(V179&gt;0,LOOKUP(V179,$R$3:$R$5,$O$3:$O$5),-1))</f>
        <v>-1</v>
      </c>
      <c r="X179" s="25">
        <f t="shared" ca="1" si="37"/>
        <v>0</v>
      </c>
      <c r="Y179" s="28">
        <f ca="1">X179*_GramosXFrasco</f>
        <v>0</v>
      </c>
    </row>
    <row r="180" spans="1:25" x14ac:dyDescent="0.25">
      <c r="A180" s="30">
        <f t="shared" si="38"/>
        <v>164</v>
      </c>
      <c r="B180" s="38">
        <f t="shared" ca="1" si="31"/>
        <v>0.96091407490372671</v>
      </c>
      <c r="C180" s="36">
        <f t="shared" ca="1" si="32"/>
        <v>0.22677957761507039</v>
      </c>
      <c r="D180" s="36">
        <f t="shared" ca="1" si="33"/>
        <v>0.73044088254036299</v>
      </c>
      <c r="E180" s="36">
        <f t="shared" ca="1" si="42"/>
        <v>-5.7938938050908266E-2</v>
      </c>
      <c r="F180" s="37">
        <f ca="1">IF(E180&lt;&gt;-1,_Media_M + E180*_Sigma,-1)</f>
        <v>74.13091592923638</v>
      </c>
      <c r="G180" s="3">
        <f t="shared" ca="1" si="34"/>
        <v>-1</v>
      </c>
      <c r="H180" s="36">
        <f t="shared" ca="1" si="43"/>
        <v>74.13091592923638</v>
      </c>
      <c r="I180" s="36">
        <f t="shared" ca="1" si="35"/>
        <v>8.5362985665391733</v>
      </c>
      <c r="J180" s="35">
        <f t="shared" ca="1" si="44"/>
        <v>82.667214495775553</v>
      </c>
      <c r="K180" s="19">
        <f t="shared" ca="1" si="39"/>
        <v>82.667214495775553</v>
      </c>
      <c r="L180" s="20">
        <f ca="1" xml:space="preserve"> K180*_Precio_cafe</f>
        <v>124.00082174366332</v>
      </c>
      <c r="M180" s="20">
        <f t="shared" ca="1" si="40"/>
        <v>23064.395593940924</v>
      </c>
      <c r="N180" s="20">
        <f ca="1">IF((N179-K180+Y180)&gt;_Max_Stock_Gramos,_Max_Stock_Gramos,N179-K180+Y180)</f>
        <v>1472.1833696446988</v>
      </c>
      <c r="O180" s="20">
        <f ca="1">N180/_GramosXFrasco</f>
        <v>8.6599021743805817</v>
      </c>
      <c r="P180" s="63">
        <f ca="1">(N180/_Max_Stock_Gramos)</f>
        <v>0.86599021743805815</v>
      </c>
      <c r="Q180" s="63"/>
      <c r="R180" s="10">
        <f ca="1">IF((N179-J180)&lt;0,(N179-J180)*_Costo_Faltante,0)</f>
        <v>0</v>
      </c>
      <c r="S180">
        <f>IF(U180=0,X180*_Costo_Frasco,0)</f>
        <v>0</v>
      </c>
      <c r="T180" s="11">
        <f t="shared" ca="1" si="41"/>
        <v>-12077.891735076808</v>
      </c>
      <c r="U180" s="10">
        <f>IF(U179=0,_Proxima_Compra,U179-1)</f>
        <v>1</v>
      </c>
      <c r="V180" s="3">
        <f t="shared" ca="1" si="36"/>
        <v>-1</v>
      </c>
      <c r="W180" s="3">
        <f ca="1">IF(W179&gt;0,W179-1,IF(V180&gt;0,LOOKUP(V180,$R$3:$R$5,$O$3:$O$5),-1))</f>
        <v>-1</v>
      </c>
      <c r="X180" s="25">
        <f t="shared" ca="1" si="37"/>
        <v>0</v>
      </c>
      <c r="Y180" s="28">
        <f ca="1">X180*_GramosXFrasco</f>
        <v>0</v>
      </c>
    </row>
    <row r="181" spans="1:25" x14ac:dyDescent="0.25">
      <c r="A181" s="30">
        <f t="shared" si="38"/>
        <v>165</v>
      </c>
      <c r="B181" s="38">
        <f t="shared" ca="1" si="31"/>
        <v>0.12945286866668204</v>
      </c>
      <c r="C181" s="36">
        <f t="shared" ca="1" si="32"/>
        <v>-1</v>
      </c>
      <c r="D181" s="36">
        <f t="shared" ca="1" si="33"/>
        <v>-1</v>
      </c>
      <c r="E181" s="36">
        <f t="shared" ca="1" si="42"/>
        <v>-1</v>
      </c>
      <c r="F181" s="37">
        <f ca="1">IF(E181&lt;&gt;-1,_Media_M + E181*_Sigma,-1)</f>
        <v>-1</v>
      </c>
      <c r="G181" s="3">
        <f t="shared" ca="1" si="34"/>
        <v>50</v>
      </c>
      <c r="H181" s="36">
        <f t="shared" ca="1" si="43"/>
        <v>50</v>
      </c>
      <c r="I181" s="36">
        <f t="shared" ca="1" si="35"/>
        <v>8.1944313005680289</v>
      </c>
      <c r="J181" s="35">
        <f t="shared" ca="1" si="44"/>
        <v>58.194431300568027</v>
      </c>
      <c r="K181" s="19">
        <f t="shared" ca="1" si="39"/>
        <v>58.194431300568027</v>
      </c>
      <c r="L181" s="20">
        <f ca="1" xml:space="preserve"> K181*_Precio_cafe</f>
        <v>87.291646950852041</v>
      </c>
      <c r="M181" s="20">
        <f t="shared" ca="1" si="40"/>
        <v>23151.687240891777</v>
      </c>
      <c r="N181" s="20">
        <f ca="1">IF((N180-K181+Y181)&gt;_Max_Stock_Gramos,_Max_Stock_Gramos,N180-K181+Y181)</f>
        <v>1413.9889383441307</v>
      </c>
      <c r="O181" s="20">
        <f ca="1">N181/_GramosXFrasco</f>
        <v>8.3175819902595922</v>
      </c>
      <c r="P181" s="63">
        <f ca="1">(N181/_Max_Stock_Gramos)</f>
        <v>0.83175819902595927</v>
      </c>
      <c r="Q181" s="63"/>
      <c r="R181" s="10">
        <f ca="1">IF((N180-J181)&lt;0,(N180-J181)*_Costo_Faltante,0)</f>
        <v>0</v>
      </c>
      <c r="S181">
        <f ca="1">IF(U181=0,X181*_Costo_Frasco,0)</f>
        <v>0</v>
      </c>
      <c r="T181" s="11">
        <f t="shared" ca="1" si="41"/>
        <v>-12077.891735076808</v>
      </c>
      <c r="U181" s="10">
        <f>IF(U180=0,_Proxima_Compra,U180-1)</f>
        <v>0</v>
      </c>
      <c r="V181" s="3">
        <f t="shared" ca="1" si="36"/>
        <v>0.96467637975227283</v>
      </c>
      <c r="W181" s="3">
        <f ca="1">IF(W180&gt;0,W180-1,IF(V181&gt;0,LOOKUP(V181,$R$3:$R$5,$O$3:$O$5),-1))</f>
        <v>2</v>
      </c>
      <c r="X181" s="25">
        <f t="shared" ca="1" si="37"/>
        <v>0</v>
      </c>
      <c r="Y181" s="28">
        <f ca="1">X181*_GramosXFrasco</f>
        <v>0</v>
      </c>
    </row>
    <row r="182" spans="1:25" x14ac:dyDescent="0.25">
      <c r="A182" s="30">
        <f t="shared" si="38"/>
        <v>166</v>
      </c>
      <c r="B182" s="38">
        <f t="shared" ca="1" si="31"/>
        <v>0.38947833915833552</v>
      </c>
      <c r="C182" s="36">
        <f t="shared" ca="1" si="32"/>
        <v>-1</v>
      </c>
      <c r="D182" s="36">
        <f t="shared" ca="1" si="33"/>
        <v>-1</v>
      </c>
      <c r="E182" s="36">
        <f t="shared" ca="1" si="42"/>
        <v>-1</v>
      </c>
      <c r="F182" s="37">
        <f ca="1">IF(E182&lt;&gt;-1,_Media_M + E182*_Sigma,-1)</f>
        <v>-1</v>
      </c>
      <c r="G182" s="3">
        <f t="shared" ca="1" si="34"/>
        <v>50</v>
      </c>
      <c r="H182" s="36">
        <f t="shared" ca="1" si="43"/>
        <v>50</v>
      </c>
      <c r="I182" s="36">
        <f t="shared" ca="1" si="35"/>
        <v>15.59808264050535</v>
      </c>
      <c r="J182" s="35">
        <f t="shared" ca="1" si="44"/>
        <v>65.598082640505353</v>
      </c>
      <c r="K182" s="19">
        <f t="shared" ca="1" si="39"/>
        <v>65.598082640505353</v>
      </c>
      <c r="L182" s="20">
        <f ca="1" xml:space="preserve"> K182*_Precio_cafe</f>
        <v>98.397123960758023</v>
      </c>
      <c r="M182" s="20">
        <f t="shared" ca="1" si="40"/>
        <v>23250.084364852533</v>
      </c>
      <c r="N182" s="20">
        <f ca="1">IF((N181-K182+Y182)&gt;_Max_Stock_Gramos,_Max_Stock_Gramos,N181-K182+Y182)</f>
        <v>1348.3908557036254</v>
      </c>
      <c r="O182" s="20">
        <f ca="1">N182/_GramosXFrasco</f>
        <v>7.9317109159036789</v>
      </c>
      <c r="P182" s="63">
        <f ca="1">(N182/_Max_Stock_Gramos)</f>
        <v>0.79317109159036792</v>
      </c>
      <c r="Q182" s="63"/>
      <c r="R182" s="10">
        <f ca="1">IF((N181-J182)&lt;0,(N181-J182)*_Costo_Faltante,0)</f>
        <v>0</v>
      </c>
      <c r="S182">
        <f>IF(U182=0,X182*_Costo_Frasco,0)</f>
        <v>0</v>
      </c>
      <c r="T182" s="11">
        <f t="shared" ca="1" si="41"/>
        <v>-12077.891735076808</v>
      </c>
      <c r="U182" s="10">
        <f>IF(U181=0,_Proxima_Compra,U181-1)</f>
        <v>2</v>
      </c>
      <c r="V182" s="3">
        <f t="shared" ca="1" si="36"/>
        <v>-1</v>
      </c>
      <c r="W182" s="3">
        <f ca="1">IF(W181&gt;0,W181-1,IF(V182&gt;0,LOOKUP(V182,$R$3:$R$5,$O$3:$O$5),-1))</f>
        <v>1</v>
      </c>
      <c r="X182" s="25">
        <f t="shared" ca="1" si="37"/>
        <v>0</v>
      </c>
      <c r="Y182" s="28">
        <f ca="1">X182*_GramosXFrasco</f>
        <v>0</v>
      </c>
    </row>
    <row r="183" spans="1:25" x14ac:dyDescent="0.25">
      <c r="A183" s="30">
        <f t="shared" si="38"/>
        <v>167</v>
      </c>
      <c r="B183" s="38">
        <f t="shared" ca="1" si="31"/>
        <v>0.97510800715202017</v>
      </c>
      <c r="C183" s="36">
        <f t="shared" ca="1" si="32"/>
        <v>0.81670253717793129</v>
      </c>
      <c r="D183" s="36">
        <f t="shared" ca="1" si="33"/>
        <v>0.47571058189885795</v>
      </c>
      <c r="E183" s="36">
        <f t="shared" ca="1" si="42"/>
        <v>-1.1998452587412034</v>
      </c>
      <c r="F183" s="37">
        <f ca="1">IF(E183&lt;&gt;-1,_Media_M + E183*_Sigma,-1)</f>
        <v>57.002321118881952</v>
      </c>
      <c r="G183" s="3">
        <f t="shared" ca="1" si="34"/>
        <v>-1</v>
      </c>
      <c r="H183" s="36">
        <f t="shared" ca="1" si="43"/>
        <v>57.002321118881952</v>
      </c>
      <c r="I183" s="36">
        <f t="shared" ca="1" si="35"/>
        <v>67.832905299361514</v>
      </c>
      <c r="J183" s="35">
        <f t="shared" ca="1" si="44"/>
        <v>124.83522641824347</v>
      </c>
      <c r="K183" s="19">
        <f t="shared" ca="1" si="39"/>
        <v>124.83522641824347</v>
      </c>
      <c r="L183" s="20">
        <f ca="1" xml:space="preserve"> K183*_Precio_cafe</f>
        <v>187.2528396273652</v>
      </c>
      <c r="M183" s="20">
        <f t="shared" ca="1" si="40"/>
        <v>23437.3372044799</v>
      </c>
      <c r="N183" s="20">
        <f ca="1">IF((N182-K183+Y183)&gt;_Max_Stock_Gramos,_Max_Stock_Gramos,N182-K183+Y183)</f>
        <v>1563.5556292853819</v>
      </c>
      <c r="O183" s="20">
        <f ca="1">N183/_GramosXFrasco</f>
        <v>9.1973860546198942</v>
      </c>
      <c r="P183" s="63">
        <f ca="1">(N183/_Max_Stock_Gramos)</f>
        <v>0.91973860546198938</v>
      </c>
      <c r="Q183" s="63"/>
      <c r="R183" s="10">
        <f ca="1">IF((N182-J183)&lt;0,(N182-J183)*_Costo_Faltante,0)</f>
        <v>0</v>
      </c>
      <c r="S183">
        <f>IF(U183=0,X183*_Costo_Frasco,0)</f>
        <v>0</v>
      </c>
      <c r="T183" s="11">
        <f t="shared" ca="1" si="41"/>
        <v>-12077.891735076808</v>
      </c>
      <c r="U183" s="10">
        <f>IF(U182=0,_Proxima_Compra,U182-1)</f>
        <v>1</v>
      </c>
      <c r="V183" s="3">
        <f t="shared" ca="1" si="36"/>
        <v>-1</v>
      </c>
      <c r="W183" s="3">
        <f ca="1">IF(W182&gt;0,W182-1,IF(V183&gt;0,LOOKUP(V183,$R$3:$R$5,$O$3:$O$5),-1))</f>
        <v>0</v>
      </c>
      <c r="X183" s="25">
        <f t="shared" ca="1" si="37"/>
        <v>2</v>
      </c>
      <c r="Y183" s="28">
        <f ca="1">X183*_GramosXFrasco</f>
        <v>340</v>
      </c>
    </row>
    <row r="184" spans="1:25" x14ac:dyDescent="0.25">
      <c r="A184" s="30">
        <f t="shared" si="38"/>
        <v>168</v>
      </c>
      <c r="B184" s="38">
        <f t="shared" ca="1" si="31"/>
        <v>0.2803788931256187</v>
      </c>
      <c r="C184" s="36">
        <f t="shared" ca="1" si="32"/>
        <v>-1</v>
      </c>
      <c r="D184" s="36">
        <f t="shared" ca="1" si="33"/>
        <v>-1</v>
      </c>
      <c r="E184" s="36">
        <f t="shared" ca="1" si="42"/>
        <v>-1</v>
      </c>
      <c r="F184" s="37">
        <f ca="1">IF(E184&lt;&gt;-1,_Media_M + E184*_Sigma,-1)</f>
        <v>-1</v>
      </c>
      <c r="G184" s="3">
        <f t="shared" ca="1" si="34"/>
        <v>50</v>
      </c>
      <c r="H184" s="36">
        <f t="shared" ca="1" si="43"/>
        <v>50</v>
      </c>
      <c r="I184" s="36">
        <f t="shared" ca="1" si="35"/>
        <v>51.427777616501693</v>
      </c>
      <c r="J184" s="35">
        <f t="shared" ca="1" si="44"/>
        <v>101.42777761650169</v>
      </c>
      <c r="K184" s="19">
        <f t="shared" ca="1" si="39"/>
        <v>101.42777761650169</v>
      </c>
      <c r="L184" s="20">
        <f ca="1" xml:space="preserve"> K184*_Precio_cafe</f>
        <v>152.14166642475254</v>
      </c>
      <c r="M184" s="20">
        <f t="shared" ca="1" si="40"/>
        <v>23589.478870904652</v>
      </c>
      <c r="N184" s="20">
        <f ca="1">IF((N183-K184+Y184)&gt;_Max_Stock_Gramos,_Max_Stock_Gramos,N183-K184+Y184)</f>
        <v>1700</v>
      </c>
      <c r="O184" s="20">
        <f ca="1">N184/_GramosXFrasco</f>
        <v>10</v>
      </c>
      <c r="P184" s="63">
        <f ca="1">(N184/_Max_Stock_Gramos)</f>
        <v>1</v>
      </c>
      <c r="Q184" s="63"/>
      <c r="R184" s="10">
        <f ca="1">IF((N183-J184)&lt;0,(N183-J184)*_Costo_Faltante,0)</f>
        <v>0</v>
      </c>
      <c r="S184">
        <f ca="1">IF(U184=0,X184*_Costo_Frasco,0)</f>
        <v>-500</v>
      </c>
      <c r="T184" s="11">
        <f t="shared" ca="1" si="41"/>
        <v>-12577.891735076808</v>
      </c>
      <c r="U184" s="10">
        <f>IF(U183=0,_Proxima_Compra,U183-1)</f>
        <v>0</v>
      </c>
      <c r="V184" s="3">
        <f t="shared" ca="1" si="36"/>
        <v>0.38777572350656786</v>
      </c>
      <c r="W184" s="3">
        <f ca="1">IF(W183&gt;0,W183-1,IF(V184&gt;0,LOOKUP(V184,$R$3:$R$5,$O$3:$O$5),-1))</f>
        <v>0</v>
      </c>
      <c r="X184" s="25">
        <f t="shared" ca="1" si="37"/>
        <v>2</v>
      </c>
      <c r="Y184" s="28">
        <f ca="1">X184*_GramosXFrasco</f>
        <v>340</v>
      </c>
    </row>
    <row r="185" spans="1:25" x14ac:dyDescent="0.25">
      <c r="A185" s="30">
        <f t="shared" si="38"/>
        <v>169</v>
      </c>
      <c r="B185" s="38">
        <f t="shared" ca="1" si="31"/>
        <v>0.43204218431490138</v>
      </c>
      <c r="C185" s="36">
        <f t="shared" ca="1" si="32"/>
        <v>-1</v>
      </c>
      <c r="D185" s="36">
        <f t="shared" ca="1" si="33"/>
        <v>-1</v>
      </c>
      <c r="E185" s="36">
        <f t="shared" ca="1" si="42"/>
        <v>-1</v>
      </c>
      <c r="F185" s="37">
        <f ca="1">IF(E185&lt;&gt;-1,_Media_M + E185*_Sigma,-1)</f>
        <v>-1</v>
      </c>
      <c r="G185" s="3">
        <f t="shared" ca="1" si="34"/>
        <v>50</v>
      </c>
      <c r="H185" s="36">
        <f t="shared" ca="1" si="43"/>
        <v>50</v>
      </c>
      <c r="I185" s="36">
        <f t="shared" ca="1" si="35"/>
        <v>17.836204034326627</v>
      </c>
      <c r="J185" s="35">
        <f t="shared" ca="1" si="44"/>
        <v>67.836204034326627</v>
      </c>
      <c r="K185" s="19">
        <f t="shared" ca="1" si="39"/>
        <v>67.836204034326627</v>
      </c>
      <c r="L185" s="20">
        <f ca="1" xml:space="preserve"> K185*_Precio_cafe</f>
        <v>101.75430605148995</v>
      </c>
      <c r="M185" s="20">
        <f t="shared" ca="1" si="40"/>
        <v>23691.233176956142</v>
      </c>
      <c r="N185" s="20">
        <f ca="1">IF((N184-K185+Y185)&gt;_Max_Stock_Gramos,_Max_Stock_Gramos,N184-K185+Y185)</f>
        <v>1632.1637959656734</v>
      </c>
      <c r="O185" s="20">
        <f ca="1">N185/_GramosXFrasco</f>
        <v>9.6009635056804328</v>
      </c>
      <c r="P185" s="63">
        <f ca="1">(N185/_Max_Stock_Gramos)</f>
        <v>0.96009635056804321</v>
      </c>
      <c r="Q185" s="63"/>
      <c r="R185" s="10">
        <f ca="1">IF((N184-J185)&lt;0,(N184-J185)*_Costo_Faltante,0)</f>
        <v>0</v>
      </c>
      <c r="S185">
        <f>IF(U185=0,X185*_Costo_Frasco,0)</f>
        <v>0</v>
      </c>
      <c r="T185" s="11">
        <f t="shared" ca="1" si="41"/>
        <v>-12577.891735076808</v>
      </c>
      <c r="U185" s="10">
        <f>IF(U184=0,_Proxima_Compra,U184-1)</f>
        <v>2</v>
      </c>
      <c r="V185" s="3">
        <f t="shared" ca="1" si="36"/>
        <v>-1</v>
      </c>
      <c r="W185" s="3">
        <f ca="1">IF(W184&gt;0,W184-1,IF(V185&gt;0,LOOKUP(V185,$R$3:$R$5,$O$3:$O$5),-1))</f>
        <v>-1</v>
      </c>
      <c r="X185" s="25">
        <f t="shared" ca="1" si="37"/>
        <v>0</v>
      </c>
      <c r="Y185" s="28">
        <f ca="1">X185*_GramosXFrasco</f>
        <v>0</v>
      </c>
    </row>
    <row r="186" spans="1:25" x14ac:dyDescent="0.25">
      <c r="A186" s="30">
        <f t="shared" si="38"/>
        <v>170</v>
      </c>
      <c r="B186" s="38">
        <f t="shared" ca="1" si="31"/>
        <v>0.53498886175482285</v>
      </c>
      <c r="C186" s="36">
        <f t="shared" ca="1" si="32"/>
        <v>0.29725621829047388</v>
      </c>
      <c r="D186" s="36">
        <f t="shared" ca="1" si="33"/>
        <v>0.48378685813121669</v>
      </c>
      <c r="E186" s="36">
        <f t="shared" ca="1" si="42"/>
        <v>-0.55066979513517289</v>
      </c>
      <c r="F186" s="37">
        <f ca="1">IF(E186&lt;&gt;-1,_Media_M + E186*_Sigma,-1)</f>
        <v>66.739953072972412</v>
      </c>
      <c r="G186" s="3">
        <f t="shared" ca="1" si="34"/>
        <v>-1</v>
      </c>
      <c r="H186" s="36">
        <f t="shared" ca="1" si="43"/>
        <v>66.739953072972412</v>
      </c>
      <c r="I186" s="36">
        <f t="shared" ca="1" si="35"/>
        <v>27.808946166601785</v>
      </c>
      <c r="J186" s="35">
        <f t="shared" ca="1" si="44"/>
        <v>94.548899239574197</v>
      </c>
      <c r="K186" s="19">
        <f t="shared" ca="1" si="39"/>
        <v>94.548899239574197</v>
      </c>
      <c r="L186" s="20">
        <f ca="1" xml:space="preserve"> K186*_Precio_cafe</f>
        <v>141.82334885936129</v>
      </c>
      <c r="M186" s="20">
        <f t="shared" ca="1" si="40"/>
        <v>23833.056525815504</v>
      </c>
      <c r="N186" s="20">
        <f ca="1">IF((N185-K186+Y186)&gt;_Max_Stock_Gramos,_Max_Stock_Gramos,N185-K186+Y186)</f>
        <v>1537.6148967260992</v>
      </c>
      <c r="O186" s="20">
        <f ca="1">N186/_GramosXFrasco</f>
        <v>9.0447935101535251</v>
      </c>
      <c r="P186" s="63">
        <f ca="1">(N186/_Max_Stock_Gramos)</f>
        <v>0.90447935101535248</v>
      </c>
      <c r="Q186" s="63"/>
      <c r="R186" s="10">
        <f ca="1">IF((N185-J186)&lt;0,(N185-J186)*_Costo_Faltante,0)</f>
        <v>0</v>
      </c>
      <c r="S186">
        <f>IF(U186=0,X186*_Costo_Frasco,0)</f>
        <v>0</v>
      </c>
      <c r="T186" s="11">
        <f t="shared" ca="1" si="41"/>
        <v>-12577.891735076808</v>
      </c>
      <c r="U186" s="10">
        <f>IF(U185=0,_Proxima_Compra,U185-1)</f>
        <v>1</v>
      </c>
      <c r="V186" s="3">
        <f t="shared" ca="1" si="36"/>
        <v>-1</v>
      </c>
      <c r="W186" s="3">
        <f ca="1">IF(W185&gt;0,W185-1,IF(V186&gt;0,LOOKUP(V186,$R$3:$R$5,$O$3:$O$5),-1))</f>
        <v>-1</v>
      </c>
      <c r="X186" s="25">
        <f t="shared" ca="1" si="37"/>
        <v>0</v>
      </c>
      <c r="Y186" s="28">
        <f ca="1">X186*_GramosXFrasco</f>
        <v>0</v>
      </c>
    </row>
    <row r="187" spans="1:25" x14ac:dyDescent="0.25">
      <c r="A187" s="30">
        <f t="shared" si="38"/>
        <v>171</v>
      </c>
      <c r="B187" s="38">
        <f t="shared" ca="1" si="31"/>
        <v>0.81182365080528718</v>
      </c>
      <c r="C187" s="36">
        <f t="shared" ca="1" si="32"/>
        <v>0.23724009154598102</v>
      </c>
      <c r="D187" s="36">
        <f t="shared" ca="1" si="33"/>
        <v>0.6328576219930746</v>
      </c>
      <c r="E187" s="36">
        <f t="shared" ca="1" si="42"/>
        <v>-0.32560370206138795</v>
      </c>
      <c r="F187" s="37">
        <f ca="1">IF(E187&lt;&gt;-1,_Media_M + E187*_Sigma,-1)</f>
        <v>70.115944469079182</v>
      </c>
      <c r="G187" s="3">
        <f t="shared" ca="1" si="34"/>
        <v>-1</v>
      </c>
      <c r="H187" s="36">
        <f t="shared" ca="1" si="43"/>
        <v>70.115944469079182</v>
      </c>
      <c r="I187" s="36">
        <f t="shared" ca="1" si="35"/>
        <v>0.99489596377449208</v>
      </c>
      <c r="J187" s="35">
        <f t="shared" ca="1" si="44"/>
        <v>71.110840432853678</v>
      </c>
      <c r="K187" s="19">
        <f t="shared" ca="1" si="39"/>
        <v>71.110840432853678</v>
      </c>
      <c r="L187" s="20">
        <f ca="1" xml:space="preserve"> K187*_Precio_cafe</f>
        <v>106.66626064928052</v>
      </c>
      <c r="M187" s="20">
        <f t="shared" ca="1" si="40"/>
        <v>23939.722786464783</v>
      </c>
      <c r="N187" s="20">
        <f ca="1">IF((N186-K187+Y187)&gt;_Max_Stock_Gramos,_Max_Stock_Gramos,N186-K187+Y187)</f>
        <v>1700</v>
      </c>
      <c r="O187" s="20">
        <f ca="1">N187/_GramosXFrasco</f>
        <v>10</v>
      </c>
      <c r="P187" s="63">
        <f ca="1">(N187/_Max_Stock_Gramos)</f>
        <v>1</v>
      </c>
      <c r="Q187" s="63"/>
      <c r="R187" s="10">
        <f ca="1">IF((N186-J187)&lt;0,(N186-J187)*_Costo_Faltante,0)</f>
        <v>0</v>
      </c>
      <c r="S187">
        <f ca="1">IF(U187=0,X187*_Costo_Frasco,0)</f>
        <v>-500</v>
      </c>
      <c r="T187" s="11">
        <f t="shared" ca="1" si="41"/>
        <v>-13077.891735076808</v>
      </c>
      <c r="U187" s="10">
        <f>IF(U186=0,_Proxima_Compra,U186-1)</f>
        <v>0</v>
      </c>
      <c r="V187" s="3">
        <f t="shared" ca="1" si="36"/>
        <v>0.40658534055320239</v>
      </c>
      <c r="W187" s="3">
        <f ca="1">IF(W186&gt;0,W186-1,IF(V187&gt;0,LOOKUP(V187,$R$3:$R$5,$O$3:$O$5),-1))</f>
        <v>0</v>
      </c>
      <c r="X187" s="25">
        <f t="shared" ca="1" si="37"/>
        <v>2</v>
      </c>
      <c r="Y187" s="28">
        <f ca="1">X187*_GramosXFrasco</f>
        <v>340</v>
      </c>
    </row>
    <row r="188" spans="1:25" x14ac:dyDescent="0.25">
      <c r="A188" s="30">
        <f t="shared" si="38"/>
        <v>172</v>
      </c>
      <c r="B188" s="38">
        <f t="shared" ca="1" si="31"/>
        <v>0.53237075377472365</v>
      </c>
      <c r="C188" s="36">
        <f t="shared" ca="1" si="32"/>
        <v>0.87020491831758606</v>
      </c>
      <c r="D188" s="36">
        <f t="shared" ca="1" si="33"/>
        <v>0.33724058974334081</v>
      </c>
      <c r="E188" s="36">
        <f t="shared" ca="1" si="42"/>
        <v>-0.69397117437194888</v>
      </c>
      <c r="F188" s="37">
        <f ca="1">IF(E188&lt;&gt;-1,_Media_M + E188*_Sigma,-1)</f>
        <v>64.590432384420765</v>
      </c>
      <c r="G188" s="3">
        <f t="shared" ca="1" si="34"/>
        <v>-1</v>
      </c>
      <c r="H188" s="36">
        <f t="shared" ca="1" si="43"/>
        <v>64.590432384420765</v>
      </c>
      <c r="I188" s="36">
        <f t="shared" ca="1" si="35"/>
        <v>33.779551110154792</v>
      </c>
      <c r="J188" s="35">
        <f t="shared" ca="1" si="44"/>
        <v>98.369983494575564</v>
      </c>
      <c r="K188" s="19">
        <f t="shared" ca="1" si="39"/>
        <v>98.369983494575564</v>
      </c>
      <c r="L188" s="20">
        <f ca="1" xml:space="preserve"> K188*_Precio_cafe</f>
        <v>147.55497524186336</v>
      </c>
      <c r="M188" s="20">
        <f t="shared" ca="1" si="40"/>
        <v>24087.277761706646</v>
      </c>
      <c r="N188" s="20">
        <f ca="1">IF((N187-K188+Y188)&gt;_Max_Stock_Gramos,_Max_Stock_Gramos,N187-K188+Y188)</f>
        <v>1601.6300165054245</v>
      </c>
      <c r="O188" s="20">
        <f ca="1">N188/_GramosXFrasco</f>
        <v>9.4213530382672026</v>
      </c>
      <c r="P188" s="63">
        <f ca="1">(N188/_Max_Stock_Gramos)</f>
        <v>0.94213530382672028</v>
      </c>
      <c r="Q188" s="63"/>
      <c r="R188" s="10">
        <f ca="1">IF((N187-J188)&lt;0,(N187-J188)*_Costo_Faltante,0)</f>
        <v>0</v>
      </c>
      <c r="S188">
        <f>IF(U188=0,X188*_Costo_Frasco,0)</f>
        <v>0</v>
      </c>
      <c r="T188" s="11">
        <f t="shared" ca="1" si="41"/>
        <v>-13077.891735076808</v>
      </c>
      <c r="U188" s="10">
        <f>IF(U187=0,_Proxima_Compra,U187-1)</f>
        <v>2</v>
      </c>
      <c r="V188" s="3">
        <f t="shared" ca="1" si="36"/>
        <v>-1</v>
      </c>
      <c r="W188" s="3">
        <f ca="1">IF(W187&gt;0,W187-1,IF(V188&gt;0,LOOKUP(V188,$R$3:$R$5,$O$3:$O$5),-1))</f>
        <v>-1</v>
      </c>
      <c r="X188" s="25">
        <f t="shared" ca="1" si="37"/>
        <v>0</v>
      </c>
      <c r="Y188" s="28">
        <f ca="1">X188*_GramosXFrasco</f>
        <v>0</v>
      </c>
    </row>
    <row r="189" spans="1:25" x14ac:dyDescent="0.25">
      <c r="A189" s="30">
        <f t="shared" si="38"/>
        <v>173</v>
      </c>
      <c r="B189" s="38">
        <f t="shared" ca="1" si="31"/>
        <v>8.7768996471701333E-2</v>
      </c>
      <c r="C189" s="36">
        <f t="shared" ca="1" si="32"/>
        <v>-1</v>
      </c>
      <c r="D189" s="36">
        <f t="shared" ca="1" si="33"/>
        <v>-1</v>
      </c>
      <c r="E189" s="36">
        <f t="shared" ca="1" si="42"/>
        <v>-1</v>
      </c>
      <c r="F189" s="37">
        <f ca="1">IF(E189&lt;&gt;-1,_Media_M + E189*_Sigma,-1)</f>
        <v>-1</v>
      </c>
      <c r="G189" s="3">
        <f t="shared" ca="1" si="34"/>
        <v>50</v>
      </c>
      <c r="H189" s="36">
        <f t="shared" ca="1" si="43"/>
        <v>50</v>
      </c>
      <c r="I189" s="36">
        <f t="shared" ca="1" si="35"/>
        <v>30.797584252528662</v>
      </c>
      <c r="J189" s="35">
        <f t="shared" ca="1" si="44"/>
        <v>80.797584252528665</v>
      </c>
      <c r="K189" s="19">
        <f t="shared" ca="1" si="39"/>
        <v>80.797584252528665</v>
      </c>
      <c r="L189" s="20">
        <f ca="1" xml:space="preserve"> K189*_Precio_cafe</f>
        <v>121.19637637879299</v>
      </c>
      <c r="M189" s="20">
        <f t="shared" ca="1" si="40"/>
        <v>24208.474138085439</v>
      </c>
      <c r="N189" s="20">
        <f ca="1">IF((N188-K189+Y189)&gt;_Max_Stock_Gramos,_Max_Stock_Gramos,N188-K189+Y189)</f>
        <v>1520.8324322528958</v>
      </c>
      <c r="O189" s="20">
        <f ca="1">N189/_GramosXFrasco</f>
        <v>8.9460731308993875</v>
      </c>
      <c r="P189" s="63">
        <f ca="1">(N189/_Max_Stock_Gramos)</f>
        <v>0.89460731308993868</v>
      </c>
      <c r="Q189" s="63"/>
      <c r="R189" s="10">
        <f ca="1">IF((N188-J189)&lt;0,(N188-J189)*_Costo_Faltante,0)</f>
        <v>0</v>
      </c>
      <c r="S189">
        <f>IF(U189=0,X189*_Costo_Frasco,0)</f>
        <v>0</v>
      </c>
      <c r="T189" s="11">
        <f t="shared" ca="1" si="41"/>
        <v>-13077.891735076808</v>
      </c>
      <c r="U189" s="10">
        <f>IF(U188=0,_Proxima_Compra,U188-1)</f>
        <v>1</v>
      </c>
      <c r="V189" s="3">
        <f t="shared" ca="1" si="36"/>
        <v>-1</v>
      </c>
      <c r="W189" s="3">
        <f ca="1">IF(W188&gt;0,W188-1,IF(V189&gt;0,LOOKUP(V189,$R$3:$R$5,$O$3:$O$5),-1))</f>
        <v>-1</v>
      </c>
      <c r="X189" s="25">
        <f t="shared" ca="1" si="37"/>
        <v>0</v>
      </c>
      <c r="Y189" s="28">
        <f ca="1">X189*_GramosXFrasco</f>
        <v>0</v>
      </c>
    </row>
    <row r="190" spans="1:25" x14ac:dyDescent="0.25">
      <c r="A190" s="30">
        <f t="shared" si="38"/>
        <v>174</v>
      </c>
      <c r="B190" s="38">
        <f t="shared" ca="1" si="31"/>
        <v>0.52897509631424033</v>
      </c>
      <c r="C190" s="36">
        <f t="shared" ca="1" si="32"/>
        <v>0.32399275541281802</v>
      </c>
      <c r="D190" s="36">
        <f t="shared" ca="1" si="33"/>
        <v>0.65033019342099518</v>
      </c>
      <c r="E190" s="36">
        <f t="shared" ca="1" si="42"/>
        <v>-0.3418042231088298</v>
      </c>
      <c r="F190" s="37">
        <f ca="1">IF(E190&lt;&gt;-1,_Media_M + E190*_Sigma,-1)</f>
        <v>69.87293665336756</v>
      </c>
      <c r="G190" s="3">
        <f t="shared" ca="1" si="34"/>
        <v>-1</v>
      </c>
      <c r="H190" s="36">
        <f t="shared" ca="1" si="43"/>
        <v>69.87293665336756</v>
      </c>
      <c r="I190" s="36">
        <f t="shared" ca="1" si="35"/>
        <v>33.516834703740628</v>
      </c>
      <c r="J190" s="35">
        <f t="shared" ca="1" si="44"/>
        <v>103.38977135710819</v>
      </c>
      <c r="K190" s="19">
        <f t="shared" ca="1" si="39"/>
        <v>103.38977135710819</v>
      </c>
      <c r="L190" s="20">
        <f ca="1" xml:space="preserve"> K190*_Precio_cafe</f>
        <v>155.08465703566227</v>
      </c>
      <c r="M190" s="20">
        <f t="shared" ca="1" si="40"/>
        <v>24363.558795121102</v>
      </c>
      <c r="N190" s="20">
        <f ca="1">IF((N189-K190+Y190)&gt;_Max_Stock_Gramos,_Max_Stock_Gramos,N189-K190+Y190)</f>
        <v>1700</v>
      </c>
      <c r="O190" s="20">
        <f ca="1">N190/_GramosXFrasco</f>
        <v>10</v>
      </c>
      <c r="P190" s="63">
        <f ca="1">(N190/_Max_Stock_Gramos)</f>
        <v>1</v>
      </c>
      <c r="Q190" s="63"/>
      <c r="R190" s="10">
        <f ca="1">IF((N189-J190)&lt;0,(N189-J190)*_Costo_Faltante,0)</f>
        <v>0</v>
      </c>
      <c r="S190">
        <f ca="1">IF(U190=0,X190*_Costo_Frasco,0)</f>
        <v>-500</v>
      </c>
      <c r="T190" s="11">
        <f t="shared" ca="1" si="41"/>
        <v>-13577.891735076808</v>
      </c>
      <c r="U190" s="10">
        <f>IF(U189=0,_Proxima_Compra,U189-1)</f>
        <v>0</v>
      </c>
      <c r="V190" s="3">
        <f t="shared" ca="1" si="36"/>
        <v>0.35857440242207994</v>
      </c>
      <c r="W190" s="3">
        <f ca="1">IF(W189&gt;0,W189-1,IF(V190&gt;0,LOOKUP(V190,$R$3:$R$5,$O$3:$O$5),-1))</f>
        <v>0</v>
      </c>
      <c r="X190" s="25">
        <f t="shared" ca="1" si="37"/>
        <v>2</v>
      </c>
      <c r="Y190" s="28">
        <f ca="1">X190*_GramosXFrasco</f>
        <v>340</v>
      </c>
    </row>
    <row r="191" spans="1:25" x14ac:dyDescent="0.25">
      <c r="A191" s="30">
        <f t="shared" si="38"/>
        <v>175</v>
      </c>
      <c r="B191" s="38">
        <f t="shared" ca="1" si="31"/>
        <v>0.73698239990059766</v>
      </c>
      <c r="C191" s="36">
        <f t="shared" ca="1" si="32"/>
        <v>0.66787164535805887</v>
      </c>
      <c r="D191" s="36">
        <f t="shared" ca="1" si="33"/>
        <v>0.61393515441355284</v>
      </c>
      <c r="E191" s="36">
        <f t="shared" ca="1" si="42"/>
        <v>-0.73826808830778712</v>
      </c>
      <c r="F191" s="37">
        <f ca="1">IF(E191&lt;&gt;-1,_Media_M + E191*_Sigma,-1)</f>
        <v>63.925978675383192</v>
      </c>
      <c r="G191" s="3">
        <f t="shared" ca="1" si="34"/>
        <v>-1</v>
      </c>
      <c r="H191" s="36">
        <f t="shared" ca="1" si="43"/>
        <v>63.925978675383192</v>
      </c>
      <c r="I191" s="36">
        <f t="shared" ca="1" si="35"/>
        <v>5.8213699635455667</v>
      </c>
      <c r="J191" s="35">
        <f t="shared" ca="1" si="44"/>
        <v>69.747348638928756</v>
      </c>
      <c r="K191" s="19">
        <f t="shared" ca="1" si="39"/>
        <v>69.747348638928756</v>
      </c>
      <c r="L191" s="20">
        <f ca="1" xml:space="preserve"> K191*_Precio_cafe</f>
        <v>104.62102295839313</v>
      </c>
      <c r="M191" s="20">
        <f t="shared" ca="1" si="40"/>
        <v>24468.179818079494</v>
      </c>
      <c r="N191" s="20">
        <f ca="1">IF((N190-K191+Y191)&gt;_Max_Stock_Gramos,_Max_Stock_Gramos,N190-K191+Y191)</f>
        <v>1630.2526513610712</v>
      </c>
      <c r="O191" s="20">
        <f ca="1">N191/_GramosXFrasco</f>
        <v>9.5897214785945373</v>
      </c>
      <c r="P191" s="63">
        <f ca="1">(N191/_Max_Stock_Gramos)</f>
        <v>0.95897214785945362</v>
      </c>
      <c r="Q191" s="63"/>
      <c r="R191" s="10">
        <f ca="1">IF((N190-J191)&lt;0,(N190-J191)*_Costo_Faltante,0)</f>
        <v>0</v>
      </c>
      <c r="S191">
        <f>IF(U191=0,X191*_Costo_Frasco,0)</f>
        <v>0</v>
      </c>
      <c r="T191" s="11">
        <f t="shared" ca="1" si="41"/>
        <v>-13577.891735076808</v>
      </c>
      <c r="U191" s="10">
        <f>IF(U190=0,_Proxima_Compra,U190-1)</f>
        <v>2</v>
      </c>
      <c r="V191" s="3">
        <f t="shared" ca="1" si="36"/>
        <v>-1</v>
      </c>
      <c r="W191" s="3">
        <f ca="1">IF(W190&gt;0,W190-1,IF(V191&gt;0,LOOKUP(V191,$R$3:$R$5,$O$3:$O$5),-1))</f>
        <v>-1</v>
      </c>
      <c r="X191" s="25">
        <f t="shared" ca="1" si="37"/>
        <v>0</v>
      </c>
      <c r="Y191" s="28">
        <f ca="1">X191*_GramosXFrasco</f>
        <v>0</v>
      </c>
    </row>
    <row r="192" spans="1:25" x14ac:dyDescent="0.25">
      <c r="A192" s="30">
        <f t="shared" si="38"/>
        <v>176</v>
      </c>
      <c r="B192" s="38">
        <f t="shared" ca="1" si="31"/>
        <v>0.34727792714954453</v>
      </c>
      <c r="C192" s="36">
        <f t="shared" ca="1" si="32"/>
        <v>-1</v>
      </c>
      <c r="D192" s="36">
        <f t="shared" ca="1" si="33"/>
        <v>-1</v>
      </c>
      <c r="E192" s="36">
        <f t="shared" ca="1" si="42"/>
        <v>-1</v>
      </c>
      <c r="F192" s="37">
        <f ca="1">IF(E192&lt;&gt;-1,_Media_M + E192*_Sigma,-1)</f>
        <v>-1</v>
      </c>
      <c r="G192" s="3">
        <f t="shared" ca="1" si="34"/>
        <v>50</v>
      </c>
      <c r="H192" s="36">
        <f t="shared" ca="1" si="43"/>
        <v>50</v>
      </c>
      <c r="I192" s="36">
        <f t="shared" ca="1" si="35"/>
        <v>2.6613646360097545</v>
      </c>
      <c r="J192" s="35">
        <f t="shared" ca="1" si="44"/>
        <v>52.661364636009758</v>
      </c>
      <c r="K192" s="19">
        <f t="shared" ca="1" si="39"/>
        <v>52.661364636009758</v>
      </c>
      <c r="L192" s="20">
        <f ca="1" xml:space="preserve"> K192*_Precio_cafe</f>
        <v>78.99204695401464</v>
      </c>
      <c r="M192" s="20">
        <f t="shared" ca="1" si="40"/>
        <v>24547.17186503351</v>
      </c>
      <c r="N192" s="20">
        <f ca="1">IF((N191-K192+Y192)&gt;_Max_Stock_Gramos,_Max_Stock_Gramos,N191-K192+Y192)</f>
        <v>1577.5912867250615</v>
      </c>
      <c r="O192" s="20">
        <f ca="1">N192/_GramosXFrasco</f>
        <v>9.2799487454415388</v>
      </c>
      <c r="P192" s="63">
        <f ca="1">(N192/_Max_Stock_Gramos)</f>
        <v>0.92799487454415386</v>
      </c>
      <c r="Q192" s="63"/>
      <c r="R192" s="10">
        <f ca="1">IF((N191-J192)&lt;0,(N191-J192)*_Costo_Faltante,0)</f>
        <v>0</v>
      </c>
      <c r="S192">
        <f>IF(U192=0,X192*_Costo_Frasco,0)</f>
        <v>0</v>
      </c>
      <c r="T192" s="11">
        <f t="shared" ca="1" si="41"/>
        <v>-13577.891735076808</v>
      </c>
      <c r="U192" s="10">
        <f>IF(U191=0,_Proxima_Compra,U191-1)</f>
        <v>1</v>
      </c>
      <c r="V192" s="3">
        <f t="shared" ca="1" si="36"/>
        <v>-1</v>
      </c>
      <c r="W192" s="3">
        <f ca="1">IF(W191&gt;0,W191-1,IF(V192&gt;0,LOOKUP(V192,$R$3:$R$5,$O$3:$O$5),-1))</f>
        <v>-1</v>
      </c>
      <c r="X192" s="25">
        <f t="shared" ca="1" si="37"/>
        <v>0</v>
      </c>
      <c r="Y192" s="28">
        <f ca="1">X192*_GramosXFrasco</f>
        <v>0</v>
      </c>
    </row>
    <row r="193" spans="1:25" x14ac:dyDescent="0.25">
      <c r="A193" s="30">
        <f t="shared" si="38"/>
        <v>177</v>
      </c>
      <c r="B193" s="38">
        <f t="shared" ca="1" si="31"/>
        <v>4.6397370955728268E-2</v>
      </c>
      <c r="C193" s="36">
        <f t="shared" ca="1" si="32"/>
        <v>-1</v>
      </c>
      <c r="D193" s="36">
        <f t="shared" ca="1" si="33"/>
        <v>-1</v>
      </c>
      <c r="E193" s="36">
        <f t="shared" ca="1" si="42"/>
        <v>-1</v>
      </c>
      <c r="F193" s="37">
        <f ca="1">IF(E193&lt;&gt;-1,_Media_M + E193*_Sigma,-1)</f>
        <v>-1</v>
      </c>
      <c r="G193" s="3">
        <f t="shared" ca="1" si="34"/>
        <v>50</v>
      </c>
      <c r="H193" s="36">
        <f t="shared" ca="1" si="43"/>
        <v>50</v>
      </c>
      <c r="I193" s="36">
        <f t="shared" ca="1" si="35"/>
        <v>5.2166340360701495</v>
      </c>
      <c r="J193" s="35">
        <f t="shared" ca="1" si="44"/>
        <v>55.216634036070147</v>
      </c>
      <c r="K193" s="19">
        <f t="shared" ca="1" si="39"/>
        <v>55.216634036070147</v>
      </c>
      <c r="L193" s="20">
        <f ca="1" xml:space="preserve"> K193*_Precio_cafe</f>
        <v>82.824951054105213</v>
      </c>
      <c r="M193" s="20">
        <f t="shared" ca="1" si="40"/>
        <v>24629.996816087616</v>
      </c>
      <c r="N193" s="20">
        <f ca="1">IF((N192-K193+Y193)&gt;_Max_Stock_Gramos,_Max_Stock_Gramos,N192-K193+Y193)</f>
        <v>1700</v>
      </c>
      <c r="O193" s="20">
        <f ca="1">N193/_GramosXFrasco</f>
        <v>10</v>
      </c>
      <c r="P193" s="63">
        <f ca="1">(N193/_Max_Stock_Gramos)</f>
        <v>1</v>
      </c>
      <c r="Q193" s="63"/>
      <c r="R193" s="10">
        <f ca="1">IF((N192-J193)&lt;0,(N192-J193)*_Costo_Faltante,0)</f>
        <v>0</v>
      </c>
      <c r="S193">
        <f ca="1">IF(U193=0,X193*_Costo_Frasco,0)</f>
        <v>-500</v>
      </c>
      <c r="T193" s="11">
        <f t="shared" ca="1" si="41"/>
        <v>-14077.891735076808</v>
      </c>
      <c r="U193" s="10">
        <f>IF(U192=0,_Proxima_Compra,U192-1)</f>
        <v>0</v>
      </c>
      <c r="V193" s="3">
        <f t="shared" ca="1" si="36"/>
        <v>0.34611404507285093</v>
      </c>
      <c r="W193" s="3">
        <f ca="1">IF(W192&gt;0,W192-1,IF(V193&gt;0,LOOKUP(V193,$R$3:$R$5,$O$3:$O$5),-1))</f>
        <v>0</v>
      </c>
      <c r="X193" s="25">
        <f t="shared" ca="1" si="37"/>
        <v>2</v>
      </c>
      <c r="Y193" s="28">
        <f ca="1">X193*_GramosXFrasco</f>
        <v>340</v>
      </c>
    </row>
    <row r="194" spans="1:25" x14ac:dyDescent="0.25">
      <c r="A194" s="30">
        <f t="shared" si="38"/>
        <v>178</v>
      </c>
      <c r="B194" s="38">
        <f t="shared" ca="1" si="31"/>
        <v>0.73250361381325713</v>
      </c>
      <c r="C194" s="36">
        <f t="shared" ca="1" si="32"/>
        <v>0.43502124078294879</v>
      </c>
      <c r="D194" s="36">
        <f t="shared" ca="1" si="33"/>
        <v>0.76862420030528811</v>
      </c>
      <c r="E194" s="36">
        <f t="shared" ca="1" si="42"/>
        <v>8.2220211861658662E-2</v>
      </c>
      <c r="F194" s="37">
        <f ca="1">IF(E194&lt;&gt;-1,_Media_M + E194*_Sigma,-1)</f>
        <v>76.233303177924881</v>
      </c>
      <c r="G194" s="3">
        <f t="shared" ca="1" si="34"/>
        <v>-1</v>
      </c>
      <c r="H194" s="36">
        <f t="shared" ca="1" si="43"/>
        <v>76.233303177924881</v>
      </c>
      <c r="I194" s="36">
        <f t="shared" ca="1" si="35"/>
        <v>23.590646531755834</v>
      </c>
      <c r="J194" s="35">
        <f t="shared" ca="1" si="44"/>
        <v>99.823949709680718</v>
      </c>
      <c r="K194" s="19">
        <f t="shared" ca="1" si="39"/>
        <v>99.823949709680718</v>
      </c>
      <c r="L194" s="20">
        <f ca="1" xml:space="preserve"> K194*_Precio_cafe</f>
        <v>149.73592456452107</v>
      </c>
      <c r="M194" s="20">
        <f t="shared" ca="1" si="40"/>
        <v>24779.732740652136</v>
      </c>
      <c r="N194" s="20">
        <f ca="1">IF((N193-K194+Y194)&gt;_Max_Stock_Gramos,_Max_Stock_Gramos,N193-K194+Y194)</f>
        <v>1600.1760502903194</v>
      </c>
      <c r="O194" s="20">
        <f ca="1">N194/_GramosXFrasco</f>
        <v>9.4128002958254076</v>
      </c>
      <c r="P194" s="63">
        <f ca="1">(N194/_Max_Stock_Gramos)</f>
        <v>0.94128002958254087</v>
      </c>
      <c r="Q194" s="63"/>
      <c r="R194" s="10">
        <f ca="1">IF((N193-J194)&lt;0,(N193-J194)*_Costo_Faltante,0)</f>
        <v>0</v>
      </c>
      <c r="S194">
        <f>IF(U194=0,X194*_Costo_Frasco,0)</f>
        <v>0</v>
      </c>
      <c r="T194" s="11">
        <f t="shared" ca="1" si="41"/>
        <v>-14077.891735076808</v>
      </c>
      <c r="U194" s="10">
        <f>IF(U193=0,_Proxima_Compra,U193-1)</f>
        <v>2</v>
      </c>
      <c r="V194" s="3">
        <f t="shared" ca="1" si="36"/>
        <v>-1</v>
      </c>
      <c r="W194" s="3">
        <f ca="1">IF(W193&gt;0,W193-1,IF(V194&gt;0,LOOKUP(V194,$R$3:$R$5,$O$3:$O$5),-1))</f>
        <v>-1</v>
      </c>
      <c r="X194" s="25">
        <f t="shared" ca="1" si="37"/>
        <v>0</v>
      </c>
      <c r="Y194" s="28">
        <f ca="1">X194*_GramosXFrasco</f>
        <v>0</v>
      </c>
    </row>
    <row r="195" spans="1:25" x14ac:dyDescent="0.25">
      <c r="A195" s="30">
        <f t="shared" si="38"/>
        <v>179</v>
      </c>
      <c r="B195" s="38">
        <f t="shared" ca="1" si="31"/>
        <v>0.97346577515573052</v>
      </c>
      <c r="C195" s="36">
        <f t="shared" ca="1" si="32"/>
        <v>0.60164690031017487</v>
      </c>
      <c r="D195" s="36">
        <f t="shared" ca="1" si="33"/>
        <v>0.17645636170365797</v>
      </c>
      <c r="E195" s="36">
        <f t="shared" ca="1" si="42"/>
        <v>0.39861836860074484</v>
      </c>
      <c r="F195" s="37">
        <f ca="1">IF(E195&lt;&gt;-1,_Media_M + E195*_Sigma,-1)</f>
        <v>80.979275529011176</v>
      </c>
      <c r="G195" s="3">
        <f t="shared" ca="1" si="34"/>
        <v>-1</v>
      </c>
      <c r="H195" s="36">
        <f t="shared" ca="1" si="43"/>
        <v>80.979275529011176</v>
      </c>
      <c r="I195" s="36">
        <f t="shared" ca="1" si="35"/>
        <v>0.73879257565973111</v>
      </c>
      <c r="J195" s="35">
        <f t="shared" ca="1" si="44"/>
        <v>81.718068104670905</v>
      </c>
      <c r="K195" s="19">
        <f t="shared" ca="1" si="39"/>
        <v>81.718068104670905</v>
      </c>
      <c r="L195" s="20">
        <f ca="1" xml:space="preserve"> K195*_Precio_cafe</f>
        <v>122.57710215700635</v>
      </c>
      <c r="M195" s="20">
        <f t="shared" ca="1" si="40"/>
        <v>24902.309842809143</v>
      </c>
      <c r="N195" s="20">
        <f ca="1">IF((N194-K195+Y195)&gt;_Max_Stock_Gramos,_Max_Stock_Gramos,N194-K195+Y195)</f>
        <v>1518.4579821856485</v>
      </c>
      <c r="O195" s="20">
        <f ca="1">N195/_GramosXFrasco</f>
        <v>8.9321057775626382</v>
      </c>
      <c r="P195" s="63">
        <f ca="1">(N195/_Max_Stock_Gramos)</f>
        <v>0.89321057775626378</v>
      </c>
      <c r="Q195" s="63"/>
      <c r="R195" s="10">
        <f ca="1">IF((N194-J195)&lt;0,(N194-J195)*_Costo_Faltante,0)</f>
        <v>0</v>
      </c>
      <c r="S195">
        <f>IF(U195=0,X195*_Costo_Frasco,0)</f>
        <v>0</v>
      </c>
      <c r="T195" s="11">
        <f t="shared" ca="1" si="41"/>
        <v>-14077.891735076808</v>
      </c>
      <c r="U195" s="10">
        <f>IF(U194=0,_Proxima_Compra,U194-1)</f>
        <v>1</v>
      </c>
      <c r="V195" s="3">
        <f t="shared" ca="1" si="36"/>
        <v>-1</v>
      </c>
      <c r="W195" s="3">
        <f ca="1">IF(W194&gt;0,W194-1,IF(V195&gt;0,LOOKUP(V195,$R$3:$R$5,$O$3:$O$5),-1))</f>
        <v>-1</v>
      </c>
      <c r="X195" s="25">
        <f t="shared" ca="1" si="37"/>
        <v>0</v>
      </c>
      <c r="Y195" s="28">
        <f ca="1">X195*_GramosXFrasco</f>
        <v>0</v>
      </c>
    </row>
    <row r="196" spans="1:25" x14ac:dyDescent="0.25">
      <c r="A196" s="30">
        <f t="shared" si="38"/>
        <v>180</v>
      </c>
      <c r="B196" s="38">
        <f t="shared" ca="1" si="31"/>
        <v>0.7303518881443769</v>
      </c>
      <c r="C196" s="36">
        <f t="shared" ca="1" si="32"/>
        <v>0.17190180313173886</v>
      </c>
      <c r="D196" s="36">
        <f t="shared" ca="1" si="33"/>
        <v>0.66873903934981971</v>
      </c>
      <c r="E196" s="36">
        <f t="shared" ca="1" si="42"/>
        <v>-0.19780207339809616</v>
      </c>
      <c r="F196" s="37">
        <f ca="1">IF(E196&lt;&gt;-1,_Media_M + E196*_Sigma,-1)</f>
        <v>72.03296889902856</v>
      </c>
      <c r="G196" s="3">
        <f t="shared" ca="1" si="34"/>
        <v>-1</v>
      </c>
      <c r="H196" s="36">
        <f t="shared" ca="1" si="43"/>
        <v>72.03296889902856</v>
      </c>
      <c r="I196" s="36">
        <f t="shared" ca="1" si="35"/>
        <v>75.264254198119133</v>
      </c>
      <c r="J196" s="35">
        <f t="shared" ca="1" si="44"/>
        <v>147.29722309714771</v>
      </c>
      <c r="K196" s="19">
        <f t="shared" ca="1" si="39"/>
        <v>147.29722309714771</v>
      </c>
      <c r="L196" s="20">
        <f ca="1" xml:space="preserve"> K196*_Precio_cafe</f>
        <v>220.94583464572156</v>
      </c>
      <c r="M196" s="20">
        <f t="shared" ca="1" si="40"/>
        <v>25123.255677454865</v>
      </c>
      <c r="N196" s="20">
        <f ca="1">IF((N195-K196+Y196)&gt;_Max_Stock_Gramos,_Max_Stock_Gramos,N195-K196+Y196)</f>
        <v>1700</v>
      </c>
      <c r="O196" s="20">
        <f ca="1">N196/_GramosXFrasco</f>
        <v>10</v>
      </c>
      <c r="P196" s="63">
        <f ca="1">(N196/_Max_Stock_Gramos)</f>
        <v>1</v>
      </c>
      <c r="Q196" s="63"/>
      <c r="R196" s="10">
        <f ca="1">IF((N195-J196)&lt;0,(N195-J196)*_Costo_Faltante,0)</f>
        <v>0</v>
      </c>
      <c r="S196">
        <f ca="1">IF(U196=0,X196*_Costo_Frasco,0)</f>
        <v>-500</v>
      </c>
      <c r="T196" s="11">
        <f t="shared" ca="1" si="41"/>
        <v>-14577.891735076808</v>
      </c>
      <c r="U196" s="10">
        <f>IF(U195=0,_Proxima_Compra,U195-1)</f>
        <v>0</v>
      </c>
      <c r="V196" s="3">
        <f t="shared" ca="1" si="36"/>
        <v>0.40399070948943949</v>
      </c>
      <c r="W196" s="3">
        <f ca="1">IF(W195&gt;0,W195-1,IF(V196&gt;0,LOOKUP(V196,$R$3:$R$5,$O$3:$O$5),-1))</f>
        <v>0</v>
      </c>
      <c r="X196" s="25">
        <f t="shared" ca="1" si="37"/>
        <v>2</v>
      </c>
      <c r="Y196" s="28">
        <f ca="1">X196*_GramosXFrasco</f>
        <v>340</v>
      </c>
    </row>
    <row r="197" spans="1:25" x14ac:dyDescent="0.25">
      <c r="A197" s="30">
        <f t="shared" si="38"/>
        <v>181</v>
      </c>
      <c r="B197" s="38">
        <f t="shared" ca="1" si="31"/>
        <v>0.17261250416541485</v>
      </c>
      <c r="C197" s="36">
        <f t="shared" ca="1" si="32"/>
        <v>-1</v>
      </c>
      <c r="D197" s="36">
        <f t="shared" ca="1" si="33"/>
        <v>-1</v>
      </c>
      <c r="E197" s="36">
        <f t="shared" ca="1" si="42"/>
        <v>-1</v>
      </c>
      <c r="F197" s="37">
        <f ca="1">IF(E197&lt;&gt;-1,_Media_M + E197*_Sigma,-1)</f>
        <v>-1</v>
      </c>
      <c r="G197" s="3">
        <f t="shared" ca="1" si="34"/>
        <v>50</v>
      </c>
      <c r="H197" s="36">
        <f t="shared" ca="1" si="43"/>
        <v>50</v>
      </c>
      <c r="I197" s="36">
        <f t="shared" ca="1" si="35"/>
        <v>9.5462934770881454</v>
      </c>
      <c r="J197" s="35">
        <f t="shared" ca="1" si="44"/>
        <v>59.546293477088142</v>
      </c>
      <c r="K197" s="19">
        <f t="shared" ca="1" si="39"/>
        <v>59.546293477088142</v>
      </c>
      <c r="L197" s="20">
        <f ca="1" xml:space="preserve"> K197*_Precio_cafe</f>
        <v>89.319440215632213</v>
      </c>
      <c r="M197" s="20">
        <f t="shared" ca="1" si="40"/>
        <v>25212.575117670498</v>
      </c>
      <c r="N197" s="20">
        <f ca="1">IF((N196-K197+Y197)&gt;_Max_Stock_Gramos,_Max_Stock_Gramos,N196-K197+Y197)</f>
        <v>1640.4537065229119</v>
      </c>
      <c r="O197" s="20">
        <f ca="1">N197/_GramosXFrasco</f>
        <v>9.6497276854288945</v>
      </c>
      <c r="P197" s="63">
        <f ca="1">(N197/_Max_Stock_Gramos)</f>
        <v>0.96497276854288938</v>
      </c>
      <c r="Q197" s="63"/>
      <c r="R197" s="10">
        <f ca="1">IF((N196-J197)&lt;0,(N196-J197)*_Costo_Faltante,0)</f>
        <v>0</v>
      </c>
      <c r="S197">
        <f>IF(U197=0,X197*_Costo_Frasco,0)</f>
        <v>0</v>
      </c>
      <c r="T197" s="11">
        <f t="shared" ca="1" si="41"/>
        <v>-14577.891735076808</v>
      </c>
      <c r="U197" s="10">
        <f>IF(U196=0,_Proxima_Compra,U196-1)</f>
        <v>2</v>
      </c>
      <c r="V197" s="3">
        <f t="shared" ca="1" si="36"/>
        <v>-1</v>
      </c>
      <c r="W197" s="3">
        <f ca="1">IF(W196&gt;0,W196-1,IF(V197&gt;0,LOOKUP(V197,$R$3:$R$5,$O$3:$O$5),-1))</f>
        <v>-1</v>
      </c>
      <c r="X197" s="25">
        <f t="shared" ca="1" si="37"/>
        <v>0</v>
      </c>
      <c r="Y197" s="28">
        <f ca="1">X197*_GramosXFrasco</f>
        <v>0</v>
      </c>
    </row>
    <row r="198" spans="1:25" x14ac:dyDescent="0.25">
      <c r="A198" s="30">
        <f t="shared" si="38"/>
        <v>182</v>
      </c>
      <c r="B198" s="38">
        <f t="shared" ca="1" si="31"/>
        <v>0.89394507467283291</v>
      </c>
      <c r="C198" s="36">
        <f t="shared" ca="1" si="32"/>
        <v>0.25448341423634979</v>
      </c>
      <c r="D198" s="36">
        <f t="shared" ca="1" si="33"/>
        <v>0.11405075922132868</v>
      </c>
      <c r="E198" s="36">
        <f t="shared" ca="1" si="42"/>
        <v>0.38083625447217057</v>
      </c>
      <c r="F198" s="37">
        <f ca="1">IF(E198&lt;&gt;-1,_Media_M + E198*_Sigma,-1)</f>
        <v>80.712543817082562</v>
      </c>
      <c r="G198" s="3">
        <f t="shared" ca="1" si="34"/>
        <v>-1</v>
      </c>
      <c r="H198" s="36">
        <f t="shared" ca="1" si="43"/>
        <v>80.712543817082562</v>
      </c>
      <c r="I198" s="36">
        <f t="shared" ca="1" si="35"/>
        <v>23.9210444559324</v>
      </c>
      <c r="J198" s="35">
        <f t="shared" ca="1" si="44"/>
        <v>104.63358827301496</v>
      </c>
      <c r="K198" s="19">
        <f t="shared" ca="1" si="39"/>
        <v>104.63358827301496</v>
      </c>
      <c r="L198" s="20">
        <f ca="1" xml:space="preserve"> K198*_Precio_cafe</f>
        <v>156.95038240952243</v>
      </c>
      <c r="M198" s="20">
        <f t="shared" ca="1" si="40"/>
        <v>25369.525500080021</v>
      </c>
      <c r="N198" s="20">
        <f ca="1">IF((N197-K198+Y198)&gt;_Max_Stock_Gramos,_Max_Stock_Gramos,N197-K198+Y198)</f>
        <v>1535.820118249897</v>
      </c>
      <c r="O198" s="20">
        <f ca="1">N198/_GramosXFrasco</f>
        <v>9.0342359897052766</v>
      </c>
      <c r="P198" s="63">
        <f ca="1">(N198/_Max_Stock_Gramos)</f>
        <v>0.9034235989705276</v>
      </c>
      <c r="Q198" s="63"/>
      <c r="R198" s="10">
        <f ca="1">IF((N197-J198)&lt;0,(N197-J198)*_Costo_Faltante,0)</f>
        <v>0</v>
      </c>
      <c r="S198">
        <f>IF(U198=0,X198*_Costo_Frasco,0)</f>
        <v>0</v>
      </c>
      <c r="T198" s="11">
        <f t="shared" ca="1" si="41"/>
        <v>-14577.891735076808</v>
      </c>
      <c r="U198" s="10">
        <f>IF(U197=0,_Proxima_Compra,U197-1)</f>
        <v>1</v>
      </c>
      <c r="V198" s="3">
        <f t="shared" ca="1" si="36"/>
        <v>-1</v>
      </c>
      <c r="W198" s="3">
        <f ca="1">IF(W197&gt;0,W197-1,IF(V198&gt;0,LOOKUP(V198,$R$3:$R$5,$O$3:$O$5),-1))</f>
        <v>-1</v>
      </c>
      <c r="X198" s="25">
        <f t="shared" ca="1" si="37"/>
        <v>0</v>
      </c>
      <c r="Y198" s="28">
        <f ca="1">X198*_GramosXFrasco</f>
        <v>0</v>
      </c>
    </row>
    <row r="199" spans="1:25" x14ac:dyDescent="0.25">
      <c r="A199" s="30">
        <f t="shared" si="38"/>
        <v>183</v>
      </c>
      <c r="B199" s="38">
        <f t="shared" ca="1" si="31"/>
        <v>0.27384514110218072</v>
      </c>
      <c r="C199" s="36">
        <f t="shared" ca="1" si="32"/>
        <v>-1</v>
      </c>
      <c r="D199" s="36">
        <f t="shared" ca="1" si="33"/>
        <v>-1</v>
      </c>
      <c r="E199" s="36">
        <f t="shared" ca="1" si="42"/>
        <v>-1</v>
      </c>
      <c r="F199" s="37">
        <f ca="1">IF(E199&lt;&gt;-1,_Media_M + E199*_Sigma,-1)</f>
        <v>-1</v>
      </c>
      <c r="G199" s="3">
        <f t="shared" ca="1" si="34"/>
        <v>50</v>
      </c>
      <c r="H199" s="36">
        <f t="shared" ca="1" si="43"/>
        <v>50</v>
      </c>
      <c r="I199" s="36">
        <f t="shared" ca="1" si="35"/>
        <v>11.280518105771641</v>
      </c>
      <c r="J199" s="35">
        <f t="shared" ca="1" si="44"/>
        <v>61.280518105771641</v>
      </c>
      <c r="K199" s="19">
        <f t="shared" ca="1" si="39"/>
        <v>61.280518105771641</v>
      </c>
      <c r="L199" s="20">
        <f ca="1" xml:space="preserve"> K199*_Precio_cafe</f>
        <v>91.920777158657458</v>
      </c>
      <c r="M199" s="20">
        <f t="shared" ca="1" si="40"/>
        <v>25461.44627723868</v>
      </c>
      <c r="N199" s="20">
        <f ca="1">IF((N198-K199+Y199)&gt;_Max_Stock_Gramos,_Max_Stock_Gramos,N198-K199+Y199)</f>
        <v>1474.5396001441254</v>
      </c>
      <c r="O199" s="20">
        <f ca="1">N199/_GramosXFrasco</f>
        <v>8.6737623537889732</v>
      </c>
      <c r="P199" s="63">
        <f ca="1">(N199/_Max_Stock_Gramos)</f>
        <v>0.8673762353788973</v>
      </c>
      <c r="Q199" s="63"/>
      <c r="R199" s="10">
        <f ca="1">IF((N198-J199)&lt;0,(N198-J199)*_Costo_Faltante,0)</f>
        <v>0</v>
      </c>
      <c r="S199">
        <f ca="1">IF(U199=0,X199*_Costo_Frasco,0)</f>
        <v>0</v>
      </c>
      <c r="T199" s="11">
        <f t="shared" ca="1" si="41"/>
        <v>-14577.891735076808</v>
      </c>
      <c r="U199" s="10">
        <f>IF(U198=0,_Proxima_Compra,U198-1)</f>
        <v>0</v>
      </c>
      <c r="V199" s="3">
        <f t="shared" ca="1" si="36"/>
        <v>0.78977274399254316</v>
      </c>
      <c r="W199" s="3">
        <f ca="1">IF(W198&gt;0,W198-1,IF(V199&gt;0,LOOKUP(V199,$R$3:$R$5,$O$3:$O$5),-1))</f>
        <v>2</v>
      </c>
      <c r="X199" s="25">
        <f t="shared" ca="1" si="37"/>
        <v>0</v>
      </c>
      <c r="Y199" s="28">
        <f ca="1">X199*_GramosXFrasco</f>
        <v>0</v>
      </c>
    </row>
    <row r="200" spans="1:25" x14ac:dyDescent="0.25">
      <c r="A200" s="30">
        <f t="shared" si="38"/>
        <v>184</v>
      </c>
      <c r="B200" s="38">
        <f t="shared" ca="1" si="31"/>
        <v>0.75979158588890172</v>
      </c>
      <c r="C200" s="36">
        <f t="shared" ca="1" si="32"/>
        <v>2.7778396685644857E-2</v>
      </c>
      <c r="D200" s="36">
        <f t="shared" ca="1" si="33"/>
        <v>0.60950170850204144</v>
      </c>
      <c r="E200" s="36">
        <f t="shared" ca="1" si="42"/>
        <v>-0.12084080940443395</v>
      </c>
      <c r="F200" s="37">
        <f ca="1">IF(E200&lt;&gt;-1,_Media_M + E200*_Sigma,-1)</f>
        <v>73.187387858933491</v>
      </c>
      <c r="G200" s="3">
        <f t="shared" ca="1" si="34"/>
        <v>-1</v>
      </c>
      <c r="H200" s="36">
        <f t="shared" ca="1" si="43"/>
        <v>73.187387858933491</v>
      </c>
      <c r="I200" s="36">
        <f t="shared" ca="1" si="35"/>
        <v>10.386977550412505</v>
      </c>
      <c r="J200" s="35">
        <f t="shared" ca="1" si="44"/>
        <v>83.574365409346001</v>
      </c>
      <c r="K200" s="19">
        <f t="shared" ca="1" si="39"/>
        <v>83.574365409346001</v>
      </c>
      <c r="L200" s="20">
        <f ca="1" xml:space="preserve"> K200*_Precio_cafe</f>
        <v>125.361548114019</v>
      </c>
      <c r="M200" s="20">
        <f t="shared" ca="1" si="40"/>
        <v>25586.807825352698</v>
      </c>
      <c r="N200" s="20">
        <f ca="1">IF((N199-K200+Y200)&gt;_Max_Stock_Gramos,_Max_Stock_Gramos,N199-K200+Y200)</f>
        <v>1390.9652347347794</v>
      </c>
      <c r="O200" s="20">
        <f ca="1">N200/_GramosXFrasco</f>
        <v>8.1821484396163502</v>
      </c>
      <c r="P200" s="63">
        <f ca="1">(N200/_Max_Stock_Gramos)</f>
        <v>0.81821484396163491</v>
      </c>
      <c r="Q200" s="63"/>
      <c r="R200" s="10">
        <f ca="1">IF((N199-J200)&lt;0,(N199-J200)*_Costo_Faltante,0)</f>
        <v>0</v>
      </c>
      <c r="S200">
        <f>IF(U200=0,X200*_Costo_Frasco,0)</f>
        <v>0</v>
      </c>
      <c r="T200" s="11">
        <f t="shared" ca="1" si="41"/>
        <v>-14577.891735076808</v>
      </c>
      <c r="U200" s="10">
        <f>IF(U199=0,_Proxima_Compra,U199-1)</f>
        <v>2</v>
      </c>
      <c r="V200" s="3">
        <f t="shared" ca="1" si="36"/>
        <v>-1</v>
      </c>
      <c r="W200" s="3">
        <f ca="1">IF(W199&gt;0,W199-1,IF(V200&gt;0,LOOKUP(V200,$R$3:$R$5,$O$3:$O$5),-1))</f>
        <v>1</v>
      </c>
      <c r="X200" s="25">
        <f t="shared" ca="1" si="37"/>
        <v>0</v>
      </c>
      <c r="Y200" s="28">
        <f ca="1">X200*_GramosXFrasco</f>
        <v>0</v>
      </c>
    </row>
    <row r="201" spans="1:25" x14ac:dyDescent="0.25">
      <c r="A201" s="30">
        <f t="shared" si="38"/>
        <v>185</v>
      </c>
      <c r="B201" s="38">
        <f t="shared" ca="1" si="31"/>
        <v>0.25488322299247801</v>
      </c>
      <c r="C201" s="36">
        <f t="shared" ca="1" si="32"/>
        <v>-1</v>
      </c>
      <c r="D201" s="36">
        <f t="shared" ca="1" si="33"/>
        <v>-1</v>
      </c>
      <c r="E201" s="36">
        <f t="shared" ca="1" si="42"/>
        <v>-1</v>
      </c>
      <c r="F201" s="37">
        <f ca="1">IF(E201&lt;&gt;-1,_Media_M + E201*_Sigma,-1)</f>
        <v>-1</v>
      </c>
      <c r="G201" s="3">
        <f t="shared" ca="1" si="34"/>
        <v>50</v>
      </c>
      <c r="H201" s="36">
        <f t="shared" ca="1" si="43"/>
        <v>50</v>
      </c>
      <c r="I201" s="36">
        <f t="shared" ca="1" si="35"/>
        <v>25.31514666139724</v>
      </c>
      <c r="J201" s="35">
        <f t="shared" ca="1" si="44"/>
        <v>75.315146661397236</v>
      </c>
      <c r="K201" s="19">
        <f t="shared" ca="1" si="39"/>
        <v>75.315146661397236</v>
      </c>
      <c r="L201" s="20">
        <f ca="1" xml:space="preserve"> K201*_Precio_cafe</f>
        <v>112.97271999209585</v>
      </c>
      <c r="M201" s="20">
        <f t="shared" ca="1" si="40"/>
        <v>25699.780545344795</v>
      </c>
      <c r="N201" s="20">
        <f ca="1">IF((N200-K201+Y201)&gt;_Max_Stock_Gramos,_Max_Stock_Gramos,N200-K201+Y201)</f>
        <v>1655.6500880733822</v>
      </c>
      <c r="O201" s="20">
        <f ca="1">N201/_GramosXFrasco</f>
        <v>9.7391181651375422</v>
      </c>
      <c r="P201" s="63">
        <f ca="1">(N201/_Max_Stock_Gramos)</f>
        <v>0.97391181651375425</v>
      </c>
      <c r="Q201" s="63"/>
      <c r="R201" s="10">
        <f ca="1">IF((N200-J201)&lt;0,(N200-J201)*_Costo_Faltante,0)</f>
        <v>0</v>
      </c>
      <c r="S201">
        <f>IF(U201=0,X201*_Costo_Frasco,0)</f>
        <v>0</v>
      </c>
      <c r="T201" s="11">
        <f t="shared" ca="1" si="41"/>
        <v>-14577.891735076808</v>
      </c>
      <c r="U201" s="10">
        <f>IF(U200=0,_Proxima_Compra,U200-1)</f>
        <v>1</v>
      </c>
      <c r="V201" s="3">
        <f t="shared" ca="1" si="36"/>
        <v>-1</v>
      </c>
      <c r="W201" s="3">
        <f ca="1">IF(W200&gt;0,W200-1,IF(V201&gt;0,LOOKUP(V201,$R$3:$R$5,$O$3:$O$5),-1))</f>
        <v>0</v>
      </c>
      <c r="X201" s="25">
        <f t="shared" ca="1" si="37"/>
        <v>2</v>
      </c>
      <c r="Y201" s="28">
        <f ca="1">X201*_GramosXFrasco</f>
        <v>340</v>
      </c>
    </row>
    <row r="202" spans="1:25" x14ac:dyDescent="0.25">
      <c r="A202" s="30">
        <f t="shared" si="38"/>
        <v>186</v>
      </c>
      <c r="B202" s="38">
        <f t="shared" ca="1" si="31"/>
        <v>0.44257524678854099</v>
      </c>
      <c r="C202" s="36">
        <f t="shared" ca="1" si="32"/>
        <v>-1</v>
      </c>
      <c r="D202" s="36">
        <f t="shared" ca="1" si="33"/>
        <v>-1</v>
      </c>
      <c r="E202" s="36">
        <f t="shared" ca="1" si="42"/>
        <v>-1</v>
      </c>
      <c r="F202" s="37">
        <f ca="1">IF(E202&lt;&gt;-1,_Media_M + E202*_Sigma,-1)</f>
        <v>-1</v>
      </c>
      <c r="G202" s="3">
        <f t="shared" ca="1" si="34"/>
        <v>50</v>
      </c>
      <c r="H202" s="36">
        <f t="shared" ca="1" si="43"/>
        <v>50</v>
      </c>
      <c r="I202" s="36">
        <f t="shared" ca="1" si="35"/>
        <v>10.944529615874453</v>
      </c>
      <c r="J202" s="35">
        <f t="shared" ca="1" si="44"/>
        <v>60.944529615874451</v>
      </c>
      <c r="K202" s="19">
        <f t="shared" ca="1" si="39"/>
        <v>60.944529615874451</v>
      </c>
      <c r="L202" s="20">
        <f ca="1" xml:space="preserve"> K202*_Precio_cafe</f>
        <v>91.41679442381168</v>
      </c>
      <c r="M202" s="20">
        <f t="shared" ca="1" si="40"/>
        <v>25791.197339768605</v>
      </c>
      <c r="N202" s="20">
        <f ca="1">IF((N201-K202+Y202)&gt;_Max_Stock_Gramos,_Max_Stock_Gramos,N201-K202+Y202)</f>
        <v>1700</v>
      </c>
      <c r="O202" s="20">
        <f ca="1">N202/_GramosXFrasco</f>
        <v>10</v>
      </c>
      <c r="P202" s="63">
        <f ca="1">(N202/_Max_Stock_Gramos)</f>
        <v>1</v>
      </c>
      <c r="Q202" s="63"/>
      <c r="R202" s="10">
        <f ca="1">IF((N201-J202)&lt;0,(N201-J202)*_Costo_Faltante,0)</f>
        <v>0</v>
      </c>
      <c r="S202">
        <f ca="1">IF(U202=0,X202*_Costo_Frasco,0)</f>
        <v>-500</v>
      </c>
      <c r="T202" s="11">
        <f t="shared" ca="1" si="41"/>
        <v>-15077.891735076808</v>
      </c>
      <c r="U202" s="10">
        <f>IF(U201=0,_Proxima_Compra,U201-1)</f>
        <v>0</v>
      </c>
      <c r="V202" s="3">
        <f t="shared" ca="1" si="36"/>
        <v>0.46978412684374138</v>
      </c>
      <c r="W202" s="3">
        <f ca="1">IF(W201&gt;0,W201-1,IF(V202&gt;0,LOOKUP(V202,$R$3:$R$5,$O$3:$O$5),-1))</f>
        <v>0</v>
      </c>
      <c r="X202" s="25">
        <f t="shared" ca="1" si="37"/>
        <v>2</v>
      </c>
      <c r="Y202" s="28">
        <f ca="1">X202*_GramosXFrasco</f>
        <v>340</v>
      </c>
    </row>
    <row r="203" spans="1:25" x14ac:dyDescent="0.25">
      <c r="A203" s="30">
        <f t="shared" si="38"/>
        <v>187</v>
      </c>
      <c r="B203" s="38">
        <f t="shared" ca="1" si="31"/>
        <v>0.58071731886287969</v>
      </c>
      <c r="C203" s="36">
        <f t="shared" ca="1" si="32"/>
        <v>0.40565058082039951</v>
      </c>
      <c r="D203" s="36">
        <f t="shared" ca="1" si="33"/>
        <v>0.68549826652339685</v>
      </c>
      <c r="E203" s="36">
        <f t="shared" ca="1" si="42"/>
        <v>-0.26504874627933828</v>
      </c>
      <c r="F203" s="37">
        <f ca="1">IF(E203&lt;&gt;-1,_Media_M + E203*_Sigma,-1)</f>
        <v>71.024268805809925</v>
      </c>
      <c r="G203" s="3">
        <f t="shared" ca="1" si="34"/>
        <v>-1</v>
      </c>
      <c r="H203" s="36">
        <f t="shared" ca="1" si="43"/>
        <v>71.024268805809925</v>
      </c>
      <c r="I203" s="36">
        <f t="shared" ca="1" si="35"/>
        <v>24.551156726030641</v>
      </c>
      <c r="J203" s="35">
        <f t="shared" ca="1" si="44"/>
        <v>95.575425531840565</v>
      </c>
      <c r="K203" s="19">
        <f t="shared" ca="1" si="39"/>
        <v>95.575425531840565</v>
      </c>
      <c r="L203" s="20">
        <f ca="1" xml:space="preserve"> K203*_Precio_cafe</f>
        <v>143.36313829776086</v>
      </c>
      <c r="M203" s="20">
        <f t="shared" ca="1" si="40"/>
        <v>25934.560478066367</v>
      </c>
      <c r="N203" s="20">
        <f ca="1">IF((N202-K203+Y203)&gt;_Max_Stock_Gramos,_Max_Stock_Gramos,N202-K203+Y203)</f>
        <v>1604.4245744681593</v>
      </c>
      <c r="O203" s="20">
        <f ca="1">N203/_GramosXFrasco</f>
        <v>9.4377916145185843</v>
      </c>
      <c r="P203" s="63">
        <f ca="1">(N203/_Max_Stock_Gramos)</f>
        <v>0.94377916145185847</v>
      </c>
      <c r="Q203" s="63"/>
      <c r="R203" s="10">
        <f ca="1">IF((N202-J203)&lt;0,(N202-J203)*_Costo_Faltante,0)</f>
        <v>0</v>
      </c>
      <c r="S203">
        <f>IF(U203=0,X203*_Costo_Frasco,0)</f>
        <v>0</v>
      </c>
      <c r="T203" s="11">
        <f t="shared" ca="1" si="41"/>
        <v>-15077.891735076808</v>
      </c>
      <c r="U203" s="10">
        <f>IF(U202=0,_Proxima_Compra,U202-1)</f>
        <v>2</v>
      </c>
      <c r="V203" s="3">
        <f t="shared" ca="1" si="36"/>
        <v>-1</v>
      </c>
      <c r="W203" s="3">
        <f ca="1">IF(W202&gt;0,W202-1,IF(V203&gt;0,LOOKUP(V203,$R$3:$R$5,$O$3:$O$5),-1))</f>
        <v>-1</v>
      </c>
      <c r="X203" s="25">
        <f t="shared" ca="1" si="37"/>
        <v>0</v>
      </c>
      <c r="Y203" s="28">
        <f ca="1">X203*_GramosXFrasco</f>
        <v>0</v>
      </c>
    </row>
    <row r="204" spans="1:25" x14ac:dyDescent="0.25">
      <c r="A204" s="30">
        <f t="shared" si="38"/>
        <v>188</v>
      </c>
      <c r="B204" s="38">
        <f t="shared" ca="1" si="31"/>
        <v>0.85461475356874417</v>
      </c>
      <c r="C204" s="36">
        <f t="shared" ca="1" si="32"/>
        <v>0.88062986600280568</v>
      </c>
      <c r="D204" s="36">
        <f t="shared" ca="1" si="33"/>
        <v>0.34167852548378652</v>
      </c>
      <c r="E204" s="36">
        <f t="shared" ca="1" si="42"/>
        <v>-0.7401146135496206</v>
      </c>
      <c r="F204" s="37">
        <f ca="1">IF(E204&lt;&gt;-1,_Media_M + E204*_Sigma,-1)</f>
        <v>63.898280796755692</v>
      </c>
      <c r="G204" s="3">
        <f t="shared" ca="1" si="34"/>
        <v>-1</v>
      </c>
      <c r="H204" s="36">
        <f t="shared" ca="1" si="43"/>
        <v>63.898280796755692</v>
      </c>
      <c r="I204" s="36">
        <f t="shared" ca="1" si="35"/>
        <v>71.807859713154386</v>
      </c>
      <c r="J204" s="35">
        <f t="shared" ca="1" si="44"/>
        <v>135.70614050991009</v>
      </c>
      <c r="K204" s="19">
        <f t="shared" ca="1" si="39"/>
        <v>135.70614050991009</v>
      </c>
      <c r="L204" s="20">
        <f ca="1" xml:space="preserve"> K204*_Precio_cafe</f>
        <v>203.55921076486513</v>
      </c>
      <c r="M204" s="20">
        <f t="shared" ca="1" si="40"/>
        <v>26138.119688831233</v>
      </c>
      <c r="N204" s="20">
        <f ca="1">IF((N203-K204+Y204)&gt;_Max_Stock_Gramos,_Max_Stock_Gramos,N203-K204+Y204)</f>
        <v>1468.7184339582493</v>
      </c>
      <c r="O204" s="20">
        <f ca="1">N204/_GramosXFrasco</f>
        <v>8.6395201997544078</v>
      </c>
      <c r="P204" s="63">
        <f ca="1">(N204/_Max_Stock_Gramos)</f>
        <v>0.8639520199754408</v>
      </c>
      <c r="Q204" s="63"/>
      <c r="R204" s="10">
        <f ca="1">IF((N203-J204)&lt;0,(N203-J204)*_Costo_Faltante,0)</f>
        <v>0</v>
      </c>
      <c r="S204">
        <f>IF(U204=0,X204*_Costo_Frasco,0)</f>
        <v>0</v>
      </c>
      <c r="T204" s="11">
        <f t="shared" ca="1" si="41"/>
        <v>-15077.891735076808</v>
      </c>
      <c r="U204" s="10">
        <f>IF(U203=0,_Proxima_Compra,U203-1)</f>
        <v>1</v>
      </c>
      <c r="V204" s="3">
        <f t="shared" ca="1" si="36"/>
        <v>-1</v>
      </c>
      <c r="W204" s="3">
        <f ca="1">IF(W203&gt;0,W203-1,IF(V204&gt;0,LOOKUP(V204,$R$3:$R$5,$O$3:$O$5),-1))</f>
        <v>-1</v>
      </c>
      <c r="X204" s="25">
        <f t="shared" ca="1" si="37"/>
        <v>0</v>
      </c>
      <c r="Y204" s="28">
        <f ca="1">X204*_GramosXFrasco</f>
        <v>0</v>
      </c>
    </row>
    <row r="205" spans="1:25" x14ac:dyDescent="0.25">
      <c r="A205" s="30">
        <f t="shared" si="38"/>
        <v>189</v>
      </c>
      <c r="B205" s="38">
        <f t="shared" ca="1" si="31"/>
        <v>0.40721908552110919</v>
      </c>
      <c r="C205" s="36">
        <f t="shared" ca="1" si="32"/>
        <v>-1</v>
      </c>
      <c r="D205" s="36">
        <f t="shared" ca="1" si="33"/>
        <v>-1</v>
      </c>
      <c r="E205" s="36">
        <f t="shared" ca="1" si="42"/>
        <v>-1</v>
      </c>
      <c r="F205" s="37">
        <f ca="1">IF(E205&lt;&gt;-1,_Media_M + E205*_Sigma,-1)</f>
        <v>-1</v>
      </c>
      <c r="G205" s="3">
        <f t="shared" ca="1" si="34"/>
        <v>50</v>
      </c>
      <c r="H205" s="36">
        <f t="shared" ca="1" si="43"/>
        <v>50</v>
      </c>
      <c r="I205" s="36">
        <f t="shared" ca="1" si="35"/>
        <v>13.987886710009677</v>
      </c>
      <c r="J205" s="35">
        <f t="shared" ca="1" si="44"/>
        <v>63.987886710009676</v>
      </c>
      <c r="K205" s="19">
        <f t="shared" ca="1" si="39"/>
        <v>63.987886710009676</v>
      </c>
      <c r="L205" s="20">
        <f ca="1" xml:space="preserve"> K205*_Precio_cafe</f>
        <v>95.98183006501452</v>
      </c>
      <c r="M205" s="20">
        <f t="shared" ca="1" si="40"/>
        <v>26234.101518896248</v>
      </c>
      <c r="N205" s="20">
        <f ca="1">IF((N204-K205+Y205)&gt;_Max_Stock_Gramos,_Max_Stock_Gramos,N204-K205+Y205)</f>
        <v>1700</v>
      </c>
      <c r="O205" s="20">
        <f ca="1">N205/_GramosXFrasco</f>
        <v>10</v>
      </c>
      <c r="P205" s="63">
        <f ca="1">(N205/_Max_Stock_Gramos)</f>
        <v>1</v>
      </c>
      <c r="Q205" s="63"/>
      <c r="R205" s="10">
        <f ca="1">IF((N204-J205)&lt;0,(N204-J205)*_Costo_Faltante,0)</f>
        <v>0</v>
      </c>
      <c r="S205">
        <f ca="1">IF(U205=0,X205*_Costo_Frasco,0)</f>
        <v>-500</v>
      </c>
      <c r="T205" s="11">
        <f t="shared" ca="1" si="41"/>
        <v>-15577.891735076808</v>
      </c>
      <c r="U205" s="10">
        <f>IF(U204=0,_Proxima_Compra,U204-1)</f>
        <v>0</v>
      </c>
      <c r="V205" s="3">
        <f t="shared" ca="1" si="36"/>
        <v>0.34323001567973788</v>
      </c>
      <c r="W205" s="3">
        <f ca="1">IF(W204&gt;0,W204-1,IF(V205&gt;0,LOOKUP(V205,$R$3:$R$5,$O$3:$O$5),-1))</f>
        <v>0</v>
      </c>
      <c r="X205" s="25">
        <f t="shared" ca="1" si="37"/>
        <v>2</v>
      </c>
      <c r="Y205" s="28">
        <f ca="1">X205*_GramosXFrasco</f>
        <v>340</v>
      </c>
    </row>
    <row r="206" spans="1:25" x14ac:dyDescent="0.25">
      <c r="A206" s="30">
        <f t="shared" si="38"/>
        <v>190</v>
      </c>
      <c r="B206" s="38">
        <f t="shared" ca="1" si="31"/>
        <v>0.77777446412994089</v>
      </c>
      <c r="C206" s="36">
        <f t="shared" ca="1" si="32"/>
        <v>0.50103677871379015</v>
      </c>
      <c r="D206" s="36">
        <f t="shared" ca="1" si="33"/>
        <v>0.51445418166417445</v>
      </c>
      <c r="E206" s="36">
        <f t="shared" ca="1" si="42"/>
        <v>-0.77388369214494945</v>
      </c>
      <c r="F206" s="37">
        <f ca="1">IF(E206&lt;&gt;-1,_Media_M + E206*_Sigma,-1)</f>
        <v>63.391744617825758</v>
      </c>
      <c r="G206" s="3">
        <f t="shared" ca="1" si="34"/>
        <v>-1</v>
      </c>
      <c r="H206" s="36">
        <f t="shared" ca="1" si="43"/>
        <v>63.391744617825758</v>
      </c>
      <c r="I206" s="36">
        <f t="shared" ca="1" si="35"/>
        <v>12.900290787004856</v>
      </c>
      <c r="J206" s="35">
        <f t="shared" ca="1" si="44"/>
        <v>76.292035404830614</v>
      </c>
      <c r="K206" s="19">
        <f t="shared" ca="1" si="39"/>
        <v>76.292035404830614</v>
      </c>
      <c r="L206" s="20">
        <f ca="1" xml:space="preserve"> K206*_Precio_cafe</f>
        <v>114.43805310724592</v>
      </c>
      <c r="M206" s="20">
        <f t="shared" ca="1" si="40"/>
        <v>26348.539572003494</v>
      </c>
      <c r="N206" s="20">
        <f ca="1">IF((N205-K206+Y206)&gt;_Max_Stock_Gramos,_Max_Stock_Gramos,N205-K206+Y206)</f>
        <v>1623.7079645951694</v>
      </c>
      <c r="O206" s="20">
        <f ca="1">N206/_GramosXFrasco</f>
        <v>9.5512233211480559</v>
      </c>
      <c r="P206" s="63">
        <f ca="1">(N206/_Max_Stock_Gramos)</f>
        <v>0.95512233211480557</v>
      </c>
      <c r="Q206" s="63"/>
      <c r="R206" s="10">
        <f ca="1">IF((N205-J206)&lt;0,(N205-J206)*_Costo_Faltante,0)</f>
        <v>0</v>
      </c>
      <c r="S206">
        <f>IF(U206=0,X206*_Costo_Frasco,0)</f>
        <v>0</v>
      </c>
      <c r="T206" s="11">
        <f t="shared" ca="1" si="41"/>
        <v>-15577.891735076808</v>
      </c>
      <c r="U206" s="10">
        <f>IF(U205=0,_Proxima_Compra,U205-1)</f>
        <v>2</v>
      </c>
      <c r="V206" s="3">
        <f t="shared" ca="1" si="36"/>
        <v>-1</v>
      </c>
      <c r="W206" s="3">
        <f ca="1">IF(W205&gt;0,W205-1,IF(V206&gt;0,LOOKUP(V206,$R$3:$R$5,$O$3:$O$5),-1))</f>
        <v>-1</v>
      </c>
      <c r="X206" s="25">
        <f t="shared" ca="1" si="37"/>
        <v>0</v>
      </c>
      <c r="Y206" s="28">
        <f ca="1">X206*_GramosXFrasco</f>
        <v>0</v>
      </c>
    </row>
    <row r="207" spans="1:25" x14ac:dyDescent="0.25">
      <c r="A207" s="30">
        <f t="shared" si="38"/>
        <v>191</v>
      </c>
      <c r="B207" s="38">
        <f t="shared" ca="1" si="31"/>
        <v>6.955158807636197E-3</v>
      </c>
      <c r="C207" s="36">
        <f t="shared" ca="1" si="32"/>
        <v>-1</v>
      </c>
      <c r="D207" s="36">
        <f t="shared" ca="1" si="33"/>
        <v>-1</v>
      </c>
      <c r="E207" s="36">
        <f t="shared" ca="1" si="42"/>
        <v>-1</v>
      </c>
      <c r="F207" s="37">
        <f ca="1">IF(E207&lt;&gt;-1,_Media_M + E207*_Sigma,-1)</f>
        <v>-1</v>
      </c>
      <c r="G207" s="3">
        <f t="shared" ca="1" si="34"/>
        <v>50</v>
      </c>
      <c r="H207" s="36">
        <f t="shared" ca="1" si="43"/>
        <v>50</v>
      </c>
      <c r="I207" s="36">
        <f t="shared" ca="1" si="35"/>
        <v>5.2283330639344907</v>
      </c>
      <c r="J207" s="35">
        <f t="shared" ca="1" si="44"/>
        <v>55.228333063934492</v>
      </c>
      <c r="K207" s="19">
        <f t="shared" ca="1" si="39"/>
        <v>55.228333063934492</v>
      </c>
      <c r="L207" s="20">
        <f ca="1" xml:space="preserve"> K207*_Precio_cafe</f>
        <v>82.842499595901742</v>
      </c>
      <c r="M207" s="20">
        <f t="shared" ca="1" si="40"/>
        <v>26431.382071599397</v>
      </c>
      <c r="N207" s="20">
        <f ca="1">IF((N206-K207+Y207)&gt;_Max_Stock_Gramos,_Max_Stock_Gramos,N206-K207+Y207)</f>
        <v>1568.4796315312349</v>
      </c>
      <c r="O207" s="20">
        <f ca="1">N207/_GramosXFrasco</f>
        <v>9.2263507737131469</v>
      </c>
      <c r="P207" s="63">
        <f ca="1">(N207/_Max_Stock_Gramos)</f>
        <v>0.92263507737131467</v>
      </c>
      <c r="Q207" s="63"/>
      <c r="R207" s="10">
        <f ca="1">IF((N206-J207)&lt;0,(N206-J207)*_Costo_Faltante,0)</f>
        <v>0</v>
      </c>
      <c r="S207">
        <f>IF(U207=0,X207*_Costo_Frasco,0)</f>
        <v>0</v>
      </c>
      <c r="T207" s="11">
        <f t="shared" ca="1" si="41"/>
        <v>-15577.891735076808</v>
      </c>
      <c r="U207" s="10">
        <f>IF(U206=0,_Proxima_Compra,U206-1)</f>
        <v>1</v>
      </c>
      <c r="V207" s="3">
        <f t="shared" ca="1" si="36"/>
        <v>-1</v>
      </c>
      <c r="W207" s="3">
        <f ca="1">IF(W206&gt;0,W206-1,IF(V207&gt;0,LOOKUP(V207,$R$3:$R$5,$O$3:$O$5),-1))</f>
        <v>-1</v>
      </c>
      <c r="X207" s="25">
        <f t="shared" ca="1" si="37"/>
        <v>0</v>
      </c>
      <c r="Y207" s="28">
        <f ca="1">X207*_GramosXFrasco</f>
        <v>0</v>
      </c>
    </row>
    <row r="208" spans="1:25" x14ac:dyDescent="0.25">
      <c r="A208" s="30">
        <f t="shared" si="38"/>
        <v>192</v>
      </c>
      <c r="B208" s="38">
        <f t="shared" ca="1" si="31"/>
        <v>0.85083445853516004</v>
      </c>
      <c r="C208" s="36">
        <f t="shared" ca="1" si="32"/>
        <v>0.89289727549909825</v>
      </c>
      <c r="D208" s="36">
        <f t="shared" ca="1" si="33"/>
        <v>0.83057125683727329</v>
      </c>
      <c r="E208" s="36">
        <f t="shared" ca="1" si="42"/>
        <v>0.67545128351210526</v>
      </c>
      <c r="F208" s="37">
        <f ca="1">IF(E208&lt;&gt;-1,_Media_M + E208*_Sigma,-1)</f>
        <v>85.131769252681579</v>
      </c>
      <c r="G208" s="3">
        <f t="shared" ca="1" si="34"/>
        <v>-1</v>
      </c>
      <c r="H208" s="36">
        <f t="shared" ca="1" si="43"/>
        <v>85.131769252681579</v>
      </c>
      <c r="I208" s="36">
        <f t="shared" ca="1" si="35"/>
        <v>4.4465522891767435</v>
      </c>
      <c r="J208" s="35">
        <f t="shared" ca="1" si="44"/>
        <v>89.578321541858315</v>
      </c>
      <c r="K208" s="19">
        <f t="shared" ca="1" si="39"/>
        <v>89.578321541858315</v>
      </c>
      <c r="L208" s="20">
        <f ca="1" xml:space="preserve"> K208*_Precio_cafe</f>
        <v>134.36748231278747</v>
      </c>
      <c r="M208" s="20">
        <f t="shared" ca="1" si="40"/>
        <v>26565.749553912185</v>
      </c>
      <c r="N208" s="20">
        <f ca="1">IF((N207-K208+Y208)&gt;_Max_Stock_Gramos,_Max_Stock_Gramos,N207-K208+Y208)</f>
        <v>1478.9013099893766</v>
      </c>
      <c r="O208" s="20">
        <f ca="1">N208/_GramosXFrasco</f>
        <v>8.6994194705257453</v>
      </c>
      <c r="P208" s="63">
        <f ca="1">(N208/_Max_Stock_Gramos)</f>
        <v>0.86994194705257444</v>
      </c>
      <c r="Q208" s="63"/>
      <c r="R208" s="10">
        <f ca="1">IF((N207-J208)&lt;0,(N207-J208)*_Costo_Faltante,0)</f>
        <v>0</v>
      </c>
      <c r="S208">
        <f ca="1">IF(U208=0,X208*_Costo_Frasco,0)</f>
        <v>0</v>
      </c>
      <c r="T208" s="11">
        <f t="shared" ca="1" si="41"/>
        <v>-15577.891735076808</v>
      </c>
      <c r="U208" s="10">
        <f>IF(U207=0,_Proxima_Compra,U207-1)</f>
        <v>0</v>
      </c>
      <c r="V208" s="3">
        <f t="shared" ca="1" si="36"/>
        <v>0.63252909825272696</v>
      </c>
      <c r="W208" s="3">
        <f ca="1">IF(W207&gt;0,W207-1,IF(V208&gt;0,LOOKUP(V208,$R$3:$R$5,$O$3:$O$5),-1))</f>
        <v>1</v>
      </c>
      <c r="X208" s="25">
        <f t="shared" ca="1" si="37"/>
        <v>0</v>
      </c>
      <c r="Y208" s="28">
        <f ca="1">X208*_GramosXFrasco</f>
        <v>0</v>
      </c>
    </row>
    <row r="209" spans="1:25" x14ac:dyDescent="0.25">
      <c r="A209" s="30">
        <f t="shared" si="38"/>
        <v>193</v>
      </c>
      <c r="B209" s="38">
        <f t="shared" ref="B209:B272" ca="1" si="45">RAND()</f>
        <v>0.59267350568351274</v>
      </c>
      <c r="C209" s="36">
        <f t="shared" ref="C209:C272" ca="1" si="46">IF(B209&gt;0.5,RAND(),-1)</f>
        <v>0.83325155308859877</v>
      </c>
      <c r="D209" s="36">
        <f t="shared" ref="D209:D272" ca="1" si="47">IF(B209&gt;0.5,RAND(),-1)</f>
        <v>1.6426950742113977E-2</v>
      </c>
      <c r="E209" s="36">
        <f t="shared" ca="1" si="42"/>
        <v>1.2407096202164012</v>
      </c>
      <c r="F209" s="37">
        <f ca="1">IF(E209&lt;&gt;-1,_Media_M + E209*_Sigma,-1)</f>
        <v>93.610644303246019</v>
      </c>
      <c r="G209" s="3">
        <f t="shared" ref="G209:G272" ca="1" si="48">IF(F209=-1,50,-1)</f>
        <v>-1</v>
      </c>
      <c r="H209" s="36">
        <f t="shared" ca="1" si="43"/>
        <v>93.610644303246019</v>
      </c>
      <c r="I209" s="36">
        <f t="shared" ref="I209:I272" ca="1" si="49">(-1/(1/70)*(LOG(1-RAND())))</f>
        <v>8.8277460525934384</v>
      </c>
      <c r="J209" s="35">
        <f t="shared" ca="1" si="44"/>
        <v>102.43839035583946</v>
      </c>
      <c r="K209" s="19">
        <f t="shared" ca="1" si="39"/>
        <v>102.43839035583946</v>
      </c>
      <c r="L209" s="20">
        <f ca="1" xml:space="preserve"> K209*_Precio_cafe</f>
        <v>153.65758553375917</v>
      </c>
      <c r="M209" s="20">
        <f t="shared" ca="1" si="40"/>
        <v>26719.407139445942</v>
      </c>
      <c r="N209" s="20">
        <f ca="1">IF((N208-K209+Y209)&gt;_Max_Stock_Gramos,_Max_Stock_Gramos,N208-K209+Y209)</f>
        <v>1700</v>
      </c>
      <c r="O209" s="20">
        <f ca="1">N209/_GramosXFrasco</f>
        <v>10</v>
      </c>
      <c r="P209" s="63">
        <f ca="1">(N209/_Max_Stock_Gramos)</f>
        <v>1</v>
      </c>
      <c r="Q209" s="63"/>
      <c r="R209" s="10">
        <f ca="1">IF((N208-J209)&lt;0,(N208-J209)*_Costo_Faltante,0)</f>
        <v>0</v>
      </c>
      <c r="S209">
        <f>IF(U209=0,X209*_Costo_Frasco,0)</f>
        <v>0</v>
      </c>
      <c r="T209" s="11">
        <f t="shared" ca="1" si="41"/>
        <v>-15577.891735076808</v>
      </c>
      <c r="U209" s="10">
        <f>IF(U208=0,_Proxima_Compra,U208-1)</f>
        <v>2</v>
      </c>
      <c r="V209" s="3">
        <f t="shared" ref="V209:V272" ca="1" si="50">IF(U209=0,RAND(),-1)</f>
        <v>-1</v>
      </c>
      <c r="W209" s="3">
        <f ca="1">IF(W208&gt;0,W208-1,IF(V209&gt;0,LOOKUP(V209,$R$3:$R$5,$O$3:$O$5),-1))</f>
        <v>0</v>
      </c>
      <c r="X209" s="25">
        <f t="shared" ref="X209:X272" ca="1" si="51">IF(W209=0,2,)</f>
        <v>2</v>
      </c>
      <c r="Y209" s="28">
        <f ca="1">X209*_GramosXFrasco</f>
        <v>340</v>
      </c>
    </row>
    <row r="210" spans="1:25" x14ac:dyDescent="0.25">
      <c r="A210" s="30">
        <f t="shared" ref="A210:A273" si="52">A209+1</f>
        <v>194</v>
      </c>
      <c r="B210" s="38">
        <f t="shared" ca="1" si="45"/>
        <v>0.32676188364868697</v>
      </c>
      <c r="C210" s="36">
        <f t="shared" ca="1" si="46"/>
        <v>-1</v>
      </c>
      <c r="D210" s="36">
        <f t="shared" ca="1" si="47"/>
        <v>-1</v>
      </c>
      <c r="E210" s="36">
        <f t="shared" ca="1" si="42"/>
        <v>-1</v>
      </c>
      <c r="F210" s="37">
        <f ca="1">IF(E210&lt;&gt;-1,_Media_M + E210*_Sigma,-1)</f>
        <v>-1</v>
      </c>
      <c r="G210" s="3">
        <f t="shared" ca="1" si="48"/>
        <v>50</v>
      </c>
      <c r="H210" s="36">
        <f t="shared" ca="1" si="43"/>
        <v>50</v>
      </c>
      <c r="I210" s="36">
        <f t="shared" ca="1" si="49"/>
        <v>10.913302947761604</v>
      </c>
      <c r="J210" s="35">
        <f t="shared" ca="1" si="44"/>
        <v>60.913302947761608</v>
      </c>
      <c r="K210" s="19">
        <f t="shared" ref="K210:K273" ca="1" si="53">IF(J210&lt;N209,J210,N209)</f>
        <v>60.913302947761608</v>
      </c>
      <c r="L210" s="20">
        <f ca="1" xml:space="preserve"> K210*_Precio_cafe</f>
        <v>91.369954421642404</v>
      </c>
      <c r="M210" s="20">
        <f t="shared" ref="M210:M273" ca="1" si="54">L210+M209</f>
        <v>26810.777093867586</v>
      </c>
      <c r="N210" s="20">
        <f ca="1">IF((N209-K210+Y210)&gt;_Max_Stock_Gramos,_Max_Stock_Gramos,N209-K210+Y210)</f>
        <v>1639.0866970522384</v>
      </c>
      <c r="O210" s="20">
        <f ca="1">N210/_GramosXFrasco</f>
        <v>9.641686453248461</v>
      </c>
      <c r="P210" s="63">
        <f ca="1">(N210/_Max_Stock_Gramos)</f>
        <v>0.96416864532484614</v>
      </c>
      <c r="Q210" s="63"/>
      <c r="R210" s="10">
        <f ca="1">IF((N209-J210)&lt;0,(N209-J210)*_Costo_Faltante,0)</f>
        <v>0</v>
      </c>
      <c r="S210">
        <f>IF(U210=0,X210*_Costo_Frasco,0)</f>
        <v>0</v>
      </c>
      <c r="T210" s="11">
        <f t="shared" ref="T210:T273" ca="1" si="55">R210+S210+T209</f>
        <v>-15577.891735076808</v>
      </c>
      <c r="U210" s="10">
        <f>IF(U209=0,_Proxima_Compra,U209-1)</f>
        <v>1</v>
      </c>
      <c r="V210" s="3">
        <f t="shared" ca="1" si="50"/>
        <v>-1</v>
      </c>
      <c r="W210" s="3">
        <f ca="1">IF(W209&gt;0,W209-1,IF(V210&gt;0,LOOKUP(V210,$R$3:$R$5,$O$3:$O$5),-1))</f>
        <v>-1</v>
      </c>
      <c r="X210" s="25">
        <f t="shared" ca="1" si="51"/>
        <v>0</v>
      </c>
      <c r="Y210" s="28">
        <f ca="1">X210*_GramosXFrasco</f>
        <v>0</v>
      </c>
    </row>
    <row r="211" spans="1:25" x14ac:dyDescent="0.25">
      <c r="A211" s="30">
        <f t="shared" si="52"/>
        <v>195</v>
      </c>
      <c r="B211" s="38">
        <f t="shared" ca="1" si="45"/>
        <v>0.10194399537116849</v>
      </c>
      <c r="C211" s="36">
        <f t="shared" ca="1" si="46"/>
        <v>-1</v>
      </c>
      <c r="D211" s="36">
        <f t="shared" ca="1" si="47"/>
        <v>-1</v>
      </c>
      <c r="E211" s="36">
        <f t="shared" ca="1" si="42"/>
        <v>-1</v>
      </c>
      <c r="F211" s="37">
        <f ca="1">IF(E211&lt;&gt;-1,_Media_M + E211*_Sigma,-1)</f>
        <v>-1</v>
      </c>
      <c r="G211" s="3">
        <f t="shared" ca="1" si="48"/>
        <v>50</v>
      </c>
      <c r="H211" s="36">
        <f t="shared" ca="1" si="43"/>
        <v>50</v>
      </c>
      <c r="I211" s="36">
        <f t="shared" ca="1" si="49"/>
        <v>20.40122676328151</v>
      </c>
      <c r="J211" s="35">
        <f t="shared" ca="1" si="44"/>
        <v>70.401226763281514</v>
      </c>
      <c r="K211" s="19">
        <f t="shared" ca="1" si="53"/>
        <v>70.401226763281514</v>
      </c>
      <c r="L211" s="20">
        <f ca="1" xml:space="preserve"> K211*_Precio_cafe</f>
        <v>105.60184014492228</v>
      </c>
      <c r="M211" s="20">
        <f t="shared" ca="1" si="54"/>
        <v>26916.378934012508</v>
      </c>
      <c r="N211" s="20">
        <f ca="1">IF((N210-K211+Y211)&gt;_Max_Stock_Gramos,_Max_Stock_Gramos,N210-K211+Y211)</f>
        <v>1568.6854702889568</v>
      </c>
      <c r="O211" s="20">
        <f ca="1">N211/_GramosXFrasco</f>
        <v>9.2275615899350409</v>
      </c>
      <c r="P211" s="63">
        <f ca="1">(N211/_Max_Stock_Gramos)</f>
        <v>0.92275615899350405</v>
      </c>
      <c r="Q211" s="63"/>
      <c r="R211" s="10">
        <f ca="1">IF((N210-J211)&lt;0,(N210-J211)*_Costo_Faltante,0)</f>
        <v>0</v>
      </c>
      <c r="S211">
        <f ca="1">IF(U211=0,X211*_Costo_Frasco,0)</f>
        <v>0</v>
      </c>
      <c r="T211" s="11">
        <f t="shared" ca="1" si="55"/>
        <v>-15577.891735076808</v>
      </c>
      <c r="U211" s="10">
        <f>IF(U210=0,_Proxima_Compra,U210-1)</f>
        <v>0</v>
      </c>
      <c r="V211" s="3">
        <f t="shared" ca="1" si="50"/>
        <v>0.75734202449757637</v>
      </c>
      <c r="W211" s="3">
        <f ca="1">IF(W210&gt;0,W210-1,IF(V211&gt;0,LOOKUP(V211,$R$3:$R$5,$O$3:$O$5),-1))</f>
        <v>2</v>
      </c>
      <c r="X211" s="25">
        <f t="shared" ca="1" si="51"/>
        <v>0</v>
      </c>
      <c r="Y211" s="28">
        <f ca="1">X211*_GramosXFrasco</f>
        <v>0</v>
      </c>
    </row>
    <row r="212" spans="1:25" x14ac:dyDescent="0.25">
      <c r="A212" s="30">
        <f t="shared" si="52"/>
        <v>196</v>
      </c>
      <c r="B212" s="38">
        <f t="shared" ca="1" si="45"/>
        <v>0.62112097749295936</v>
      </c>
      <c r="C212" s="36">
        <f t="shared" ca="1" si="46"/>
        <v>0.97533608765263702</v>
      </c>
      <c r="D212" s="36">
        <f t="shared" ca="1" si="47"/>
        <v>0.1671899482746092</v>
      </c>
      <c r="E212" s="36">
        <f t="shared" ca="1" si="42"/>
        <v>0.89153218181527649</v>
      </c>
      <c r="F212" s="37">
        <f ca="1">IF(E212&lt;&gt;-1,_Media_M + E212*_Sigma,-1)</f>
        <v>88.372982727229143</v>
      </c>
      <c r="G212" s="3">
        <f t="shared" ca="1" si="48"/>
        <v>-1</v>
      </c>
      <c r="H212" s="36">
        <f t="shared" ca="1" si="43"/>
        <v>88.372982727229143</v>
      </c>
      <c r="I212" s="36">
        <f t="shared" ca="1" si="49"/>
        <v>91.669908661374265</v>
      </c>
      <c r="J212" s="35">
        <f t="shared" ca="1" si="44"/>
        <v>180.04289138860341</v>
      </c>
      <c r="K212" s="19">
        <f t="shared" ca="1" si="53"/>
        <v>180.04289138860341</v>
      </c>
      <c r="L212" s="20">
        <f ca="1" xml:space="preserve"> K212*_Precio_cafe</f>
        <v>270.06433708290513</v>
      </c>
      <c r="M212" s="20">
        <f t="shared" ca="1" si="54"/>
        <v>27186.443271095413</v>
      </c>
      <c r="N212" s="20">
        <f ca="1">IF((N211-K212+Y212)&gt;_Max_Stock_Gramos,_Max_Stock_Gramos,N211-K212+Y212)</f>
        <v>1388.6425789003533</v>
      </c>
      <c r="O212" s="20">
        <f ca="1">N212/_GramosXFrasco</f>
        <v>8.168485758237372</v>
      </c>
      <c r="P212" s="63">
        <f ca="1">(N212/_Max_Stock_Gramos)</f>
        <v>0.81684857582373727</v>
      </c>
      <c r="Q212" s="63"/>
      <c r="R212" s="10">
        <f ca="1">IF((N211-J212)&lt;0,(N211-J212)*_Costo_Faltante,0)</f>
        <v>0</v>
      </c>
      <c r="S212">
        <f>IF(U212=0,X212*_Costo_Frasco,0)</f>
        <v>0</v>
      </c>
      <c r="T212" s="11">
        <f t="shared" ca="1" si="55"/>
        <v>-15577.891735076808</v>
      </c>
      <c r="U212" s="10">
        <f>IF(U211=0,_Proxima_Compra,U211-1)</f>
        <v>2</v>
      </c>
      <c r="V212" s="3">
        <f t="shared" ca="1" si="50"/>
        <v>-1</v>
      </c>
      <c r="W212" s="3">
        <f ca="1">IF(W211&gt;0,W211-1,IF(V212&gt;0,LOOKUP(V212,$R$3:$R$5,$O$3:$O$5),-1))</f>
        <v>1</v>
      </c>
      <c r="X212" s="25">
        <f t="shared" ca="1" si="51"/>
        <v>0</v>
      </c>
      <c r="Y212" s="28">
        <f ca="1">X212*_GramosXFrasco</f>
        <v>0</v>
      </c>
    </row>
    <row r="213" spans="1:25" x14ac:dyDescent="0.25">
      <c r="A213" s="30">
        <f t="shared" si="52"/>
        <v>197</v>
      </c>
      <c r="B213" s="38">
        <f t="shared" ca="1" si="45"/>
        <v>0.41453242290756487</v>
      </c>
      <c r="C213" s="36">
        <f t="shared" ca="1" si="46"/>
        <v>-1</v>
      </c>
      <c r="D213" s="36">
        <f t="shared" ca="1" si="47"/>
        <v>-1</v>
      </c>
      <c r="E213" s="36">
        <f t="shared" ca="1" si="42"/>
        <v>-1</v>
      </c>
      <c r="F213" s="37">
        <f ca="1">IF(E213&lt;&gt;-1,_Media_M + E213*_Sigma,-1)</f>
        <v>-1</v>
      </c>
      <c r="G213" s="3">
        <f t="shared" ca="1" si="48"/>
        <v>50</v>
      </c>
      <c r="H213" s="36">
        <f t="shared" ca="1" si="43"/>
        <v>50</v>
      </c>
      <c r="I213" s="36">
        <f t="shared" ca="1" si="49"/>
        <v>5.0981143490967007</v>
      </c>
      <c r="J213" s="35">
        <f t="shared" ca="1" si="44"/>
        <v>55.098114349096704</v>
      </c>
      <c r="K213" s="19">
        <f t="shared" ca="1" si="53"/>
        <v>55.098114349096704</v>
      </c>
      <c r="L213" s="20">
        <f ca="1" xml:space="preserve"> K213*_Precio_cafe</f>
        <v>82.647171523645056</v>
      </c>
      <c r="M213" s="20">
        <f t="shared" ca="1" si="54"/>
        <v>27269.090442619057</v>
      </c>
      <c r="N213" s="20">
        <f ca="1">IF((N212-K213+Y213)&gt;_Max_Stock_Gramos,_Max_Stock_Gramos,N212-K213+Y213)</f>
        <v>1673.5444645512566</v>
      </c>
      <c r="O213" s="20">
        <f ca="1">N213/_GramosXFrasco</f>
        <v>9.8443792032426867</v>
      </c>
      <c r="P213" s="63">
        <f ca="1">(N213/_Max_Stock_Gramos)</f>
        <v>0.98443792032426858</v>
      </c>
      <c r="Q213" s="63"/>
      <c r="R213" s="10">
        <f ca="1">IF((N212-J213)&lt;0,(N212-J213)*_Costo_Faltante,0)</f>
        <v>0</v>
      </c>
      <c r="S213">
        <f>IF(U213=0,X213*_Costo_Frasco,0)</f>
        <v>0</v>
      </c>
      <c r="T213" s="11">
        <f t="shared" ca="1" si="55"/>
        <v>-15577.891735076808</v>
      </c>
      <c r="U213" s="10">
        <f>IF(U212=0,_Proxima_Compra,U212-1)</f>
        <v>1</v>
      </c>
      <c r="V213" s="3">
        <f t="shared" ca="1" si="50"/>
        <v>-1</v>
      </c>
      <c r="W213" s="3">
        <f ca="1">IF(W212&gt;0,W212-1,IF(V213&gt;0,LOOKUP(V213,$R$3:$R$5,$O$3:$O$5),-1))</f>
        <v>0</v>
      </c>
      <c r="X213" s="25">
        <f t="shared" ca="1" si="51"/>
        <v>2</v>
      </c>
      <c r="Y213" s="28">
        <f ca="1">X213*_GramosXFrasco</f>
        <v>340</v>
      </c>
    </row>
    <row r="214" spans="1:25" x14ac:dyDescent="0.25">
      <c r="A214" s="30">
        <f t="shared" si="52"/>
        <v>198</v>
      </c>
      <c r="B214" s="38">
        <f t="shared" ca="1" si="45"/>
        <v>0.36863703789732816</v>
      </c>
      <c r="C214" s="36">
        <f t="shared" ca="1" si="46"/>
        <v>-1</v>
      </c>
      <c r="D214" s="36">
        <f t="shared" ca="1" si="47"/>
        <v>-1</v>
      </c>
      <c r="E214" s="36">
        <f t="shared" ca="1" si="42"/>
        <v>-1</v>
      </c>
      <c r="F214" s="37">
        <f ca="1">IF(E214&lt;&gt;-1,_Media_M + E214*_Sigma,-1)</f>
        <v>-1</v>
      </c>
      <c r="G214" s="3">
        <f t="shared" ca="1" si="48"/>
        <v>50</v>
      </c>
      <c r="H214" s="36">
        <f t="shared" ca="1" si="43"/>
        <v>50</v>
      </c>
      <c r="I214" s="36">
        <f t="shared" ca="1" si="49"/>
        <v>2.2337016666326432</v>
      </c>
      <c r="J214" s="35">
        <f t="shared" ca="1" si="44"/>
        <v>52.233701666632641</v>
      </c>
      <c r="K214" s="19">
        <f t="shared" ca="1" si="53"/>
        <v>52.233701666632641</v>
      </c>
      <c r="L214" s="20">
        <f ca="1" xml:space="preserve"> K214*_Precio_cafe</f>
        <v>78.350552499948961</v>
      </c>
      <c r="M214" s="20">
        <f t="shared" ca="1" si="54"/>
        <v>27347.440995119006</v>
      </c>
      <c r="N214" s="20">
        <f ca="1">IF((N213-K214+Y214)&gt;_Max_Stock_Gramos,_Max_Stock_Gramos,N213-K214+Y214)</f>
        <v>1700</v>
      </c>
      <c r="O214" s="20">
        <f ca="1">N214/_GramosXFrasco</f>
        <v>10</v>
      </c>
      <c r="P214" s="63">
        <f ca="1">(N214/_Max_Stock_Gramos)</f>
        <v>1</v>
      </c>
      <c r="Q214" s="63"/>
      <c r="R214" s="10">
        <f ca="1">IF((N213-J214)&lt;0,(N213-J214)*_Costo_Faltante,0)</f>
        <v>0</v>
      </c>
      <c r="S214">
        <f ca="1">IF(U214=0,X214*_Costo_Frasco,0)</f>
        <v>-500</v>
      </c>
      <c r="T214" s="11">
        <f t="shared" ca="1" si="55"/>
        <v>-16077.891735076808</v>
      </c>
      <c r="U214" s="10">
        <f>IF(U213=0,_Proxima_Compra,U213-1)</f>
        <v>0</v>
      </c>
      <c r="V214" s="3">
        <f t="shared" ca="1" si="50"/>
        <v>0.40803131650635693</v>
      </c>
      <c r="W214" s="3">
        <f ca="1">IF(W213&gt;0,W213-1,IF(V214&gt;0,LOOKUP(V214,$R$3:$R$5,$O$3:$O$5),-1))</f>
        <v>0</v>
      </c>
      <c r="X214" s="25">
        <f t="shared" ca="1" si="51"/>
        <v>2</v>
      </c>
      <c r="Y214" s="28">
        <f ca="1">X214*_GramosXFrasco</f>
        <v>340</v>
      </c>
    </row>
    <row r="215" spans="1:25" x14ac:dyDescent="0.25">
      <c r="A215" s="30">
        <f t="shared" si="52"/>
        <v>199</v>
      </c>
      <c r="B215" s="38">
        <f t="shared" ca="1" si="45"/>
        <v>0.21368100070514418</v>
      </c>
      <c r="C215" s="36">
        <f t="shared" ca="1" si="46"/>
        <v>-1</v>
      </c>
      <c r="D215" s="36">
        <f t="shared" ca="1" si="47"/>
        <v>-1</v>
      </c>
      <c r="E215" s="36">
        <f t="shared" ca="1" si="42"/>
        <v>-1</v>
      </c>
      <c r="F215" s="37">
        <f ca="1">IF(E215&lt;&gt;-1,_Media_M + E215*_Sigma,-1)</f>
        <v>-1</v>
      </c>
      <c r="G215" s="3">
        <f t="shared" ca="1" si="48"/>
        <v>50</v>
      </c>
      <c r="H215" s="36">
        <f t="shared" ca="1" si="43"/>
        <v>50</v>
      </c>
      <c r="I215" s="36">
        <f t="shared" ca="1" si="49"/>
        <v>58.340079555593718</v>
      </c>
      <c r="J215" s="35">
        <f t="shared" ca="1" si="44"/>
        <v>108.34007955559372</v>
      </c>
      <c r="K215" s="19">
        <f t="shared" ca="1" si="53"/>
        <v>108.34007955559372</v>
      </c>
      <c r="L215" s="20">
        <f ca="1" xml:space="preserve"> K215*_Precio_cafe</f>
        <v>162.51011933339058</v>
      </c>
      <c r="M215" s="20">
        <f t="shared" ca="1" si="54"/>
        <v>27509.951114452397</v>
      </c>
      <c r="N215" s="20">
        <f ca="1">IF((N214-K215+Y215)&gt;_Max_Stock_Gramos,_Max_Stock_Gramos,N214-K215+Y215)</f>
        <v>1591.6599204444062</v>
      </c>
      <c r="O215" s="20">
        <f ca="1">N215/_GramosXFrasco</f>
        <v>9.3627054143788602</v>
      </c>
      <c r="P215" s="63">
        <f ca="1">(N215/_Max_Stock_Gramos)</f>
        <v>0.93627054143788602</v>
      </c>
      <c r="Q215" s="63"/>
      <c r="R215" s="10">
        <f ca="1">IF((N214-J215)&lt;0,(N214-J215)*_Costo_Faltante,0)</f>
        <v>0</v>
      </c>
      <c r="S215">
        <f>IF(U215=0,X215*_Costo_Frasco,0)</f>
        <v>0</v>
      </c>
      <c r="T215" s="11">
        <f t="shared" ca="1" si="55"/>
        <v>-16077.891735076808</v>
      </c>
      <c r="U215" s="10">
        <f>IF(U214=0,_Proxima_Compra,U214-1)</f>
        <v>2</v>
      </c>
      <c r="V215" s="3">
        <f t="shared" ca="1" si="50"/>
        <v>-1</v>
      </c>
      <c r="W215" s="3">
        <f ca="1">IF(W214&gt;0,W214-1,IF(V215&gt;0,LOOKUP(V215,$R$3:$R$5,$O$3:$O$5),-1))</f>
        <v>-1</v>
      </c>
      <c r="X215" s="25">
        <f t="shared" ca="1" si="51"/>
        <v>0</v>
      </c>
      <c r="Y215" s="28">
        <f ca="1">X215*_GramosXFrasco</f>
        <v>0</v>
      </c>
    </row>
    <row r="216" spans="1:25" x14ac:dyDescent="0.25">
      <c r="A216" s="30">
        <f t="shared" si="52"/>
        <v>200</v>
      </c>
      <c r="B216" s="38">
        <f t="shared" ca="1" si="45"/>
        <v>0.93454365450476118</v>
      </c>
      <c r="C216" s="36">
        <f t="shared" ca="1" si="46"/>
        <v>1.7023536602984723E-2</v>
      </c>
      <c r="D216" s="36">
        <f t="shared" ca="1" si="47"/>
        <v>0.82196994418055447</v>
      </c>
      <c r="E216" s="36">
        <f t="shared" ca="1" si="42"/>
        <v>5.3360670590697955E-2</v>
      </c>
      <c r="F216" s="37">
        <f ca="1">IF(E216&lt;&gt;-1,_Media_M + E216*_Sigma,-1)</f>
        <v>75.800410058860464</v>
      </c>
      <c r="G216" s="3">
        <f t="shared" ca="1" si="48"/>
        <v>-1</v>
      </c>
      <c r="H216" s="36">
        <f t="shared" ca="1" si="43"/>
        <v>75.800410058860464</v>
      </c>
      <c r="I216" s="36">
        <f t="shared" ca="1" si="49"/>
        <v>7.6046337155904853</v>
      </c>
      <c r="J216" s="35">
        <f t="shared" ca="1" si="44"/>
        <v>83.405043774450945</v>
      </c>
      <c r="K216" s="19">
        <f t="shared" ca="1" si="53"/>
        <v>83.405043774450945</v>
      </c>
      <c r="L216" s="20">
        <f ca="1" xml:space="preserve"> K216*_Precio_cafe</f>
        <v>125.10756566167642</v>
      </c>
      <c r="M216" s="20">
        <f t="shared" ca="1" si="54"/>
        <v>27635.058680114074</v>
      </c>
      <c r="N216" s="20">
        <f ca="1">IF((N215-K216+Y216)&gt;_Max_Stock_Gramos,_Max_Stock_Gramos,N215-K216+Y216)</f>
        <v>1508.2548766699554</v>
      </c>
      <c r="O216" s="20">
        <f ca="1">N216/_GramosXFrasco</f>
        <v>8.8720875098232668</v>
      </c>
      <c r="P216" s="63">
        <f ca="1">(N216/_Max_Stock_Gramos)</f>
        <v>0.88720875098232665</v>
      </c>
      <c r="Q216" s="63"/>
      <c r="R216" s="10">
        <f ca="1">IF((N215-J216)&lt;0,(N215-J216)*_Costo_Faltante,0)</f>
        <v>0</v>
      </c>
      <c r="S216">
        <f>IF(U216=0,X216*_Costo_Frasco,0)</f>
        <v>0</v>
      </c>
      <c r="T216" s="11">
        <f t="shared" ca="1" si="55"/>
        <v>-16077.891735076808</v>
      </c>
      <c r="U216" s="10">
        <f>IF(U215=0,_Proxima_Compra,U215-1)</f>
        <v>1</v>
      </c>
      <c r="V216" s="3">
        <f t="shared" ca="1" si="50"/>
        <v>-1</v>
      </c>
      <c r="W216" s="3">
        <f ca="1">IF(W215&gt;0,W215-1,IF(V216&gt;0,LOOKUP(V216,$R$3:$R$5,$O$3:$O$5),-1))</f>
        <v>-1</v>
      </c>
      <c r="X216" s="25">
        <f t="shared" ca="1" si="51"/>
        <v>0</v>
      </c>
      <c r="Y216" s="28">
        <f ca="1">X216*_GramosXFrasco</f>
        <v>0</v>
      </c>
    </row>
    <row r="217" spans="1:25" x14ac:dyDescent="0.25">
      <c r="A217" s="30">
        <f t="shared" si="52"/>
        <v>201</v>
      </c>
      <c r="B217" s="38">
        <f t="shared" ca="1" si="45"/>
        <v>0.58901124404048255</v>
      </c>
      <c r="C217" s="36">
        <f t="shared" ca="1" si="46"/>
        <v>0.17892729483854986</v>
      </c>
      <c r="D217" s="36">
        <f t="shared" ca="1" si="47"/>
        <v>0.11478953302387696</v>
      </c>
      <c r="E217" s="36">
        <f t="shared" ca="1" si="42"/>
        <v>0.31076330946774267</v>
      </c>
      <c r="F217" s="37">
        <f ca="1">IF(E217&lt;&gt;-1,_Media_M + E217*_Sigma,-1)</f>
        <v>79.661449642016137</v>
      </c>
      <c r="G217" s="3">
        <f t="shared" ca="1" si="48"/>
        <v>-1</v>
      </c>
      <c r="H217" s="36">
        <f t="shared" ca="1" si="43"/>
        <v>79.661449642016137</v>
      </c>
      <c r="I217" s="36">
        <f t="shared" ca="1" si="49"/>
        <v>17.924379512858586</v>
      </c>
      <c r="J217" s="35">
        <f t="shared" ca="1" si="44"/>
        <v>97.585829154874716</v>
      </c>
      <c r="K217" s="19">
        <f t="shared" ca="1" si="53"/>
        <v>97.585829154874716</v>
      </c>
      <c r="L217" s="20">
        <f ca="1" xml:space="preserve"> K217*_Precio_cafe</f>
        <v>146.37874373231207</v>
      </c>
      <c r="M217" s="20">
        <f t="shared" ca="1" si="54"/>
        <v>27781.437423846386</v>
      </c>
      <c r="N217" s="20">
        <f ca="1">IF((N216-K217+Y217)&gt;_Max_Stock_Gramos,_Max_Stock_Gramos,N216-K217+Y217)</f>
        <v>1410.6690475150806</v>
      </c>
      <c r="O217" s="20">
        <f ca="1">N217/_GramosXFrasco</f>
        <v>8.2980532206769446</v>
      </c>
      <c r="P217" s="63">
        <f ca="1">(N217/_Max_Stock_Gramos)</f>
        <v>0.82980532206769442</v>
      </c>
      <c r="Q217" s="63"/>
      <c r="R217" s="10">
        <f ca="1">IF((N216-J217)&lt;0,(N216-J217)*_Costo_Faltante,0)</f>
        <v>0</v>
      </c>
      <c r="S217">
        <f ca="1">IF(U217=0,X217*_Costo_Frasco,0)</f>
        <v>0</v>
      </c>
      <c r="T217" s="11">
        <f t="shared" ca="1" si="55"/>
        <v>-16077.891735076808</v>
      </c>
      <c r="U217" s="10">
        <f>IF(U216=0,_Proxima_Compra,U216-1)</f>
        <v>0</v>
      </c>
      <c r="V217" s="3">
        <f t="shared" ca="1" si="50"/>
        <v>0.68692183316620603</v>
      </c>
      <c r="W217" s="3">
        <f ca="1">IF(W216&gt;0,W216-1,IF(V217&gt;0,LOOKUP(V217,$R$3:$R$5,$O$3:$O$5),-1))</f>
        <v>1</v>
      </c>
      <c r="X217" s="25">
        <f t="shared" ca="1" si="51"/>
        <v>0</v>
      </c>
      <c r="Y217" s="28">
        <f ca="1">X217*_GramosXFrasco</f>
        <v>0</v>
      </c>
    </row>
    <row r="218" spans="1:25" x14ac:dyDescent="0.25">
      <c r="A218" s="30">
        <f t="shared" si="52"/>
        <v>202</v>
      </c>
      <c r="B218" s="38">
        <f t="shared" ca="1" si="45"/>
        <v>0.36777325718126319</v>
      </c>
      <c r="C218" s="36">
        <f t="shared" ca="1" si="46"/>
        <v>-1</v>
      </c>
      <c r="D218" s="36">
        <f t="shared" ca="1" si="47"/>
        <v>-1</v>
      </c>
      <c r="E218" s="36">
        <f t="shared" ca="1" si="42"/>
        <v>-1</v>
      </c>
      <c r="F218" s="37">
        <f ca="1">IF(E218&lt;&gt;-1,_Media_M + E218*_Sigma,-1)</f>
        <v>-1</v>
      </c>
      <c r="G218" s="3">
        <f t="shared" ca="1" si="48"/>
        <v>50</v>
      </c>
      <c r="H218" s="36">
        <f t="shared" ca="1" si="43"/>
        <v>50</v>
      </c>
      <c r="I218" s="36">
        <f t="shared" ca="1" si="49"/>
        <v>44.236700678153852</v>
      </c>
      <c r="J218" s="35">
        <f t="shared" ca="1" si="44"/>
        <v>94.236700678153852</v>
      </c>
      <c r="K218" s="19">
        <f t="shared" ca="1" si="53"/>
        <v>94.236700678153852</v>
      </c>
      <c r="L218" s="20">
        <f ca="1" xml:space="preserve"> K218*_Precio_cafe</f>
        <v>141.35505101723078</v>
      </c>
      <c r="M218" s="20">
        <f t="shared" ca="1" si="54"/>
        <v>27922.792474863618</v>
      </c>
      <c r="N218" s="20">
        <f ca="1">IF((N217-K218+Y218)&gt;_Max_Stock_Gramos,_Max_Stock_Gramos,N217-K218+Y218)</f>
        <v>1656.4323468369266</v>
      </c>
      <c r="O218" s="20">
        <f ca="1">N218/_GramosXFrasco</f>
        <v>9.7437196872760392</v>
      </c>
      <c r="P218" s="63">
        <f ca="1">(N218/_Max_Stock_Gramos)</f>
        <v>0.9743719687276039</v>
      </c>
      <c r="Q218" s="63"/>
      <c r="R218" s="10">
        <f ca="1">IF((N217-J218)&lt;0,(N217-J218)*_Costo_Faltante,0)</f>
        <v>0</v>
      </c>
      <c r="S218">
        <f>IF(U218=0,X218*_Costo_Frasco,0)</f>
        <v>0</v>
      </c>
      <c r="T218" s="11">
        <f t="shared" ca="1" si="55"/>
        <v>-16077.891735076808</v>
      </c>
      <c r="U218" s="10">
        <f>IF(U217=0,_Proxima_Compra,U217-1)</f>
        <v>2</v>
      </c>
      <c r="V218" s="3">
        <f t="shared" ca="1" si="50"/>
        <v>-1</v>
      </c>
      <c r="W218" s="3">
        <f ca="1">IF(W217&gt;0,W217-1,IF(V218&gt;0,LOOKUP(V218,$R$3:$R$5,$O$3:$O$5),-1))</f>
        <v>0</v>
      </c>
      <c r="X218" s="25">
        <f t="shared" ca="1" si="51"/>
        <v>2</v>
      </c>
      <c r="Y218" s="28">
        <f ca="1">X218*_GramosXFrasco</f>
        <v>340</v>
      </c>
    </row>
    <row r="219" spans="1:25" x14ac:dyDescent="0.25">
      <c r="A219" s="30">
        <f t="shared" si="52"/>
        <v>203</v>
      </c>
      <c r="B219" s="38">
        <f t="shared" ca="1" si="45"/>
        <v>0.3596440331291576</v>
      </c>
      <c r="C219" s="36">
        <f t="shared" ca="1" si="46"/>
        <v>-1</v>
      </c>
      <c r="D219" s="36">
        <f t="shared" ca="1" si="47"/>
        <v>-1</v>
      </c>
      <c r="E219" s="36">
        <f t="shared" ca="1" si="42"/>
        <v>-1</v>
      </c>
      <c r="F219" s="37">
        <f ca="1">IF(E219&lt;&gt;-1,_Media_M + E219*_Sigma,-1)</f>
        <v>-1</v>
      </c>
      <c r="G219" s="3">
        <f t="shared" ca="1" si="48"/>
        <v>50</v>
      </c>
      <c r="H219" s="36">
        <f t="shared" ca="1" si="43"/>
        <v>50</v>
      </c>
      <c r="I219" s="36">
        <f t="shared" ca="1" si="49"/>
        <v>104.3824795778547</v>
      </c>
      <c r="J219" s="35">
        <f t="shared" ca="1" si="44"/>
        <v>154.3824795778547</v>
      </c>
      <c r="K219" s="19">
        <f t="shared" ca="1" si="53"/>
        <v>154.3824795778547</v>
      </c>
      <c r="L219" s="20">
        <f ca="1" xml:space="preserve"> K219*_Precio_cafe</f>
        <v>231.57371936678203</v>
      </c>
      <c r="M219" s="20">
        <f t="shared" ca="1" si="54"/>
        <v>28154.366194230399</v>
      </c>
      <c r="N219" s="20">
        <f ca="1">IF((N218-K219+Y219)&gt;_Max_Stock_Gramos,_Max_Stock_Gramos,N218-K219+Y219)</f>
        <v>1502.049867259072</v>
      </c>
      <c r="O219" s="20">
        <f ca="1">N219/_GramosXFrasco</f>
        <v>8.8355874544651289</v>
      </c>
      <c r="P219" s="63">
        <f ca="1">(N219/_Max_Stock_Gramos)</f>
        <v>0.88355874544651292</v>
      </c>
      <c r="Q219" s="63"/>
      <c r="R219" s="10">
        <f ca="1">IF((N218-J219)&lt;0,(N218-J219)*_Costo_Faltante,0)</f>
        <v>0</v>
      </c>
      <c r="S219">
        <f>IF(U219=0,X219*_Costo_Frasco,0)</f>
        <v>0</v>
      </c>
      <c r="T219" s="11">
        <f t="shared" ca="1" si="55"/>
        <v>-16077.891735076808</v>
      </c>
      <c r="U219" s="10">
        <f>IF(U218=0,_Proxima_Compra,U218-1)</f>
        <v>1</v>
      </c>
      <c r="V219" s="3">
        <f t="shared" ca="1" si="50"/>
        <v>-1</v>
      </c>
      <c r="W219" s="3">
        <f ca="1">IF(W218&gt;0,W218-1,IF(V219&gt;0,LOOKUP(V219,$R$3:$R$5,$O$3:$O$5),-1))</f>
        <v>-1</v>
      </c>
      <c r="X219" s="25">
        <f t="shared" ca="1" si="51"/>
        <v>0</v>
      </c>
      <c r="Y219" s="28">
        <f ca="1">X219*_GramosXFrasco</f>
        <v>0</v>
      </c>
    </row>
    <row r="220" spans="1:25" x14ac:dyDescent="0.25">
      <c r="A220" s="30">
        <f t="shared" si="52"/>
        <v>204</v>
      </c>
      <c r="B220" s="38">
        <f t="shared" ca="1" si="45"/>
        <v>0.86878406289011811</v>
      </c>
      <c r="C220" s="36">
        <f t="shared" ca="1" si="46"/>
        <v>0.50968024864743866</v>
      </c>
      <c r="D220" s="36">
        <f t="shared" ca="1" si="47"/>
        <v>0.50425920498212884</v>
      </c>
      <c r="E220" s="36">
        <f t="shared" ca="1" si="42"/>
        <v>-0.78651000638679935</v>
      </c>
      <c r="F220" s="37">
        <f ca="1">IF(E220&lt;&gt;-1,_Media_M + E220*_Sigma,-1)</f>
        <v>63.202349904198009</v>
      </c>
      <c r="G220" s="3">
        <f t="shared" ca="1" si="48"/>
        <v>-1</v>
      </c>
      <c r="H220" s="36">
        <f t="shared" ca="1" si="43"/>
        <v>63.202349904198009</v>
      </c>
      <c r="I220" s="36">
        <f t="shared" ca="1" si="49"/>
        <v>4.9051901909190567</v>
      </c>
      <c r="J220" s="35">
        <f t="shared" ca="1" si="44"/>
        <v>68.107540095117059</v>
      </c>
      <c r="K220" s="19">
        <f t="shared" ca="1" si="53"/>
        <v>68.107540095117059</v>
      </c>
      <c r="L220" s="20">
        <f ca="1" xml:space="preserve"> K220*_Precio_cafe</f>
        <v>102.16131014267559</v>
      </c>
      <c r="M220" s="20">
        <f t="shared" ca="1" si="54"/>
        <v>28256.527504373076</v>
      </c>
      <c r="N220" s="20">
        <f ca="1">IF((N219-K220+Y220)&gt;_Max_Stock_Gramos,_Max_Stock_Gramos,N219-K220+Y220)</f>
        <v>1433.942327163955</v>
      </c>
      <c r="O220" s="20">
        <f ca="1">N220/_GramosXFrasco</f>
        <v>8.4349548656703242</v>
      </c>
      <c r="P220" s="63">
        <f ca="1">(N220/_Max_Stock_Gramos)</f>
        <v>0.84349548656703233</v>
      </c>
      <c r="Q220" s="63"/>
      <c r="R220" s="10">
        <f ca="1">IF((N219-J220)&lt;0,(N219-J220)*_Costo_Faltante,0)</f>
        <v>0</v>
      </c>
      <c r="S220">
        <f ca="1">IF(U220=0,X220*_Costo_Frasco,0)</f>
        <v>0</v>
      </c>
      <c r="T220" s="11">
        <f t="shared" ca="1" si="55"/>
        <v>-16077.891735076808</v>
      </c>
      <c r="U220" s="10">
        <f>IF(U219=0,_Proxima_Compra,U219-1)</f>
        <v>0</v>
      </c>
      <c r="V220" s="3">
        <f t="shared" ca="1" si="50"/>
        <v>0.56238349302783963</v>
      </c>
      <c r="W220" s="3">
        <f ca="1">IF(W219&gt;0,W219-1,IF(V220&gt;0,LOOKUP(V220,$R$3:$R$5,$O$3:$O$5),-1))</f>
        <v>1</v>
      </c>
      <c r="X220" s="25">
        <f t="shared" ca="1" si="51"/>
        <v>0</v>
      </c>
      <c r="Y220" s="28">
        <f ca="1">X220*_GramosXFrasco</f>
        <v>0</v>
      </c>
    </row>
    <row r="221" spans="1:25" x14ac:dyDescent="0.25">
      <c r="A221" s="30">
        <f t="shared" si="52"/>
        <v>205</v>
      </c>
      <c r="B221" s="38">
        <f t="shared" ca="1" si="45"/>
        <v>0.64001918482859133</v>
      </c>
      <c r="C221" s="36">
        <f t="shared" ca="1" si="46"/>
        <v>0.2271968461261703</v>
      </c>
      <c r="D221" s="36">
        <f t="shared" ca="1" si="47"/>
        <v>0.34473390168710072</v>
      </c>
      <c r="E221" s="36">
        <f t="shared" ca="1" si="42"/>
        <v>-0.26528993980671228</v>
      </c>
      <c r="F221" s="37">
        <f ca="1">IF(E221&lt;&gt;-1,_Media_M + E221*_Sigma,-1)</f>
        <v>71.02065090289932</v>
      </c>
      <c r="G221" s="3">
        <f t="shared" ca="1" si="48"/>
        <v>-1</v>
      </c>
      <c r="H221" s="36">
        <f t="shared" ca="1" si="43"/>
        <v>71.02065090289932</v>
      </c>
      <c r="I221" s="36">
        <f t="shared" ca="1" si="49"/>
        <v>46.754014808000044</v>
      </c>
      <c r="J221" s="35">
        <f t="shared" ca="1" si="44"/>
        <v>117.77466571089937</v>
      </c>
      <c r="K221" s="19">
        <f t="shared" ca="1" si="53"/>
        <v>117.77466571089937</v>
      </c>
      <c r="L221" s="20">
        <f ca="1" xml:space="preserve"> K221*_Precio_cafe</f>
        <v>176.66199856634904</v>
      </c>
      <c r="M221" s="20">
        <f t="shared" ca="1" si="54"/>
        <v>28433.189502939425</v>
      </c>
      <c r="N221" s="20">
        <f ca="1">IF((N220-K221+Y221)&gt;_Max_Stock_Gramos,_Max_Stock_Gramos,N220-K221+Y221)</f>
        <v>1656.1676614530556</v>
      </c>
      <c r="O221" s="20">
        <f ca="1">N221/_GramosXFrasco</f>
        <v>9.7421627144297389</v>
      </c>
      <c r="P221" s="63">
        <f ca="1">(N221/_Max_Stock_Gramos)</f>
        <v>0.97421627144297396</v>
      </c>
      <c r="Q221" s="63"/>
      <c r="R221" s="10">
        <f ca="1">IF((N220-J221)&lt;0,(N220-J221)*_Costo_Faltante,0)</f>
        <v>0</v>
      </c>
      <c r="S221">
        <f>IF(U221=0,X221*_Costo_Frasco,0)</f>
        <v>0</v>
      </c>
      <c r="T221" s="11">
        <f t="shared" ca="1" si="55"/>
        <v>-16077.891735076808</v>
      </c>
      <c r="U221" s="10">
        <f>IF(U220=0,_Proxima_Compra,U220-1)</f>
        <v>2</v>
      </c>
      <c r="V221" s="3">
        <f t="shared" ca="1" si="50"/>
        <v>-1</v>
      </c>
      <c r="W221" s="3">
        <f ca="1">IF(W220&gt;0,W220-1,IF(V221&gt;0,LOOKUP(V221,$R$3:$R$5,$O$3:$O$5),-1))</f>
        <v>0</v>
      </c>
      <c r="X221" s="25">
        <f t="shared" ca="1" si="51"/>
        <v>2</v>
      </c>
      <c r="Y221" s="28">
        <f ca="1">X221*_GramosXFrasco</f>
        <v>340</v>
      </c>
    </row>
    <row r="222" spans="1:25" x14ac:dyDescent="0.25">
      <c r="A222" s="30">
        <f t="shared" si="52"/>
        <v>206</v>
      </c>
      <c r="B222" s="38">
        <f t="shared" ca="1" si="45"/>
        <v>0.71818536045146331</v>
      </c>
      <c r="C222" s="36">
        <f t="shared" ca="1" si="46"/>
        <v>0.26494308789930354</v>
      </c>
      <c r="D222" s="36">
        <f t="shared" ca="1" si="47"/>
        <v>0.34364273635500964</v>
      </c>
      <c r="E222" s="36">
        <f t="shared" ca="1" si="42"/>
        <v>-0.28697710207856691</v>
      </c>
      <c r="F222" s="37">
        <f ca="1">IF(E222&lt;&gt;-1,_Media_M + E222*_Sigma,-1)</f>
        <v>70.695343468821491</v>
      </c>
      <c r="G222" s="3">
        <f t="shared" ca="1" si="48"/>
        <v>-1</v>
      </c>
      <c r="H222" s="36">
        <f t="shared" ca="1" si="43"/>
        <v>70.695343468821491</v>
      </c>
      <c r="I222" s="36">
        <f t="shared" ca="1" si="49"/>
        <v>57.059519665698339</v>
      </c>
      <c r="J222" s="35">
        <f t="shared" ca="1" si="44"/>
        <v>127.75486313451984</v>
      </c>
      <c r="K222" s="19">
        <f t="shared" ca="1" si="53"/>
        <v>127.75486313451984</v>
      </c>
      <c r="L222" s="20">
        <f ca="1" xml:space="preserve"> K222*_Precio_cafe</f>
        <v>191.63229470177976</v>
      </c>
      <c r="M222" s="20">
        <f t="shared" ca="1" si="54"/>
        <v>28624.821797641205</v>
      </c>
      <c r="N222" s="20">
        <f ca="1">IF((N221-K222+Y222)&gt;_Max_Stock_Gramos,_Max_Stock_Gramos,N221-K222+Y222)</f>
        <v>1528.4127983185358</v>
      </c>
      <c r="O222" s="20">
        <f ca="1">N222/_GramosXFrasco</f>
        <v>8.9906635195207993</v>
      </c>
      <c r="P222" s="63">
        <f ca="1">(N222/_Max_Stock_Gramos)</f>
        <v>0.89906635195207985</v>
      </c>
      <c r="Q222" s="63"/>
      <c r="R222" s="10">
        <f ca="1">IF((N221-J222)&lt;0,(N221-J222)*_Costo_Faltante,0)</f>
        <v>0</v>
      </c>
      <c r="S222">
        <f>IF(U222=0,X222*_Costo_Frasco,0)</f>
        <v>0</v>
      </c>
      <c r="T222" s="11">
        <f t="shared" ca="1" si="55"/>
        <v>-16077.891735076808</v>
      </c>
      <c r="U222" s="10">
        <f>IF(U221=0,_Proxima_Compra,U221-1)</f>
        <v>1</v>
      </c>
      <c r="V222" s="3">
        <f t="shared" ca="1" si="50"/>
        <v>-1</v>
      </c>
      <c r="W222" s="3">
        <f ca="1">IF(W221&gt;0,W221-1,IF(V222&gt;0,LOOKUP(V222,$R$3:$R$5,$O$3:$O$5),-1))</f>
        <v>-1</v>
      </c>
      <c r="X222" s="25">
        <f t="shared" ca="1" si="51"/>
        <v>0</v>
      </c>
      <c r="Y222" s="28">
        <f ca="1">X222*_GramosXFrasco</f>
        <v>0</v>
      </c>
    </row>
    <row r="223" spans="1:25" x14ac:dyDescent="0.25">
      <c r="A223" s="30">
        <f t="shared" si="52"/>
        <v>207</v>
      </c>
      <c r="B223" s="38">
        <f t="shared" ca="1" si="45"/>
        <v>0.84741987225029314</v>
      </c>
      <c r="C223" s="36">
        <f t="shared" ca="1" si="46"/>
        <v>0.9677204991648013</v>
      </c>
      <c r="D223" s="36">
        <f t="shared" ca="1" si="47"/>
        <v>0.91027151365207715</v>
      </c>
      <c r="E223" s="36">
        <f t="shared" ca="1" si="42"/>
        <v>1.4596372281828445</v>
      </c>
      <c r="F223" s="37">
        <f ca="1">IF(E223&lt;&gt;-1,_Media_M + E223*_Sigma,-1)</f>
        <v>96.894558422742662</v>
      </c>
      <c r="G223" s="3">
        <f t="shared" ca="1" si="48"/>
        <v>-1</v>
      </c>
      <c r="H223" s="36">
        <f t="shared" ca="1" si="43"/>
        <v>96.894558422742662</v>
      </c>
      <c r="I223" s="36">
        <f t="shared" ca="1" si="49"/>
        <v>5.9341259323534592</v>
      </c>
      <c r="J223" s="35">
        <f t="shared" ca="1" si="44"/>
        <v>102.82868435509612</v>
      </c>
      <c r="K223" s="19">
        <f t="shared" ca="1" si="53"/>
        <v>102.82868435509612</v>
      </c>
      <c r="L223" s="20">
        <f ca="1" xml:space="preserve"> K223*_Precio_cafe</f>
        <v>154.24302653264417</v>
      </c>
      <c r="M223" s="20">
        <f t="shared" ca="1" si="54"/>
        <v>28779.064824173849</v>
      </c>
      <c r="N223" s="20">
        <f ca="1">IF((N222-K223+Y223)&gt;_Max_Stock_Gramos,_Max_Stock_Gramos,N222-K223+Y223)</f>
        <v>1700</v>
      </c>
      <c r="O223" s="20">
        <f ca="1">N223/_GramosXFrasco</f>
        <v>10</v>
      </c>
      <c r="P223" s="63">
        <f ca="1">(N223/_Max_Stock_Gramos)</f>
        <v>1</v>
      </c>
      <c r="Q223" s="63"/>
      <c r="R223" s="10">
        <f ca="1">IF((N222-J223)&lt;0,(N222-J223)*_Costo_Faltante,0)</f>
        <v>0</v>
      </c>
      <c r="S223">
        <f ca="1">IF(U223=0,X223*_Costo_Frasco,0)</f>
        <v>-500</v>
      </c>
      <c r="T223" s="11">
        <f t="shared" ca="1" si="55"/>
        <v>-16577.89173507681</v>
      </c>
      <c r="U223" s="10">
        <f>IF(U222=0,_Proxima_Compra,U222-1)</f>
        <v>0</v>
      </c>
      <c r="V223" s="3">
        <f t="shared" ca="1" si="50"/>
        <v>0.29963446593329435</v>
      </c>
      <c r="W223" s="3">
        <f ca="1">IF(W222&gt;0,W222-1,IF(V223&gt;0,LOOKUP(V223,$R$3:$R$5,$O$3:$O$5),-1))</f>
        <v>0</v>
      </c>
      <c r="X223" s="25">
        <f t="shared" ca="1" si="51"/>
        <v>2</v>
      </c>
      <c r="Y223" s="28">
        <f ca="1">X223*_GramosXFrasco</f>
        <v>340</v>
      </c>
    </row>
    <row r="224" spans="1:25" x14ac:dyDescent="0.25">
      <c r="A224" s="30">
        <f t="shared" si="52"/>
        <v>208</v>
      </c>
      <c r="B224" s="38">
        <f t="shared" ca="1" si="45"/>
        <v>0.85576104078503779</v>
      </c>
      <c r="C224" s="36">
        <f t="shared" ca="1" si="46"/>
        <v>0.84220628581600776</v>
      </c>
      <c r="D224" s="36">
        <f t="shared" ca="1" si="47"/>
        <v>0.27549539559953595</v>
      </c>
      <c r="E224" s="36">
        <f t="shared" ca="1" si="42"/>
        <v>-0.20200423736327741</v>
      </c>
      <c r="F224" s="37">
        <f ca="1">IF(E224&lt;&gt;-1,_Media_M + E224*_Sigma,-1)</f>
        <v>71.969936439550835</v>
      </c>
      <c r="G224" s="3">
        <f t="shared" ca="1" si="48"/>
        <v>-1</v>
      </c>
      <c r="H224" s="36">
        <f t="shared" ca="1" si="43"/>
        <v>71.969936439550835</v>
      </c>
      <c r="I224" s="36">
        <f t="shared" ca="1" si="49"/>
        <v>97.347772732966718</v>
      </c>
      <c r="J224" s="35">
        <f t="shared" ca="1" si="44"/>
        <v>169.31770917251754</v>
      </c>
      <c r="K224" s="19">
        <f t="shared" ca="1" si="53"/>
        <v>169.31770917251754</v>
      </c>
      <c r="L224" s="20">
        <f ca="1" xml:space="preserve"> K224*_Precio_cafe</f>
        <v>253.97656375877631</v>
      </c>
      <c r="M224" s="20">
        <f t="shared" ca="1" si="54"/>
        <v>29033.041387932626</v>
      </c>
      <c r="N224" s="20">
        <f ca="1">IF((N223-K224+Y224)&gt;_Max_Stock_Gramos,_Max_Stock_Gramos,N223-K224+Y224)</f>
        <v>1530.6822908274826</v>
      </c>
      <c r="O224" s="20">
        <f ca="1">N224/_GramosXFrasco</f>
        <v>9.0040134754557801</v>
      </c>
      <c r="P224" s="63">
        <f ca="1">(N224/_Max_Stock_Gramos)</f>
        <v>0.90040134754557799</v>
      </c>
      <c r="Q224" s="63"/>
      <c r="R224" s="10">
        <f ca="1">IF((N223-J224)&lt;0,(N223-J224)*_Costo_Faltante,0)</f>
        <v>0</v>
      </c>
      <c r="S224">
        <f>IF(U224=0,X224*_Costo_Frasco,0)</f>
        <v>0</v>
      </c>
      <c r="T224" s="11">
        <f t="shared" ca="1" si="55"/>
        <v>-16577.89173507681</v>
      </c>
      <c r="U224" s="10">
        <f>IF(U223=0,_Proxima_Compra,U223-1)</f>
        <v>2</v>
      </c>
      <c r="V224" s="3">
        <f t="shared" ca="1" si="50"/>
        <v>-1</v>
      </c>
      <c r="W224" s="3">
        <f ca="1">IF(W223&gt;0,W223-1,IF(V224&gt;0,LOOKUP(V224,$R$3:$R$5,$O$3:$O$5),-1))</f>
        <v>-1</v>
      </c>
      <c r="X224" s="25">
        <f t="shared" ca="1" si="51"/>
        <v>0</v>
      </c>
      <c r="Y224" s="28">
        <f ca="1">X224*_GramosXFrasco</f>
        <v>0</v>
      </c>
    </row>
    <row r="225" spans="1:25" x14ac:dyDescent="0.25">
      <c r="A225" s="30">
        <f t="shared" si="52"/>
        <v>209</v>
      </c>
      <c r="B225" s="38">
        <f t="shared" ca="1" si="45"/>
        <v>0.18618319490274648</v>
      </c>
      <c r="C225" s="36">
        <f t="shared" ca="1" si="46"/>
        <v>-1</v>
      </c>
      <c r="D225" s="36">
        <f t="shared" ca="1" si="47"/>
        <v>-1</v>
      </c>
      <c r="E225" s="36">
        <f t="shared" ca="1" si="42"/>
        <v>-1</v>
      </c>
      <c r="F225" s="37">
        <f ca="1">IF(E225&lt;&gt;-1,_Media_M + E225*_Sigma,-1)</f>
        <v>-1</v>
      </c>
      <c r="G225" s="3">
        <f t="shared" ca="1" si="48"/>
        <v>50</v>
      </c>
      <c r="H225" s="36">
        <f t="shared" ca="1" si="43"/>
        <v>50</v>
      </c>
      <c r="I225" s="36">
        <f t="shared" ca="1" si="49"/>
        <v>16.514281917895385</v>
      </c>
      <c r="J225" s="35">
        <f t="shared" ca="1" si="44"/>
        <v>66.514281917895389</v>
      </c>
      <c r="K225" s="19">
        <f t="shared" ca="1" si="53"/>
        <v>66.514281917895389</v>
      </c>
      <c r="L225" s="20">
        <f ca="1" xml:space="preserve"> K225*_Precio_cafe</f>
        <v>99.771422876843076</v>
      </c>
      <c r="M225" s="20">
        <f t="shared" ca="1" si="54"/>
        <v>29132.812810809468</v>
      </c>
      <c r="N225" s="20">
        <f ca="1">IF((N224-K225+Y225)&gt;_Max_Stock_Gramos,_Max_Stock_Gramos,N224-K225+Y225)</f>
        <v>1464.1680089095871</v>
      </c>
      <c r="O225" s="20">
        <f ca="1">N225/_GramosXFrasco</f>
        <v>8.612752993585806</v>
      </c>
      <c r="P225" s="63">
        <f ca="1">(N225/_Max_Stock_Gramos)</f>
        <v>0.8612752993585806</v>
      </c>
      <c r="Q225" s="63"/>
      <c r="R225" s="10">
        <f ca="1">IF((N224-J225)&lt;0,(N224-J225)*_Costo_Faltante,0)</f>
        <v>0</v>
      </c>
      <c r="S225">
        <f>IF(U225=0,X225*_Costo_Frasco,0)</f>
        <v>0</v>
      </c>
      <c r="T225" s="11">
        <f t="shared" ca="1" si="55"/>
        <v>-16577.89173507681</v>
      </c>
      <c r="U225" s="10">
        <f>IF(U224=0,_Proxima_Compra,U224-1)</f>
        <v>1</v>
      </c>
      <c r="V225" s="3">
        <f t="shared" ca="1" si="50"/>
        <v>-1</v>
      </c>
      <c r="W225" s="3">
        <f ca="1">IF(W224&gt;0,W224-1,IF(V225&gt;0,LOOKUP(V225,$R$3:$R$5,$O$3:$O$5),-1))</f>
        <v>-1</v>
      </c>
      <c r="X225" s="25">
        <f t="shared" ca="1" si="51"/>
        <v>0</v>
      </c>
      <c r="Y225" s="28">
        <f ca="1">X225*_GramosXFrasco</f>
        <v>0</v>
      </c>
    </row>
    <row r="226" spans="1:25" x14ac:dyDescent="0.25">
      <c r="A226" s="30">
        <f t="shared" si="52"/>
        <v>210</v>
      </c>
      <c r="B226" s="38">
        <f t="shared" ca="1" si="45"/>
        <v>0.55773805938575949</v>
      </c>
      <c r="C226" s="36">
        <f t="shared" ca="1" si="46"/>
        <v>4.1153785999994974E-2</v>
      </c>
      <c r="D226" s="36">
        <f t="shared" ca="1" si="47"/>
        <v>0.2821317770406917</v>
      </c>
      <c r="E226" s="36">
        <f t="shared" ca="1" si="42"/>
        <v>-3.8310617622756872E-2</v>
      </c>
      <c r="F226" s="37">
        <f ca="1">IF(E226&lt;&gt;-1,_Media_M + E226*_Sigma,-1)</f>
        <v>74.425340735658651</v>
      </c>
      <c r="G226" s="3">
        <f t="shared" ca="1" si="48"/>
        <v>-1</v>
      </c>
      <c r="H226" s="36">
        <f t="shared" ca="1" si="43"/>
        <v>74.425340735658651</v>
      </c>
      <c r="I226" s="36">
        <f t="shared" ca="1" si="49"/>
        <v>50.840711043556794</v>
      </c>
      <c r="J226" s="35">
        <f t="shared" ca="1" si="44"/>
        <v>125.26605177921545</v>
      </c>
      <c r="K226" s="19">
        <f t="shared" ca="1" si="53"/>
        <v>125.26605177921545</v>
      </c>
      <c r="L226" s="20">
        <f ca="1" xml:space="preserve"> K226*_Precio_cafe</f>
        <v>187.89907766882317</v>
      </c>
      <c r="M226" s="20">
        <f t="shared" ca="1" si="54"/>
        <v>29320.71188847829</v>
      </c>
      <c r="N226" s="20">
        <f ca="1">IF((N225-K226+Y226)&gt;_Max_Stock_Gramos,_Max_Stock_Gramos,N225-K226+Y226)</f>
        <v>1338.9019571303716</v>
      </c>
      <c r="O226" s="20">
        <f ca="1">N226/_GramosXFrasco</f>
        <v>7.8758938654727739</v>
      </c>
      <c r="P226" s="63">
        <f ca="1">(N226/_Max_Stock_Gramos)</f>
        <v>0.78758938654727739</v>
      </c>
      <c r="Q226" s="63"/>
      <c r="R226" s="10">
        <f ca="1">IF((N225-J226)&lt;0,(N225-J226)*_Costo_Faltante,0)</f>
        <v>0</v>
      </c>
      <c r="S226">
        <f ca="1">IF(U226=0,X226*_Costo_Frasco,0)</f>
        <v>0</v>
      </c>
      <c r="T226" s="11">
        <f t="shared" ca="1" si="55"/>
        <v>-16577.89173507681</v>
      </c>
      <c r="U226" s="10">
        <f>IF(U225=0,_Proxima_Compra,U225-1)</f>
        <v>0</v>
      </c>
      <c r="V226" s="3">
        <f t="shared" ca="1" si="50"/>
        <v>0.83959516072849871</v>
      </c>
      <c r="W226" s="3">
        <f ca="1">IF(W225&gt;0,W225-1,IF(V226&gt;0,LOOKUP(V226,$R$3:$R$5,$O$3:$O$5),-1))</f>
        <v>2</v>
      </c>
      <c r="X226" s="25">
        <f t="shared" ca="1" si="51"/>
        <v>0</v>
      </c>
      <c r="Y226" s="28">
        <f ca="1">X226*_GramosXFrasco</f>
        <v>0</v>
      </c>
    </row>
    <row r="227" spans="1:25" x14ac:dyDescent="0.25">
      <c r="A227" s="30">
        <f t="shared" si="52"/>
        <v>211</v>
      </c>
      <c r="B227" s="38">
        <f t="shared" ca="1" si="45"/>
        <v>0.93273217875084591</v>
      </c>
      <c r="C227" s="36">
        <f t="shared" ca="1" si="46"/>
        <v>0.65293525527381979</v>
      </c>
      <c r="D227" s="36">
        <f t="shared" ca="1" si="47"/>
        <v>0.72827690381178345</v>
      </c>
      <c r="E227" s="36">
        <f t="shared" ca="1" si="42"/>
        <v>-0.13045248242349131</v>
      </c>
      <c r="F227" s="37">
        <f ca="1">IF(E227&lt;&gt;-1,_Media_M + E227*_Sigma,-1)</f>
        <v>73.043212763647631</v>
      </c>
      <c r="G227" s="3">
        <f t="shared" ca="1" si="48"/>
        <v>-1</v>
      </c>
      <c r="H227" s="36">
        <f t="shared" ca="1" si="43"/>
        <v>73.043212763647631</v>
      </c>
      <c r="I227" s="36">
        <f t="shared" ca="1" si="49"/>
        <v>93.257066164124453</v>
      </c>
      <c r="J227" s="35">
        <f t="shared" ca="1" si="44"/>
        <v>166.30027892777207</v>
      </c>
      <c r="K227" s="19">
        <f t="shared" ca="1" si="53"/>
        <v>166.30027892777207</v>
      </c>
      <c r="L227" s="20">
        <f ca="1" xml:space="preserve"> K227*_Precio_cafe</f>
        <v>249.4504183916581</v>
      </c>
      <c r="M227" s="20">
        <f t="shared" ca="1" si="54"/>
        <v>29570.162306869948</v>
      </c>
      <c r="N227" s="20">
        <f ca="1">IF((N226-K227+Y227)&gt;_Max_Stock_Gramos,_Max_Stock_Gramos,N226-K227+Y227)</f>
        <v>1172.6016782025995</v>
      </c>
      <c r="O227" s="20">
        <f ca="1">N227/_GramosXFrasco</f>
        <v>6.8976569306035262</v>
      </c>
      <c r="P227" s="63">
        <f ca="1">(N227/_Max_Stock_Gramos)</f>
        <v>0.68976569306035262</v>
      </c>
      <c r="Q227" s="63"/>
      <c r="R227" s="10">
        <f ca="1">IF((N226-J227)&lt;0,(N226-J227)*_Costo_Faltante,0)</f>
        <v>0</v>
      </c>
      <c r="S227">
        <f>IF(U227=0,X227*_Costo_Frasco,0)</f>
        <v>0</v>
      </c>
      <c r="T227" s="11">
        <f t="shared" ca="1" si="55"/>
        <v>-16577.89173507681</v>
      </c>
      <c r="U227" s="10">
        <f>IF(U226=0,_Proxima_Compra,U226-1)</f>
        <v>2</v>
      </c>
      <c r="V227" s="3">
        <f t="shared" ca="1" si="50"/>
        <v>-1</v>
      </c>
      <c r="W227" s="3">
        <f ca="1">IF(W226&gt;0,W226-1,IF(V227&gt;0,LOOKUP(V227,$R$3:$R$5,$O$3:$O$5),-1))</f>
        <v>1</v>
      </c>
      <c r="X227" s="25">
        <f t="shared" ca="1" si="51"/>
        <v>0</v>
      </c>
      <c r="Y227" s="28">
        <f ca="1">X227*_GramosXFrasco</f>
        <v>0</v>
      </c>
    </row>
    <row r="228" spans="1:25" x14ac:dyDescent="0.25">
      <c r="A228" s="30">
        <f t="shared" si="52"/>
        <v>212</v>
      </c>
      <c r="B228" s="38">
        <f t="shared" ca="1" si="45"/>
        <v>0.33078337055886575</v>
      </c>
      <c r="C228" s="36">
        <f t="shared" ca="1" si="46"/>
        <v>-1</v>
      </c>
      <c r="D228" s="36">
        <f t="shared" ca="1" si="47"/>
        <v>-1</v>
      </c>
      <c r="E228" s="36">
        <f t="shared" ref="E228:E291" ca="1" si="56">IF(D228&gt;0,SQRT(-2*LOG(1-C228)) * COS(2*PI()*D228),-1)</f>
        <v>-1</v>
      </c>
      <c r="F228" s="37">
        <f ca="1">IF(E228&lt;&gt;-1,_Media_M + E228*_Sigma,-1)</f>
        <v>-1</v>
      </c>
      <c r="G228" s="3">
        <f t="shared" ca="1" si="48"/>
        <v>50</v>
      </c>
      <c r="H228" s="36">
        <f t="shared" ref="H228:H291" ca="1" si="57">IF(F228=-1,G228,F228)</f>
        <v>50</v>
      </c>
      <c r="I228" s="36">
        <f t="shared" ca="1" si="49"/>
        <v>8.9270820401948079</v>
      </c>
      <c r="J228" s="35">
        <f t="shared" ref="J228:J291" ca="1" si="58">H228+I228</f>
        <v>58.927082040194804</v>
      </c>
      <c r="K228" s="19">
        <f t="shared" ca="1" si="53"/>
        <v>58.927082040194804</v>
      </c>
      <c r="L228" s="20">
        <f ca="1" xml:space="preserve"> K228*_Precio_cafe</f>
        <v>88.390623060292199</v>
      </c>
      <c r="M228" s="20">
        <f t="shared" ca="1" si="54"/>
        <v>29658.55292993024</v>
      </c>
      <c r="N228" s="20">
        <f ca="1">IF((N227-K228+Y228)&gt;_Max_Stock_Gramos,_Max_Stock_Gramos,N227-K228+Y228)</f>
        <v>1453.6745961624047</v>
      </c>
      <c r="O228" s="20">
        <f ca="1">N228/_GramosXFrasco</f>
        <v>8.5510270362494385</v>
      </c>
      <c r="P228" s="63">
        <f ca="1">(N228/_Max_Stock_Gramos)</f>
        <v>0.85510270362494389</v>
      </c>
      <c r="Q228" s="63"/>
      <c r="R228" s="10">
        <f ca="1">IF((N227-J228)&lt;0,(N227-J228)*_Costo_Faltante,0)</f>
        <v>0</v>
      </c>
      <c r="S228">
        <f>IF(U228=0,X228*_Costo_Frasco,0)</f>
        <v>0</v>
      </c>
      <c r="T228" s="11">
        <f t="shared" ca="1" si="55"/>
        <v>-16577.89173507681</v>
      </c>
      <c r="U228" s="10">
        <f>IF(U227=0,_Proxima_Compra,U227-1)</f>
        <v>1</v>
      </c>
      <c r="V228" s="3">
        <f t="shared" ca="1" si="50"/>
        <v>-1</v>
      </c>
      <c r="W228" s="3">
        <f ca="1">IF(W227&gt;0,W227-1,IF(V228&gt;0,LOOKUP(V228,$R$3:$R$5,$O$3:$O$5),-1))</f>
        <v>0</v>
      </c>
      <c r="X228" s="25">
        <f t="shared" ca="1" si="51"/>
        <v>2</v>
      </c>
      <c r="Y228" s="28">
        <f ca="1">X228*_GramosXFrasco</f>
        <v>340</v>
      </c>
    </row>
    <row r="229" spans="1:25" x14ac:dyDescent="0.25">
      <c r="A229" s="30">
        <f t="shared" si="52"/>
        <v>213</v>
      </c>
      <c r="B229" s="38">
        <f t="shared" ca="1" si="45"/>
        <v>0.85232955017157275</v>
      </c>
      <c r="C229" s="36">
        <f t="shared" ca="1" si="46"/>
        <v>0.10178904229880992</v>
      </c>
      <c r="D229" s="36">
        <f t="shared" ca="1" si="47"/>
        <v>1.4623702182303466E-2</v>
      </c>
      <c r="E229" s="36">
        <f t="shared" ca="1" si="56"/>
        <v>0.30406956835881999</v>
      </c>
      <c r="F229" s="37">
        <f ca="1">IF(E229&lt;&gt;-1,_Media_M + E229*_Sigma,-1)</f>
        <v>79.561043525382303</v>
      </c>
      <c r="G229" s="3">
        <f t="shared" ca="1" si="48"/>
        <v>-1</v>
      </c>
      <c r="H229" s="36">
        <f t="shared" ca="1" si="57"/>
        <v>79.561043525382303</v>
      </c>
      <c r="I229" s="36">
        <f t="shared" ca="1" si="49"/>
        <v>40.902934712452002</v>
      </c>
      <c r="J229" s="35">
        <f t="shared" ca="1" si="58"/>
        <v>120.46397823783431</v>
      </c>
      <c r="K229" s="19">
        <f t="shared" ca="1" si="53"/>
        <v>120.46397823783431</v>
      </c>
      <c r="L229" s="20">
        <f ca="1" xml:space="preserve"> K229*_Precio_cafe</f>
        <v>180.69596735675145</v>
      </c>
      <c r="M229" s="20">
        <f t="shared" ca="1" si="54"/>
        <v>29839.248897286991</v>
      </c>
      <c r="N229" s="20">
        <f ca="1">IF((N228-K229+Y229)&gt;_Max_Stock_Gramos,_Max_Stock_Gramos,N228-K229+Y229)</f>
        <v>1673.2106179245704</v>
      </c>
      <c r="O229" s="20">
        <f ca="1">N229/_GramosXFrasco</f>
        <v>9.8424153995562964</v>
      </c>
      <c r="P229" s="63">
        <f ca="1">(N229/_Max_Stock_Gramos)</f>
        <v>0.98424153995562969</v>
      </c>
      <c r="Q229" s="63"/>
      <c r="R229" s="10">
        <f ca="1">IF((N228-J229)&lt;0,(N228-J229)*_Costo_Faltante,0)</f>
        <v>0</v>
      </c>
      <c r="S229">
        <f ca="1">IF(U229=0,X229*_Costo_Frasco,0)</f>
        <v>-500</v>
      </c>
      <c r="T229" s="11">
        <f t="shared" ca="1" si="55"/>
        <v>-17077.89173507681</v>
      </c>
      <c r="U229" s="10">
        <f>IF(U228=0,_Proxima_Compra,U228-1)</f>
        <v>0</v>
      </c>
      <c r="V229" s="3">
        <f t="shared" ca="1" si="50"/>
        <v>0.29592230162345345</v>
      </c>
      <c r="W229" s="3">
        <f ca="1">IF(W228&gt;0,W228-1,IF(V229&gt;0,LOOKUP(V229,$R$3:$R$5,$O$3:$O$5),-1))</f>
        <v>0</v>
      </c>
      <c r="X229" s="25">
        <f t="shared" ca="1" si="51"/>
        <v>2</v>
      </c>
      <c r="Y229" s="28">
        <f ca="1">X229*_GramosXFrasco</f>
        <v>340</v>
      </c>
    </row>
    <row r="230" spans="1:25" x14ac:dyDescent="0.25">
      <c r="A230" s="30">
        <f t="shared" si="52"/>
        <v>214</v>
      </c>
      <c r="B230" s="38">
        <f t="shared" ca="1" si="45"/>
        <v>0.17642655972102173</v>
      </c>
      <c r="C230" s="36">
        <f t="shared" ca="1" si="46"/>
        <v>-1</v>
      </c>
      <c r="D230" s="36">
        <f t="shared" ca="1" si="47"/>
        <v>-1</v>
      </c>
      <c r="E230" s="36">
        <f t="shared" ca="1" si="56"/>
        <v>-1</v>
      </c>
      <c r="F230" s="37">
        <f ca="1">IF(E230&lt;&gt;-1,_Media_M + E230*_Sigma,-1)</f>
        <v>-1</v>
      </c>
      <c r="G230" s="3">
        <f t="shared" ca="1" si="48"/>
        <v>50</v>
      </c>
      <c r="H230" s="36">
        <f t="shared" ca="1" si="57"/>
        <v>50</v>
      </c>
      <c r="I230" s="36">
        <f t="shared" ca="1" si="49"/>
        <v>104.78797556833813</v>
      </c>
      <c r="J230" s="35">
        <f t="shared" ca="1" si="58"/>
        <v>154.78797556833814</v>
      </c>
      <c r="K230" s="19">
        <f t="shared" ca="1" si="53"/>
        <v>154.78797556833814</v>
      </c>
      <c r="L230" s="20">
        <f ca="1" xml:space="preserve"> K230*_Precio_cafe</f>
        <v>232.18196335250721</v>
      </c>
      <c r="M230" s="20">
        <f t="shared" ca="1" si="54"/>
        <v>30071.430860639499</v>
      </c>
      <c r="N230" s="20">
        <f ca="1">IF((N229-K230+Y230)&gt;_Max_Stock_Gramos,_Max_Stock_Gramos,N229-K230+Y230)</f>
        <v>1518.4226423562322</v>
      </c>
      <c r="O230" s="20">
        <f ca="1">N230/_GramosXFrasco</f>
        <v>8.9318978962131315</v>
      </c>
      <c r="P230" s="63">
        <f ca="1">(N230/_Max_Stock_Gramos)</f>
        <v>0.89318978962131312</v>
      </c>
      <c r="Q230" s="63"/>
      <c r="R230" s="10">
        <f ca="1">IF((N229-J230)&lt;0,(N229-J230)*_Costo_Faltante,0)</f>
        <v>0</v>
      </c>
      <c r="S230">
        <f>IF(U230=0,X230*_Costo_Frasco,0)</f>
        <v>0</v>
      </c>
      <c r="T230" s="11">
        <f t="shared" ca="1" si="55"/>
        <v>-17077.89173507681</v>
      </c>
      <c r="U230" s="10">
        <f>IF(U229=0,_Proxima_Compra,U229-1)</f>
        <v>2</v>
      </c>
      <c r="V230" s="3">
        <f t="shared" ca="1" si="50"/>
        <v>-1</v>
      </c>
      <c r="W230" s="3">
        <f ca="1">IF(W229&gt;0,W229-1,IF(V230&gt;0,LOOKUP(V230,$R$3:$R$5,$O$3:$O$5),-1))</f>
        <v>-1</v>
      </c>
      <c r="X230" s="25">
        <f t="shared" ca="1" si="51"/>
        <v>0</v>
      </c>
      <c r="Y230" s="28">
        <f ca="1">X230*_GramosXFrasco</f>
        <v>0</v>
      </c>
    </row>
    <row r="231" spans="1:25" x14ac:dyDescent="0.25">
      <c r="A231" s="30">
        <f t="shared" si="52"/>
        <v>215</v>
      </c>
      <c r="B231" s="38">
        <f t="shared" ca="1" si="45"/>
        <v>0.6700516508062988</v>
      </c>
      <c r="C231" s="36">
        <f t="shared" ca="1" si="46"/>
        <v>0.94330022408406489</v>
      </c>
      <c r="D231" s="36">
        <f t="shared" ca="1" si="47"/>
        <v>0.27128567314524576</v>
      </c>
      <c r="E231" s="36">
        <f t="shared" ca="1" si="56"/>
        <v>-0.21053231099795658</v>
      </c>
      <c r="F231" s="37">
        <f ca="1">IF(E231&lt;&gt;-1,_Media_M + E231*_Sigma,-1)</f>
        <v>71.842015335030652</v>
      </c>
      <c r="G231" s="3">
        <f t="shared" ca="1" si="48"/>
        <v>-1</v>
      </c>
      <c r="H231" s="36">
        <f t="shared" ca="1" si="57"/>
        <v>71.842015335030652</v>
      </c>
      <c r="I231" s="36">
        <f t="shared" ca="1" si="49"/>
        <v>83.144267850005463</v>
      </c>
      <c r="J231" s="35">
        <f t="shared" ca="1" si="58"/>
        <v>154.98628318503611</v>
      </c>
      <c r="K231" s="19">
        <f t="shared" ca="1" si="53"/>
        <v>154.98628318503611</v>
      </c>
      <c r="L231" s="20">
        <f ca="1" xml:space="preserve"> K231*_Precio_cafe</f>
        <v>232.47942477755419</v>
      </c>
      <c r="M231" s="20">
        <f t="shared" ca="1" si="54"/>
        <v>30303.910285417052</v>
      </c>
      <c r="N231" s="20">
        <f ca="1">IF((N230-K231+Y231)&gt;_Max_Stock_Gramos,_Max_Stock_Gramos,N230-K231+Y231)</f>
        <v>1363.436359171196</v>
      </c>
      <c r="O231" s="20">
        <f ca="1">N231/_GramosXFrasco</f>
        <v>8.020213877477623</v>
      </c>
      <c r="P231" s="63">
        <f ca="1">(N231/_Max_Stock_Gramos)</f>
        <v>0.80202138774776233</v>
      </c>
      <c r="Q231" s="63"/>
      <c r="R231" s="10">
        <f ca="1">IF((N230-J231)&lt;0,(N230-J231)*_Costo_Faltante,0)</f>
        <v>0</v>
      </c>
      <c r="S231">
        <f>IF(U231=0,X231*_Costo_Frasco,0)</f>
        <v>0</v>
      </c>
      <c r="T231" s="11">
        <f t="shared" ca="1" si="55"/>
        <v>-17077.89173507681</v>
      </c>
      <c r="U231" s="10">
        <f>IF(U230=0,_Proxima_Compra,U230-1)</f>
        <v>1</v>
      </c>
      <c r="V231" s="3">
        <f t="shared" ca="1" si="50"/>
        <v>-1</v>
      </c>
      <c r="W231" s="3">
        <f ca="1">IF(W230&gt;0,W230-1,IF(V231&gt;0,LOOKUP(V231,$R$3:$R$5,$O$3:$O$5),-1))</f>
        <v>-1</v>
      </c>
      <c r="X231" s="25">
        <f t="shared" ca="1" si="51"/>
        <v>0</v>
      </c>
      <c r="Y231" s="28">
        <f ca="1">X231*_GramosXFrasco</f>
        <v>0</v>
      </c>
    </row>
    <row r="232" spans="1:25" x14ac:dyDescent="0.25">
      <c r="A232" s="30">
        <f t="shared" si="52"/>
        <v>216</v>
      </c>
      <c r="B232" s="38">
        <f t="shared" ca="1" si="45"/>
        <v>0.15592276589801035</v>
      </c>
      <c r="C232" s="36">
        <f t="shared" ca="1" si="46"/>
        <v>-1</v>
      </c>
      <c r="D232" s="36">
        <f t="shared" ca="1" si="47"/>
        <v>-1</v>
      </c>
      <c r="E232" s="36">
        <f t="shared" ca="1" si="56"/>
        <v>-1</v>
      </c>
      <c r="F232" s="37">
        <f ca="1">IF(E232&lt;&gt;-1,_Media_M + E232*_Sigma,-1)</f>
        <v>-1</v>
      </c>
      <c r="G232" s="3">
        <f t="shared" ca="1" si="48"/>
        <v>50</v>
      </c>
      <c r="H232" s="36">
        <f t="shared" ca="1" si="57"/>
        <v>50</v>
      </c>
      <c r="I232" s="36">
        <f t="shared" ca="1" si="49"/>
        <v>54.737523445509801</v>
      </c>
      <c r="J232" s="35">
        <f t="shared" ca="1" si="58"/>
        <v>104.73752344550979</v>
      </c>
      <c r="K232" s="19">
        <f t="shared" ca="1" si="53"/>
        <v>104.73752344550979</v>
      </c>
      <c r="L232" s="20">
        <f ca="1" xml:space="preserve"> K232*_Precio_cafe</f>
        <v>157.10628516826469</v>
      </c>
      <c r="M232" s="20">
        <f t="shared" ca="1" si="54"/>
        <v>30461.016570585318</v>
      </c>
      <c r="N232" s="20">
        <f ca="1">IF((N231-K232+Y232)&gt;_Max_Stock_Gramos,_Max_Stock_Gramos,N231-K232+Y232)</f>
        <v>1598.6988357256862</v>
      </c>
      <c r="O232" s="20">
        <f ca="1">N232/_GramosXFrasco</f>
        <v>9.4041107983863892</v>
      </c>
      <c r="P232" s="63">
        <f ca="1">(N232/_Max_Stock_Gramos)</f>
        <v>0.94041107983863892</v>
      </c>
      <c r="Q232" s="63"/>
      <c r="R232" s="10">
        <f ca="1">IF((N231-J232)&lt;0,(N231-J232)*_Costo_Faltante,0)</f>
        <v>0</v>
      </c>
      <c r="S232">
        <f ca="1">IF(U232=0,X232*_Costo_Frasco,0)</f>
        <v>-500</v>
      </c>
      <c r="T232" s="11">
        <f t="shared" ca="1" si="55"/>
        <v>-17577.89173507681</v>
      </c>
      <c r="U232" s="10">
        <f>IF(U231=0,_Proxima_Compra,U231-1)</f>
        <v>0</v>
      </c>
      <c r="V232" s="3">
        <f t="shared" ca="1" si="50"/>
        <v>0.22300289331890855</v>
      </c>
      <c r="W232" s="3">
        <f ca="1">IF(W231&gt;0,W231-1,IF(V232&gt;0,LOOKUP(V232,$R$3:$R$5,$O$3:$O$5),-1))</f>
        <v>0</v>
      </c>
      <c r="X232" s="25">
        <f t="shared" ca="1" si="51"/>
        <v>2</v>
      </c>
      <c r="Y232" s="28">
        <f ca="1">X232*_GramosXFrasco</f>
        <v>340</v>
      </c>
    </row>
    <row r="233" spans="1:25" x14ac:dyDescent="0.25">
      <c r="A233" s="30">
        <f t="shared" si="52"/>
        <v>217</v>
      </c>
      <c r="B233" s="38">
        <f t="shared" ca="1" si="45"/>
        <v>5.9983795380070482E-2</v>
      </c>
      <c r="C233" s="36">
        <f t="shared" ca="1" si="46"/>
        <v>-1</v>
      </c>
      <c r="D233" s="36">
        <f t="shared" ca="1" si="47"/>
        <v>-1</v>
      </c>
      <c r="E233" s="36">
        <f t="shared" ca="1" si="56"/>
        <v>-1</v>
      </c>
      <c r="F233" s="37">
        <f ca="1">IF(E233&lt;&gt;-1,_Media_M + E233*_Sigma,-1)</f>
        <v>-1</v>
      </c>
      <c r="G233" s="3">
        <f t="shared" ca="1" si="48"/>
        <v>50</v>
      </c>
      <c r="H233" s="36">
        <f t="shared" ca="1" si="57"/>
        <v>50</v>
      </c>
      <c r="I233" s="36">
        <f t="shared" ca="1" si="49"/>
        <v>60.458794334767639</v>
      </c>
      <c r="J233" s="35">
        <f t="shared" ca="1" si="58"/>
        <v>110.45879433476765</v>
      </c>
      <c r="K233" s="19">
        <f t="shared" ca="1" si="53"/>
        <v>110.45879433476765</v>
      </c>
      <c r="L233" s="20">
        <f ca="1" xml:space="preserve"> K233*_Precio_cafe</f>
        <v>165.68819150215148</v>
      </c>
      <c r="M233" s="20">
        <f t="shared" ca="1" si="54"/>
        <v>30626.704762087469</v>
      </c>
      <c r="N233" s="20">
        <f ca="1">IF((N232-K233+Y233)&gt;_Max_Stock_Gramos,_Max_Stock_Gramos,N232-K233+Y233)</f>
        <v>1488.2400413909186</v>
      </c>
      <c r="O233" s="20">
        <f ca="1">N233/_GramosXFrasco</f>
        <v>8.7543531846524623</v>
      </c>
      <c r="P233" s="63">
        <f ca="1">(N233/_Max_Stock_Gramos)</f>
        <v>0.87543531846524625</v>
      </c>
      <c r="Q233" s="63"/>
      <c r="R233" s="10">
        <f ca="1">IF((N232-J233)&lt;0,(N232-J233)*_Costo_Faltante,0)</f>
        <v>0</v>
      </c>
      <c r="S233">
        <f>IF(U233=0,X233*_Costo_Frasco,0)</f>
        <v>0</v>
      </c>
      <c r="T233" s="11">
        <f t="shared" ca="1" si="55"/>
        <v>-17577.89173507681</v>
      </c>
      <c r="U233" s="10">
        <f>IF(U232=0,_Proxima_Compra,U232-1)</f>
        <v>2</v>
      </c>
      <c r="V233" s="3">
        <f t="shared" ca="1" si="50"/>
        <v>-1</v>
      </c>
      <c r="W233" s="3">
        <f ca="1">IF(W232&gt;0,W232-1,IF(V233&gt;0,LOOKUP(V233,$R$3:$R$5,$O$3:$O$5),-1))</f>
        <v>-1</v>
      </c>
      <c r="X233" s="25">
        <f t="shared" ca="1" si="51"/>
        <v>0</v>
      </c>
      <c r="Y233" s="28">
        <f ca="1">X233*_GramosXFrasco</f>
        <v>0</v>
      </c>
    </row>
    <row r="234" spans="1:25" x14ac:dyDescent="0.25">
      <c r="A234" s="30">
        <f t="shared" si="52"/>
        <v>218</v>
      </c>
      <c r="B234" s="38">
        <f t="shared" ca="1" si="45"/>
        <v>8.7707409858157392E-2</v>
      </c>
      <c r="C234" s="36">
        <f t="shared" ca="1" si="46"/>
        <v>-1</v>
      </c>
      <c r="D234" s="36">
        <f t="shared" ca="1" si="47"/>
        <v>-1</v>
      </c>
      <c r="E234" s="36">
        <f t="shared" ca="1" si="56"/>
        <v>-1</v>
      </c>
      <c r="F234" s="37">
        <f ca="1">IF(E234&lt;&gt;-1,_Media_M + E234*_Sigma,-1)</f>
        <v>-1</v>
      </c>
      <c r="G234" s="3">
        <f t="shared" ca="1" si="48"/>
        <v>50</v>
      </c>
      <c r="H234" s="36">
        <f t="shared" ca="1" si="57"/>
        <v>50</v>
      </c>
      <c r="I234" s="36">
        <f t="shared" ca="1" si="49"/>
        <v>141.84532037467926</v>
      </c>
      <c r="J234" s="35">
        <f t="shared" ca="1" si="58"/>
        <v>191.84532037467926</v>
      </c>
      <c r="K234" s="19">
        <f t="shared" ca="1" si="53"/>
        <v>191.84532037467926</v>
      </c>
      <c r="L234" s="20">
        <f ca="1" xml:space="preserve"> K234*_Precio_cafe</f>
        <v>287.76798056201892</v>
      </c>
      <c r="M234" s="20">
        <f t="shared" ca="1" si="54"/>
        <v>30914.472742649486</v>
      </c>
      <c r="N234" s="20">
        <f ca="1">IF((N233-K234+Y234)&gt;_Max_Stock_Gramos,_Max_Stock_Gramos,N233-K234+Y234)</f>
        <v>1296.3947210162394</v>
      </c>
      <c r="O234" s="20">
        <f ca="1">N234/_GramosXFrasco</f>
        <v>7.6258513000955261</v>
      </c>
      <c r="P234" s="63">
        <f ca="1">(N234/_Max_Stock_Gramos)</f>
        <v>0.76258513000955253</v>
      </c>
      <c r="Q234" s="63"/>
      <c r="R234" s="10">
        <f ca="1">IF((N233-J234)&lt;0,(N233-J234)*_Costo_Faltante,0)</f>
        <v>0</v>
      </c>
      <c r="S234">
        <f>IF(U234=0,X234*_Costo_Frasco,0)</f>
        <v>0</v>
      </c>
      <c r="T234" s="11">
        <f t="shared" ca="1" si="55"/>
        <v>-17577.89173507681</v>
      </c>
      <c r="U234" s="10">
        <f>IF(U233=0,_Proxima_Compra,U233-1)</f>
        <v>1</v>
      </c>
      <c r="V234" s="3">
        <f t="shared" ca="1" si="50"/>
        <v>-1</v>
      </c>
      <c r="W234" s="3">
        <f ca="1">IF(W233&gt;0,W233-1,IF(V234&gt;0,LOOKUP(V234,$R$3:$R$5,$O$3:$O$5),-1))</f>
        <v>-1</v>
      </c>
      <c r="X234" s="25">
        <f t="shared" ca="1" si="51"/>
        <v>0</v>
      </c>
      <c r="Y234" s="28">
        <f ca="1">X234*_GramosXFrasco</f>
        <v>0</v>
      </c>
    </row>
    <row r="235" spans="1:25" x14ac:dyDescent="0.25">
      <c r="A235" s="30">
        <f t="shared" si="52"/>
        <v>219</v>
      </c>
      <c r="B235" s="38">
        <f t="shared" ca="1" si="45"/>
        <v>0.4609027464419766</v>
      </c>
      <c r="C235" s="36">
        <f t="shared" ca="1" si="46"/>
        <v>-1</v>
      </c>
      <c r="D235" s="36">
        <f t="shared" ca="1" si="47"/>
        <v>-1</v>
      </c>
      <c r="E235" s="36">
        <f t="shared" ca="1" si="56"/>
        <v>-1</v>
      </c>
      <c r="F235" s="37">
        <f ca="1">IF(E235&lt;&gt;-1,_Media_M + E235*_Sigma,-1)</f>
        <v>-1</v>
      </c>
      <c r="G235" s="3">
        <f t="shared" ca="1" si="48"/>
        <v>50</v>
      </c>
      <c r="H235" s="36">
        <f t="shared" ca="1" si="57"/>
        <v>50</v>
      </c>
      <c r="I235" s="36">
        <f t="shared" ca="1" si="49"/>
        <v>1.7280279647755563</v>
      </c>
      <c r="J235" s="35">
        <f t="shared" ca="1" si="58"/>
        <v>51.728027964775556</v>
      </c>
      <c r="K235" s="19">
        <f t="shared" ca="1" si="53"/>
        <v>51.728027964775556</v>
      </c>
      <c r="L235" s="20">
        <f ca="1" xml:space="preserve"> K235*_Precio_cafe</f>
        <v>77.592041947163338</v>
      </c>
      <c r="M235" s="20">
        <f t="shared" ca="1" si="54"/>
        <v>30992.064784596649</v>
      </c>
      <c r="N235" s="20">
        <f ca="1">IF((N234-K235+Y235)&gt;_Max_Stock_Gramos,_Max_Stock_Gramos,N234-K235+Y235)</f>
        <v>1244.6666930514639</v>
      </c>
      <c r="O235" s="20">
        <f ca="1">N235/_GramosXFrasco</f>
        <v>7.3215687826556701</v>
      </c>
      <c r="P235" s="63">
        <f ca="1">(N235/_Max_Stock_Gramos)</f>
        <v>0.73215687826556697</v>
      </c>
      <c r="Q235" s="63"/>
      <c r="R235" s="10">
        <f ca="1">IF((N234-J235)&lt;0,(N234-J235)*_Costo_Faltante,0)</f>
        <v>0</v>
      </c>
      <c r="S235">
        <f ca="1">IF(U235=0,X235*_Costo_Frasco,0)</f>
        <v>0</v>
      </c>
      <c r="T235" s="11">
        <f t="shared" ca="1" si="55"/>
        <v>-17577.89173507681</v>
      </c>
      <c r="U235" s="10">
        <f>IF(U234=0,_Proxima_Compra,U234-1)</f>
        <v>0</v>
      </c>
      <c r="V235" s="3">
        <f t="shared" ca="1" si="50"/>
        <v>0.81586337435940881</v>
      </c>
      <c r="W235" s="3">
        <f ca="1">IF(W234&gt;0,W234-1,IF(V235&gt;0,LOOKUP(V235,$R$3:$R$5,$O$3:$O$5),-1))</f>
        <v>2</v>
      </c>
      <c r="X235" s="25">
        <f t="shared" ca="1" si="51"/>
        <v>0</v>
      </c>
      <c r="Y235" s="28">
        <f ca="1">X235*_GramosXFrasco</f>
        <v>0</v>
      </c>
    </row>
    <row r="236" spans="1:25" x14ac:dyDescent="0.25">
      <c r="A236" s="30">
        <f t="shared" si="52"/>
        <v>220</v>
      </c>
      <c r="B236" s="38">
        <f t="shared" ca="1" si="45"/>
        <v>2.5372184555913724E-2</v>
      </c>
      <c r="C236" s="36">
        <f t="shared" ca="1" si="46"/>
        <v>-1</v>
      </c>
      <c r="D236" s="36">
        <f t="shared" ca="1" si="47"/>
        <v>-1</v>
      </c>
      <c r="E236" s="36">
        <f t="shared" ca="1" si="56"/>
        <v>-1</v>
      </c>
      <c r="F236" s="37">
        <f ca="1">IF(E236&lt;&gt;-1,_Media_M + E236*_Sigma,-1)</f>
        <v>-1</v>
      </c>
      <c r="G236" s="3">
        <f t="shared" ca="1" si="48"/>
        <v>50</v>
      </c>
      <c r="H236" s="36">
        <f t="shared" ca="1" si="57"/>
        <v>50</v>
      </c>
      <c r="I236" s="36">
        <f t="shared" ca="1" si="49"/>
        <v>1.1856761562000819</v>
      </c>
      <c r="J236" s="35">
        <f t="shared" ca="1" si="58"/>
        <v>51.185676156200081</v>
      </c>
      <c r="K236" s="19">
        <f t="shared" ca="1" si="53"/>
        <v>51.185676156200081</v>
      </c>
      <c r="L236" s="20">
        <f ca="1" xml:space="preserve"> K236*_Precio_cafe</f>
        <v>76.778514234300118</v>
      </c>
      <c r="M236" s="20">
        <f t="shared" ca="1" si="54"/>
        <v>31068.843298830951</v>
      </c>
      <c r="N236" s="20">
        <f ca="1">IF((N235-K236+Y236)&gt;_Max_Stock_Gramos,_Max_Stock_Gramos,N235-K236+Y236)</f>
        <v>1193.4810168952638</v>
      </c>
      <c r="O236" s="20">
        <f ca="1">N236/_GramosXFrasco</f>
        <v>7.0204765699721401</v>
      </c>
      <c r="P236" s="63">
        <f ca="1">(N236/_Max_Stock_Gramos)</f>
        <v>0.70204765699721394</v>
      </c>
      <c r="Q236" s="63"/>
      <c r="R236" s="10">
        <f ca="1">IF((N235-J236)&lt;0,(N235-J236)*_Costo_Faltante,0)</f>
        <v>0</v>
      </c>
      <c r="S236">
        <f>IF(U236=0,X236*_Costo_Frasco,0)</f>
        <v>0</v>
      </c>
      <c r="T236" s="11">
        <f t="shared" ca="1" si="55"/>
        <v>-17577.89173507681</v>
      </c>
      <c r="U236" s="10">
        <f>IF(U235=0,_Proxima_Compra,U235-1)</f>
        <v>2</v>
      </c>
      <c r="V236" s="3">
        <f t="shared" ca="1" si="50"/>
        <v>-1</v>
      </c>
      <c r="W236" s="3">
        <f ca="1">IF(W235&gt;0,W235-1,IF(V236&gt;0,LOOKUP(V236,$R$3:$R$5,$O$3:$O$5),-1))</f>
        <v>1</v>
      </c>
      <c r="X236" s="25">
        <f t="shared" ca="1" si="51"/>
        <v>0</v>
      </c>
      <c r="Y236" s="28">
        <f ca="1">X236*_GramosXFrasco</f>
        <v>0</v>
      </c>
    </row>
    <row r="237" spans="1:25" x14ac:dyDescent="0.25">
      <c r="A237" s="30">
        <f t="shared" si="52"/>
        <v>221</v>
      </c>
      <c r="B237" s="38">
        <f t="shared" ca="1" si="45"/>
        <v>0.83169412649830077</v>
      </c>
      <c r="C237" s="36">
        <f t="shared" ca="1" si="46"/>
        <v>0.70382690311863683</v>
      </c>
      <c r="D237" s="36">
        <f t="shared" ca="1" si="47"/>
        <v>0.58466992816572572</v>
      </c>
      <c r="E237" s="36">
        <f t="shared" ca="1" si="56"/>
        <v>-0.88597846638287392</v>
      </c>
      <c r="F237" s="37">
        <f ca="1">IF(E237&lt;&gt;-1,_Media_M + E237*_Sigma,-1)</f>
        <v>61.710323004256892</v>
      </c>
      <c r="G237" s="3">
        <f t="shared" ca="1" si="48"/>
        <v>-1</v>
      </c>
      <c r="H237" s="36">
        <f t="shared" ca="1" si="57"/>
        <v>61.710323004256892</v>
      </c>
      <c r="I237" s="36">
        <f t="shared" ca="1" si="49"/>
        <v>8.2910135425545164</v>
      </c>
      <c r="J237" s="35">
        <f t="shared" ca="1" si="58"/>
        <v>70.001336546811416</v>
      </c>
      <c r="K237" s="19">
        <f t="shared" ca="1" si="53"/>
        <v>70.001336546811416</v>
      </c>
      <c r="L237" s="20">
        <f ca="1" xml:space="preserve"> K237*_Precio_cafe</f>
        <v>105.00200482021712</v>
      </c>
      <c r="M237" s="20">
        <f t="shared" ca="1" si="54"/>
        <v>31173.845303651167</v>
      </c>
      <c r="N237" s="20">
        <f ca="1">IF((N236-K237+Y237)&gt;_Max_Stock_Gramos,_Max_Stock_Gramos,N236-K237+Y237)</f>
        <v>1463.4796803484523</v>
      </c>
      <c r="O237" s="20">
        <f ca="1">N237/_GramosXFrasco</f>
        <v>8.6087040020497199</v>
      </c>
      <c r="P237" s="63">
        <f ca="1">(N237/_Max_Stock_Gramos)</f>
        <v>0.86087040020497196</v>
      </c>
      <c r="Q237" s="63"/>
      <c r="R237" s="10">
        <f ca="1">IF((N236-J237)&lt;0,(N236-J237)*_Costo_Faltante,0)</f>
        <v>0</v>
      </c>
      <c r="S237">
        <f>IF(U237=0,X237*_Costo_Frasco,0)</f>
        <v>0</v>
      </c>
      <c r="T237" s="11">
        <f t="shared" ca="1" si="55"/>
        <v>-17577.89173507681</v>
      </c>
      <c r="U237" s="10">
        <f>IF(U236=0,_Proxima_Compra,U236-1)</f>
        <v>1</v>
      </c>
      <c r="V237" s="3">
        <f t="shared" ca="1" si="50"/>
        <v>-1</v>
      </c>
      <c r="W237" s="3">
        <f ca="1">IF(W236&gt;0,W236-1,IF(V237&gt;0,LOOKUP(V237,$R$3:$R$5,$O$3:$O$5),-1))</f>
        <v>0</v>
      </c>
      <c r="X237" s="25">
        <f t="shared" ca="1" si="51"/>
        <v>2</v>
      </c>
      <c r="Y237" s="28">
        <f ca="1">X237*_GramosXFrasco</f>
        <v>340</v>
      </c>
    </row>
    <row r="238" spans="1:25" x14ac:dyDescent="0.25">
      <c r="A238" s="30">
        <f t="shared" si="52"/>
        <v>222</v>
      </c>
      <c r="B238" s="38">
        <f t="shared" ca="1" si="45"/>
        <v>0.10470933616922706</v>
      </c>
      <c r="C238" s="36">
        <f t="shared" ca="1" si="46"/>
        <v>-1</v>
      </c>
      <c r="D238" s="36">
        <f t="shared" ca="1" si="47"/>
        <v>-1</v>
      </c>
      <c r="E238" s="36">
        <f t="shared" ca="1" si="56"/>
        <v>-1</v>
      </c>
      <c r="F238" s="37">
        <f ca="1">IF(E238&lt;&gt;-1,_Media_M + E238*_Sigma,-1)</f>
        <v>-1</v>
      </c>
      <c r="G238" s="3">
        <f t="shared" ca="1" si="48"/>
        <v>50</v>
      </c>
      <c r="H238" s="36">
        <f t="shared" ca="1" si="57"/>
        <v>50</v>
      </c>
      <c r="I238" s="36">
        <f t="shared" ca="1" si="49"/>
        <v>42.925581163867669</v>
      </c>
      <c r="J238" s="35">
        <f t="shared" ca="1" si="58"/>
        <v>92.925581163867662</v>
      </c>
      <c r="K238" s="19">
        <f t="shared" ca="1" si="53"/>
        <v>92.925581163867662</v>
      </c>
      <c r="L238" s="20">
        <f ca="1" xml:space="preserve"> K238*_Precio_cafe</f>
        <v>139.38837174580149</v>
      </c>
      <c r="M238" s="20">
        <f t="shared" ca="1" si="54"/>
        <v>31313.233675396968</v>
      </c>
      <c r="N238" s="20">
        <f ca="1">IF((N237-K238+Y238)&gt;_Max_Stock_Gramos,_Max_Stock_Gramos,N237-K238+Y238)</f>
        <v>1370.5540991845846</v>
      </c>
      <c r="O238" s="20">
        <f ca="1">N238/_GramosXFrasco</f>
        <v>8.0620829363799089</v>
      </c>
      <c r="P238" s="63">
        <f ca="1">(N238/_Max_Stock_Gramos)</f>
        <v>0.80620829363799096</v>
      </c>
      <c r="Q238" s="63"/>
      <c r="R238" s="10">
        <f ca="1">IF((N237-J238)&lt;0,(N237-J238)*_Costo_Faltante,0)</f>
        <v>0</v>
      </c>
      <c r="S238">
        <f ca="1">IF(U238=0,X238*_Costo_Frasco,0)</f>
        <v>0</v>
      </c>
      <c r="T238" s="11">
        <f t="shared" ca="1" si="55"/>
        <v>-17577.89173507681</v>
      </c>
      <c r="U238" s="10">
        <f>IF(U237=0,_Proxima_Compra,U237-1)</f>
        <v>0</v>
      </c>
      <c r="V238" s="3">
        <f t="shared" ca="1" si="50"/>
        <v>0.51749199874702922</v>
      </c>
      <c r="W238" s="3">
        <f ca="1">IF(W237&gt;0,W237-1,IF(V238&gt;0,LOOKUP(V238,$R$3:$R$5,$O$3:$O$5),-1))</f>
        <v>1</v>
      </c>
      <c r="X238" s="25">
        <f t="shared" ca="1" si="51"/>
        <v>0</v>
      </c>
      <c r="Y238" s="28">
        <f ca="1">X238*_GramosXFrasco</f>
        <v>0</v>
      </c>
    </row>
    <row r="239" spans="1:25" x14ac:dyDescent="0.25">
      <c r="A239" s="30">
        <f t="shared" si="52"/>
        <v>223</v>
      </c>
      <c r="B239" s="38">
        <f t="shared" ca="1" si="45"/>
        <v>2.9610485076387527E-2</v>
      </c>
      <c r="C239" s="36">
        <f t="shared" ca="1" si="46"/>
        <v>-1</v>
      </c>
      <c r="D239" s="36">
        <f t="shared" ca="1" si="47"/>
        <v>-1</v>
      </c>
      <c r="E239" s="36">
        <f t="shared" ca="1" si="56"/>
        <v>-1</v>
      </c>
      <c r="F239" s="37">
        <f ca="1">IF(E239&lt;&gt;-1,_Media_M + E239*_Sigma,-1)</f>
        <v>-1</v>
      </c>
      <c r="G239" s="3">
        <f t="shared" ca="1" si="48"/>
        <v>50</v>
      </c>
      <c r="H239" s="36">
        <f t="shared" ca="1" si="57"/>
        <v>50</v>
      </c>
      <c r="I239" s="36">
        <f t="shared" ca="1" si="49"/>
        <v>6.1883138750361724</v>
      </c>
      <c r="J239" s="35">
        <f t="shared" ca="1" si="58"/>
        <v>56.188313875036172</v>
      </c>
      <c r="K239" s="19">
        <f t="shared" ca="1" si="53"/>
        <v>56.188313875036172</v>
      </c>
      <c r="L239" s="20">
        <f ca="1" xml:space="preserve"> K239*_Precio_cafe</f>
        <v>84.282470812554266</v>
      </c>
      <c r="M239" s="20">
        <f t="shared" ca="1" si="54"/>
        <v>31397.516146209524</v>
      </c>
      <c r="N239" s="20">
        <f ca="1">IF((N238-K239+Y239)&gt;_Max_Stock_Gramos,_Max_Stock_Gramos,N238-K239+Y239)</f>
        <v>1654.3657853095485</v>
      </c>
      <c r="O239" s="20">
        <f ca="1">N239/_GramosXFrasco</f>
        <v>9.731563442997345</v>
      </c>
      <c r="P239" s="63">
        <f ca="1">(N239/_Max_Stock_Gramos)</f>
        <v>0.97315634429973441</v>
      </c>
      <c r="Q239" s="63"/>
      <c r="R239" s="10">
        <f ca="1">IF((N238-J239)&lt;0,(N238-J239)*_Costo_Faltante,0)</f>
        <v>0</v>
      </c>
      <c r="S239">
        <f>IF(U239=0,X239*_Costo_Frasco,0)</f>
        <v>0</v>
      </c>
      <c r="T239" s="11">
        <f t="shared" ca="1" si="55"/>
        <v>-17577.89173507681</v>
      </c>
      <c r="U239" s="10">
        <f>IF(U238=0,_Proxima_Compra,U238-1)</f>
        <v>2</v>
      </c>
      <c r="V239" s="3">
        <f t="shared" ca="1" si="50"/>
        <v>-1</v>
      </c>
      <c r="W239" s="3">
        <f ca="1">IF(W238&gt;0,W238-1,IF(V239&gt;0,LOOKUP(V239,$R$3:$R$5,$O$3:$O$5),-1))</f>
        <v>0</v>
      </c>
      <c r="X239" s="25">
        <f t="shared" ca="1" si="51"/>
        <v>2</v>
      </c>
      <c r="Y239" s="28">
        <f ca="1">X239*_GramosXFrasco</f>
        <v>340</v>
      </c>
    </row>
    <row r="240" spans="1:25" x14ac:dyDescent="0.25">
      <c r="A240" s="30">
        <f t="shared" si="52"/>
        <v>224</v>
      </c>
      <c r="B240" s="38">
        <f t="shared" ca="1" si="45"/>
        <v>0.5110346152968801</v>
      </c>
      <c r="C240" s="36">
        <f t="shared" ca="1" si="46"/>
        <v>0.21892103322038103</v>
      </c>
      <c r="D240" s="36">
        <f t="shared" ca="1" si="47"/>
        <v>0.59960463586020163</v>
      </c>
      <c r="E240" s="36">
        <f t="shared" ca="1" si="56"/>
        <v>-0.37546073260524293</v>
      </c>
      <c r="F240" s="37">
        <f ca="1">IF(E240&lt;&gt;-1,_Media_M + E240*_Sigma,-1)</f>
        <v>69.368089010921352</v>
      </c>
      <c r="G240" s="3">
        <f t="shared" ca="1" si="48"/>
        <v>-1</v>
      </c>
      <c r="H240" s="36">
        <f t="shared" ca="1" si="57"/>
        <v>69.368089010921352</v>
      </c>
      <c r="I240" s="36">
        <f t="shared" ca="1" si="49"/>
        <v>31.503922926202819</v>
      </c>
      <c r="J240" s="35">
        <f t="shared" ca="1" si="58"/>
        <v>100.87201193712417</v>
      </c>
      <c r="K240" s="19">
        <f t="shared" ca="1" si="53"/>
        <v>100.87201193712417</v>
      </c>
      <c r="L240" s="20">
        <f ca="1" xml:space="preserve"> K240*_Precio_cafe</f>
        <v>151.30801790568626</v>
      </c>
      <c r="M240" s="20">
        <f t="shared" ca="1" si="54"/>
        <v>31548.824164115209</v>
      </c>
      <c r="N240" s="20">
        <f ca="1">IF((N239-K240+Y240)&gt;_Max_Stock_Gramos,_Max_Stock_Gramos,N239-K240+Y240)</f>
        <v>1553.4937733724244</v>
      </c>
      <c r="O240" s="20">
        <f ca="1">N240/_GramosXFrasco</f>
        <v>9.1381986668966135</v>
      </c>
      <c r="P240" s="63">
        <f ca="1">(N240/_Max_Stock_Gramos)</f>
        <v>0.91381986668966142</v>
      </c>
      <c r="Q240" s="63"/>
      <c r="R240" s="10">
        <f ca="1">IF((N239-J240)&lt;0,(N239-J240)*_Costo_Faltante,0)</f>
        <v>0</v>
      </c>
      <c r="S240">
        <f>IF(U240=0,X240*_Costo_Frasco,0)</f>
        <v>0</v>
      </c>
      <c r="T240" s="11">
        <f t="shared" ca="1" si="55"/>
        <v>-17577.89173507681</v>
      </c>
      <c r="U240" s="10">
        <f>IF(U239=0,_Proxima_Compra,U239-1)</f>
        <v>1</v>
      </c>
      <c r="V240" s="3">
        <f t="shared" ca="1" si="50"/>
        <v>-1</v>
      </c>
      <c r="W240" s="3">
        <f ca="1">IF(W239&gt;0,W239-1,IF(V240&gt;0,LOOKUP(V240,$R$3:$R$5,$O$3:$O$5),-1))</f>
        <v>-1</v>
      </c>
      <c r="X240" s="25">
        <f t="shared" ca="1" si="51"/>
        <v>0</v>
      </c>
      <c r="Y240" s="28">
        <f ca="1">X240*_GramosXFrasco</f>
        <v>0</v>
      </c>
    </row>
    <row r="241" spans="1:25" x14ac:dyDescent="0.25">
      <c r="A241" s="30">
        <f t="shared" si="52"/>
        <v>225</v>
      </c>
      <c r="B241" s="38">
        <f t="shared" ca="1" si="45"/>
        <v>0.30971914312597415</v>
      </c>
      <c r="C241" s="36">
        <f t="shared" ca="1" si="46"/>
        <v>-1</v>
      </c>
      <c r="D241" s="36">
        <f t="shared" ca="1" si="47"/>
        <v>-1</v>
      </c>
      <c r="E241" s="36">
        <f t="shared" ca="1" si="56"/>
        <v>-1</v>
      </c>
      <c r="F241" s="37">
        <f ca="1">IF(E241&lt;&gt;-1,_Media_M + E241*_Sigma,-1)</f>
        <v>-1</v>
      </c>
      <c r="G241" s="3">
        <f t="shared" ca="1" si="48"/>
        <v>50</v>
      </c>
      <c r="H241" s="36">
        <f t="shared" ca="1" si="57"/>
        <v>50</v>
      </c>
      <c r="I241" s="36">
        <f t="shared" ca="1" si="49"/>
        <v>20.971299977787204</v>
      </c>
      <c r="J241" s="35">
        <f t="shared" ca="1" si="58"/>
        <v>70.971299977787197</v>
      </c>
      <c r="K241" s="19">
        <f t="shared" ca="1" si="53"/>
        <v>70.971299977787197</v>
      </c>
      <c r="L241" s="20">
        <f ca="1" xml:space="preserve"> K241*_Precio_cafe</f>
        <v>106.4569499666808</v>
      </c>
      <c r="M241" s="20">
        <f t="shared" ca="1" si="54"/>
        <v>31655.281114081889</v>
      </c>
      <c r="N241" s="20">
        <f ca="1">IF((N240-K241+Y241)&gt;_Max_Stock_Gramos,_Max_Stock_Gramos,N240-K241+Y241)</f>
        <v>1700</v>
      </c>
      <c r="O241" s="20">
        <f ca="1">N241/_GramosXFrasco</f>
        <v>10</v>
      </c>
      <c r="P241" s="63">
        <f ca="1">(N241/_Max_Stock_Gramos)</f>
        <v>1</v>
      </c>
      <c r="Q241" s="63"/>
      <c r="R241" s="10">
        <f ca="1">IF((N240-J241)&lt;0,(N240-J241)*_Costo_Faltante,0)</f>
        <v>0</v>
      </c>
      <c r="S241">
        <f ca="1">IF(U241=0,X241*_Costo_Frasco,0)</f>
        <v>-500</v>
      </c>
      <c r="T241" s="11">
        <f t="shared" ca="1" si="55"/>
        <v>-18077.89173507681</v>
      </c>
      <c r="U241" s="10">
        <f>IF(U240=0,_Proxima_Compra,U240-1)</f>
        <v>0</v>
      </c>
      <c r="V241" s="3">
        <f t="shared" ca="1" si="50"/>
        <v>0.46402286529646375</v>
      </c>
      <c r="W241" s="3">
        <f ca="1">IF(W240&gt;0,W240-1,IF(V241&gt;0,LOOKUP(V241,$R$3:$R$5,$O$3:$O$5),-1))</f>
        <v>0</v>
      </c>
      <c r="X241" s="25">
        <f t="shared" ca="1" si="51"/>
        <v>2</v>
      </c>
      <c r="Y241" s="28">
        <f ca="1">X241*_GramosXFrasco</f>
        <v>340</v>
      </c>
    </row>
    <row r="242" spans="1:25" x14ac:dyDescent="0.25">
      <c r="A242" s="30">
        <f t="shared" si="52"/>
        <v>226</v>
      </c>
      <c r="B242" s="38">
        <f t="shared" ca="1" si="45"/>
        <v>0.85475109539339589</v>
      </c>
      <c r="C242" s="36">
        <f t="shared" ca="1" si="46"/>
        <v>0.20373999122954412</v>
      </c>
      <c r="D242" s="36">
        <f t="shared" ca="1" si="47"/>
        <v>0.65786689678920451</v>
      </c>
      <c r="E242" s="36">
        <f t="shared" ca="1" si="56"/>
        <v>-0.24337420998549103</v>
      </c>
      <c r="F242" s="37">
        <f ca="1">IF(E242&lt;&gt;-1,_Media_M + E242*_Sigma,-1)</f>
        <v>71.349386850217641</v>
      </c>
      <c r="G242" s="3">
        <f t="shared" ca="1" si="48"/>
        <v>-1</v>
      </c>
      <c r="H242" s="36">
        <f t="shared" ca="1" si="57"/>
        <v>71.349386850217641</v>
      </c>
      <c r="I242" s="36">
        <f t="shared" ca="1" si="49"/>
        <v>85.300406057953637</v>
      </c>
      <c r="J242" s="35">
        <f t="shared" ca="1" si="58"/>
        <v>156.64979290817126</v>
      </c>
      <c r="K242" s="19">
        <f t="shared" ca="1" si="53"/>
        <v>156.64979290817126</v>
      </c>
      <c r="L242" s="20">
        <f ca="1" xml:space="preserve"> K242*_Precio_cafe</f>
        <v>234.9746893622569</v>
      </c>
      <c r="M242" s="20">
        <f t="shared" ca="1" si="54"/>
        <v>31890.255803444146</v>
      </c>
      <c r="N242" s="20">
        <f ca="1">IF((N241-K242+Y242)&gt;_Max_Stock_Gramos,_Max_Stock_Gramos,N241-K242+Y242)</f>
        <v>1543.3502070918287</v>
      </c>
      <c r="O242" s="20">
        <f ca="1">N242/_GramosXFrasco</f>
        <v>9.0785306299519331</v>
      </c>
      <c r="P242" s="63">
        <f ca="1">(N242/_Max_Stock_Gramos)</f>
        <v>0.90785306299519331</v>
      </c>
      <c r="Q242" s="63"/>
      <c r="R242" s="10">
        <f ca="1">IF((N241-J242)&lt;0,(N241-J242)*_Costo_Faltante,0)</f>
        <v>0</v>
      </c>
      <c r="S242">
        <f>IF(U242=0,X242*_Costo_Frasco,0)</f>
        <v>0</v>
      </c>
      <c r="T242" s="11">
        <f t="shared" ca="1" si="55"/>
        <v>-18077.89173507681</v>
      </c>
      <c r="U242" s="10">
        <f>IF(U241=0,_Proxima_Compra,U241-1)</f>
        <v>2</v>
      </c>
      <c r="V242" s="3">
        <f t="shared" ca="1" si="50"/>
        <v>-1</v>
      </c>
      <c r="W242" s="3">
        <f ca="1">IF(W241&gt;0,W241-1,IF(V242&gt;0,LOOKUP(V242,$R$3:$R$5,$O$3:$O$5),-1))</f>
        <v>-1</v>
      </c>
      <c r="X242" s="25">
        <f t="shared" ca="1" si="51"/>
        <v>0</v>
      </c>
      <c r="Y242" s="28">
        <f ca="1">X242*_GramosXFrasco</f>
        <v>0</v>
      </c>
    </row>
    <row r="243" spans="1:25" x14ac:dyDescent="0.25">
      <c r="A243" s="30">
        <f t="shared" si="52"/>
        <v>227</v>
      </c>
      <c r="B243" s="38">
        <f t="shared" ca="1" si="45"/>
        <v>0.84941803587687403</v>
      </c>
      <c r="C243" s="36">
        <f t="shared" ca="1" si="46"/>
        <v>0.41047424052475845</v>
      </c>
      <c r="D243" s="36">
        <f t="shared" ca="1" si="47"/>
        <v>8.8907629017121681E-2</v>
      </c>
      <c r="E243" s="36">
        <f t="shared" ca="1" si="56"/>
        <v>0.57450290829566963</v>
      </c>
      <c r="F243" s="37">
        <f ca="1">IF(E243&lt;&gt;-1,_Media_M + E243*_Sigma,-1)</f>
        <v>83.617543624435044</v>
      </c>
      <c r="G243" s="3">
        <f t="shared" ca="1" si="48"/>
        <v>-1</v>
      </c>
      <c r="H243" s="36">
        <f t="shared" ca="1" si="57"/>
        <v>83.617543624435044</v>
      </c>
      <c r="I243" s="36">
        <f t="shared" ca="1" si="49"/>
        <v>19.105566843338959</v>
      </c>
      <c r="J243" s="35">
        <f t="shared" ca="1" si="58"/>
        <v>102.72311046777401</v>
      </c>
      <c r="K243" s="19">
        <f t="shared" ca="1" si="53"/>
        <v>102.72311046777401</v>
      </c>
      <c r="L243" s="20">
        <f ca="1" xml:space="preserve"> K243*_Precio_cafe</f>
        <v>154.08466570166101</v>
      </c>
      <c r="M243" s="20">
        <f t="shared" ca="1" si="54"/>
        <v>32044.340469145809</v>
      </c>
      <c r="N243" s="20">
        <f ca="1">IF((N242-K243+Y243)&gt;_Max_Stock_Gramos,_Max_Stock_Gramos,N242-K243+Y243)</f>
        <v>1440.6270966240547</v>
      </c>
      <c r="O243" s="20">
        <f ca="1">N243/_GramosXFrasco</f>
        <v>8.4742770389650275</v>
      </c>
      <c r="P243" s="63">
        <f ca="1">(N243/_Max_Stock_Gramos)</f>
        <v>0.84742770389650279</v>
      </c>
      <c r="Q243" s="63"/>
      <c r="R243" s="10">
        <f ca="1">IF((N242-J243)&lt;0,(N242-J243)*_Costo_Faltante,0)</f>
        <v>0</v>
      </c>
      <c r="S243">
        <f>IF(U243=0,X243*_Costo_Frasco,0)</f>
        <v>0</v>
      </c>
      <c r="T243" s="11">
        <f t="shared" ca="1" si="55"/>
        <v>-18077.89173507681</v>
      </c>
      <c r="U243" s="10">
        <f>IF(U242=0,_Proxima_Compra,U242-1)</f>
        <v>1</v>
      </c>
      <c r="V243" s="3">
        <f t="shared" ca="1" si="50"/>
        <v>-1</v>
      </c>
      <c r="W243" s="3">
        <f ca="1">IF(W242&gt;0,W242-1,IF(V243&gt;0,LOOKUP(V243,$R$3:$R$5,$O$3:$O$5),-1))</f>
        <v>-1</v>
      </c>
      <c r="X243" s="25">
        <f t="shared" ca="1" si="51"/>
        <v>0</v>
      </c>
      <c r="Y243" s="28">
        <f ca="1">X243*_GramosXFrasco</f>
        <v>0</v>
      </c>
    </row>
    <row r="244" spans="1:25" x14ac:dyDescent="0.25">
      <c r="A244" s="30">
        <f t="shared" si="52"/>
        <v>228</v>
      </c>
      <c r="B244" s="38">
        <f t="shared" ca="1" si="45"/>
        <v>0.96404595348867617</v>
      </c>
      <c r="C244" s="36">
        <f t="shared" ca="1" si="46"/>
        <v>0.34198041740120788</v>
      </c>
      <c r="D244" s="36">
        <f t="shared" ca="1" si="47"/>
        <v>0.14526331571097884</v>
      </c>
      <c r="E244" s="36">
        <f t="shared" ca="1" si="56"/>
        <v>0.36875021875034641</v>
      </c>
      <c r="F244" s="37">
        <f ca="1">IF(E244&lt;&gt;-1,_Media_M + E244*_Sigma,-1)</f>
        <v>80.531253281255204</v>
      </c>
      <c r="G244" s="3">
        <f t="shared" ca="1" si="48"/>
        <v>-1</v>
      </c>
      <c r="H244" s="36">
        <f t="shared" ca="1" si="57"/>
        <v>80.531253281255204</v>
      </c>
      <c r="I244" s="36">
        <f t="shared" ca="1" si="49"/>
        <v>1.5124499349858485</v>
      </c>
      <c r="J244" s="35">
        <f t="shared" ca="1" si="58"/>
        <v>82.043703216241056</v>
      </c>
      <c r="K244" s="19">
        <f t="shared" ca="1" si="53"/>
        <v>82.043703216241056</v>
      </c>
      <c r="L244" s="20">
        <f ca="1" xml:space="preserve"> K244*_Precio_cafe</f>
        <v>123.06555482436158</v>
      </c>
      <c r="M244" s="20">
        <f t="shared" ca="1" si="54"/>
        <v>32167.406023970172</v>
      </c>
      <c r="N244" s="20">
        <f ca="1">IF((N243-K244+Y244)&gt;_Max_Stock_Gramos,_Max_Stock_Gramos,N243-K244+Y244)</f>
        <v>1698.5833934078137</v>
      </c>
      <c r="O244" s="20">
        <f ca="1">N244/_GramosXFrasco</f>
        <v>9.9916670200459627</v>
      </c>
      <c r="P244" s="63">
        <f ca="1">(N244/_Max_Stock_Gramos)</f>
        <v>0.99916670200459623</v>
      </c>
      <c r="Q244" s="63"/>
      <c r="R244" s="10">
        <f ca="1">IF((N243-J244)&lt;0,(N243-J244)*_Costo_Faltante,0)</f>
        <v>0</v>
      </c>
      <c r="S244">
        <f ca="1">IF(U244=0,X244*_Costo_Frasco,0)</f>
        <v>-500</v>
      </c>
      <c r="T244" s="11">
        <f t="shared" ca="1" si="55"/>
        <v>-18577.89173507681</v>
      </c>
      <c r="U244" s="10">
        <f>IF(U243=0,_Proxima_Compra,U243-1)</f>
        <v>0</v>
      </c>
      <c r="V244" s="3">
        <f t="shared" ca="1" si="50"/>
        <v>9.7161319818143688E-2</v>
      </c>
      <c r="W244" s="3">
        <f ca="1">IF(W243&gt;0,W243-1,IF(V244&gt;0,LOOKUP(V244,$R$3:$R$5,$O$3:$O$5),-1))</f>
        <v>0</v>
      </c>
      <c r="X244" s="25">
        <f t="shared" ca="1" si="51"/>
        <v>2</v>
      </c>
      <c r="Y244" s="28">
        <f ca="1">X244*_GramosXFrasco</f>
        <v>340</v>
      </c>
    </row>
    <row r="245" spans="1:25" x14ac:dyDescent="0.25">
      <c r="A245" s="30">
        <f t="shared" si="52"/>
        <v>229</v>
      </c>
      <c r="B245" s="38">
        <f t="shared" ca="1" si="45"/>
        <v>0.46225421262194499</v>
      </c>
      <c r="C245" s="36">
        <f t="shared" ca="1" si="46"/>
        <v>-1</v>
      </c>
      <c r="D245" s="36">
        <f t="shared" ca="1" si="47"/>
        <v>-1</v>
      </c>
      <c r="E245" s="36">
        <f t="shared" ca="1" si="56"/>
        <v>-1</v>
      </c>
      <c r="F245" s="37">
        <f ca="1">IF(E245&lt;&gt;-1,_Media_M + E245*_Sigma,-1)</f>
        <v>-1</v>
      </c>
      <c r="G245" s="3">
        <f t="shared" ca="1" si="48"/>
        <v>50</v>
      </c>
      <c r="H245" s="36">
        <f t="shared" ca="1" si="57"/>
        <v>50</v>
      </c>
      <c r="I245" s="36">
        <f t="shared" ca="1" si="49"/>
        <v>64.343495536024179</v>
      </c>
      <c r="J245" s="35">
        <f t="shared" ca="1" si="58"/>
        <v>114.34349553602418</v>
      </c>
      <c r="K245" s="19">
        <f t="shared" ca="1" si="53"/>
        <v>114.34349553602418</v>
      </c>
      <c r="L245" s="20">
        <f ca="1" xml:space="preserve"> K245*_Precio_cafe</f>
        <v>171.51524330403626</v>
      </c>
      <c r="M245" s="20">
        <f t="shared" ca="1" si="54"/>
        <v>32338.921267274207</v>
      </c>
      <c r="N245" s="20">
        <f ca="1">IF((N244-K245+Y245)&gt;_Max_Stock_Gramos,_Max_Stock_Gramos,N244-K245+Y245)</f>
        <v>1584.2398978717895</v>
      </c>
      <c r="O245" s="20">
        <f ca="1">N245/_GramosXFrasco</f>
        <v>9.319058222775233</v>
      </c>
      <c r="P245" s="63">
        <f ca="1">(N245/_Max_Stock_Gramos)</f>
        <v>0.93190582227752328</v>
      </c>
      <c r="Q245" s="63"/>
      <c r="R245" s="10">
        <f ca="1">IF((N244-J245)&lt;0,(N244-J245)*_Costo_Faltante,0)</f>
        <v>0</v>
      </c>
      <c r="S245">
        <f>IF(U245=0,X245*_Costo_Frasco,0)</f>
        <v>0</v>
      </c>
      <c r="T245" s="11">
        <f t="shared" ca="1" si="55"/>
        <v>-18577.89173507681</v>
      </c>
      <c r="U245" s="10">
        <f>IF(U244=0,_Proxima_Compra,U244-1)</f>
        <v>2</v>
      </c>
      <c r="V245" s="3">
        <f t="shared" ca="1" si="50"/>
        <v>-1</v>
      </c>
      <c r="W245" s="3">
        <f ca="1">IF(W244&gt;0,W244-1,IF(V245&gt;0,LOOKUP(V245,$R$3:$R$5,$O$3:$O$5),-1))</f>
        <v>-1</v>
      </c>
      <c r="X245" s="25">
        <f t="shared" ca="1" si="51"/>
        <v>0</v>
      </c>
      <c r="Y245" s="28">
        <f ca="1">X245*_GramosXFrasco</f>
        <v>0</v>
      </c>
    </row>
    <row r="246" spans="1:25" x14ac:dyDescent="0.25">
      <c r="A246" s="30">
        <f t="shared" si="52"/>
        <v>230</v>
      </c>
      <c r="B246" s="38">
        <f t="shared" ca="1" si="45"/>
        <v>0.40551113931919203</v>
      </c>
      <c r="C246" s="36">
        <f t="shared" ca="1" si="46"/>
        <v>-1</v>
      </c>
      <c r="D246" s="36">
        <f t="shared" ca="1" si="47"/>
        <v>-1</v>
      </c>
      <c r="E246" s="36">
        <f t="shared" ca="1" si="56"/>
        <v>-1</v>
      </c>
      <c r="F246" s="37">
        <f ca="1">IF(E246&lt;&gt;-1,_Media_M + E246*_Sigma,-1)</f>
        <v>-1</v>
      </c>
      <c r="G246" s="3">
        <f t="shared" ca="1" si="48"/>
        <v>50</v>
      </c>
      <c r="H246" s="36">
        <f t="shared" ca="1" si="57"/>
        <v>50</v>
      </c>
      <c r="I246" s="36">
        <f t="shared" ca="1" si="49"/>
        <v>3.4740123719910447</v>
      </c>
      <c r="J246" s="35">
        <f t="shared" ca="1" si="58"/>
        <v>53.474012371991044</v>
      </c>
      <c r="K246" s="19">
        <f t="shared" ca="1" si="53"/>
        <v>53.474012371991044</v>
      </c>
      <c r="L246" s="20">
        <f ca="1" xml:space="preserve"> K246*_Precio_cafe</f>
        <v>80.211018557986563</v>
      </c>
      <c r="M246" s="20">
        <f t="shared" ca="1" si="54"/>
        <v>32419.132285832195</v>
      </c>
      <c r="N246" s="20">
        <f ca="1">IF((N245-K246+Y246)&gt;_Max_Stock_Gramos,_Max_Stock_Gramos,N245-K246+Y246)</f>
        <v>1530.7658854997985</v>
      </c>
      <c r="O246" s="20">
        <f ca="1">N246/_GramosXFrasco</f>
        <v>9.0045052088223443</v>
      </c>
      <c r="P246" s="63">
        <f ca="1">(N246/_Max_Stock_Gramos)</f>
        <v>0.90045052088223443</v>
      </c>
      <c r="Q246" s="63"/>
      <c r="R246" s="10">
        <f ca="1">IF((N245-J246)&lt;0,(N245-J246)*_Costo_Faltante,0)</f>
        <v>0</v>
      </c>
      <c r="S246">
        <f>IF(U246=0,X246*_Costo_Frasco,0)</f>
        <v>0</v>
      </c>
      <c r="T246" s="11">
        <f t="shared" ca="1" si="55"/>
        <v>-18577.89173507681</v>
      </c>
      <c r="U246" s="10">
        <f>IF(U245=0,_Proxima_Compra,U245-1)</f>
        <v>1</v>
      </c>
      <c r="V246" s="3">
        <f t="shared" ca="1" si="50"/>
        <v>-1</v>
      </c>
      <c r="W246" s="3">
        <f ca="1">IF(W245&gt;0,W245-1,IF(V246&gt;0,LOOKUP(V246,$R$3:$R$5,$O$3:$O$5),-1))</f>
        <v>-1</v>
      </c>
      <c r="X246" s="25">
        <f t="shared" ca="1" si="51"/>
        <v>0</v>
      </c>
      <c r="Y246" s="28">
        <f ca="1">X246*_GramosXFrasco</f>
        <v>0</v>
      </c>
    </row>
    <row r="247" spans="1:25" x14ac:dyDescent="0.25">
      <c r="A247" s="30">
        <f t="shared" si="52"/>
        <v>231</v>
      </c>
      <c r="B247" s="38">
        <f t="shared" ca="1" si="45"/>
        <v>0.77569013467980263</v>
      </c>
      <c r="C247" s="36">
        <f t="shared" ca="1" si="46"/>
        <v>0.27608280627055171</v>
      </c>
      <c r="D247" s="36">
        <f t="shared" ca="1" si="47"/>
        <v>0.43294514945803297</v>
      </c>
      <c r="E247" s="36">
        <f t="shared" ca="1" si="56"/>
        <v>-0.48341266797489713</v>
      </c>
      <c r="F247" s="37">
        <f ca="1">IF(E247&lt;&gt;-1,_Media_M + E247*_Sigma,-1)</f>
        <v>67.748809980376549</v>
      </c>
      <c r="G247" s="3">
        <f t="shared" ca="1" si="48"/>
        <v>-1</v>
      </c>
      <c r="H247" s="36">
        <f t="shared" ca="1" si="57"/>
        <v>67.748809980376549</v>
      </c>
      <c r="I247" s="36">
        <f t="shared" ca="1" si="49"/>
        <v>23.75068644808314</v>
      </c>
      <c r="J247" s="35">
        <f t="shared" ca="1" si="58"/>
        <v>91.499496428459693</v>
      </c>
      <c r="K247" s="19">
        <f t="shared" ca="1" si="53"/>
        <v>91.499496428459693</v>
      </c>
      <c r="L247" s="20">
        <f ca="1" xml:space="preserve"> K247*_Precio_cafe</f>
        <v>137.24924464268955</v>
      </c>
      <c r="M247" s="20">
        <f t="shared" ca="1" si="54"/>
        <v>32556.381530474886</v>
      </c>
      <c r="N247" s="20">
        <f ca="1">IF((N246-K247+Y247)&gt;_Max_Stock_Gramos,_Max_Stock_Gramos,N246-K247+Y247)</f>
        <v>1700</v>
      </c>
      <c r="O247" s="20">
        <f ca="1">N247/_GramosXFrasco</f>
        <v>10</v>
      </c>
      <c r="P247" s="63">
        <f ca="1">(N247/_Max_Stock_Gramos)</f>
        <v>1</v>
      </c>
      <c r="Q247" s="63"/>
      <c r="R247" s="10">
        <f ca="1">IF((N246-J247)&lt;0,(N246-J247)*_Costo_Faltante,0)</f>
        <v>0</v>
      </c>
      <c r="S247">
        <f ca="1">IF(U247=0,X247*_Costo_Frasco,0)</f>
        <v>-500</v>
      </c>
      <c r="T247" s="11">
        <f t="shared" ca="1" si="55"/>
        <v>-19077.89173507681</v>
      </c>
      <c r="U247" s="10">
        <f>IF(U246=0,_Proxima_Compra,U246-1)</f>
        <v>0</v>
      </c>
      <c r="V247" s="3">
        <f t="shared" ca="1" si="50"/>
        <v>7.1773274710322466E-2</v>
      </c>
      <c r="W247" s="3">
        <f ca="1">IF(W246&gt;0,W246-1,IF(V247&gt;0,LOOKUP(V247,$R$3:$R$5,$O$3:$O$5),-1))</f>
        <v>0</v>
      </c>
      <c r="X247" s="25">
        <f t="shared" ca="1" si="51"/>
        <v>2</v>
      </c>
      <c r="Y247" s="28">
        <f ca="1">X247*_GramosXFrasco</f>
        <v>340</v>
      </c>
    </row>
    <row r="248" spans="1:25" x14ac:dyDescent="0.25">
      <c r="A248" s="30">
        <f t="shared" si="52"/>
        <v>232</v>
      </c>
      <c r="B248" s="38">
        <f t="shared" ca="1" si="45"/>
        <v>3.0933157974865733E-2</v>
      </c>
      <c r="C248" s="36">
        <f t="shared" ca="1" si="46"/>
        <v>-1</v>
      </c>
      <c r="D248" s="36">
        <f t="shared" ca="1" si="47"/>
        <v>-1</v>
      </c>
      <c r="E248" s="36">
        <f t="shared" ca="1" si="56"/>
        <v>-1</v>
      </c>
      <c r="F248" s="37">
        <f ca="1">IF(E248&lt;&gt;-1,_Media_M + E248*_Sigma,-1)</f>
        <v>-1</v>
      </c>
      <c r="G248" s="3">
        <f t="shared" ca="1" si="48"/>
        <v>50</v>
      </c>
      <c r="H248" s="36">
        <f t="shared" ca="1" si="57"/>
        <v>50</v>
      </c>
      <c r="I248" s="36">
        <f t="shared" ca="1" si="49"/>
        <v>103.36743783897853</v>
      </c>
      <c r="J248" s="35">
        <f t="shared" ca="1" si="58"/>
        <v>153.36743783897853</v>
      </c>
      <c r="K248" s="19">
        <f t="shared" ca="1" si="53"/>
        <v>153.36743783897853</v>
      </c>
      <c r="L248" s="20">
        <f ca="1" xml:space="preserve"> K248*_Precio_cafe</f>
        <v>230.05115675846781</v>
      </c>
      <c r="M248" s="20">
        <f t="shared" ca="1" si="54"/>
        <v>32786.432687233355</v>
      </c>
      <c r="N248" s="20">
        <f ca="1">IF((N247-K248+Y248)&gt;_Max_Stock_Gramos,_Max_Stock_Gramos,N247-K248+Y248)</f>
        <v>1546.6325621610215</v>
      </c>
      <c r="O248" s="20">
        <f ca="1">N248/_GramosXFrasco</f>
        <v>9.0978386009471848</v>
      </c>
      <c r="P248" s="63">
        <f ca="1">(N248/_Max_Stock_Gramos)</f>
        <v>0.90978386009471857</v>
      </c>
      <c r="Q248" s="63"/>
      <c r="R248" s="10">
        <f ca="1">IF((N247-J248)&lt;0,(N247-J248)*_Costo_Faltante,0)</f>
        <v>0</v>
      </c>
      <c r="S248">
        <f>IF(U248=0,X248*_Costo_Frasco,0)</f>
        <v>0</v>
      </c>
      <c r="T248" s="11">
        <f t="shared" ca="1" si="55"/>
        <v>-19077.89173507681</v>
      </c>
      <c r="U248" s="10">
        <f>IF(U247=0,_Proxima_Compra,U247-1)</f>
        <v>2</v>
      </c>
      <c r="V248" s="3">
        <f t="shared" ca="1" si="50"/>
        <v>-1</v>
      </c>
      <c r="W248" s="3">
        <f ca="1">IF(W247&gt;0,W247-1,IF(V248&gt;0,LOOKUP(V248,$R$3:$R$5,$O$3:$O$5),-1))</f>
        <v>-1</v>
      </c>
      <c r="X248" s="25">
        <f t="shared" ca="1" si="51"/>
        <v>0</v>
      </c>
      <c r="Y248" s="28">
        <f ca="1">X248*_GramosXFrasco</f>
        <v>0</v>
      </c>
    </row>
    <row r="249" spans="1:25" x14ac:dyDescent="0.25">
      <c r="A249" s="30">
        <f t="shared" si="52"/>
        <v>233</v>
      </c>
      <c r="B249" s="38">
        <f t="shared" ca="1" si="45"/>
        <v>0.65067004588570654</v>
      </c>
      <c r="C249" s="36">
        <f t="shared" ca="1" si="46"/>
        <v>0.21465117683389856</v>
      </c>
      <c r="D249" s="36">
        <f t="shared" ca="1" si="47"/>
        <v>0.91448638114285863</v>
      </c>
      <c r="E249" s="36">
        <f t="shared" ca="1" si="56"/>
        <v>0.39356932114747434</v>
      </c>
      <c r="F249" s="37">
        <f ca="1">IF(E249&lt;&gt;-1,_Media_M + E249*_Sigma,-1)</f>
        <v>80.903539817212121</v>
      </c>
      <c r="G249" s="3">
        <f t="shared" ca="1" si="48"/>
        <v>-1</v>
      </c>
      <c r="H249" s="36">
        <f t="shared" ca="1" si="57"/>
        <v>80.903539817212121</v>
      </c>
      <c r="I249" s="36">
        <f t="shared" ca="1" si="49"/>
        <v>51.341132564329598</v>
      </c>
      <c r="J249" s="35">
        <f t="shared" ca="1" si="58"/>
        <v>132.2446723815417</v>
      </c>
      <c r="K249" s="19">
        <f t="shared" ca="1" si="53"/>
        <v>132.2446723815417</v>
      </c>
      <c r="L249" s="20">
        <f ca="1" xml:space="preserve"> K249*_Precio_cafe</f>
        <v>198.36700857231256</v>
      </c>
      <c r="M249" s="20">
        <f t="shared" ca="1" si="54"/>
        <v>32984.799695805668</v>
      </c>
      <c r="N249" s="20">
        <f ca="1">IF((N248-K249+Y249)&gt;_Max_Stock_Gramos,_Max_Stock_Gramos,N248-K249+Y249)</f>
        <v>1414.3878897794798</v>
      </c>
      <c r="O249" s="20">
        <f ca="1">N249/_GramosXFrasco</f>
        <v>8.3199287634087042</v>
      </c>
      <c r="P249" s="63">
        <f ca="1">(N249/_Max_Stock_Gramos)</f>
        <v>0.83199287634087049</v>
      </c>
      <c r="Q249" s="63"/>
      <c r="R249" s="10">
        <f ca="1">IF((N248-J249)&lt;0,(N248-J249)*_Costo_Faltante,0)</f>
        <v>0</v>
      </c>
      <c r="S249">
        <f>IF(U249=0,X249*_Costo_Frasco,0)</f>
        <v>0</v>
      </c>
      <c r="T249" s="11">
        <f t="shared" ca="1" si="55"/>
        <v>-19077.89173507681</v>
      </c>
      <c r="U249" s="10">
        <f>IF(U248=0,_Proxima_Compra,U248-1)</f>
        <v>1</v>
      </c>
      <c r="V249" s="3">
        <f t="shared" ca="1" si="50"/>
        <v>-1</v>
      </c>
      <c r="W249" s="3">
        <f ca="1">IF(W248&gt;0,W248-1,IF(V249&gt;0,LOOKUP(V249,$R$3:$R$5,$O$3:$O$5),-1))</f>
        <v>-1</v>
      </c>
      <c r="X249" s="25">
        <f t="shared" ca="1" si="51"/>
        <v>0</v>
      </c>
      <c r="Y249" s="28">
        <f ca="1">X249*_GramosXFrasco</f>
        <v>0</v>
      </c>
    </row>
    <row r="250" spans="1:25" x14ac:dyDescent="0.25">
      <c r="A250" s="30">
        <f t="shared" si="52"/>
        <v>234</v>
      </c>
      <c r="B250" s="38">
        <f t="shared" ca="1" si="45"/>
        <v>0.50046064459009676</v>
      </c>
      <c r="C250" s="36">
        <f t="shared" ca="1" si="46"/>
        <v>0.75313928785111717</v>
      </c>
      <c r="D250" s="36">
        <f t="shared" ca="1" si="47"/>
        <v>0.48058465179605103</v>
      </c>
      <c r="E250" s="36">
        <f t="shared" ca="1" si="56"/>
        <v>-1.0941220102882314</v>
      </c>
      <c r="F250" s="37">
        <f ca="1">IF(E250&lt;&gt;-1,_Media_M + E250*_Sigma,-1)</f>
        <v>58.588169845676532</v>
      </c>
      <c r="G250" s="3">
        <f t="shared" ca="1" si="48"/>
        <v>-1</v>
      </c>
      <c r="H250" s="36">
        <f t="shared" ca="1" si="57"/>
        <v>58.588169845676532</v>
      </c>
      <c r="I250" s="36">
        <f t="shared" ca="1" si="49"/>
        <v>23.104239425704893</v>
      </c>
      <c r="J250" s="35">
        <f t="shared" ca="1" si="58"/>
        <v>81.692409271381422</v>
      </c>
      <c r="K250" s="19">
        <f t="shared" ca="1" si="53"/>
        <v>81.692409271381422</v>
      </c>
      <c r="L250" s="20">
        <f ca="1" xml:space="preserve"> K250*_Precio_cafe</f>
        <v>122.53861390707213</v>
      </c>
      <c r="M250" s="20">
        <f t="shared" ca="1" si="54"/>
        <v>33107.338309712737</v>
      </c>
      <c r="N250" s="20">
        <f ca="1">IF((N249-K250+Y250)&gt;_Max_Stock_Gramos,_Max_Stock_Gramos,N249-K250+Y250)</f>
        <v>1332.6954805080984</v>
      </c>
      <c r="O250" s="20">
        <f ca="1">N250/_GramosXFrasco</f>
        <v>7.8393851794594021</v>
      </c>
      <c r="P250" s="63">
        <f ca="1">(N250/_Max_Stock_Gramos)</f>
        <v>0.78393851794594027</v>
      </c>
      <c r="Q250" s="63"/>
      <c r="R250" s="10">
        <f ca="1">IF((N249-J250)&lt;0,(N249-J250)*_Costo_Faltante,0)</f>
        <v>0</v>
      </c>
      <c r="S250">
        <f ca="1">IF(U250=0,X250*_Costo_Frasco,0)</f>
        <v>0</v>
      </c>
      <c r="T250" s="11">
        <f t="shared" ca="1" si="55"/>
        <v>-19077.89173507681</v>
      </c>
      <c r="U250" s="10">
        <f>IF(U249=0,_Proxima_Compra,U249-1)</f>
        <v>0</v>
      </c>
      <c r="V250" s="3">
        <f t="shared" ca="1" si="50"/>
        <v>0.66201737538637684</v>
      </c>
      <c r="W250" s="3">
        <f ca="1">IF(W249&gt;0,W249-1,IF(V250&gt;0,LOOKUP(V250,$R$3:$R$5,$O$3:$O$5),-1))</f>
        <v>1</v>
      </c>
      <c r="X250" s="25">
        <f t="shared" ca="1" si="51"/>
        <v>0</v>
      </c>
      <c r="Y250" s="28">
        <f ca="1">X250*_GramosXFrasco</f>
        <v>0</v>
      </c>
    </row>
    <row r="251" spans="1:25" x14ac:dyDescent="0.25">
      <c r="A251" s="30">
        <f t="shared" si="52"/>
        <v>235</v>
      </c>
      <c r="B251" s="38">
        <f t="shared" ca="1" si="45"/>
        <v>0.80858018466850567</v>
      </c>
      <c r="C251" s="36">
        <f t="shared" ca="1" si="46"/>
        <v>0.56067352167870832</v>
      </c>
      <c r="D251" s="36">
        <f t="shared" ca="1" si="47"/>
        <v>0.75881477361115202</v>
      </c>
      <c r="E251" s="36">
        <f t="shared" ca="1" si="56"/>
        <v>4.6789388781936017E-2</v>
      </c>
      <c r="F251" s="37">
        <f ca="1">IF(E251&lt;&gt;-1,_Media_M + E251*_Sigma,-1)</f>
        <v>75.701840831729044</v>
      </c>
      <c r="G251" s="3">
        <f t="shared" ca="1" si="48"/>
        <v>-1</v>
      </c>
      <c r="H251" s="36">
        <f t="shared" ca="1" si="57"/>
        <v>75.701840831729044</v>
      </c>
      <c r="I251" s="36">
        <f t="shared" ca="1" si="49"/>
        <v>8.103927441227432</v>
      </c>
      <c r="J251" s="35">
        <f t="shared" ca="1" si="58"/>
        <v>83.80576827295647</v>
      </c>
      <c r="K251" s="19">
        <f t="shared" ca="1" si="53"/>
        <v>83.80576827295647</v>
      </c>
      <c r="L251" s="20">
        <f ca="1" xml:space="preserve"> K251*_Precio_cafe</f>
        <v>125.70865240943471</v>
      </c>
      <c r="M251" s="20">
        <f t="shared" ca="1" si="54"/>
        <v>33233.046962122171</v>
      </c>
      <c r="N251" s="20">
        <f ca="1">IF((N250-K251+Y251)&gt;_Max_Stock_Gramos,_Max_Stock_Gramos,N250-K251+Y251)</f>
        <v>1588.8897122351418</v>
      </c>
      <c r="O251" s="20">
        <f ca="1">N251/_GramosXFrasco</f>
        <v>9.3464100719714232</v>
      </c>
      <c r="P251" s="63">
        <f ca="1">(N251/_Max_Stock_Gramos)</f>
        <v>0.93464100719714227</v>
      </c>
      <c r="Q251" s="63"/>
      <c r="R251" s="10">
        <f ca="1">IF((N250-J251)&lt;0,(N250-J251)*_Costo_Faltante,0)</f>
        <v>0</v>
      </c>
      <c r="S251">
        <f>IF(U251=0,X251*_Costo_Frasco,0)</f>
        <v>0</v>
      </c>
      <c r="T251" s="11">
        <f t="shared" ca="1" si="55"/>
        <v>-19077.89173507681</v>
      </c>
      <c r="U251" s="10">
        <f>IF(U250=0,_Proxima_Compra,U250-1)</f>
        <v>2</v>
      </c>
      <c r="V251" s="3">
        <f t="shared" ca="1" si="50"/>
        <v>-1</v>
      </c>
      <c r="W251" s="3">
        <f ca="1">IF(W250&gt;0,W250-1,IF(V251&gt;0,LOOKUP(V251,$R$3:$R$5,$O$3:$O$5),-1))</f>
        <v>0</v>
      </c>
      <c r="X251" s="25">
        <f t="shared" ca="1" si="51"/>
        <v>2</v>
      </c>
      <c r="Y251" s="28">
        <f ca="1">X251*_GramosXFrasco</f>
        <v>340</v>
      </c>
    </row>
    <row r="252" spans="1:25" x14ac:dyDescent="0.25">
      <c r="A252" s="30">
        <f t="shared" si="52"/>
        <v>236</v>
      </c>
      <c r="B252" s="38">
        <f t="shared" ca="1" si="45"/>
        <v>0.3863624095783238</v>
      </c>
      <c r="C252" s="36">
        <f t="shared" ca="1" si="46"/>
        <v>-1</v>
      </c>
      <c r="D252" s="36">
        <f t="shared" ca="1" si="47"/>
        <v>-1</v>
      </c>
      <c r="E252" s="36">
        <f t="shared" ca="1" si="56"/>
        <v>-1</v>
      </c>
      <c r="F252" s="37">
        <f ca="1">IF(E252&lt;&gt;-1,_Media_M + E252*_Sigma,-1)</f>
        <v>-1</v>
      </c>
      <c r="G252" s="3">
        <f t="shared" ca="1" si="48"/>
        <v>50</v>
      </c>
      <c r="H252" s="36">
        <f t="shared" ca="1" si="57"/>
        <v>50</v>
      </c>
      <c r="I252" s="36">
        <f t="shared" ca="1" si="49"/>
        <v>76.531168533367477</v>
      </c>
      <c r="J252" s="35">
        <f t="shared" ca="1" si="58"/>
        <v>126.53116853336748</v>
      </c>
      <c r="K252" s="19">
        <f t="shared" ca="1" si="53"/>
        <v>126.53116853336748</v>
      </c>
      <c r="L252" s="20">
        <f ca="1" xml:space="preserve"> K252*_Precio_cafe</f>
        <v>189.79675280005122</v>
      </c>
      <c r="M252" s="20">
        <f t="shared" ca="1" si="54"/>
        <v>33422.843714922223</v>
      </c>
      <c r="N252" s="20">
        <f ca="1">IF((N251-K252+Y252)&gt;_Max_Stock_Gramos,_Max_Stock_Gramos,N251-K252+Y252)</f>
        <v>1462.3585437017744</v>
      </c>
      <c r="O252" s="20">
        <f ca="1">N252/_GramosXFrasco</f>
        <v>8.6021090805986731</v>
      </c>
      <c r="P252" s="63">
        <f ca="1">(N252/_Max_Stock_Gramos)</f>
        <v>0.86021090805986722</v>
      </c>
      <c r="Q252" s="63"/>
      <c r="R252" s="10">
        <f ca="1">IF((N251-J252)&lt;0,(N251-J252)*_Costo_Faltante,0)</f>
        <v>0</v>
      </c>
      <c r="S252">
        <f>IF(U252=0,X252*_Costo_Frasco,0)</f>
        <v>0</v>
      </c>
      <c r="T252" s="11">
        <f t="shared" ca="1" si="55"/>
        <v>-19077.89173507681</v>
      </c>
      <c r="U252" s="10">
        <f>IF(U251=0,_Proxima_Compra,U251-1)</f>
        <v>1</v>
      </c>
      <c r="V252" s="3">
        <f t="shared" ca="1" si="50"/>
        <v>-1</v>
      </c>
      <c r="W252" s="3">
        <f ca="1">IF(W251&gt;0,W251-1,IF(V252&gt;0,LOOKUP(V252,$R$3:$R$5,$O$3:$O$5),-1))</f>
        <v>-1</v>
      </c>
      <c r="X252" s="25">
        <f t="shared" ca="1" si="51"/>
        <v>0</v>
      </c>
      <c r="Y252" s="28">
        <f ca="1">X252*_GramosXFrasco</f>
        <v>0</v>
      </c>
    </row>
    <row r="253" spans="1:25" x14ac:dyDescent="0.25">
      <c r="A253" s="30">
        <f t="shared" si="52"/>
        <v>237</v>
      </c>
      <c r="B253" s="38">
        <f t="shared" ca="1" si="45"/>
        <v>0.16790320656000601</v>
      </c>
      <c r="C253" s="36">
        <f t="shared" ca="1" si="46"/>
        <v>-1</v>
      </c>
      <c r="D253" s="36">
        <f t="shared" ca="1" si="47"/>
        <v>-1</v>
      </c>
      <c r="E253" s="36">
        <f t="shared" ca="1" si="56"/>
        <v>-1</v>
      </c>
      <c r="F253" s="37">
        <f ca="1">IF(E253&lt;&gt;-1,_Media_M + E253*_Sigma,-1)</f>
        <v>-1</v>
      </c>
      <c r="G253" s="3">
        <f t="shared" ca="1" si="48"/>
        <v>50</v>
      </c>
      <c r="H253" s="36">
        <f t="shared" ca="1" si="57"/>
        <v>50</v>
      </c>
      <c r="I253" s="36">
        <f t="shared" ca="1" si="49"/>
        <v>68.632624168933233</v>
      </c>
      <c r="J253" s="35">
        <f t="shared" ca="1" si="58"/>
        <v>118.63262416893323</v>
      </c>
      <c r="K253" s="19">
        <f t="shared" ca="1" si="53"/>
        <v>118.63262416893323</v>
      </c>
      <c r="L253" s="20">
        <f ca="1" xml:space="preserve"> K253*_Precio_cafe</f>
        <v>177.94893625339984</v>
      </c>
      <c r="M253" s="20">
        <f t="shared" ca="1" si="54"/>
        <v>33600.792651175623</v>
      </c>
      <c r="N253" s="20">
        <f ca="1">IF((N252-K253+Y253)&gt;_Max_Stock_Gramos,_Max_Stock_Gramos,N252-K253+Y253)</f>
        <v>1683.7259195328411</v>
      </c>
      <c r="O253" s="20">
        <f ca="1">N253/_GramosXFrasco</f>
        <v>9.9042701148990648</v>
      </c>
      <c r="P253" s="63">
        <f ca="1">(N253/_Max_Stock_Gramos)</f>
        <v>0.99042701148990653</v>
      </c>
      <c r="Q253" s="63"/>
      <c r="R253" s="10">
        <f ca="1">IF((N252-J253)&lt;0,(N252-J253)*_Costo_Faltante,0)</f>
        <v>0</v>
      </c>
      <c r="S253">
        <f ca="1">IF(U253=0,X253*_Costo_Frasco,0)</f>
        <v>-500</v>
      </c>
      <c r="T253" s="11">
        <f t="shared" ca="1" si="55"/>
        <v>-19577.89173507681</v>
      </c>
      <c r="U253" s="10">
        <f>IF(U252=0,_Proxima_Compra,U252-1)</f>
        <v>0</v>
      </c>
      <c r="V253" s="3">
        <f t="shared" ca="1" si="50"/>
        <v>0.48662513495567961</v>
      </c>
      <c r="W253" s="3">
        <f ca="1">IF(W252&gt;0,W252-1,IF(V253&gt;0,LOOKUP(V253,$R$3:$R$5,$O$3:$O$5),-1))</f>
        <v>0</v>
      </c>
      <c r="X253" s="25">
        <f t="shared" ca="1" si="51"/>
        <v>2</v>
      </c>
      <c r="Y253" s="28">
        <f ca="1">X253*_GramosXFrasco</f>
        <v>340</v>
      </c>
    </row>
    <row r="254" spans="1:25" x14ac:dyDescent="0.25">
      <c r="A254" s="30">
        <f t="shared" si="52"/>
        <v>238</v>
      </c>
      <c r="B254" s="38">
        <f t="shared" ca="1" si="45"/>
        <v>0.52482202722053095</v>
      </c>
      <c r="C254" s="36">
        <f t="shared" ca="1" si="46"/>
        <v>0.65937316281337499</v>
      </c>
      <c r="D254" s="36">
        <f t="shared" ca="1" si="47"/>
        <v>0.47053404925470821</v>
      </c>
      <c r="E254" s="36">
        <f t="shared" ca="1" si="56"/>
        <v>-0.9506539645734885</v>
      </c>
      <c r="F254" s="37">
        <f ca="1">IF(E254&lt;&gt;-1,_Media_M + E254*_Sigma,-1)</f>
        <v>60.740190531397673</v>
      </c>
      <c r="G254" s="3">
        <f t="shared" ca="1" si="48"/>
        <v>-1</v>
      </c>
      <c r="H254" s="36">
        <f t="shared" ca="1" si="57"/>
        <v>60.740190531397673</v>
      </c>
      <c r="I254" s="36">
        <f t="shared" ca="1" si="49"/>
        <v>59.453537907386163</v>
      </c>
      <c r="J254" s="35">
        <f t="shared" ca="1" si="58"/>
        <v>120.19372843878384</v>
      </c>
      <c r="K254" s="19">
        <f t="shared" ca="1" si="53"/>
        <v>120.19372843878384</v>
      </c>
      <c r="L254" s="20">
        <f ca="1" xml:space="preserve"> K254*_Precio_cafe</f>
        <v>180.29059265817574</v>
      </c>
      <c r="M254" s="20">
        <f t="shared" ca="1" si="54"/>
        <v>33781.083243833797</v>
      </c>
      <c r="N254" s="20">
        <f ca="1">IF((N253-K254+Y254)&gt;_Max_Stock_Gramos,_Max_Stock_Gramos,N253-K254+Y254)</f>
        <v>1563.5321910940572</v>
      </c>
      <c r="O254" s="20">
        <f ca="1">N254/_GramosXFrasco</f>
        <v>9.1972481829062183</v>
      </c>
      <c r="P254" s="63">
        <f ca="1">(N254/_Max_Stock_Gramos)</f>
        <v>0.91972481829062191</v>
      </c>
      <c r="Q254" s="63"/>
      <c r="R254" s="10">
        <f ca="1">IF((N253-J254)&lt;0,(N253-J254)*_Costo_Faltante,0)</f>
        <v>0</v>
      </c>
      <c r="S254">
        <f>IF(U254=0,X254*_Costo_Frasco,0)</f>
        <v>0</v>
      </c>
      <c r="T254" s="11">
        <f t="shared" ca="1" si="55"/>
        <v>-19577.89173507681</v>
      </c>
      <c r="U254" s="10">
        <f>IF(U253=0,_Proxima_Compra,U253-1)</f>
        <v>2</v>
      </c>
      <c r="V254" s="3">
        <f t="shared" ca="1" si="50"/>
        <v>-1</v>
      </c>
      <c r="W254" s="3">
        <f ca="1">IF(W253&gt;0,W253-1,IF(V254&gt;0,LOOKUP(V254,$R$3:$R$5,$O$3:$O$5),-1))</f>
        <v>-1</v>
      </c>
      <c r="X254" s="25">
        <f t="shared" ca="1" si="51"/>
        <v>0</v>
      </c>
      <c r="Y254" s="28">
        <f ca="1">X254*_GramosXFrasco</f>
        <v>0</v>
      </c>
    </row>
    <row r="255" spans="1:25" x14ac:dyDescent="0.25">
      <c r="A255" s="30">
        <f t="shared" si="52"/>
        <v>239</v>
      </c>
      <c r="B255" s="38">
        <f t="shared" ca="1" si="45"/>
        <v>0.10859168248178352</v>
      </c>
      <c r="C255" s="36">
        <f t="shared" ca="1" si="46"/>
        <v>-1</v>
      </c>
      <c r="D255" s="36">
        <f t="shared" ca="1" si="47"/>
        <v>-1</v>
      </c>
      <c r="E255" s="36">
        <f t="shared" ca="1" si="56"/>
        <v>-1</v>
      </c>
      <c r="F255" s="37">
        <f ca="1">IF(E255&lt;&gt;-1,_Media_M + E255*_Sigma,-1)</f>
        <v>-1</v>
      </c>
      <c r="G255" s="3">
        <f t="shared" ca="1" si="48"/>
        <v>50</v>
      </c>
      <c r="H255" s="36">
        <f t="shared" ca="1" si="57"/>
        <v>50</v>
      </c>
      <c r="I255" s="36">
        <f t="shared" ca="1" si="49"/>
        <v>9.9861006351307982</v>
      </c>
      <c r="J255" s="35">
        <f t="shared" ca="1" si="58"/>
        <v>59.986100635130796</v>
      </c>
      <c r="K255" s="19">
        <f t="shared" ca="1" si="53"/>
        <v>59.986100635130796</v>
      </c>
      <c r="L255" s="20">
        <f ca="1" xml:space="preserve"> K255*_Precio_cafe</f>
        <v>89.979150952696187</v>
      </c>
      <c r="M255" s="20">
        <f t="shared" ca="1" si="54"/>
        <v>33871.062394786495</v>
      </c>
      <c r="N255" s="20">
        <f ca="1">IF((N254-K255+Y255)&gt;_Max_Stock_Gramos,_Max_Stock_Gramos,N254-K255+Y255)</f>
        <v>1503.5460904589265</v>
      </c>
      <c r="O255" s="20">
        <f ca="1">N255/_GramosXFrasco</f>
        <v>8.8443887674054498</v>
      </c>
      <c r="P255" s="63">
        <f ca="1">(N255/_Max_Stock_Gramos)</f>
        <v>0.884438876740545</v>
      </c>
      <c r="Q255" s="63"/>
      <c r="R255" s="10">
        <f ca="1">IF((N254-J255)&lt;0,(N254-J255)*_Costo_Faltante,0)</f>
        <v>0</v>
      </c>
      <c r="S255">
        <f>IF(U255=0,X255*_Costo_Frasco,0)</f>
        <v>0</v>
      </c>
      <c r="T255" s="11">
        <f t="shared" ca="1" si="55"/>
        <v>-19577.89173507681</v>
      </c>
      <c r="U255" s="10">
        <f>IF(U254=0,_Proxima_Compra,U254-1)</f>
        <v>1</v>
      </c>
      <c r="V255" s="3">
        <f t="shared" ca="1" si="50"/>
        <v>-1</v>
      </c>
      <c r="W255" s="3">
        <f ca="1">IF(W254&gt;0,W254-1,IF(V255&gt;0,LOOKUP(V255,$R$3:$R$5,$O$3:$O$5),-1))</f>
        <v>-1</v>
      </c>
      <c r="X255" s="25">
        <f t="shared" ca="1" si="51"/>
        <v>0</v>
      </c>
      <c r="Y255" s="28">
        <f ca="1">X255*_GramosXFrasco</f>
        <v>0</v>
      </c>
    </row>
    <row r="256" spans="1:25" x14ac:dyDescent="0.25">
      <c r="A256" s="30">
        <f t="shared" si="52"/>
        <v>240</v>
      </c>
      <c r="B256" s="38">
        <f t="shared" ca="1" si="45"/>
        <v>0.35671545932244886</v>
      </c>
      <c r="C256" s="36">
        <f t="shared" ca="1" si="46"/>
        <v>-1</v>
      </c>
      <c r="D256" s="36">
        <f t="shared" ca="1" si="47"/>
        <v>-1</v>
      </c>
      <c r="E256" s="36">
        <f t="shared" ca="1" si="56"/>
        <v>-1</v>
      </c>
      <c r="F256" s="37">
        <f ca="1">IF(E256&lt;&gt;-1,_Media_M + E256*_Sigma,-1)</f>
        <v>-1</v>
      </c>
      <c r="G256" s="3">
        <f t="shared" ca="1" si="48"/>
        <v>50</v>
      </c>
      <c r="H256" s="36">
        <f t="shared" ca="1" si="57"/>
        <v>50</v>
      </c>
      <c r="I256" s="36">
        <f t="shared" ca="1" si="49"/>
        <v>1.5916383989492966</v>
      </c>
      <c r="J256" s="35">
        <f t="shared" ca="1" si="58"/>
        <v>51.5916383989493</v>
      </c>
      <c r="K256" s="19">
        <f t="shared" ca="1" si="53"/>
        <v>51.5916383989493</v>
      </c>
      <c r="L256" s="20">
        <f ca="1" xml:space="preserve"> K256*_Precio_cafe</f>
        <v>77.38745759842395</v>
      </c>
      <c r="M256" s="20">
        <f t="shared" ca="1" si="54"/>
        <v>33948.449852384918</v>
      </c>
      <c r="N256" s="20">
        <f ca="1">IF((N255-K256+Y256)&gt;_Max_Stock_Gramos,_Max_Stock_Gramos,N255-K256+Y256)</f>
        <v>1700</v>
      </c>
      <c r="O256" s="20">
        <f ca="1">N256/_GramosXFrasco</f>
        <v>10</v>
      </c>
      <c r="P256" s="63">
        <f ca="1">(N256/_Max_Stock_Gramos)</f>
        <v>1</v>
      </c>
      <c r="Q256" s="63"/>
      <c r="R256" s="10">
        <f ca="1">IF((N255-J256)&lt;0,(N255-J256)*_Costo_Faltante,0)</f>
        <v>0</v>
      </c>
      <c r="S256">
        <f ca="1">IF(U256=0,X256*_Costo_Frasco,0)</f>
        <v>-500</v>
      </c>
      <c r="T256" s="11">
        <f t="shared" ca="1" si="55"/>
        <v>-20077.89173507681</v>
      </c>
      <c r="U256" s="10">
        <f>IF(U255=0,_Proxima_Compra,U255-1)</f>
        <v>0</v>
      </c>
      <c r="V256" s="3">
        <f t="shared" ca="1" si="50"/>
        <v>0.22230602801742638</v>
      </c>
      <c r="W256" s="3">
        <f ca="1">IF(W255&gt;0,W255-1,IF(V256&gt;0,LOOKUP(V256,$R$3:$R$5,$O$3:$O$5),-1))</f>
        <v>0</v>
      </c>
      <c r="X256" s="25">
        <f t="shared" ca="1" si="51"/>
        <v>2</v>
      </c>
      <c r="Y256" s="28">
        <f ca="1">X256*_GramosXFrasco</f>
        <v>340</v>
      </c>
    </row>
    <row r="257" spans="1:25" x14ac:dyDescent="0.25">
      <c r="A257" s="30">
        <f t="shared" si="52"/>
        <v>241</v>
      </c>
      <c r="B257" s="38">
        <f t="shared" ca="1" si="45"/>
        <v>0.63322259703920192</v>
      </c>
      <c r="C257" s="36">
        <f t="shared" ca="1" si="46"/>
        <v>0.17030946280169568</v>
      </c>
      <c r="D257" s="36">
        <f t="shared" ca="1" si="47"/>
        <v>0.3611424193692373</v>
      </c>
      <c r="E257" s="36">
        <f t="shared" ca="1" si="56"/>
        <v>-0.25891159765333471</v>
      </c>
      <c r="F257" s="37">
        <f ca="1">IF(E257&lt;&gt;-1,_Media_M + E257*_Sigma,-1)</f>
        <v>71.116326035199975</v>
      </c>
      <c r="G257" s="3">
        <f t="shared" ca="1" si="48"/>
        <v>-1</v>
      </c>
      <c r="H257" s="36">
        <f t="shared" ca="1" si="57"/>
        <v>71.116326035199975</v>
      </c>
      <c r="I257" s="36">
        <f t="shared" ca="1" si="49"/>
        <v>47.737728243198909</v>
      </c>
      <c r="J257" s="35">
        <f t="shared" ca="1" si="58"/>
        <v>118.85405427839888</v>
      </c>
      <c r="K257" s="19">
        <f t="shared" ca="1" si="53"/>
        <v>118.85405427839888</v>
      </c>
      <c r="L257" s="20">
        <f ca="1" xml:space="preserve"> K257*_Precio_cafe</f>
        <v>178.28108141759833</v>
      </c>
      <c r="M257" s="20">
        <f t="shared" ca="1" si="54"/>
        <v>34126.730933802515</v>
      </c>
      <c r="N257" s="20">
        <f ca="1">IF((N256-K257+Y257)&gt;_Max_Stock_Gramos,_Max_Stock_Gramos,N256-K257+Y257)</f>
        <v>1581.145945721601</v>
      </c>
      <c r="O257" s="20">
        <f ca="1">N257/_GramosXFrasco</f>
        <v>9.3008585042447116</v>
      </c>
      <c r="P257" s="63">
        <f ca="1">(N257/_Max_Stock_Gramos)</f>
        <v>0.93008585042447123</v>
      </c>
      <c r="Q257" s="63"/>
      <c r="R257" s="10">
        <f ca="1">IF((N256-J257)&lt;0,(N256-J257)*_Costo_Faltante,0)</f>
        <v>0</v>
      </c>
      <c r="S257">
        <f>IF(U257=0,X257*_Costo_Frasco,0)</f>
        <v>0</v>
      </c>
      <c r="T257" s="11">
        <f t="shared" ca="1" si="55"/>
        <v>-20077.89173507681</v>
      </c>
      <c r="U257" s="10">
        <f>IF(U256=0,_Proxima_Compra,U256-1)</f>
        <v>2</v>
      </c>
      <c r="V257" s="3">
        <f t="shared" ca="1" si="50"/>
        <v>-1</v>
      </c>
      <c r="W257" s="3">
        <f ca="1">IF(W256&gt;0,W256-1,IF(V257&gt;0,LOOKUP(V257,$R$3:$R$5,$O$3:$O$5),-1))</f>
        <v>-1</v>
      </c>
      <c r="X257" s="25">
        <f t="shared" ca="1" si="51"/>
        <v>0</v>
      </c>
      <c r="Y257" s="28">
        <f ca="1">X257*_GramosXFrasco</f>
        <v>0</v>
      </c>
    </row>
    <row r="258" spans="1:25" x14ac:dyDescent="0.25">
      <c r="A258" s="30">
        <f t="shared" si="52"/>
        <v>242</v>
      </c>
      <c r="B258" s="38">
        <f t="shared" ca="1" si="45"/>
        <v>8.5212428336294166E-2</v>
      </c>
      <c r="C258" s="36">
        <f t="shared" ca="1" si="46"/>
        <v>-1</v>
      </c>
      <c r="D258" s="36">
        <f t="shared" ca="1" si="47"/>
        <v>-1</v>
      </c>
      <c r="E258" s="36">
        <f t="shared" ca="1" si="56"/>
        <v>-1</v>
      </c>
      <c r="F258" s="37">
        <f ca="1">IF(E258&lt;&gt;-1,_Media_M + E258*_Sigma,-1)</f>
        <v>-1</v>
      </c>
      <c r="G258" s="3">
        <f t="shared" ca="1" si="48"/>
        <v>50</v>
      </c>
      <c r="H258" s="36">
        <f t="shared" ca="1" si="57"/>
        <v>50</v>
      </c>
      <c r="I258" s="36">
        <f t="shared" ca="1" si="49"/>
        <v>64.434209802488567</v>
      </c>
      <c r="J258" s="35">
        <f t="shared" ca="1" si="58"/>
        <v>114.43420980248857</v>
      </c>
      <c r="K258" s="19">
        <f t="shared" ca="1" si="53"/>
        <v>114.43420980248857</v>
      </c>
      <c r="L258" s="20">
        <f ca="1" xml:space="preserve"> K258*_Precio_cafe</f>
        <v>171.65131470373285</v>
      </c>
      <c r="M258" s="20">
        <f t="shared" ca="1" si="54"/>
        <v>34298.382248506248</v>
      </c>
      <c r="N258" s="20">
        <f ca="1">IF((N257-K258+Y258)&gt;_Max_Stock_Gramos,_Max_Stock_Gramos,N257-K258+Y258)</f>
        <v>1466.7117359191125</v>
      </c>
      <c r="O258" s="20">
        <f ca="1">N258/_GramosXFrasco</f>
        <v>8.6277160936418387</v>
      </c>
      <c r="P258" s="63">
        <f ca="1">(N258/_Max_Stock_Gramos)</f>
        <v>0.86277160936418384</v>
      </c>
      <c r="Q258" s="63"/>
      <c r="R258" s="10">
        <f ca="1">IF((N257-J258)&lt;0,(N257-J258)*_Costo_Faltante,0)</f>
        <v>0</v>
      </c>
      <c r="S258">
        <f>IF(U258=0,X258*_Costo_Frasco,0)</f>
        <v>0</v>
      </c>
      <c r="T258" s="11">
        <f t="shared" ca="1" si="55"/>
        <v>-20077.89173507681</v>
      </c>
      <c r="U258" s="10">
        <f>IF(U257=0,_Proxima_Compra,U257-1)</f>
        <v>1</v>
      </c>
      <c r="V258" s="3">
        <f t="shared" ca="1" si="50"/>
        <v>-1</v>
      </c>
      <c r="W258" s="3">
        <f ca="1">IF(W257&gt;0,W257-1,IF(V258&gt;0,LOOKUP(V258,$R$3:$R$5,$O$3:$O$5),-1))</f>
        <v>-1</v>
      </c>
      <c r="X258" s="25">
        <f t="shared" ca="1" si="51"/>
        <v>0</v>
      </c>
      <c r="Y258" s="28">
        <f ca="1">X258*_GramosXFrasco</f>
        <v>0</v>
      </c>
    </row>
    <row r="259" spans="1:25" x14ac:dyDescent="0.25">
      <c r="A259" s="30">
        <f t="shared" si="52"/>
        <v>243</v>
      </c>
      <c r="B259" s="38">
        <f t="shared" ca="1" si="45"/>
        <v>0.15721748923449619</v>
      </c>
      <c r="C259" s="36">
        <f t="shared" ca="1" si="46"/>
        <v>-1</v>
      </c>
      <c r="D259" s="36">
        <f t="shared" ca="1" si="47"/>
        <v>-1</v>
      </c>
      <c r="E259" s="36">
        <f t="shared" ca="1" si="56"/>
        <v>-1</v>
      </c>
      <c r="F259" s="37">
        <f ca="1">IF(E259&lt;&gt;-1,_Media_M + E259*_Sigma,-1)</f>
        <v>-1</v>
      </c>
      <c r="G259" s="3">
        <f t="shared" ca="1" si="48"/>
        <v>50</v>
      </c>
      <c r="H259" s="36">
        <f t="shared" ca="1" si="57"/>
        <v>50</v>
      </c>
      <c r="I259" s="36">
        <f t="shared" ca="1" si="49"/>
        <v>61.725235226496778</v>
      </c>
      <c r="J259" s="35">
        <f t="shared" ca="1" si="58"/>
        <v>111.72523522649678</v>
      </c>
      <c r="K259" s="19">
        <f t="shared" ca="1" si="53"/>
        <v>111.72523522649678</v>
      </c>
      <c r="L259" s="20">
        <f ca="1" xml:space="preserve"> K259*_Precio_cafe</f>
        <v>167.58785283974515</v>
      </c>
      <c r="M259" s="20">
        <f t="shared" ca="1" si="54"/>
        <v>34465.970101345993</v>
      </c>
      <c r="N259" s="20">
        <f ca="1">IF((N258-K259+Y259)&gt;_Max_Stock_Gramos,_Max_Stock_Gramos,N258-K259+Y259)</f>
        <v>1694.9865006926157</v>
      </c>
      <c r="O259" s="20">
        <f ca="1">N259/_GramosXFrasco</f>
        <v>9.9705088276036218</v>
      </c>
      <c r="P259" s="63">
        <f ca="1">(N259/_Max_Stock_Gramos)</f>
        <v>0.99705088276036213</v>
      </c>
      <c r="Q259" s="63"/>
      <c r="R259" s="10">
        <f ca="1">IF((N258-J259)&lt;0,(N258-J259)*_Costo_Faltante,0)</f>
        <v>0</v>
      </c>
      <c r="S259">
        <f ca="1">IF(U259=0,X259*_Costo_Frasco,0)</f>
        <v>-500</v>
      </c>
      <c r="T259" s="11">
        <f t="shared" ca="1" si="55"/>
        <v>-20577.89173507681</v>
      </c>
      <c r="U259" s="10">
        <f>IF(U258=0,_Proxima_Compra,U258-1)</f>
        <v>0</v>
      </c>
      <c r="V259" s="3">
        <f t="shared" ca="1" si="50"/>
        <v>0.39771908169746739</v>
      </c>
      <c r="W259" s="3">
        <f ca="1">IF(W258&gt;0,W258-1,IF(V259&gt;0,LOOKUP(V259,$R$3:$R$5,$O$3:$O$5),-1))</f>
        <v>0</v>
      </c>
      <c r="X259" s="25">
        <f t="shared" ca="1" si="51"/>
        <v>2</v>
      </c>
      <c r="Y259" s="28">
        <f ca="1">X259*_GramosXFrasco</f>
        <v>340</v>
      </c>
    </row>
    <row r="260" spans="1:25" x14ac:dyDescent="0.25">
      <c r="A260" s="30">
        <f t="shared" si="52"/>
        <v>244</v>
      </c>
      <c r="B260" s="38">
        <f t="shared" ca="1" si="45"/>
        <v>0.18776659848706256</v>
      </c>
      <c r="C260" s="36">
        <f t="shared" ca="1" si="46"/>
        <v>-1</v>
      </c>
      <c r="D260" s="36">
        <f t="shared" ca="1" si="47"/>
        <v>-1</v>
      </c>
      <c r="E260" s="36">
        <f t="shared" ca="1" si="56"/>
        <v>-1</v>
      </c>
      <c r="F260" s="37">
        <f ca="1">IF(E260&lt;&gt;-1,_Media_M + E260*_Sigma,-1)</f>
        <v>-1</v>
      </c>
      <c r="G260" s="3">
        <f t="shared" ca="1" si="48"/>
        <v>50</v>
      </c>
      <c r="H260" s="36">
        <f t="shared" ca="1" si="57"/>
        <v>50</v>
      </c>
      <c r="I260" s="36">
        <f t="shared" ca="1" si="49"/>
        <v>0.98072899039724515</v>
      </c>
      <c r="J260" s="35">
        <f t="shared" ca="1" si="58"/>
        <v>50.980728990397246</v>
      </c>
      <c r="K260" s="19">
        <f t="shared" ca="1" si="53"/>
        <v>50.980728990397246</v>
      </c>
      <c r="L260" s="20">
        <f ca="1" xml:space="preserve"> K260*_Precio_cafe</f>
        <v>76.471093485595873</v>
      </c>
      <c r="M260" s="20">
        <f t="shared" ca="1" si="54"/>
        <v>34542.44119483159</v>
      </c>
      <c r="N260" s="20">
        <f ca="1">IF((N259-K260+Y260)&gt;_Max_Stock_Gramos,_Max_Stock_Gramos,N259-K260+Y260)</f>
        <v>1644.0057717022185</v>
      </c>
      <c r="O260" s="20">
        <f ca="1">N260/_GramosXFrasco</f>
        <v>9.6706221864836373</v>
      </c>
      <c r="P260" s="63">
        <f ca="1">(N260/_Max_Stock_Gramos)</f>
        <v>0.96706221864836384</v>
      </c>
      <c r="Q260" s="63"/>
      <c r="R260" s="10">
        <f ca="1">IF((N259-J260)&lt;0,(N259-J260)*_Costo_Faltante,0)</f>
        <v>0</v>
      </c>
      <c r="S260">
        <f>IF(U260=0,X260*_Costo_Frasco,0)</f>
        <v>0</v>
      </c>
      <c r="T260" s="11">
        <f t="shared" ca="1" si="55"/>
        <v>-20577.89173507681</v>
      </c>
      <c r="U260" s="10">
        <f>IF(U259=0,_Proxima_Compra,U259-1)</f>
        <v>2</v>
      </c>
      <c r="V260" s="3">
        <f t="shared" ca="1" si="50"/>
        <v>-1</v>
      </c>
      <c r="W260" s="3">
        <f ca="1">IF(W259&gt;0,W259-1,IF(V260&gt;0,LOOKUP(V260,$R$3:$R$5,$O$3:$O$5),-1))</f>
        <v>-1</v>
      </c>
      <c r="X260" s="25">
        <f t="shared" ca="1" si="51"/>
        <v>0</v>
      </c>
      <c r="Y260" s="28">
        <f ca="1">X260*_GramosXFrasco</f>
        <v>0</v>
      </c>
    </row>
    <row r="261" spans="1:25" x14ac:dyDescent="0.25">
      <c r="A261" s="30">
        <f t="shared" si="52"/>
        <v>245</v>
      </c>
      <c r="B261" s="38">
        <f t="shared" ca="1" si="45"/>
        <v>5.3452690518753787E-3</v>
      </c>
      <c r="C261" s="36">
        <f t="shared" ca="1" si="46"/>
        <v>-1</v>
      </c>
      <c r="D261" s="36">
        <f t="shared" ca="1" si="47"/>
        <v>-1</v>
      </c>
      <c r="E261" s="36">
        <f t="shared" ca="1" si="56"/>
        <v>-1</v>
      </c>
      <c r="F261" s="37">
        <f ca="1">IF(E261&lt;&gt;-1,_Media_M + E261*_Sigma,-1)</f>
        <v>-1</v>
      </c>
      <c r="G261" s="3">
        <f t="shared" ca="1" si="48"/>
        <v>50</v>
      </c>
      <c r="H261" s="36">
        <f t="shared" ca="1" si="57"/>
        <v>50</v>
      </c>
      <c r="I261" s="36">
        <f t="shared" ca="1" si="49"/>
        <v>14.472299745457869</v>
      </c>
      <c r="J261" s="35">
        <f t="shared" ca="1" si="58"/>
        <v>64.472299745457875</v>
      </c>
      <c r="K261" s="19">
        <f t="shared" ca="1" si="53"/>
        <v>64.472299745457875</v>
      </c>
      <c r="L261" s="20">
        <f ca="1" xml:space="preserve"> K261*_Precio_cafe</f>
        <v>96.708449618186819</v>
      </c>
      <c r="M261" s="20">
        <f t="shared" ca="1" si="54"/>
        <v>34639.149644449775</v>
      </c>
      <c r="N261" s="20">
        <f ca="1">IF((N260-K261+Y261)&gt;_Max_Stock_Gramos,_Max_Stock_Gramos,N260-K261+Y261)</f>
        <v>1579.5334719567606</v>
      </c>
      <c r="O261" s="20">
        <f ca="1">N261/_GramosXFrasco</f>
        <v>9.2913733644515339</v>
      </c>
      <c r="P261" s="63">
        <f ca="1">(N261/_Max_Stock_Gramos)</f>
        <v>0.92913733644515328</v>
      </c>
      <c r="Q261" s="63"/>
      <c r="R261" s="10">
        <f ca="1">IF((N260-J261)&lt;0,(N260-J261)*_Costo_Faltante,0)</f>
        <v>0</v>
      </c>
      <c r="S261">
        <f>IF(U261=0,X261*_Costo_Frasco,0)</f>
        <v>0</v>
      </c>
      <c r="T261" s="11">
        <f t="shared" ca="1" si="55"/>
        <v>-20577.89173507681</v>
      </c>
      <c r="U261" s="10">
        <f>IF(U260=0,_Proxima_Compra,U260-1)</f>
        <v>1</v>
      </c>
      <c r="V261" s="3">
        <f t="shared" ca="1" si="50"/>
        <v>-1</v>
      </c>
      <c r="W261" s="3">
        <f ca="1">IF(W260&gt;0,W260-1,IF(V261&gt;0,LOOKUP(V261,$R$3:$R$5,$O$3:$O$5),-1))</f>
        <v>-1</v>
      </c>
      <c r="X261" s="25">
        <f t="shared" ca="1" si="51"/>
        <v>0</v>
      </c>
      <c r="Y261" s="28">
        <f ca="1">X261*_GramosXFrasco</f>
        <v>0</v>
      </c>
    </row>
    <row r="262" spans="1:25" x14ac:dyDescent="0.25">
      <c r="A262" s="30">
        <f t="shared" si="52"/>
        <v>246</v>
      </c>
      <c r="B262" s="38">
        <f t="shared" ca="1" si="45"/>
        <v>0.55905578650238186</v>
      </c>
      <c r="C262" s="36">
        <f t="shared" ca="1" si="46"/>
        <v>0.12060392380110485</v>
      </c>
      <c r="D262" s="36">
        <f t="shared" ca="1" si="47"/>
        <v>0.95229183484603153</v>
      </c>
      <c r="E262" s="36">
        <f t="shared" ca="1" si="56"/>
        <v>0.3192133254072948</v>
      </c>
      <c r="F262" s="37">
        <f ca="1">IF(E262&lt;&gt;-1,_Media_M + E262*_Sigma,-1)</f>
        <v>79.788199881109421</v>
      </c>
      <c r="G262" s="3">
        <f t="shared" ca="1" si="48"/>
        <v>-1</v>
      </c>
      <c r="H262" s="36">
        <f t="shared" ca="1" si="57"/>
        <v>79.788199881109421</v>
      </c>
      <c r="I262" s="36">
        <f t="shared" ca="1" si="49"/>
        <v>7.8674483066867218</v>
      </c>
      <c r="J262" s="35">
        <f t="shared" ca="1" si="58"/>
        <v>87.655648187796146</v>
      </c>
      <c r="K262" s="19">
        <f t="shared" ca="1" si="53"/>
        <v>87.655648187796146</v>
      </c>
      <c r="L262" s="20">
        <f ca="1" xml:space="preserve"> K262*_Precio_cafe</f>
        <v>131.48347228169422</v>
      </c>
      <c r="M262" s="20">
        <f t="shared" ca="1" si="54"/>
        <v>34770.633116731471</v>
      </c>
      <c r="N262" s="20">
        <f ca="1">IF((N261-K262+Y262)&gt;_Max_Stock_Gramos,_Max_Stock_Gramos,N261-K262+Y262)</f>
        <v>1700</v>
      </c>
      <c r="O262" s="20">
        <f ca="1">N262/_GramosXFrasco</f>
        <v>10</v>
      </c>
      <c r="P262" s="63">
        <f ca="1">(N262/_Max_Stock_Gramos)</f>
        <v>1</v>
      </c>
      <c r="Q262" s="63"/>
      <c r="R262" s="10">
        <f ca="1">IF((N261-J262)&lt;0,(N261-J262)*_Costo_Faltante,0)</f>
        <v>0</v>
      </c>
      <c r="S262">
        <f ca="1">IF(U262=0,X262*_Costo_Frasco,0)</f>
        <v>-500</v>
      </c>
      <c r="T262" s="11">
        <f t="shared" ca="1" si="55"/>
        <v>-21077.89173507681</v>
      </c>
      <c r="U262" s="10">
        <f>IF(U261=0,_Proxima_Compra,U261-1)</f>
        <v>0</v>
      </c>
      <c r="V262" s="3">
        <f t="shared" ca="1" si="50"/>
        <v>0.38962827137908995</v>
      </c>
      <c r="W262" s="3">
        <f ca="1">IF(W261&gt;0,W261-1,IF(V262&gt;0,LOOKUP(V262,$R$3:$R$5,$O$3:$O$5),-1))</f>
        <v>0</v>
      </c>
      <c r="X262" s="25">
        <f t="shared" ca="1" si="51"/>
        <v>2</v>
      </c>
      <c r="Y262" s="28">
        <f ca="1">X262*_GramosXFrasco</f>
        <v>340</v>
      </c>
    </row>
    <row r="263" spans="1:25" x14ac:dyDescent="0.25">
      <c r="A263" s="30">
        <f t="shared" si="52"/>
        <v>247</v>
      </c>
      <c r="B263" s="38">
        <f t="shared" ca="1" si="45"/>
        <v>0.71925254425392604</v>
      </c>
      <c r="C263" s="36">
        <f t="shared" ca="1" si="46"/>
        <v>0.38765104524226124</v>
      </c>
      <c r="D263" s="36">
        <f t="shared" ca="1" si="47"/>
        <v>0.45034912418919959</v>
      </c>
      <c r="E263" s="36">
        <f t="shared" ca="1" si="56"/>
        <v>-0.62118441601792185</v>
      </c>
      <c r="F263" s="37">
        <f ca="1">IF(E263&lt;&gt;-1,_Media_M + E263*_Sigma,-1)</f>
        <v>65.682233759731176</v>
      </c>
      <c r="G263" s="3">
        <f t="shared" ca="1" si="48"/>
        <v>-1</v>
      </c>
      <c r="H263" s="36">
        <f t="shared" ca="1" si="57"/>
        <v>65.682233759731176</v>
      </c>
      <c r="I263" s="36">
        <f t="shared" ca="1" si="49"/>
        <v>9.4866448021126715</v>
      </c>
      <c r="J263" s="35">
        <f t="shared" ca="1" si="58"/>
        <v>75.168878561843854</v>
      </c>
      <c r="K263" s="19">
        <f t="shared" ca="1" si="53"/>
        <v>75.168878561843854</v>
      </c>
      <c r="L263" s="20">
        <f ca="1" xml:space="preserve"> K263*_Precio_cafe</f>
        <v>112.75331784276578</v>
      </c>
      <c r="M263" s="20">
        <f t="shared" ca="1" si="54"/>
        <v>34883.38643457424</v>
      </c>
      <c r="N263" s="20">
        <f ca="1">IF((N262-K263+Y263)&gt;_Max_Stock_Gramos,_Max_Stock_Gramos,N262-K263+Y263)</f>
        <v>1624.8311214381561</v>
      </c>
      <c r="O263" s="20">
        <f ca="1">N263/_GramosXFrasco</f>
        <v>9.5578301261068006</v>
      </c>
      <c r="P263" s="63">
        <f ca="1">(N263/_Max_Stock_Gramos)</f>
        <v>0.95578301261067999</v>
      </c>
      <c r="Q263" s="63"/>
      <c r="R263" s="10">
        <f ca="1">IF((N262-J263)&lt;0,(N262-J263)*_Costo_Faltante,0)</f>
        <v>0</v>
      </c>
      <c r="S263">
        <f>IF(U263=0,X263*_Costo_Frasco,0)</f>
        <v>0</v>
      </c>
      <c r="T263" s="11">
        <f t="shared" ca="1" si="55"/>
        <v>-21077.89173507681</v>
      </c>
      <c r="U263" s="10">
        <f>IF(U262=0,_Proxima_Compra,U262-1)</f>
        <v>2</v>
      </c>
      <c r="V263" s="3">
        <f t="shared" ca="1" si="50"/>
        <v>-1</v>
      </c>
      <c r="W263" s="3">
        <f ca="1">IF(W262&gt;0,W262-1,IF(V263&gt;0,LOOKUP(V263,$R$3:$R$5,$O$3:$O$5),-1))</f>
        <v>-1</v>
      </c>
      <c r="X263" s="25">
        <f t="shared" ca="1" si="51"/>
        <v>0</v>
      </c>
      <c r="Y263" s="28">
        <f ca="1">X263*_GramosXFrasco</f>
        <v>0</v>
      </c>
    </row>
    <row r="264" spans="1:25" x14ac:dyDescent="0.25">
      <c r="A264" s="30">
        <f t="shared" si="52"/>
        <v>248</v>
      </c>
      <c r="B264" s="38">
        <f t="shared" ca="1" si="45"/>
        <v>0.93690124835557065</v>
      </c>
      <c r="C264" s="36">
        <f t="shared" ca="1" si="46"/>
        <v>0.11771799146885364</v>
      </c>
      <c r="D264" s="36">
        <f t="shared" ca="1" si="47"/>
        <v>0.40824306266241484</v>
      </c>
      <c r="E264" s="36">
        <f t="shared" ca="1" si="56"/>
        <v>-0.27651338031895473</v>
      </c>
      <c r="F264" s="37">
        <f ca="1">IF(E264&lt;&gt;-1,_Media_M + E264*_Sigma,-1)</f>
        <v>70.852299295215673</v>
      </c>
      <c r="G264" s="3">
        <f t="shared" ca="1" si="48"/>
        <v>-1</v>
      </c>
      <c r="H264" s="36">
        <f t="shared" ca="1" si="57"/>
        <v>70.852299295215673</v>
      </c>
      <c r="I264" s="36">
        <f t="shared" ca="1" si="49"/>
        <v>6.079377722199073</v>
      </c>
      <c r="J264" s="35">
        <f t="shared" ca="1" si="58"/>
        <v>76.931677017414742</v>
      </c>
      <c r="K264" s="19">
        <f t="shared" ca="1" si="53"/>
        <v>76.931677017414742</v>
      </c>
      <c r="L264" s="20">
        <f ca="1" xml:space="preserve"> K264*_Precio_cafe</f>
        <v>115.39751552612211</v>
      </c>
      <c r="M264" s="20">
        <f t="shared" ca="1" si="54"/>
        <v>34998.783950100362</v>
      </c>
      <c r="N264" s="20">
        <f ca="1">IF((N263-K264+Y264)&gt;_Max_Stock_Gramos,_Max_Stock_Gramos,N263-K264+Y264)</f>
        <v>1547.8994444207412</v>
      </c>
      <c r="O264" s="20">
        <f ca="1">N264/_GramosXFrasco</f>
        <v>9.1052908495337714</v>
      </c>
      <c r="P264" s="63">
        <f ca="1">(N264/_Max_Stock_Gramos)</f>
        <v>0.91052908495337725</v>
      </c>
      <c r="Q264" s="63"/>
      <c r="R264" s="10">
        <f ca="1">IF((N263-J264)&lt;0,(N263-J264)*_Costo_Faltante,0)</f>
        <v>0</v>
      </c>
      <c r="S264">
        <f>IF(U264=0,X264*_Costo_Frasco,0)</f>
        <v>0</v>
      </c>
      <c r="T264" s="11">
        <f t="shared" ca="1" si="55"/>
        <v>-21077.89173507681</v>
      </c>
      <c r="U264" s="10">
        <f>IF(U263=0,_Proxima_Compra,U263-1)</f>
        <v>1</v>
      </c>
      <c r="V264" s="3">
        <f t="shared" ca="1" si="50"/>
        <v>-1</v>
      </c>
      <c r="W264" s="3">
        <f ca="1">IF(W263&gt;0,W263-1,IF(V264&gt;0,LOOKUP(V264,$R$3:$R$5,$O$3:$O$5),-1))</f>
        <v>-1</v>
      </c>
      <c r="X264" s="25">
        <f t="shared" ca="1" si="51"/>
        <v>0</v>
      </c>
      <c r="Y264" s="28">
        <f ca="1">X264*_GramosXFrasco</f>
        <v>0</v>
      </c>
    </row>
    <row r="265" spans="1:25" x14ac:dyDescent="0.25">
      <c r="A265" s="30">
        <f t="shared" si="52"/>
        <v>249</v>
      </c>
      <c r="B265" s="38">
        <f t="shared" ca="1" si="45"/>
        <v>5.8036369390267906E-2</v>
      </c>
      <c r="C265" s="36">
        <f t="shared" ca="1" si="46"/>
        <v>-1</v>
      </c>
      <c r="D265" s="36">
        <f t="shared" ca="1" si="47"/>
        <v>-1</v>
      </c>
      <c r="E265" s="36">
        <f t="shared" ca="1" si="56"/>
        <v>-1</v>
      </c>
      <c r="F265" s="37">
        <f ca="1">IF(E265&lt;&gt;-1,_Media_M + E265*_Sigma,-1)</f>
        <v>-1</v>
      </c>
      <c r="G265" s="3">
        <f t="shared" ca="1" si="48"/>
        <v>50</v>
      </c>
      <c r="H265" s="36">
        <f t="shared" ca="1" si="57"/>
        <v>50</v>
      </c>
      <c r="I265" s="36">
        <f t="shared" ca="1" si="49"/>
        <v>30.908537245333239</v>
      </c>
      <c r="J265" s="35">
        <f t="shared" ca="1" si="58"/>
        <v>80.908537245333235</v>
      </c>
      <c r="K265" s="19">
        <f t="shared" ca="1" si="53"/>
        <v>80.908537245333235</v>
      </c>
      <c r="L265" s="20">
        <f ca="1" xml:space="preserve"> K265*_Precio_cafe</f>
        <v>121.36280586799985</v>
      </c>
      <c r="M265" s="20">
        <f t="shared" ca="1" si="54"/>
        <v>35120.146755968359</v>
      </c>
      <c r="N265" s="20">
        <f ca="1">IF((N264-K265+Y265)&gt;_Max_Stock_Gramos,_Max_Stock_Gramos,N264-K265+Y265)</f>
        <v>1700</v>
      </c>
      <c r="O265" s="20">
        <f ca="1">N265/_GramosXFrasco</f>
        <v>10</v>
      </c>
      <c r="P265" s="63">
        <f ca="1">(N265/_Max_Stock_Gramos)</f>
        <v>1</v>
      </c>
      <c r="Q265" s="63"/>
      <c r="R265" s="10">
        <f ca="1">IF((N264-J265)&lt;0,(N264-J265)*_Costo_Faltante,0)</f>
        <v>0</v>
      </c>
      <c r="S265">
        <f ca="1">IF(U265=0,X265*_Costo_Frasco,0)</f>
        <v>-500</v>
      </c>
      <c r="T265" s="11">
        <f t="shared" ca="1" si="55"/>
        <v>-21577.89173507681</v>
      </c>
      <c r="U265" s="10">
        <f>IF(U264=0,_Proxima_Compra,U264-1)</f>
        <v>0</v>
      </c>
      <c r="V265" s="3">
        <f t="shared" ca="1" si="50"/>
        <v>0.41782023057703921</v>
      </c>
      <c r="W265" s="3">
        <f ca="1">IF(W264&gt;0,W264-1,IF(V265&gt;0,LOOKUP(V265,$R$3:$R$5,$O$3:$O$5),-1))</f>
        <v>0</v>
      </c>
      <c r="X265" s="25">
        <f t="shared" ca="1" si="51"/>
        <v>2</v>
      </c>
      <c r="Y265" s="28">
        <f ca="1">X265*_GramosXFrasco</f>
        <v>340</v>
      </c>
    </row>
    <row r="266" spans="1:25" x14ac:dyDescent="0.25">
      <c r="A266" s="30">
        <f t="shared" si="52"/>
        <v>250</v>
      </c>
      <c r="B266" s="38">
        <f t="shared" ca="1" si="45"/>
        <v>0.47394955553868501</v>
      </c>
      <c r="C266" s="36">
        <f t="shared" ca="1" si="46"/>
        <v>-1</v>
      </c>
      <c r="D266" s="36">
        <f t="shared" ca="1" si="47"/>
        <v>-1</v>
      </c>
      <c r="E266" s="36">
        <f t="shared" ca="1" si="56"/>
        <v>-1</v>
      </c>
      <c r="F266" s="37">
        <f ca="1">IF(E266&lt;&gt;-1,_Media_M + E266*_Sigma,-1)</f>
        <v>-1</v>
      </c>
      <c r="G266" s="3">
        <f t="shared" ca="1" si="48"/>
        <v>50</v>
      </c>
      <c r="H266" s="36">
        <f t="shared" ca="1" si="57"/>
        <v>50</v>
      </c>
      <c r="I266" s="36">
        <f t="shared" ca="1" si="49"/>
        <v>31.948122968467764</v>
      </c>
      <c r="J266" s="35">
        <f t="shared" ca="1" si="58"/>
        <v>81.948122968467771</v>
      </c>
      <c r="K266" s="19">
        <f t="shared" ca="1" si="53"/>
        <v>81.948122968467771</v>
      </c>
      <c r="L266" s="20">
        <f ca="1" xml:space="preserve"> K266*_Precio_cafe</f>
        <v>122.92218445270166</v>
      </c>
      <c r="M266" s="20">
        <f t="shared" ca="1" si="54"/>
        <v>35243.068940421057</v>
      </c>
      <c r="N266" s="20">
        <f ca="1">IF((N265-K266+Y266)&gt;_Max_Stock_Gramos,_Max_Stock_Gramos,N265-K266+Y266)</f>
        <v>1618.0518770315323</v>
      </c>
      <c r="O266" s="20">
        <f ca="1">N266/_GramosXFrasco</f>
        <v>9.5179522178325424</v>
      </c>
      <c r="P266" s="63">
        <f ca="1">(N266/_Max_Stock_Gramos)</f>
        <v>0.95179522178325426</v>
      </c>
      <c r="Q266" s="63"/>
      <c r="R266" s="10">
        <f ca="1">IF((N265-J266)&lt;0,(N265-J266)*_Costo_Faltante,0)</f>
        <v>0</v>
      </c>
      <c r="S266">
        <f>IF(U266=0,X266*_Costo_Frasco,0)</f>
        <v>0</v>
      </c>
      <c r="T266" s="11">
        <f t="shared" ca="1" si="55"/>
        <v>-21577.89173507681</v>
      </c>
      <c r="U266" s="10">
        <f>IF(U265=0,_Proxima_Compra,U265-1)</f>
        <v>2</v>
      </c>
      <c r="V266" s="3">
        <f t="shared" ca="1" si="50"/>
        <v>-1</v>
      </c>
      <c r="W266" s="3">
        <f ca="1">IF(W265&gt;0,W265-1,IF(V266&gt;0,LOOKUP(V266,$R$3:$R$5,$O$3:$O$5),-1))</f>
        <v>-1</v>
      </c>
      <c r="X266" s="25">
        <f t="shared" ca="1" si="51"/>
        <v>0</v>
      </c>
      <c r="Y266" s="28">
        <f ca="1">X266*_GramosXFrasco</f>
        <v>0</v>
      </c>
    </row>
    <row r="267" spans="1:25" x14ac:dyDescent="0.25">
      <c r="A267" s="30">
        <f t="shared" si="52"/>
        <v>251</v>
      </c>
      <c r="B267" s="38">
        <f t="shared" ca="1" si="45"/>
        <v>1.3699071297630372E-2</v>
      </c>
      <c r="C267" s="36">
        <f t="shared" ca="1" si="46"/>
        <v>-1</v>
      </c>
      <c r="D267" s="36">
        <f t="shared" ca="1" si="47"/>
        <v>-1</v>
      </c>
      <c r="E267" s="36">
        <f t="shared" ca="1" si="56"/>
        <v>-1</v>
      </c>
      <c r="F267" s="37">
        <f ca="1">IF(E267&lt;&gt;-1,_Media_M + E267*_Sigma,-1)</f>
        <v>-1</v>
      </c>
      <c r="G267" s="3">
        <f t="shared" ca="1" si="48"/>
        <v>50</v>
      </c>
      <c r="H267" s="36">
        <f t="shared" ca="1" si="57"/>
        <v>50</v>
      </c>
      <c r="I267" s="36">
        <f t="shared" ca="1" si="49"/>
        <v>17.588677621578167</v>
      </c>
      <c r="J267" s="35">
        <f t="shared" ca="1" si="58"/>
        <v>67.588677621578171</v>
      </c>
      <c r="K267" s="19">
        <f t="shared" ca="1" si="53"/>
        <v>67.588677621578171</v>
      </c>
      <c r="L267" s="20">
        <f ca="1" xml:space="preserve"> K267*_Precio_cafe</f>
        <v>101.38301643236726</v>
      </c>
      <c r="M267" s="20">
        <f t="shared" ca="1" si="54"/>
        <v>35344.451956853423</v>
      </c>
      <c r="N267" s="20">
        <f ca="1">IF((N266-K267+Y267)&gt;_Max_Stock_Gramos,_Max_Stock_Gramos,N266-K267+Y267)</f>
        <v>1550.4631994099541</v>
      </c>
      <c r="O267" s="20">
        <f ca="1">N267/_GramosXFrasco</f>
        <v>9.1203717612350239</v>
      </c>
      <c r="P267" s="63">
        <f ca="1">(N267/_Max_Stock_Gramos)</f>
        <v>0.91203717612350244</v>
      </c>
      <c r="Q267" s="63"/>
      <c r="R267" s="10">
        <f ca="1">IF((N266-J267)&lt;0,(N266-J267)*_Costo_Faltante,0)</f>
        <v>0</v>
      </c>
      <c r="S267">
        <f>IF(U267=0,X267*_Costo_Frasco,0)</f>
        <v>0</v>
      </c>
      <c r="T267" s="11">
        <f t="shared" ca="1" si="55"/>
        <v>-21577.89173507681</v>
      </c>
      <c r="U267" s="10">
        <f>IF(U266=0,_Proxima_Compra,U266-1)</f>
        <v>1</v>
      </c>
      <c r="V267" s="3">
        <f t="shared" ca="1" si="50"/>
        <v>-1</v>
      </c>
      <c r="W267" s="3">
        <f ca="1">IF(W266&gt;0,W266-1,IF(V267&gt;0,LOOKUP(V267,$R$3:$R$5,$O$3:$O$5),-1))</f>
        <v>-1</v>
      </c>
      <c r="X267" s="25">
        <f t="shared" ca="1" si="51"/>
        <v>0</v>
      </c>
      <c r="Y267" s="28">
        <f ca="1">X267*_GramosXFrasco</f>
        <v>0</v>
      </c>
    </row>
    <row r="268" spans="1:25" x14ac:dyDescent="0.25">
      <c r="A268" s="30">
        <f t="shared" si="52"/>
        <v>252</v>
      </c>
      <c r="B268" s="38">
        <f t="shared" ca="1" si="45"/>
        <v>0.46902715211491863</v>
      </c>
      <c r="C268" s="36">
        <f t="shared" ca="1" si="46"/>
        <v>-1</v>
      </c>
      <c r="D268" s="36">
        <f t="shared" ca="1" si="47"/>
        <v>-1</v>
      </c>
      <c r="E268" s="36">
        <f t="shared" ca="1" si="56"/>
        <v>-1</v>
      </c>
      <c r="F268" s="37">
        <f ca="1">IF(E268&lt;&gt;-1,_Media_M + E268*_Sigma,-1)</f>
        <v>-1</v>
      </c>
      <c r="G268" s="3">
        <f t="shared" ca="1" si="48"/>
        <v>50</v>
      </c>
      <c r="H268" s="36">
        <f t="shared" ca="1" si="57"/>
        <v>50</v>
      </c>
      <c r="I268" s="36">
        <f t="shared" ca="1" si="49"/>
        <v>34.407245324205284</v>
      </c>
      <c r="J268" s="35">
        <f t="shared" ca="1" si="58"/>
        <v>84.407245324205292</v>
      </c>
      <c r="K268" s="19">
        <f t="shared" ca="1" si="53"/>
        <v>84.407245324205292</v>
      </c>
      <c r="L268" s="20">
        <f ca="1" xml:space="preserve"> K268*_Precio_cafe</f>
        <v>126.61086798630794</v>
      </c>
      <c r="M268" s="20">
        <f t="shared" ca="1" si="54"/>
        <v>35471.062824839733</v>
      </c>
      <c r="N268" s="20">
        <f ca="1">IF((N267-K268+Y268)&gt;_Max_Stock_Gramos,_Max_Stock_Gramos,N267-K268+Y268)</f>
        <v>1700</v>
      </c>
      <c r="O268" s="20">
        <f ca="1">N268/_GramosXFrasco</f>
        <v>10</v>
      </c>
      <c r="P268" s="63">
        <f ca="1">(N268/_Max_Stock_Gramos)</f>
        <v>1</v>
      </c>
      <c r="Q268" s="63"/>
      <c r="R268" s="10">
        <f ca="1">IF((N267-J268)&lt;0,(N267-J268)*_Costo_Faltante,0)</f>
        <v>0</v>
      </c>
      <c r="S268">
        <f ca="1">IF(U268=0,X268*_Costo_Frasco,0)</f>
        <v>-500</v>
      </c>
      <c r="T268" s="11">
        <f t="shared" ca="1" si="55"/>
        <v>-22077.89173507681</v>
      </c>
      <c r="U268" s="10">
        <f>IF(U267=0,_Proxima_Compra,U267-1)</f>
        <v>0</v>
      </c>
      <c r="V268" s="3">
        <f t="shared" ca="1" si="50"/>
        <v>0.2780062773566232</v>
      </c>
      <c r="W268" s="3">
        <f ca="1">IF(W267&gt;0,W267-1,IF(V268&gt;0,LOOKUP(V268,$R$3:$R$5,$O$3:$O$5),-1))</f>
        <v>0</v>
      </c>
      <c r="X268" s="25">
        <f t="shared" ca="1" si="51"/>
        <v>2</v>
      </c>
      <c r="Y268" s="28">
        <f ca="1">X268*_GramosXFrasco</f>
        <v>340</v>
      </c>
    </row>
    <row r="269" spans="1:25" x14ac:dyDescent="0.25">
      <c r="A269" s="30">
        <f t="shared" si="52"/>
        <v>253</v>
      </c>
      <c r="B269" s="38">
        <f t="shared" ca="1" si="45"/>
        <v>0.58420151720995106</v>
      </c>
      <c r="C269" s="36">
        <f t="shared" ca="1" si="46"/>
        <v>2.3860409365087043E-2</v>
      </c>
      <c r="D269" s="36">
        <f t="shared" ca="1" si="47"/>
        <v>0.77880640996058004</v>
      </c>
      <c r="E269" s="36">
        <f t="shared" ca="1" si="56"/>
        <v>2.6071020738647734E-2</v>
      </c>
      <c r="F269" s="37">
        <f ca="1">IF(E269&lt;&gt;-1,_Media_M + E269*_Sigma,-1)</f>
        <v>75.391065311079714</v>
      </c>
      <c r="G269" s="3">
        <f t="shared" ca="1" si="48"/>
        <v>-1</v>
      </c>
      <c r="H269" s="36">
        <f t="shared" ca="1" si="57"/>
        <v>75.391065311079714</v>
      </c>
      <c r="I269" s="36">
        <f t="shared" ca="1" si="49"/>
        <v>29.333960952928781</v>
      </c>
      <c r="J269" s="35">
        <f t="shared" ca="1" si="58"/>
        <v>104.72502626400849</v>
      </c>
      <c r="K269" s="19">
        <f t="shared" ca="1" si="53"/>
        <v>104.72502626400849</v>
      </c>
      <c r="L269" s="20">
        <f ca="1" xml:space="preserve"> K269*_Precio_cafe</f>
        <v>157.08753939601274</v>
      </c>
      <c r="M269" s="20">
        <f t="shared" ca="1" si="54"/>
        <v>35628.150364235749</v>
      </c>
      <c r="N269" s="20">
        <f ca="1">IF((N268-K269+Y269)&gt;_Max_Stock_Gramos,_Max_Stock_Gramos,N268-K269+Y269)</f>
        <v>1595.2749737359916</v>
      </c>
      <c r="O269" s="20">
        <f ca="1">N269/_GramosXFrasco</f>
        <v>9.3839704337411263</v>
      </c>
      <c r="P269" s="63">
        <f ca="1">(N269/_Max_Stock_Gramos)</f>
        <v>0.93839704337411267</v>
      </c>
      <c r="Q269" s="63"/>
      <c r="R269" s="10">
        <f ca="1">IF((N268-J269)&lt;0,(N268-J269)*_Costo_Faltante,0)</f>
        <v>0</v>
      </c>
      <c r="S269">
        <f>IF(U269=0,X269*_Costo_Frasco,0)</f>
        <v>0</v>
      </c>
      <c r="T269" s="11">
        <f t="shared" ca="1" si="55"/>
        <v>-22077.89173507681</v>
      </c>
      <c r="U269" s="10">
        <f>IF(U268=0,_Proxima_Compra,U268-1)</f>
        <v>2</v>
      </c>
      <c r="V269" s="3">
        <f t="shared" ca="1" si="50"/>
        <v>-1</v>
      </c>
      <c r="W269" s="3">
        <f ca="1">IF(W268&gt;0,W268-1,IF(V269&gt;0,LOOKUP(V269,$R$3:$R$5,$O$3:$O$5),-1))</f>
        <v>-1</v>
      </c>
      <c r="X269" s="25">
        <f t="shared" ca="1" si="51"/>
        <v>0</v>
      </c>
      <c r="Y269" s="28">
        <f ca="1">X269*_GramosXFrasco</f>
        <v>0</v>
      </c>
    </row>
    <row r="270" spans="1:25" x14ac:dyDescent="0.25">
      <c r="A270" s="30">
        <f t="shared" si="52"/>
        <v>254</v>
      </c>
      <c r="B270" s="38">
        <f t="shared" ca="1" si="45"/>
        <v>0.47460645613036634</v>
      </c>
      <c r="C270" s="36">
        <f t="shared" ca="1" si="46"/>
        <v>-1</v>
      </c>
      <c r="D270" s="36">
        <f t="shared" ca="1" si="47"/>
        <v>-1</v>
      </c>
      <c r="E270" s="36">
        <f t="shared" ca="1" si="56"/>
        <v>-1</v>
      </c>
      <c r="F270" s="37">
        <f ca="1">IF(E270&lt;&gt;-1,_Media_M + E270*_Sigma,-1)</f>
        <v>-1</v>
      </c>
      <c r="G270" s="3">
        <f t="shared" ca="1" si="48"/>
        <v>50</v>
      </c>
      <c r="H270" s="36">
        <f t="shared" ca="1" si="57"/>
        <v>50</v>
      </c>
      <c r="I270" s="36">
        <f t="shared" ca="1" si="49"/>
        <v>36.879541722645953</v>
      </c>
      <c r="J270" s="35">
        <f t="shared" ca="1" si="58"/>
        <v>86.879541722645953</v>
      </c>
      <c r="K270" s="19">
        <f t="shared" ca="1" si="53"/>
        <v>86.879541722645953</v>
      </c>
      <c r="L270" s="20">
        <f ca="1" xml:space="preserve"> K270*_Precio_cafe</f>
        <v>130.31931258396892</v>
      </c>
      <c r="M270" s="20">
        <f t="shared" ca="1" si="54"/>
        <v>35758.469676819717</v>
      </c>
      <c r="N270" s="20">
        <f ca="1">IF((N269-K270+Y270)&gt;_Max_Stock_Gramos,_Max_Stock_Gramos,N269-K270+Y270)</f>
        <v>1508.3954320133457</v>
      </c>
      <c r="O270" s="20">
        <f ca="1">N270/_GramosXFrasco</f>
        <v>8.8729143059608564</v>
      </c>
      <c r="P270" s="63">
        <f ca="1">(N270/_Max_Stock_Gramos)</f>
        <v>0.88729143059608573</v>
      </c>
      <c r="Q270" s="63"/>
      <c r="R270" s="10">
        <f ca="1">IF((N269-J270)&lt;0,(N269-J270)*_Costo_Faltante,0)</f>
        <v>0</v>
      </c>
      <c r="S270">
        <f>IF(U270=0,X270*_Costo_Frasco,0)</f>
        <v>0</v>
      </c>
      <c r="T270" s="11">
        <f t="shared" ca="1" si="55"/>
        <v>-22077.89173507681</v>
      </c>
      <c r="U270" s="10">
        <f>IF(U269=0,_Proxima_Compra,U269-1)</f>
        <v>1</v>
      </c>
      <c r="V270" s="3">
        <f t="shared" ca="1" si="50"/>
        <v>-1</v>
      </c>
      <c r="W270" s="3">
        <f ca="1">IF(W269&gt;0,W269-1,IF(V270&gt;0,LOOKUP(V270,$R$3:$R$5,$O$3:$O$5),-1))</f>
        <v>-1</v>
      </c>
      <c r="X270" s="25">
        <f t="shared" ca="1" si="51"/>
        <v>0</v>
      </c>
      <c r="Y270" s="28">
        <f ca="1">X270*_GramosXFrasco</f>
        <v>0</v>
      </c>
    </row>
    <row r="271" spans="1:25" x14ac:dyDescent="0.25">
      <c r="A271" s="30">
        <f t="shared" si="52"/>
        <v>255</v>
      </c>
      <c r="B271" s="38">
        <f t="shared" ca="1" si="45"/>
        <v>0.39914243063618116</v>
      </c>
      <c r="C271" s="36">
        <f t="shared" ca="1" si="46"/>
        <v>-1</v>
      </c>
      <c r="D271" s="36">
        <f t="shared" ca="1" si="47"/>
        <v>-1</v>
      </c>
      <c r="E271" s="36">
        <f t="shared" ca="1" si="56"/>
        <v>-1</v>
      </c>
      <c r="F271" s="37">
        <f ca="1">IF(E271&lt;&gt;-1,_Media_M + E271*_Sigma,-1)</f>
        <v>-1</v>
      </c>
      <c r="G271" s="3">
        <f t="shared" ca="1" si="48"/>
        <v>50</v>
      </c>
      <c r="H271" s="36">
        <f t="shared" ca="1" si="57"/>
        <v>50</v>
      </c>
      <c r="I271" s="36">
        <f t="shared" ca="1" si="49"/>
        <v>45.761170141717741</v>
      </c>
      <c r="J271" s="35">
        <f t="shared" ca="1" si="58"/>
        <v>95.761170141717741</v>
      </c>
      <c r="K271" s="19">
        <f t="shared" ca="1" si="53"/>
        <v>95.761170141717741</v>
      </c>
      <c r="L271" s="20">
        <f ca="1" xml:space="preserve"> K271*_Precio_cafe</f>
        <v>143.64175521257661</v>
      </c>
      <c r="M271" s="20">
        <f t="shared" ca="1" si="54"/>
        <v>35902.111432032296</v>
      </c>
      <c r="N271" s="20">
        <f ca="1">IF((N270-K271+Y271)&gt;_Max_Stock_Gramos,_Max_Stock_Gramos,N270-K271+Y271)</f>
        <v>1412.634261871628</v>
      </c>
      <c r="O271" s="20">
        <f ca="1">N271/_GramosXFrasco</f>
        <v>8.3096133051272236</v>
      </c>
      <c r="P271" s="63">
        <f ca="1">(N271/_Max_Stock_Gramos)</f>
        <v>0.83096133051272236</v>
      </c>
      <c r="Q271" s="63"/>
      <c r="R271" s="10">
        <f ca="1">IF((N270-J271)&lt;0,(N270-J271)*_Costo_Faltante,0)</f>
        <v>0</v>
      </c>
      <c r="S271">
        <f ca="1">IF(U271=0,X271*_Costo_Frasco,0)</f>
        <v>0</v>
      </c>
      <c r="T271" s="11">
        <f t="shared" ca="1" si="55"/>
        <v>-22077.89173507681</v>
      </c>
      <c r="U271" s="10">
        <f>IF(U270=0,_Proxima_Compra,U270-1)</f>
        <v>0</v>
      </c>
      <c r="V271" s="3">
        <f t="shared" ca="1" si="50"/>
        <v>0.99123018703408261</v>
      </c>
      <c r="W271" s="3">
        <f ca="1">IF(W270&gt;0,W270-1,IF(V271&gt;0,LOOKUP(V271,$R$3:$R$5,$O$3:$O$5),-1))</f>
        <v>2</v>
      </c>
      <c r="X271" s="25">
        <f t="shared" ca="1" si="51"/>
        <v>0</v>
      </c>
      <c r="Y271" s="28">
        <f ca="1">X271*_GramosXFrasco</f>
        <v>0</v>
      </c>
    </row>
    <row r="272" spans="1:25" x14ac:dyDescent="0.25">
      <c r="A272" s="30">
        <f t="shared" si="52"/>
        <v>256</v>
      </c>
      <c r="B272" s="38">
        <f t="shared" ca="1" si="45"/>
        <v>0.91483896445164326</v>
      </c>
      <c r="C272" s="36">
        <f t="shared" ca="1" si="46"/>
        <v>0.98092371789265742</v>
      </c>
      <c r="D272" s="36">
        <f t="shared" ca="1" si="47"/>
        <v>0.15157403119405011</v>
      </c>
      <c r="E272" s="36">
        <f t="shared" ca="1" si="56"/>
        <v>1.0751319503192618</v>
      </c>
      <c r="F272" s="37">
        <f ca="1">IF(E272&lt;&gt;-1,_Media_M + E272*_Sigma,-1)</f>
        <v>91.126979254788921</v>
      </c>
      <c r="G272" s="3">
        <f t="shared" ca="1" si="48"/>
        <v>-1</v>
      </c>
      <c r="H272" s="36">
        <f t="shared" ca="1" si="57"/>
        <v>91.126979254788921</v>
      </c>
      <c r="I272" s="36">
        <f t="shared" ca="1" si="49"/>
        <v>11.355357864343846</v>
      </c>
      <c r="J272" s="35">
        <f t="shared" ca="1" si="58"/>
        <v>102.48233711913277</v>
      </c>
      <c r="K272" s="19">
        <f t="shared" ca="1" si="53"/>
        <v>102.48233711913277</v>
      </c>
      <c r="L272" s="20">
        <f ca="1" xml:space="preserve"> K272*_Precio_cafe</f>
        <v>153.72350567869915</v>
      </c>
      <c r="M272" s="20">
        <f t="shared" ca="1" si="54"/>
        <v>36055.834937710992</v>
      </c>
      <c r="N272" s="20">
        <f ca="1">IF((N271-K272+Y272)&gt;_Max_Stock_Gramos,_Max_Stock_Gramos,N271-K272+Y272)</f>
        <v>1310.1519247524952</v>
      </c>
      <c r="O272" s="20">
        <f ca="1">N272/_GramosXFrasco</f>
        <v>7.7067760279558541</v>
      </c>
      <c r="P272" s="63">
        <f ca="1">(N272/_Max_Stock_Gramos)</f>
        <v>0.77067760279558539</v>
      </c>
      <c r="Q272" s="63"/>
      <c r="R272" s="10">
        <f ca="1">IF((N271-J272)&lt;0,(N271-J272)*_Costo_Faltante,0)</f>
        <v>0</v>
      </c>
      <c r="S272">
        <f>IF(U272=0,X272*_Costo_Frasco,0)</f>
        <v>0</v>
      </c>
      <c r="T272" s="11">
        <f t="shared" ca="1" si="55"/>
        <v>-22077.89173507681</v>
      </c>
      <c r="U272" s="10">
        <f>IF(U271=0,_Proxima_Compra,U271-1)</f>
        <v>2</v>
      </c>
      <c r="V272" s="3">
        <f t="shared" ca="1" si="50"/>
        <v>-1</v>
      </c>
      <c r="W272" s="3">
        <f ca="1">IF(W271&gt;0,W271-1,IF(V272&gt;0,LOOKUP(V272,$R$3:$R$5,$O$3:$O$5),-1))</f>
        <v>1</v>
      </c>
      <c r="X272" s="25">
        <f t="shared" ca="1" si="51"/>
        <v>0</v>
      </c>
      <c r="Y272" s="28">
        <f ca="1">X272*_GramosXFrasco</f>
        <v>0</v>
      </c>
    </row>
    <row r="273" spans="1:25" x14ac:dyDescent="0.25">
      <c r="A273" s="30">
        <f t="shared" si="52"/>
        <v>257</v>
      </c>
      <c r="B273" s="38">
        <f t="shared" ref="B273:B336" ca="1" si="59">RAND()</f>
        <v>0.35337811885953785</v>
      </c>
      <c r="C273" s="36">
        <f t="shared" ref="C273:C336" ca="1" si="60">IF(B273&gt;0.5,RAND(),-1)</f>
        <v>-1</v>
      </c>
      <c r="D273" s="36">
        <f t="shared" ref="D273:D336" ca="1" si="61">IF(B273&gt;0.5,RAND(),-1)</f>
        <v>-1</v>
      </c>
      <c r="E273" s="36">
        <f t="shared" ca="1" si="56"/>
        <v>-1</v>
      </c>
      <c r="F273" s="37">
        <f ca="1">IF(E273&lt;&gt;-1,_Media_M + E273*_Sigma,-1)</f>
        <v>-1</v>
      </c>
      <c r="G273" s="3">
        <f t="shared" ref="G273:G336" ca="1" si="62">IF(F273=-1,50,-1)</f>
        <v>50</v>
      </c>
      <c r="H273" s="36">
        <f t="shared" ca="1" si="57"/>
        <v>50</v>
      </c>
      <c r="I273" s="36">
        <f t="shared" ref="I273:I336" ca="1" si="63">(-1/(1/70)*(LOG(1-RAND())))</f>
        <v>0.25298107557902016</v>
      </c>
      <c r="J273" s="35">
        <f t="shared" ca="1" si="58"/>
        <v>50.252981075579022</v>
      </c>
      <c r="K273" s="19">
        <f t="shared" ca="1" si="53"/>
        <v>50.252981075579022</v>
      </c>
      <c r="L273" s="20">
        <f ca="1" xml:space="preserve"> K273*_Precio_cafe</f>
        <v>75.379471613368537</v>
      </c>
      <c r="M273" s="20">
        <f t="shared" ca="1" si="54"/>
        <v>36131.214409324362</v>
      </c>
      <c r="N273" s="20">
        <f ca="1">IF((N272-K273+Y273)&gt;_Max_Stock_Gramos,_Max_Stock_Gramos,N272-K273+Y273)</f>
        <v>1599.8989436769161</v>
      </c>
      <c r="O273" s="20">
        <f ca="1">N273/_GramosXFrasco</f>
        <v>9.411170256923036</v>
      </c>
      <c r="P273" s="63">
        <f ca="1">(N273/_Max_Stock_Gramos)</f>
        <v>0.9411170256923036</v>
      </c>
      <c r="Q273" s="63"/>
      <c r="R273" s="10">
        <f ca="1">IF((N272-J273)&lt;0,(N272-J273)*_Costo_Faltante,0)</f>
        <v>0</v>
      </c>
      <c r="S273">
        <f>IF(U273=0,X273*_Costo_Frasco,0)</f>
        <v>0</v>
      </c>
      <c r="T273" s="11">
        <f t="shared" ca="1" si="55"/>
        <v>-22077.89173507681</v>
      </c>
      <c r="U273" s="10">
        <f>IF(U272=0,_Proxima_Compra,U272-1)</f>
        <v>1</v>
      </c>
      <c r="V273" s="3">
        <f t="shared" ref="V273:V336" ca="1" si="64">IF(U273=0,RAND(),-1)</f>
        <v>-1</v>
      </c>
      <c r="W273" s="3">
        <f ca="1">IF(W272&gt;0,W272-1,IF(V273&gt;0,LOOKUP(V273,$R$3:$R$5,$O$3:$O$5),-1))</f>
        <v>0</v>
      </c>
      <c r="X273" s="25">
        <f t="shared" ref="X273:X336" ca="1" si="65">IF(W273=0,2,)</f>
        <v>2</v>
      </c>
      <c r="Y273" s="28">
        <f ca="1">X273*_GramosXFrasco</f>
        <v>340</v>
      </c>
    </row>
    <row r="274" spans="1:25" x14ac:dyDescent="0.25">
      <c r="A274" s="30">
        <f t="shared" ref="A274:A337" si="66">A273+1</f>
        <v>258</v>
      </c>
      <c r="B274" s="38">
        <f t="shared" ca="1" si="59"/>
        <v>0.17945448985392765</v>
      </c>
      <c r="C274" s="36">
        <f t="shared" ca="1" si="60"/>
        <v>-1</v>
      </c>
      <c r="D274" s="36">
        <f t="shared" ca="1" si="61"/>
        <v>-1</v>
      </c>
      <c r="E274" s="36">
        <f t="shared" ca="1" si="56"/>
        <v>-1</v>
      </c>
      <c r="F274" s="37">
        <f ca="1">IF(E274&lt;&gt;-1,_Media_M + E274*_Sigma,-1)</f>
        <v>-1</v>
      </c>
      <c r="G274" s="3">
        <f t="shared" ca="1" si="62"/>
        <v>50</v>
      </c>
      <c r="H274" s="36">
        <f t="shared" ca="1" si="57"/>
        <v>50</v>
      </c>
      <c r="I274" s="36">
        <f t="shared" ca="1" si="63"/>
        <v>13.244464430194462</v>
      </c>
      <c r="J274" s="35">
        <f t="shared" ca="1" si="58"/>
        <v>63.244464430194462</v>
      </c>
      <c r="K274" s="19">
        <f t="shared" ref="K274:K337" ca="1" si="67">IF(J274&lt;N273,J274,N273)</f>
        <v>63.244464430194462</v>
      </c>
      <c r="L274" s="20">
        <f ca="1" xml:space="preserve"> K274*_Precio_cafe</f>
        <v>94.866696645291697</v>
      </c>
      <c r="M274" s="20">
        <f t="shared" ref="M274:M337" ca="1" si="68">L274+M273</f>
        <v>36226.081105969657</v>
      </c>
      <c r="N274" s="20">
        <f ca="1">IF((N273-K274+Y274)&gt;_Max_Stock_Gramos,_Max_Stock_Gramos,N273-K274+Y274)</f>
        <v>1700</v>
      </c>
      <c r="O274" s="20">
        <f ca="1">N274/_GramosXFrasco</f>
        <v>10</v>
      </c>
      <c r="P274" s="63">
        <f ca="1">(N274/_Max_Stock_Gramos)</f>
        <v>1</v>
      </c>
      <c r="Q274" s="63"/>
      <c r="R274" s="10">
        <f ca="1">IF((N273-J274)&lt;0,(N273-J274)*_Costo_Faltante,0)</f>
        <v>0</v>
      </c>
      <c r="S274">
        <f ca="1">IF(U274=0,X274*_Costo_Frasco,0)</f>
        <v>-500</v>
      </c>
      <c r="T274" s="11">
        <f t="shared" ref="T274:T337" ca="1" si="69">R274+S274+T273</f>
        <v>-22577.89173507681</v>
      </c>
      <c r="U274" s="10">
        <f>IF(U273=0,_Proxima_Compra,U273-1)</f>
        <v>0</v>
      </c>
      <c r="V274" s="3">
        <f t="shared" ca="1" si="64"/>
        <v>0.12828431714369104</v>
      </c>
      <c r="W274" s="3">
        <f ca="1">IF(W273&gt;0,W273-1,IF(V274&gt;0,LOOKUP(V274,$R$3:$R$5,$O$3:$O$5),-1))</f>
        <v>0</v>
      </c>
      <c r="X274" s="25">
        <f t="shared" ca="1" si="65"/>
        <v>2</v>
      </c>
      <c r="Y274" s="28">
        <f ca="1">X274*_GramosXFrasco</f>
        <v>340</v>
      </c>
    </row>
    <row r="275" spans="1:25" x14ac:dyDescent="0.25">
      <c r="A275" s="30">
        <f t="shared" si="66"/>
        <v>259</v>
      </c>
      <c r="B275" s="38">
        <f t="shared" ca="1" si="59"/>
        <v>0.50252502340290994</v>
      </c>
      <c r="C275" s="36">
        <f t="shared" ca="1" si="60"/>
        <v>0.44461671684860049</v>
      </c>
      <c r="D275" s="36">
        <f t="shared" ca="1" si="61"/>
        <v>0.97810515809558185</v>
      </c>
      <c r="E275" s="36">
        <f t="shared" ca="1" si="56"/>
        <v>0.70796037764450526</v>
      </c>
      <c r="F275" s="37">
        <f ca="1">IF(E275&lt;&gt;-1,_Media_M + E275*_Sigma,-1)</f>
        <v>85.619405664667582</v>
      </c>
      <c r="G275" s="3">
        <f t="shared" ca="1" si="62"/>
        <v>-1</v>
      </c>
      <c r="H275" s="36">
        <f t="shared" ca="1" si="57"/>
        <v>85.619405664667582</v>
      </c>
      <c r="I275" s="36">
        <f t="shared" ca="1" si="63"/>
        <v>107.74098512144033</v>
      </c>
      <c r="J275" s="35">
        <f t="shared" ca="1" si="58"/>
        <v>193.36039078610793</v>
      </c>
      <c r="K275" s="19">
        <f t="shared" ca="1" si="67"/>
        <v>193.36039078610793</v>
      </c>
      <c r="L275" s="20">
        <f ca="1" xml:space="preserve"> K275*_Precio_cafe</f>
        <v>290.04058617916189</v>
      </c>
      <c r="M275" s="20">
        <f t="shared" ca="1" si="68"/>
        <v>36516.121692148816</v>
      </c>
      <c r="N275" s="20">
        <f ca="1">IF((N274-K275+Y275)&gt;_Max_Stock_Gramos,_Max_Stock_Gramos,N274-K275+Y275)</f>
        <v>1506.6396092138921</v>
      </c>
      <c r="O275" s="20">
        <f ca="1">N275/_GramosXFrasco</f>
        <v>8.862585936552307</v>
      </c>
      <c r="P275" s="63">
        <f ca="1">(N275/_Max_Stock_Gramos)</f>
        <v>0.88625859365523063</v>
      </c>
      <c r="Q275" s="63"/>
      <c r="R275" s="10">
        <f ca="1">IF((N274-J275)&lt;0,(N274-J275)*_Costo_Faltante,0)</f>
        <v>0</v>
      </c>
      <c r="S275">
        <f>IF(U275=0,X275*_Costo_Frasco,0)</f>
        <v>0</v>
      </c>
      <c r="T275" s="11">
        <f t="shared" ca="1" si="69"/>
        <v>-22577.89173507681</v>
      </c>
      <c r="U275" s="10">
        <f>IF(U274=0,_Proxima_Compra,U274-1)</f>
        <v>2</v>
      </c>
      <c r="V275" s="3">
        <f t="shared" ca="1" si="64"/>
        <v>-1</v>
      </c>
      <c r="W275" s="3">
        <f ca="1">IF(W274&gt;0,W274-1,IF(V275&gt;0,LOOKUP(V275,$R$3:$R$5,$O$3:$O$5),-1))</f>
        <v>-1</v>
      </c>
      <c r="X275" s="25">
        <f t="shared" ca="1" si="65"/>
        <v>0</v>
      </c>
      <c r="Y275" s="28">
        <f ca="1">X275*_GramosXFrasco</f>
        <v>0</v>
      </c>
    </row>
    <row r="276" spans="1:25" x14ac:dyDescent="0.25">
      <c r="A276" s="30">
        <f t="shared" si="66"/>
        <v>260</v>
      </c>
      <c r="B276" s="38">
        <f t="shared" ca="1" si="59"/>
        <v>0.83361805104905162</v>
      </c>
      <c r="C276" s="36">
        <f t="shared" ca="1" si="60"/>
        <v>0.34077181385689159</v>
      </c>
      <c r="D276" s="36">
        <f t="shared" ca="1" si="61"/>
        <v>0.64344545651915386</v>
      </c>
      <c r="E276" s="36">
        <f t="shared" ca="1" si="56"/>
        <v>-0.37335331096668561</v>
      </c>
      <c r="F276" s="37">
        <f ca="1">IF(E276&lt;&gt;-1,_Media_M + E276*_Sigma,-1)</f>
        <v>69.399700335499716</v>
      </c>
      <c r="G276" s="3">
        <f t="shared" ca="1" si="62"/>
        <v>-1</v>
      </c>
      <c r="H276" s="36">
        <f t="shared" ca="1" si="57"/>
        <v>69.399700335499716</v>
      </c>
      <c r="I276" s="36">
        <f t="shared" ca="1" si="63"/>
        <v>42.67006831453957</v>
      </c>
      <c r="J276" s="35">
        <f t="shared" ca="1" si="58"/>
        <v>112.06976865003929</v>
      </c>
      <c r="K276" s="19">
        <f t="shared" ca="1" si="67"/>
        <v>112.06976865003929</v>
      </c>
      <c r="L276" s="20">
        <f ca="1" xml:space="preserve"> K276*_Precio_cafe</f>
        <v>168.10465297505894</v>
      </c>
      <c r="M276" s="20">
        <f t="shared" ca="1" si="68"/>
        <v>36684.226345123876</v>
      </c>
      <c r="N276" s="20">
        <f ca="1">IF((N275-K276+Y276)&gt;_Max_Stock_Gramos,_Max_Stock_Gramos,N275-K276+Y276)</f>
        <v>1394.5698405638527</v>
      </c>
      <c r="O276" s="20">
        <f ca="1">N276/_GramosXFrasco</f>
        <v>8.2033520033167804</v>
      </c>
      <c r="P276" s="63">
        <f ca="1">(N276/_Max_Stock_Gramos)</f>
        <v>0.82033520033167806</v>
      </c>
      <c r="Q276" s="63"/>
      <c r="R276" s="10">
        <f ca="1">IF((N275-J276)&lt;0,(N275-J276)*_Costo_Faltante,0)</f>
        <v>0</v>
      </c>
      <c r="S276">
        <f>IF(U276=0,X276*_Costo_Frasco,0)</f>
        <v>0</v>
      </c>
      <c r="T276" s="11">
        <f t="shared" ca="1" si="69"/>
        <v>-22577.89173507681</v>
      </c>
      <c r="U276" s="10">
        <f>IF(U275=0,_Proxima_Compra,U275-1)</f>
        <v>1</v>
      </c>
      <c r="V276" s="3">
        <f t="shared" ca="1" si="64"/>
        <v>-1</v>
      </c>
      <c r="W276" s="3">
        <f ca="1">IF(W275&gt;0,W275-1,IF(V276&gt;0,LOOKUP(V276,$R$3:$R$5,$O$3:$O$5),-1))</f>
        <v>-1</v>
      </c>
      <c r="X276" s="25">
        <f t="shared" ca="1" si="65"/>
        <v>0</v>
      </c>
      <c r="Y276" s="28">
        <f ca="1">X276*_GramosXFrasco</f>
        <v>0</v>
      </c>
    </row>
    <row r="277" spans="1:25" x14ac:dyDescent="0.25">
      <c r="A277" s="30">
        <f t="shared" si="66"/>
        <v>261</v>
      </c>
      <c r="B277" s="38">
        <f t="shared" ca="1" si="59"/>
        <v>0.14610937122400536</v>
      </c>
      <c r="C277" s="36">
        <f t="shared" ca="1" si="60"/>
        <v>-1</v>
      </c>
      <c r="D277" s="36">
        <f t="shared" ca="1" si="61"/>
        <v>-1</v>
      </c>
      <c r="E277" s="36">
        <f t="shared" ca="1" si="56"/>
        <v>-1</v>
      </c>
      <c r="F277" s="37">
        <f ca="1">IF(E277&lt;&gt;-1,_Media_M + E277*_Sigma,-1)</f>
        <v>-1</v>
      </c>
      <c r="G277" s="3">
        <f t="shared" ca="1" si="62"/>
        <v>50</v>
      </c>
      <c r="H277" s="36">
        <f t="shared" ca="1" si="57"/>
        <v>50</v>
      </c>
      <c r="I277" s="36">
        <f t="shared" ca="1" si="63"/>
        <v>30.674844134724783</v>
      </c>
      <c r="J277" s="35">
        <f t="shared" ca="1" si="58"/>
        <v>80.674844134724779</v>
      </c>
      <c r="K277" s="19">
        <f t="shared" ca="1" si="67"/>
        <v>80.674844134724779</v>
      </c>
      <c r="L277" s="20">
        <f ca="1" xml:space="preserve"> K277*_Precio_cafe</f>
        <v>121.01226620208718</v>
      </c>
      <c r="M277" s="20">
        <f t="shared" ca="1" si="68"/>
        <v>36805.238611325964</v>
      </c>
      <c r="N277" s="20">
        <f ca="1">IF((N276-K277+Y277)&gt;_Max_Stock_Gramos,_Max_Stock_Gramos,N276-K277+Y277)</f>
        <v>1313.894996429128</v>
      </c>
      <c r="O277" s="20">
        <f ca="1">N277/_GramosXFrasco</f>
        <v>7.7287940966419297</v>
      </c>
      <c r="P277" s="63">
        <f ca="1">(N277/_Max_Stock_Gramos)</f>
        <v>0.772879409664193</v>
      </c>
      <c r="Q277" s="63"/>
      <c r="R277" s="10">
        <f ca="1">IF((N276-J277)&lt;0,(N276-J277)*_Costo_Faltante,0)</f>
        <v>0</v>
      </c>
      <c r="S277">
        <f ca="1">IF(U277=0,X277*_Costo_Frasco,0)</f>
        <v>0</v>
      </c>
      <c r="T277" s="11">
        <f t="shared" ca="1" si="69"/>
        <v>-22577.89173507681</v>
      </c>
      <c r="U277" s="10">
        <f>IF(U276=0,_Proxima_Compra,U276-1)</f>
        <v>0</v>
      </c>
      <c r="V277" s="3">
        <f t="shared" ca="1" si="64"/>
        <v>0.55793311872398677</v>
      </c>
      <c r="W277" s="3">
        <f ca="1">IF(W276&gt;0,W276-1,IF(V277&gt;0,LOOKUP(V277,$R$3:$R$5,$O$3:$O$5),-1))</f>
        <v>1</v>
      </c>
      <c r="X277" s="25">
        <f t="shared" ca="1" si="65"/>
        <v>0</v>
      </c>
      <c r="Y277" s="28">
        <f ca="1">X277*_GramosXFrasco</f>
        <v>0</v>
      </c>
    </row>
    <row r="278" spans="1:25" x14ac:dyDescent="0.25">
      <c r="A278" s="30">
        <f t="shared" si="66"/>
        <v>262</v>
      </c>
      <c r="B278" s="38">
        <f t="shared" ca="1" si="59"/>
        <v>0.28990683664723116</v>
      </c>
      <c r="C278" s="36">
        <f t="shared" ca="1" si="60"/>
        <v>-1</v>
      </c>
      <c r="D278" s="36">
        <f t="shared" ca="1" si="61"/>
        <v>-1</v>
      </c>
      <c r="E278" s="36">
        <f t="shared" ca="1" si="56"/>
        <v>-1</v>
      </c>
      <c r="F278" s="37">
        <f ca="1">IF(E278&lt;&gt;-1,_Media_M + E278*_Sigma,-1)</f>
        <v>-1</v>
      </c>
      <c r="G278" s="3">
        <f t="shared" ca="1" si="62"/>
        <v>50</v>
      </c>
      <c r="H278" s="36">
        <f t="shared" ca="1" si="57"/>
        <v>50</v>
      </c>
      <c r="I278" s="36">
        <f t="shared" ca="1" si="63"/>
        <v>16.917902996229376</v>
      </c>
      <c r="J278" s="35">
        <f t="shared" ca="1" si="58"/>
        <v>66.917902996229373</v>
      </c>
      <c r="K278" s="19">
        <f t="shared" ca="1" si="67"/>
        <v>66.917902996229373</v>
      </c>
      <c r="L278" s="20">
        <f ca="1" xml:space="preserve"> K278*_Precio_cafe</f>
        <v>100.37685449434406</v>
      </c>
      <c r="M278" s="20">
        <f t="shared" ca="1" si="68"/>
        <v>36905.615465820309</v>
      </c>
      <c r="N278" s="20">
        <f ca="1">IF((N277-K278+Y278)&gt;_Max_Stock_Gramos,_Max_Stock_Gramos,N277-K278+Y278)</f>
        <v>1586.9770934328985</v>
      </c>
      <c r="O278" s="20">
        <f ca="1">N278/_GramosXFrasco</f>
        <v>9.3351593731346973</v>
      </c>
      <c r="P278" s="63">
        <f ca="1">(N278/_Max_Stock_Gramos)</f>
        <v>0.93351593731346971</v>
      </c>
      <c r="Q278" s="63"/>
      <c r="R278" s="10">
        <f ca="1">IF((N277-J278)&lt;0,(N277-J278)*_Costo_Faltante,0)</f>
        <v>0</v>
      </c>
      <c r="S278">
        <f>IF(U278=0,X278*_Costo_Frasco,0)</f>
        <v>0</v>
      </c>
      <c r="T278" s="11">
        <f t="shared" ca="1" si="69"/>
        <v>-22577.89173507681</v>
      </c>
      <c r="U278" s="10">
        <f>IF(U277=0,_Proxima_Compra,U277-1)</f>
        <v>2</v>
      </c>
      <c r="V278" s="3">
        <f t="shared" ca="1" si="64"/>
        <v>-1</v>
      </c>
      <c r="W278" s="3">
        <f ca="1">IF(W277&gt;0,W277-1,IF(V278&gt;0,LOOKUP(V278,$R$3:$R$5,$O$3:$O$5),-1))</f>
        <v>0</v>
      </c>
      <c r="X278" s="25">
        <f t="shared" ca="1" si="65"/>
        <v>2</v>
      </c>
      <c r="Y278" s="28">
        <f ca="1">X278*_GramosXFrasco</f>
        <v>340</v>
      </c>
    </row>
    <row r="279" spans="1:25" x14ac:dyDescent="0.25">
      <c r="A279" s="30">
        <f t="shared" si="66"/>
        <v>263</v>
      </c>
      <c r="B279" s="38">
        <f t="shared" ca="1" si="59"/>
        <v>0.64097887410527354</v>
      </c>
      <c r="C279" s="36">
        <f t="shared" ca="1" si="60"/>
        <v>0.77737399535912499</v>
      </c>
      <c r="D279" s="36">
        <f t="shared" ca="1" si="61"/>
        <v>0.48708111397766496</v>
      </c>
      <c r="E279" s="36">
        <f t="shared" ca="1" si="56"/>
        <v>-1.1385383731586467</v>
      </c>
      <c r="F279" s="37">
        <f ca="1">IF(E279&lt;&gt;-1,_Media_M + E279*_Sigma,-1)</f>
        <v>57.921924402620299</v>
      </c>
      <c r="G279" s="3">
        <f t="shared" ca="1" si="62"/>
        <v>-1</v>
      </c>
      <c r="H279" s="36">
        <f t="shared" ca="1" si="57"/>
        <v>57.921924402620299</v>
      </c>
      <c r="I279" s="36">
        <f t="shared" ca="1" si="63"/>
        <v>22.376427574600044</v>
      </c>
      <c r="J279" s="35">
        <f t="shared" ca="1" si="58"/>
        <v>80.298351977220335</v>
      </c>
      <c r="K279" s="19">
        <f t="shared" ca="1" si="67"/>
        <v>80.298351977220335</v>
      </c>
      <c r="L279" s="20">
        <f ca="1" xml:space="preserve"> K279*_Precio_cafe</f>
        <v>120.4475279658305</v>
      </c>
      <c r="M279" s="20">
        <f t="shared" ca="1" si="68"/>
        <v>37026.062993786138</v>
      </c>
      <c r="N279" s="20">
        <f ca="1">IF((N278-K279+Y279)&gt;_Max_Stock_Gramos,_Max_Stock_Gramos,N278-K279+Y279)</f>
        <v>1506.6787414556782</v>
      </c>
      <c r="O279" s="20">
        <f ca="1">N279/_GramosXFrasco</f>
        <v>8.8628161262098715</v>
      </c>
      <c r="P279" s="63">
        <f ca="1">(N279/_Max_Stock_Gramos)</f>
        <v>0.88628161262098715</v>
      </c>
      <c r="Q279" s="63"/>
      <c r="R279" s="10">
        <f ca="1">IF((N278-J279)&lt;0,(N278-J279)*_Costo_Faltante,0)</f>
        <v>0</v>
      </c>
      <c r="S279">
        <f>IF(U279=0,X279*_Costo_Frasco,0)</f>
        <v>0</v>
      </c>
      <c r="T279" s="11">
        <f t="shared" ca="1" si="69"/>
        <v>-22577.89173507681</v>
      </c>
      <c r="U279" s="10">
        <f>IF(U278=0,_Proxima_Compra,U278-1)</f>
        <v>1</v>
      </c>
      <c r="V279" s="3">
        <f t="shared" ca="1" si="64"/>
        <v>-1</v>
      </c>
      <c r="W279" s="3">
        <f ca="1">IF(W278&gt;0,W278-1,IF(V279&gt;0,LOOKUP(V279,$R$3:$R$5,$O$3:$O$5),-1))</f>
        <v>-1</v>
      </c>
      <c r="X279" s="25">
        <f t="shared" ca="1" si="65"/>
        <v>0</v>
      </c>
      <c r="Y279" s="28">
        <f ca="1">X279*_GramosXFrasco</f>
        <v>0</v>
      </c>
    </row>
    <row r="280" spans="1:25" x14ac:dyDescent="0.25">
      <c r="A280" s="30">
        <f t="shared" si="66"/>
        <v>264</v>
      </c>
      <c r="B280" s="38">
        <f t="shared" ca="1" si="59"/>
        <v>0.93112426029162265</v>
      </c>
      <c r="C280" s="36">
        <f t="shared" ca="1" si="60"/>
        <v>0.48178873000502964</v>
      </c>
      <c r="D280" s="36">
        <f t="shared" ca="1" si="61"/>
        <v>0.81851828547642735</v>
      </c>
      <c r="E280" s="36">
        <f t="shared" ca="1" si="56"/>
        <v>0.31535510073023759</v>
      </c>
      <c r="F280" s="37">
        <f ca="1">IF(E280&lt;&gt;-1,_Media_M + E280*_Sigma,-1)</f>
        <v>79.73032651095356</v>
      </c>
      <c r="G280" s="3">
        <f t="shared" ca="1" si="62"/>
        <v>-1</v>
      </c>
      <c r="H280" s="36">
        <f t="shared" ca="1" si="57"/>
        <v>79.73032651095356</v>
      </c>
      <c r="I280" s="36">
        <f t="shared" ca="1" si="63"/>
        <v>6.9349459857262561</v>
      </c>
      <c r="J280" s="35">
        <f t="shared" ca="1" si="58"/>
        <v>86.665272496679819</v>
      </c>
      <c r="K280" s="19">
        <f t="shared" ca="1" si="67"/>
        <v>86.665272496679819</v>
      </c>
      <c r="L280" s="20">
        <f ca="1" xml:space="preserve"> K280*_Precio_cafe</f>
        <v>129.99790874501974</v>
      </c>
      <c r="M280" s="20">
        <f t="shared" ca="1" si="68"/>
        <v>37156.060902531157</v>
      </c>
      <c r="N280" s="20">
        <f ca="1">IF((N279-K280+Y280)&gt;_Max_Stock_Gramos,_Max_Stock_Gramos,N279-K280+Y280)</f>
        <v>1700</v>
      </c>
      <c r="O280" s="20">
        <f ca="1">N280/_GramosXFrasco</f>
        <v>10</v>
      </c>
      <c r="P280" s="63">
        <f ca="1">(N280/_Max_Stock_Gramos)</f>
        <v>1</v>
      </c>
      <c r="Q280" s="63"/>
      <c r="R280" s="10">
        <f ca="1">IF((N279-J280)&lt;0,(N279-J280)*_Costo_Faltante,0)</f>
        <v>0</v>
      </c>
      <c r="S280">
        <f ca="1">IF(U280=0,X280*_Costo_Frasco,0)</f>
        <v>-500</v>
      </c>
      <c r="T280" s="11">
        <f t="shared" ca="1" si="69"/>
        <v>-23077.89173507681</v>
      </c>
      <c r="U280" s="10">
        <f>IF(U279=0,_Proxima_Compra,U279-1)</f>
        <v>0</v>
      </c>
      <c r="V280" s="3">
        <f t="shared" ca="1" si="64"/>
        <v>0.40063043993381919</v>
      </c>
      <c r="W280" s="3">
        <f ca="1">IF(W279&gt;0,W279-1,IF(V280&gt;0,LOOKUP(V280,$R$3:$R$5,$O$3:$O$5),-1))</f>
        <v>0</v>
      </c>
      <c r="X280" s="25">
        <f t="shared" ca="1" si="65"/>
        <v>2</v>
      </c>
      <c r="Y280" s="28">
        <f ca="1">X280*_GramosXFrasco</f>
        <v>340</v>
      </c>
    </row>
    <row r="281" spans="1:25" x14ac:dyDescent="0.25">
      <c r="A281" s="30">
        <f t="shared" si="66"/>
        <v>265</v>
      </c>
      <c r="B281" s="38">
        <f t="shared" ca="1" si="59"/>
        <v>0.23170382530823286</v>
      </c>
      <c r="C281" s="36">
        <f t="shared" ca="1" si="60"/>
        <v>-1</v>
      </c>
      <c r="D281" s="36">
        <f t="shared" ca="1" si="61"/>
        <v>-1</v>
      </c>
      <c r="E281" s="36">
        <f t="shared" ca="1" si="56"/>
        <v>-1</v>
      </c>
      <c r="F281" s="37">
        <f ca="1">IF(E281&lt;&gt;-1,_Media_M + E281*_Sigma,-1)</f>
        <v>-1</v>
      </c>
      <c r="G281" s="3">
        <f t="shared" ca="1" si="62"/>
        <v>50</v>
      </c>
      <c r="H281" s="36">
        <f t="shared" ca="1" si="57"/>
        <v>50</v>
      </c>
      <c r="I281" s="36">
        <f t="shared" ca="1" si="63"/>
        <v>160.9793560475153</v>
      </c>
      <c r="J281" s="35">
        <f t="shared" ca="1" si="58"/>
        <v>210.9793560475153</v>
      </c>
      <c r="K281" s="19">
        <f t="shared" ca="1" si="67"/>
        <v>210.9793560475153</v>
      </c>
      <c r="L281" s="20">
        <f ca="1" xml:space="preserve"> K281*_Precio_cafe</f>
        <v>316.46903407127297</v>
      </c>
      <c r="M281" s="20">
        <f t="shared" ca="1" si="68"/>
        <v>37472.529936602426</v>
      </c>
      <c r="N281" s="20">
        <f ca="1">IF((N280-K281+Y281)&gt;_Max_Stock_Gramos,_Max_Stock_Gramos,N280-K281+Y281)</f>
        <v>1489.0206439524848</v>
      </c>
      <c r="O281" s="20">
        <f ca="1">N281/_GramosXFrasco</f>
        <v>8.7589449644263802</v>
      </c>
      <c r="P281" s="63">
        <f ca="1">(N281/_Max_Stock_Gramos)</f>
        <v>0.87589449644263806</v>
      </c>
      <c r="Q281" s="63"/>
      <c r="R281" s="10">
        <f ca="1">IF((N280-J281)&lt;0,(N280-J281)*_Costo_Faltante,0)</f>
        <v>0</v>
      </c>
      <c r="S281">
        <f>IF(U281=0,X281*_Costo_Frasco,0)</f>
        <v>0</v>
      </c>
      <c r="T281" s="11">
        <f t="shared" ca="1" si="69"/>
        <v>-23077.89173507681</v>
      </c>
      <c r="U281" s="10">
        <f>IF(U280=0,_Proxima_Compra,U280-1)</f>
        <v>2</v>
      </c>
      <c r="V281" s="3">
        <f t="shared" ca="1" si="64"/>
        <v>-1</v>
      </c>
      <c r="W281" s="3">
        <f ca="1">IF(W280&gt;0,W280-1,IF(V281&gt;0,LOOKUP(V281,$R$3:$R$5,$O$3:$O$5),-1))</f>
        <v>-1</v>
      </c>
      <c r="X281" s="25">
        <f t="shared" ca="1" si="65"/>
        <v>0</v>
      </c>
      <c r="Y281" s="28">
        <f ca="1">X281*_GramosXFrasco</f>
        <v>0</v>
      </c>
    </row>
    <row r="282" spans="1:25" x14ac:dyDescent="0.25">
      <c r="A282" s="30">
        <f t="shared" si="66"/>
        <v>266</v>
      </c>
      <c r="B282" s="38">
        <f t="shared" ca="1" si="59"/>
        <v>0.47044730413617175</v>
      </c>
      <c r="C282" s="36">
        <f t="shared" ca="1" si="60"/>
        <v>-1</v>
      </c>
      <c r="D282" s="36">
        <f t="shared" ca="1" si="61"/>
        <v>-1</v>
      </c>
      <c r="E282" s="36">
        <f t="shared" ca="1" si="56"/>
        <v>-1</v>
      </c>
      <c r="F282" s="37">
        <f ca="1">IF(E282&lt;&gt;-1,_Media_M + E282*_Sigma,-1)</f>
        <v>-1</v>
      </c>
      <c r="G282" s="3">
        <f t="shared" ca="1" si="62"/>
        <v>50</v>
      </c>
      <c r="H282" s="36">
        <f t="shared" ca="1" si="57"/>
        <v>50</v>
      </c>
      <c r="I282" s="36">
        <f t="shared" ca="1" si="63"/>
        <v>80.400068947200694</v>
      </c>
      <c r="J282" s="35">
        <f t="shared" ca="1" si="58"/>
        <v>130.40006894720068</v>
      </c>
      <c r="K282" s="19">
        <f t="shared" ca="1" si="67"/>
        <v>130.40006894720068</v>
      </c>
      <c r="L282" s="20">
        <f ca="1" xml:space="preserve"> K282*_Precio_cafe</f>
        <v>195.60010342080102</v>
      </c>
      <c r="M282" s="20">
        <f t="shared" ca="1" si="68"/>
        <v>37668.130040023229</v>
      </c>
      <c r="N282" s="20">
        <f ca="1">IF((N281-K282+Y282)&gt;_Max_Stock_Gramos,_Max_Stock_Gramos,N281-K282+Y282)</f>
        <v>1358.6205750052841</v>
      </c>
      <c r="O282" s="20">
        <f ca="1">N282/_GramosXFrasco</f>
        <v>7.9918857353252006</v>
      </c>
      <c r="P282" s="63">
        <f ca="1">(N282/_Max_Stock_Gramos)</f>
        <v>0.79918857353252004</v>
      </c>
      <c r="Q282" s="63"/>
      <c r="R282" s="10">
        <f ca="1">IF((N281-J282)&lt;0,(N281-J282)*_Costo_Faltante,0)</f>
        <v>0</v>
      </c>
      <c r="S282">
        <f>IF(U282=0,X282*_Costo_Frasco,0)</f>
        <v>0</v>
      </c>
      <c r="T282" s="11">
        <f t="shared" ca="1" si="69"/>
        <v>-23077.89173507681</v>
      </c>
      <c r="U282" s="10">
        <f>IF(U281=0,_Proxima_Compra,U281-1)</f>
        <v>1</v>
      </c>
      <c r="V282" s="3">
        <f t="shared" ca="1" si="64"/>
        <v>-1</v>
      </c>
      <c r="W282" s="3">
        <f ca="1">IF(W281&gt;0,W281-1,IF(V282&gt;0,LOOKUP(V282,$R$3:$R$5,$O$3:$O$5),-1))</f>
        <v>-1</v>
      </c>
      <c r="X282" s="25">
        <f t="shared" ca="1" si="65"/>
        <v>0</v>
      </c>
      <c r="Y282" s="28">
        <f ca="1">X282*_GramosXFrasco</f>
        <v>0</v>
      </c>
    </row>
    <row r="283" spans="1:25" x14ac:dyDescent="0.25">
      <c r="A283" s="30">
        <f t="shared" si="66"/>
        <v>267</v>
      </c>
      <c r="B283" s="38">
        <f t="shared" ca="1" si="59"/>
        <v>0.1817978016123164</v>
      </c>
      <c r="C283" s="36">
        <f t="shared" ca="1" si="60"/>
        <v>-1</v>
      </c>
      <c r="D283" s="36">
        <f t="shared" ca="1" si="61"/>
        <v>-1</v>
      </c>
      <c r="E283" s="36">
        <f t="shared" ca="1" si="56"/>
        <v>-1</v>
      </c>
      <c r="F283" s="37">
        <f ca="1">IF(E283&lt;&gt;-1,_Media_M + E283*_Sigma,-1)</f>
        <v>-1</v>
      </c>
      <c r="G283" s="3">
        <f t="shared" ca="1" si="62"/>
        <v>50</v>
      </c>
      <c r="H283" s="36">
        <f t="shared" ca="1" si="57"/>
        <v>50</v>
      </c>
      <c r="I283" s="36">
        <f t="shared" ca="1" si="63"/>
        <v>33.673453543087675</v>
      </c>
      <c r="J283" s="35">
        <f t="shared" ca="1" si="58"/>
        <v>83.673453543087675</v>
      </c>
      <c r="K283" s="19">
        <f t="shared" ca="1" si="67"/>
        <v>83.673453543087675</v>
      </c>
      <c r="L283" s="20">
        <f ca="1" xml:space="preserve"> K283*_Precio_cafe</f>
        <v>125.51018031463151</v>
      </c>
      <c r="M283" s="20">
        <f t="shared" ca="1" si="68"/>
        <v>37793.64022033786</v>
      </c>
      <c r="N283" s="20">
        <f ca="1">IF((N282-K283+Y283)&gt;_Max_Stock_Gramos,_Max_Stock_Gramos,N282-K283+Y283)</f>
        <v>1614.9471214621965</v>
      </c>
      <c r="O283" s="20">
        <f ca="1">N283/_GramosXFrasco</f>
        <v>9.4996889497776262</v>
      </c>
      <c r="P283" s="63">
        <f ca="1">(N283/_Max_Stock_Gramos)</f>
        <v>0.9499688949777626</v>
      </c>
      <c r="Q283" s="63"/>
      <c r="R283" s="10">
        <f ca="1">IF((N282-J283)&lt;0,(N282-J283)*_Costo_Faltante,0)</f>
        <v>0</v>
      </c>
      <c r="S283">
        <f ca="1">IF(U283=0,X283*_Costo_Frasco,0)</f>
        <v>-500</v>
      </c>
      <c r="T283" s="11">
        <f t="shared" ca="1" si="69"/>
        <v>-23577.89173507681</v>
      </c>
      <c r="U283" s="10">
        <f>IF(U282=0,_Proxima_Compra,U282-1)</f>
        <v>0</v>
      </c>
      <c r="V283" s="3">
        <f t="shared" ca="1" si="64"/>
        <v>0.31389778942783242</v>
      </c>
      <c r="W283" s="3">
        <f ca="1">IF(W282&gt;0,W282-1,IF(V283&gt;0,LOOKUP(V283,$R$3:$R$5,$O$3:$O$5),-1))</f>
        <v>0</v>
      </c>
      <c r="X283" s="25">
        <f t="shared" ca="1" si="65"/>
        <v>2</v>
      </c>
      <c r="Y283" s="28">
        <f ca="1">X283*_GramosXFrasco</f>
        <v>340</v>
      </c>
    </row>
    <row r="284" spans="1:25" x14ac:dyDescent="0.25">
      <c r="A284" s="30">
        <f t="shared" si="66"/>
        <v>268</v>
      </c>
      <c r="B284" s="38">
        <f t="shared" ca="1" si="59"/>
        <v>0.99428971287732526</v>
      </c>
      <c r="C284" s="36">
        <f t="shared" ca="1" si="60"/>
        <v>0.23311518746261273</v>
      </c>
      <c r="D284" s="36">
        <f t="shared" ca="1" si="61"/>
        <v>0.32733023691962904</v>
      </c>
      <c r="E284" s="36">
        <f t="shared" ca="1" si="56"/>
        <v>-0.2242216596212438</v>
      </c>
      <c r="F284" s="37">
        <f ca="1">IF(E284&lt;&gt;-1,_Media_M + E284*_Sigma,-1)</f>
        <v>71.636675105681348</v>
      </c>
      <c r="G284" s="3">
        <f t="shared" ca="1" si="62"/>
        <v>-1</v>
      </c>
      <c r="H284" s="36">
        <f t="shared" ca="1" si="57"/>
        <v>71.636675105681348</v>
      </c>
      <c r="I284" s="36">
        <f t="shared" ca="1" si="63"/>
        <v>56.39013906990283</v>
      </c>
      <c r="J284" s="35">
        <f t="shared" ca="1" si="58"/>
        <v>128.02681417558418</v>
      </c>
      <c r="K284" s="19">
        <f t="shared" ca="1" si="67"/>
        <v>128.02681417558418</v>
      </c>
      <c r="L284" s="20">
        <f ca="1" xml:space="preserve"> K284*_Precio_cafe</f>
        <v>192.04022126337628</v>
      </c>
      <c r="M284" s="20">
        <f t="shared" ca="1" si="68"/>
        <v>37985.680441601238</v>
      </c>
      <c r="N284" s="20">
        <f ca="1">IF((N283-K284+Y284)&gt;_Max_Stock_Gramos,_Max_Stock_Gramos,N283-K284+Y284)</f>
        <v>1486.9203072866123</v>
      </c>
      <c r="O284" s="20">
        <f ca="1">N284/_GramosXFrasco</f>
        <v>8.7465900428624259</v>
      </c>
      <c r="P284" s="63">
        <f ca="1">(N284/_Max_Stock_Gramos)</f>
        <v>0.87465900428624255</v>
      </c>
      <c r="Q284" s="63"/>
      <c r="R284" s="10">
        <f ca="1">IF((N283-J284)&lt;0,(N283-J284)*_Costo_Faltante,0)</f>
        <v>0</v>
      </c>
      <c r="S284">
        <f>IF(U284=0,X284*_Costo_Frasco,0)</f>
        <v>0</v>
      </c>
      <c r="T284" s="11">
        <f t="shared" ca="1" si="69"/>
        <v>-23577.89173507681</v>
      </c>
      <c r="U284" s="10">
        <f>IF(U283=0,_Proxima_Compra,U283-1)</f>
        <v>2</v>
      </c>
      <c r="V284" s="3">
        <f t="shared" ca="1" si="64"/>
        <v>-1</v>
      </c>
      <c r="W284" s="3">
        <f ca="1">IF(W283&gt;0,W283-1,IF(V284&gt;0,LOOKUP(V284,$R$3:$R$5,$O$3:$O$5),-1))</f>
        <v>-1</v>
      </c>
      <c r="X284" s="25">
        <f t="shared" ca="1" si="65"/>
        <v>0</v>
      </c>
      <c r="Y284" s="28">
        <f ca="1">X284*_GramosXFrasco</f>
        <v>0</v>
      </c>
    </row>
    <row r="285" spans="1:25" x14ac:dyDescent="0.25">
      <c r="A285" s="30">
        <f t="shared" si="66"/>
        <v>269</v>
      </c>
      <c r="B285" s="38">
        <f t="shared" ca="1" si="59"/>
        <v>0.58982292318008467</v>
      </c>
      <c r="C285" s="36">
        <f t="shared" ca="1" si="60"/>
        <v>0.51407207902029106</v>
      </c>
      <c r="D285" s="36">
        <f t="shared" ca="1" si="61"/>
        <v>3.9791561996825986E-2</v>
      </c>
      <c r="E285" s="36">
        <f t="shared" ca="1" si="56"/>
        <v>0.76712572928007494</v>
      </c>
      <c r="F285" s="37">
        <f ca="1">IF(E285&lt;&gt;-1,_Media_M + E285*_Sigma,-1)</f>
        <v>86.506885939201126</v>
      </c>
      <c r="G285" s="3">
        <f t="shared" ca="1" si="62"/>
        <v>-1</v>
      </c>
      <c r="H285" s="36">
        <f t="shared" ca="1" si="57"/>
        <v>86.506885939201126</v>
      </c>
      <c r="I285" s="36">
        <f t="shared" ca="1" si="63"/>
        <v>16.714726089107234</v>
      </c>
      <c r="J285" s="35">
        <f t="shared" ca="1" si="58"/>
        <v>103.22161202830836</v>
      </c>
      <c r="K285" s="19">
        <f t="shared" ca="1" si="67"/>
        <v>103.22161202830836</v>
      </c>
      <c r="L285" s="20">
        <f ca="1" xml:space="preserve"> K285*_Precio_cafe</f>
        <v>154.83241804246254</v>
      </c>
      <c r="M285" s="20">
        <f t="shared" ca="1" si="68"/>
        <v>38140.512859643699</v>
      </c>
      <c r="N285" s="20">
        <f ca="1">IF((N284-K285+Y285)&gt;_Max_Stock_Gramos,_Max_Stock_Gramos,N284-K285+Y285)</f>
        <v>1383.698695258304</v>
      </c>
      <c r="O285" s="20">
        <f ca="1">N285/_GramosXFrasco</f>
        <v>8.1394040897547288</v>
      </c>
      <c r="P285" s="63">
        <f ca="1">(N285/_Max_Stock_Gramos)</f>
        <v>0.81394040897547293</v>
      </c>
      <c r="Q285" s="63"/>
      <c r="R285" s="10">
        <f ca="1">IF((N284-J285)&lt;0,(N284-J285)*_Costo_Faltante,0)</f>
        <v>0</v>
      </c>
      <c r="S285">
        <f>IF(U285=0,X285*_Costo_Frasco,0)</f>
        <v>0</v>
      </c>
      <c r="T285" s="11">
        <f t="shared" ca="1" si="69"/>
        <v>-23577.89173507681</v>
      </c>
      <c r="U285" s="10">
        <f>IF(U284=0,_Proxima_Compra,U284-1)</f>
        <v>1</v>
      </c>
      <c r="V285" s="3">
        <f t="shared" ca="1" si="64"/>
        <v>-1</v>
      </c>
      <c r="W285" s="3">
        <f ca="1">IF(W284&gt;0,W284-1,IF(V285&gt;0,LOOKUP(V285,$R$3:$R$5,$O$3:$O$5),-1))</f>
        <v>-1</v>
      </c>
      <c r="X285" s="25">
        <f t="shared" ca="1" si="65"/>
        <v>0</v>
      </c>
      <c r="Y285" s="28">
        <f ca="1">X285*_GramosXFrasco</f>
        <v>0</v>
      </c>
    </row>
    <row r="286" spans="1:25" x14ac:dyDescent="0.25">
      <c r="A286" s="30">
        <f t="shared" si="66"/>
        <v>270</v>
      </c>
      <c r="B286" s="38">
        <f t="shared" ca="1" si="59"/>
        <v>0.47004986134410209</v>
      </c>
      <c r="C286" s="36">
        <f t="shared" ca="1" si="60"/>
        <v>-1</v>
      </c>
      <c r="D286" s="36">
        <f t="shared" ca="1" si="61"/>
        <v>-1</v>
      </c>
      <c r="E286" s="36">
        <f t="shared" ca="1" si="56"/>
        <v>-1</v>
      </c>
      <c r="F286" s="37">
        <f ca="1">IF(E286&lt;&gt;-1,_Media_M + E286*_Sigma,-1)</f>
        <v>-1</v>
      </c>
      <c r="G286" s="3">
        <f t="shared" ca="1" si="62"/>
        <v>50</v>
      </c>
      <c r="H286" s="36">
        <f t="shared" ca="1" si="57"/>
        <v>50</v>
      </c>
      <c r="I286" s="36">
        <f t="shared" ca="1" si="63"/>
        <v>53.831162673644073</v>
      </c>
      <c r="J286" s="35">
        <f t="shared" ca="1" si="58"/>
        <v>103.83116267364407</v>
      </c>
      <c r="K286" s="19">
        <f t="shared" ca="1" si="67"/>
        <v>103.83116267364407</v>
      </c>
      <c r="L286" s="20">
        <f ca="1" xml:space="preserve"> K286*_Precio_cafe</f>
        <v>155.7467440104661</v>
      </c>
      <c r="M286" s="20">
        <f t="shared" ca="1" si="68"/>
        <v>38296.259603654165</v>
      </c>
      <c r="N286" s="20">
        <f ca="1">IF((N285-K286+Y286)&gt;_Max_Stock_Gramos,_Max_Stock_Gramos,N285-K286+Y286)</f>
        <v>1619.86753258466</v>
      </c>
      <c r="O286" s="20">
        <f ca="1">N286/_GramosXFrasco</f>
        <v>9.5286325446156468</v>
      </c>
      <c r="P286" s="63">
        <f ca="1">(N286/_Max_Stock_Gramos)</f>
        <v>0.95286325446156472</v>
      </c>
      <c r="Q286" s="63"/>
      <c r="R286" s="10">
        <f ca="1">IF((N285-J286)&lt;0,(N285-J286)*_Costo_Faltante,0)</f>
        <v>0</v>
      </c>
      <c r="S286">
        <f ca="1">IF(U286=0,X286*_Costo_Frasco,0)</f>
        <v>-500</v>
      </c>
      <c r="T286" s="11">
        <f t="shared" ca="1" si="69"/>
        <v>-24077.89173507681</v>
      </c>
      <c r="U286" s="10">
        <f>IF(U285=0,_Proxima_Compra,U285-1)</f>
        <v>0</v>
      </c>
      <c r="V286" s="3">
        <f t="shared" ca="1" si="64"/>
        <v>0.26092018555517227</v>
      </c>
      <c r="W286" s="3">
        <f ca="1">IF(W285&gt;0,W285-1,IF(V286&gt;0,LOOKUP(V286,$R$3:$R$5,$O$3:$O$5),-1))</f>
        <v>0</v>
      </c>
      <c r="X286" s="25">
        <f t="shared" ca="1" si="65"/>
        <v>2</v>
      </c>
      <c r="Y286" s="28">
        <f ca="1">X286*_GramosXFrasco</f>
        <v>340</v>
      </c>
    </row>
    <row r="287" spans="1:25" x14ac:dyDescent="0.25">
      <c r="A287" s="30">
        <f t="shared" si="66"/>
        <v>271</v>
      </c>
      <c r="B287" s="38">
        <f t="shared" ca="1" si="59"/>
        <v>0.57145405847160857</v>
      </c>
      <c r="C287" s="36">
        <f t="shared" ca="1" si="60"/>
        <v>0.14202599219158463</v>
      </c>
      <c r="D287" s="36">
        <f t="shared" ca="1" si="61"/>
        <v>0.87152311055949239</v>
      </c>
      <c r="E287" s="36">
        <f t="shared" ca="1" si="56"/>
        <v>0.25223035735443672</v>
      </c>
      <c r="F287" s="37">
        <f ca="1">IF(E287&lt;&gt;-1,_Media_M + E287*_Sigma,-1)</f>
        <v>78.783455360316552</v>
      </c>
      <c r="G287" s="3">
        <f t="shared" ca="1" si="62"/>
        <v>-1</v>
      </c>
      <c r="H287" s="36">
        <f t="shared" ca="1" si="57"/>
        <v>78.783455360316552</v>
      </c>
      <c r="I287" s="36">
        <f t="shared" ca="1" si="63"/>
        <v>26.5636008713461</v>
      </c>
      <c r="J287" s="35">
        <f t="shared" ca="1" si="58"/>
        <v>105.34705623166265</v>
      </c>
      <c r="K287" s="19">
        <f t="shared" ca="1" si="67"/>
        <v>105.34705623166265</v>
      </c>
      <c r="L287" s="20">
        <f ca="1" xml:space="preserve"> K287*_Precio_cafe</f>
        <v>158.02058434749398</v>
      </c>
      <c r="M287" s="20">
        <f t="shared" ca="1" si="68"/>
        <v>38454.280188001656</v>
      </c>
      <c r="N287" s="20">
        <f ca="1">IF((N286-K287+Y287)&gt;_Max_Stock_Gramos,_Max_Stock_Gramos,N286-K287+Y287)</f>
        <v>1514.5204763529973</v>
      </c>
      <c r="O287" s="20">
        <f ca="1">N287/_GramosXFrasco</f>
        <v>8.9089439785470432</v>
      </c>
      <c r="P287" s="63">
        <f ca="1">(N287/_Max_Stock_Gramos)</f>
        <v>0.89089439785470426</v>
      </c>
      <c r="Q287" s="63"/>
      <c r="R287" s="10">
        <f ca="1">IF((N286-J287)&lt;0,(N286-J287)*_Costo_Faltante,0)</f>
        <v>0</v>
      </c>
      <c r="S287">
        <f>IF(U287=0,X287*_Costo_Frasco,0)</f>
        <v>0</v>
      </c>
      <c r="T287" s="11">
        <f t="shared" ca="1" si="69"/>
        <v>-24077.89173507681</v>
      </c>
      <c r="U287" s="10">
        <f>IF(U286=0,_Proxima_Compra,U286-1)</f>
        <v>2</v>
      </c>
      <c r="V287" s="3">
        <f t="shared" ca="1" si="64"/>
        <v>-1</v>
      </c>
      <c r="W287" s="3">
        <f ca="1">IF(W286&gt;0,W286-1,IF(V287&gt;0,LOOKUP(V287,$R$3:$R$5,$O$3:$O$5),-1))</f>
        <v>-1</v>
      </c>
      <c r="X287" s="25">
        <f t="shared" ca="1" si="65"/>
        <v>0</v>
      </c>
      <c r="Y287" s="28">
        <f ca="1">X287*_GramosXFrasco</f>
        <v>0</v>
      </c>
    </row>
    <row r="288" spans="1:25" x14ac:dyDescent="0.25">
      <c r="A288" s="30">
        <f t="shared" si="66"/>
        <v>272</v>
      </c>
      <c r="B288" s="38">
        <f t="shared" ca="1" si="59"/>
        <v>0.23264518168359793</v>
      </c>
      <c r="C288" s="36">
        <f t="shared" ca="1" si="60"/>
        <v>-1</v>
      </c>
      <c r="D288" s="36">
        <f t="shared" ca="1" si="61"/>
        <v>-1</v>
      </c>
      <c r="E288" s="36">
        <f t="shared" ca="1" si="56"/>
        <v>-1</v>
      </c>
      <c r="F288" s="37">
        <f ca="1">IF(E288&lt;&gt;-1,_Media_M + E288*_Sigma,-1)</f>
        <v>-1</v>
      </c>
      <c r="G288" s="3">
        <f t="shared" ca="1" si="62"/>
        <v>50</v>
      </c>
      <c r="H288" s="36">
        <f t="shared" ca="1" si="57"/>
        <v>50</v>
      </c>
      <c r="I288" s="36">
        <f t="shared" ca="1" si="63"/>
        <v>110.77795285789573</v>
      </c>
      <c r="J288" s="35">
        <f t="shared" ca="1" si="58"/>
        <v>160.77795285789574</v>
      </c>
      <c r="K288" s="19">
        <f t="shared" ca="1" si="67"/>
        <v>160.77795285789574</v>
      </c>
      <c r="L288" s="20">
        <f ca="1" xml:space="preserve"> K288*_Precio_cafe</f>
        <v>241.16692928684361</v>
      </c>
      <c r="M288" s="20">
        <f t="shared" ca="1" si="68"/>
        <v>38695.447117288502</v>
      </c>
      <c r="N288" s="20">
        <f ca="1">IF((N287-K288+Y288)&gt;_Max_Stock_Gramos,_Max_Stock_Gramos,N287-K288+Y288)</f>
        <v>1353.7425234951015</v>
      </c>
      <c r="O288" s="20">
        <f ca="1">N288/_GramosXFrasco</f>
        <v>7.9631913146770676</v>
      </c>
      <c r="P288" s="63">
        <f ca="1">(N288/_Max_Stock_Gramos)</f>
        <v>0.79631913146770683</v>
      </c>
      <c r="Q288" s="63"/>
      <c r="R288" s="10">
        <f ca="1">IF((N287-J288)&lt;0,(N287-J288)*_Costo_Faltante,0)</f>
        <v>0</v>
      </c>
      <c r="S288">
        <f>IF(U288=0,X288*_Costo_Frasco,0)</f>
        <v>0</v>
      </c>
      <c r="T288" s="11">
        <f t="shared" ca="1" si="69"/>
        <v>-24077.89173507681</v>
      </c>
      <c r="U288" s="10">
        <f>IF(U287=0,_Proxima_Compra,U287-1)</f>
        <v>1</v>
      </c>
      <c r="V288" s="3">
        <f t="shared" ca="1" si="64"/>
        <v>-1</v>
      </c>
      <c r="W288" s="3">
        <f ca="1">IF(W287&gt;0,W287-1,IF(V288&gt;0,LOOKUP(V288,$R$3:$R$5,$O$3:$O$5),-1))</f>
        <v>-1</v>
      </c>
      <c r="X288" s="25">
        <f t="shared" ca="1" si="65"/>
        <v>0</v>
      </c>
      <c r="Y288" s="28">
        <f ca="1">X288*_GramosXFrasco</f>
        <v>0</v>
      </c>
    </row>
    <row r="289" spans="1:25" x14ac:dyDescent="0.25">
      <c r="A289" s="30">
        <f t="shared" si="66"/>
        <v>273</v>
      </c>
      <c r="B289" s="38">
        <f t="shared" ca="1" si="59"/>
        <v>0.82794038895742428</v>
      </c>
      <c r="C289" s="36">
        <f t="shared" ca="1" si="60"/>
        <v>0.81318557128242075</v>
      </c>
      <c r="D289" s="36">
        <f t="shared" ca="1" si="61"/>
        <v>0.99428844080037337</v>
      </c>
      <c r="E289" s="36">
        <f t="shared" ca="1" si="56"/>
        <v>1.2063595353163474</v>
      </c>
      <c r="F289" s="37">
        <f ca="1">IF(E289&lt;&gt;-1,_Media_M + E289*_Sigma,-1)</f>
        <v>93.09539302974521</v>
      </c>
      <c r="G289" s="3">
        <f t="shared" ca="1" si="62"/>
        <v>-1</v>
      </c>
      <c r="H289" s="36">
        <f t="shared" ca="1" si="57"/>
        <v>93.09539302974521</v>
      </c>
      <c r="I289" s="36">
        <f t="shared" ca="1" si="63"/>
        <v>3.6883533870678331</v>
      </c>
      <c r="J289" s="35">
        <f t="shared" ca="1" si="58"/>
        <v>96.783746416813045</v>
      </c>
      <c r="K289" s="19">
        <f t="shared" ca="1" si="67"/>
        <v>96.783746416813045</v>
      </c>
      <c r="L289" s="20">
        <f ca="1" xml:space="preserve"> K289*_Precio_cafe</f>
        <v>145.17561962521955</v>
      </c>
      <c r="M289" s="20">
        <f t="shared" ca="1" si="68"/>
        <v>38840.62273691372</v>
      </c>
      <c r="N289" s="20">
        <f ca="1">IF((N288-K289+Y289)&gt;_Max_Stock_Gramos,_Max_Stock_Gramos,N288-K289+Y289)</f>
        <v>1256.9587770782884</v>
      </c>
      <c r="O289" s="20">
        <f ca="1">N289/_GramosXFrasco</f>
        <v>7.3938751592840495</v>
      </c>
      <c r="P289" s="63">
        <f ca="1">(N289/_Max_Stock_Gramos)</f>
        <v>0.73938751592840501</v>
      </c>
      <c r="Q289" s="63"/>
      <c r="R289" s="10">
        <f ca="1">IF((N288-J289)&lt;0,(N288-J289)*_Costo_Faltante,0)</f>
        <v>0</v>
      </c>
      <c r="S289">
        <f ca="1">IF(U289=0,X289*_Costo_Frasco,0)</f>
        <v>0</v>
      </c>
      <c r="T289" s="11">
        <f t="shared" ca="1" si="69"/>
        <v>-24077.89173507681</v>
      </c>
      <c r="U289" s="10">
        <f>IF(U288=0,_Proxima_Compra,U288-1)</f>
        <v>0</v>
      </c>
      <c r="V289" s="3">
        <f t="shared" ca="1" si="64"/>
        <v>0.96064012769429552</v>
      </c>
      <c r="W289" s="3">
        <f ca="1">IF(W288&gt;0,W288-1,IF(V289&gt;0,LOOKUP(V289,$R$3:$R$5,$O$3:$O$5),-1))</f>
        <v>2</v>
      </c>
      <c r="X289" s="25">
        <f t="shared" ca="1" si="65"/>
        <v>0</v>
      </c>
      <c r="Y289" s="28">
        <f ca="1">X289*_GramosXFrasco</f>
        <v>0</v>
      </c>
    </row>
    <row r="290" spans="1:25" x14ac:dyDescent="0.25">
      <c r="A290" s="30">
        <f t="shared" si="66"/>
        <v>274</v>
      </c>
      <c r="B290" s="38">
        <f t="shared" ca="1" si="59"/>
        <v>6.0840693597765561E-2</v>
      </c>
      <c r="C290" s="36">
        <f t="shared" ca="1" si="60"/>
        <v>-1</v>
      </c>
      <c r="D290" s="36">
        <f t="shared" ca="1" si="61"/>
        <v>-1</v>
      </c>
      <c r="E290" s="36">
        <f t="shared" ca="1" si="56"/>
        <v>-1</v>
      </c>
      <c r="F290" s="37">
        <f ca="1">IF(E290&lt;&gt;-1,_Media_M + E290*_Sigma,-1)</f>
        <v>-1</v>
      </c>
      <c r="G290" s="3">
        <f t="shared" ca="1" si="62"/>
        <v>50</v>
      </c>
      <c r="H290" s="36">
        <f t="shared" ca="1" si="57"/>
        <v>50</v>
      </c>
      <c r="I290" s="36">
        <f t="shared" ca="1" si="63"/>
        <v>34.599886993764031</v>
      </c>
      <c r="J290" s="35">
        <f t="shared" ca="1" si="58"/>
        <v>84.599886993764031</v>
      </c>
      <c r="K290" s="19">
        <f t="shared" ca="1" si="67"/>
        <v>84.599886993764031</v>
      </c>
      <c r="L290" s="20">
        <f ca="1" xml:space="preserve"> K290*_Precio_cafe</f>
        <v>126.89983049064605</v>
      </c>
      <c r="M290" s="20">
        <f t="shared" ca="1" si="68"/>
        <v>38967.522567404369</v>
      </c>
      <c r="N290" s="20">
        <f ca="1">IF((N289-K290+Y290)&gt;_Max_Stock_Gramos,_Max_Stock_Gramos,N289-K290+Y290)</f>
        <v>1172.3588900845243</v>
      </c>
      <c r="O290" s="20">
        <f ca="1">N290/_GramosXFrasco</f>
        <v>6.8962287652030838</v>
      </c>
      <c r="P290" s="63">
        <f ca="1">(N290/_Max_Stock_Gramos)</f>
        <v>0.6896228765203084</v>
      </c>
      <c r="Q290" s="63"/>
      <c r="R290" s="10">
        <f ca="1">IF((N289-J290)&lt;0,(N289-J290)*_Costo_Faltante,0)</f>
        <v>0</v>
      </c>
      <c r="S290">
        <f>IF(U290=0,X290*_Costo_Frasco,0)</f>
        <v>0</v>
      </c>
      <c r="T290" s="11">
        <f t="shared" ca="1" si="69"/>
        <v>-24077.89173507681</v>
      </c>
      <c r="U290" s="10">
        <f>IF(U289=0,_Proxima_Compra,U289-1)</f>
        <v>2</v>
      </c>
      <c r="V290" s="3">
        <f t="shared" ca="1" si="64"/>
        <v>-1</v>
      </c>
      <c r="W290" s="3">
        <f ca="1">IF(W289&gt;0,W289-1,IF(V290&gt;0,LOOKUP(V290,$R$3:$R$5,$O$3:$O$5),-1))</f>
        <v>1</v>
      </c>
      <c r="X290" s="25">
        <f t="shared" ca="1" si="65"/>
        <v>0</v>
      </c>
      <c r="Y290" s="28">
        <f ca="1">X290*_GramosXFrasco</f>
        <v>0</v>
      </c>
    </row>
    <row r="291" spans="1:25" x14ac:dyDescent="0.25">
      <c r="A291" s="30">
        <f t="shared" si="66"/>
        <v>275</v>
      </c>
      <c r="B291" s="38">
        <f t="shared" ca="1" si="59"/>
        <v>0.57845734908840774</v>
      </c>
      <c r="C291" s="36">
        <f t="shared" ca="1" si="60"/>
        <v>0.32210633600436256</v>
      </c>
      <c r="D291" s="36">
        <f t="shared" ca="1" si="61"/>
        <v>0.10928878264773889</v>
      </c>
      <c r="E291" s="36">
        <f t="shared" ca="1" si="56"/>
        <v>0.44939577204017522</v>
      </c>
      <c r="F291" s="37">
        <f ca="1">IF(E291&lt;&gt;-1,_Media_M + E291*_Sigma,-1)</f>
        <v>81.740936580602636</v>
      </c>
      <c r="G291" s="3">
        <f t="shared" ca="1" si="62"/>
        <v>-1</v>
      </c>
      <c r="H291" s="36">
        <f t="shared" ca="1" si="57"/>
        <v>81.740936580602636</v>
      </c>
      <c r="I291" s="36">
        <f t="shared" ca="1" si="63"/>
        <v>123.29915407740101</v>
      </c>
      <c r="J291" s="35">
        <f t="shared" ca="1" si="58"/>
        <v>205.04009065800363</v>
      </c>
      <c r="K291" s="19">
        <f t="shared" ca="1" si="67"/>
        <v>205.04009065800363</v>
      </c>
      <c r="L291" s="20">
        <f ca="1" xml:space="preserve"> K291*_Precio_cafe</f>
        <v>307.56013598700542</v>
      </c>
      <c r="M291" s="20">
        <f t="shared" ca="1" si="68"/>
        <v>39275.082703391374</v>
      </c>
      <c r="N291" s="20">
        <f ca="1">IF((N290-K291+Y291)&gt;_Max_Stock_Gramos,_Max_Stock_Gramos,N290-K291+Y291)</f>
        <v>1307.3187994265206</v>
      </c>
      <c r="O291" s="20">
        <f ca="1">N291/_GramosXFrasco</f>
        <v>7.6901105848618858</v>
      </c>
      <c r="P291" s="63">
        <f ca="1">(N291/_Max_Stock_Gramos)</f>
        <v>0.76901105848618856</v>
      </c>
      <c r="Q291" s="63"/>
      <c r="R291" s="10">
        <f ca="1">IF((N290-J291)&lt;0,(N290-J291)*_Costo_Faltante,0)</f>
        <v>0</v>
      </c>
      <c r="S291">
        <f>IF(U291=0,X291*_Costo_Frasco,0)</f>
        <v>0</v>
      </c>
      <c r="T291" s="11">
        <f t="shared" ca="1" si="69"/>
        <v>-24077.89173507681</v>
      </c>
      <c r="U291" s="10">
        <f>IF(U290=0,_Proxima_Compra,U290-1)</f>
        <v>1</v>
      </c>
      <c r="V291" s="3">
        <f t="shared" ca="1" si="64"/>
        <v>-1</v>
      </c>
      <c r="W291" s="3">
        <f ca="1">IF(W290&gt;0,W290-1,IF(V291&gt;0,LOOKUP(V291,$R$3:$R$5,$O$3:$O$5),-1))</f>
        <v>0</v>
      </c>
      <c r="X291" s="25">
        <f t="shared" ca="1" si="65"/>
        <v>2</v>
      </c>
      <c r="Y291" s="28">
        <f ca="1">X291*_GramosXFrasco</f>
        <v>340</v>
      </c>
    </row>
    <row r="292" spans="1:25" x14ac:dyDescent="0.25">
      <c r="A292" s="30">
        <f t="shared" si="66"/>
        <v>276</v>
      </c>
      <c r="B292" s="38">
        <f t="shared" ca="1" si="59"/>
        <v>0.20523321931915872</v>
      </c>
      <c r="C292" s="36">
        <f t="shared" ca="1" si="60"/>
        <v>-1</v>
      </c>
      <c r="D292" s="36">
        <f t="shared" ca="1" si="61"/>
        <v>-1</v>
      </c>
      <c r="E292" s="36">
        <f t="shared" ref="E292:E355" ca="1" si="70">IF(D292&gt;0,SQRT(-2*LOG(1-C292)) * COS(2*PI()*D292),-1)</f>
        <v>-1</v>
      </c>
      <c r="F292" s="37">
        <f ca="1">IF(E292&lt;&gt;-1,_Media_M + E292*_Sigma,-1)</f>
        <v>-1</v>
      </c>
      <c r="G292" s="3">
        <f t="shared" ca="1" si="62"/>
        <v>50</v>
      </c>
      <c r="H292" s="36">
        <f t="shared" ref="H292:H355" ca="1" si="71">IF(F292=-1,G292,F292)</f>
        <v>50</v>
      </c>
      <c r="I292" s="36">
        <f t="shared" ca="1" si="63"/>
        <v>34.662745383765206</v>
      </c>
      <c r="J292" s="35">
        <f t="shared" ref="J292:J355" ca="1" si="72">H292+I292</f>
        <v>84.662745383765213</v>
      </c>
      <c r="K292" s="19">
        <f t="shared" ca="1" si="67"/>
        <v>84.662745383765213</v>
      </c>
      <c r="L292" s="20">
        <f ca="1" xml:space="preserve"> K292*_Precio_cafe</f>
        <v>126.99411807564782</v>
      </c>
      <c r="M292" s="20">
        <f t="shared" ca="1" si="68"/>
        <v>39402.076821467024</v>
      </c>
      <c r="N292" s="20">
        <f ca="1">IF((N291-K292+Y292)&gt;_Max_Stock_Gramos,_Max_Stock_Gramos,N291-K292+Y292)</f>
        <v>1222.6560540427554</v>
      </c>
      <c r="O292" s="20">
        <f ca="1">N292/_GramosXFrasco</f>
        <v>7.19209443554562</v>
      </c>
      <c r="P292" s="63">
        <f ca="1">(N292/_Max_Stock_Gramos)</f>
        <v>0.71920944355456196</v>
      </c>
      <c r="Q292" s="63"/>
      <c r="R292" s="10">
        <f ca="1">IF((N291-J292)&lt;0,(N291-J292)*_Costo_Faltante,0)</f>
        <v>0</v>
      </c>
      <c r="S292">
        <f ca="1">IF(U292=0,X292*_Costo_Frasco,0)</f>
        <v>0</v>
      </c>
      <c r="T292" s="11">
        <f t="shared" ca="1" si="69"/>
        <v>-24077.89173507681</v>
      </c>
      <c r="U292" s="10">
        <f>IF(U291=0,_Proxima_Compra,U291-1)</f>
        <v>0</v>
      </c>
      <c r="V292" s="3">
        <f t="shared" ca="1" si="64"/>
        <v>0.93555322171271449</v>
      </c>
      <c r="W292" s="3">
        <f ca="1">IF(W291&gt;0,W291-1,IF(V292&gt;0,LOOKUP(V292,$R$3:$R$5,$O$3:$O$5),-1))</f>
        <v>2</v>
      </c>
      <c r="X292" s="25">
        <f t="shared" ca="1" si="65"/>
        <v>0</v>
      </c>
      <c r="Y292" s="28">
        <f ca="1">X292*_GramosXFrasco</f>
        <v>0</v>
      </c>
    </row>
    <row r="293" spans="1:25" x14ac:dyDescent="0.25">
      <c r="A293" s="30">
        <f t="shared" si="66"/>
        <v>277</v>
      </c>
      <c r="B293" s="38">
        <f t="shared" ca="1" si="59"/>
        <v>0.30998642798715881</v>
      </c>
      <c r="C293" s="36">
        <f t="shared" ca="1" si="60"/>
        <v>-1</v>
      </c>
      <c r="D293" s="36">
        <f t="shared" ca="1" si="61"/>
        <v>-1</v>
      </c>
      <c r="E293" s="36">
        <f t="shared" ca="1" si="70"/>
        <v>-1</v>
      </c>
      <c r="F293" s="37">
        <f ca="1">IF(E293&lt;&gt;-1,_Media_M + E293*_Sigma,-1)</f>
        <v>-1</v>
      </c>
      <c r="G293" s="3">
        <f t="shared" ca="1" si="62"/>
        <v>50</v>
      </c>
      <c r="H293" s="36">
        <f t="shared" ca="1" si="71"/>
        <v>50</v>
      </c>
      <c r="I293" s="36">
        <f t="shared" ca="1" si="63"/>
        <v>15.522036371871625</v>
      </c>
      <c r="J293" s="35">
        <f t="shared" ca="1" si="72"/>
        <v>65.522036371871621</v>
      </c>
      <c r="K293" s="19">
        <f t="shared" ca="1" si="67"/>
        <v>65.522036371871621</v>
      </c>
      <c r="L293" s="20">
        <f ca="1" xml:space="preserve"> K293*_Precio_cafe</f>
        <v>98.283054557807432</v>
      </c>
      <c r="M293" s="20">
        <f t="shared" ca="1" si="68"/>
        <v>39500.359876024835</v>
      </c>
      <c r="N293" s="20">
        <f ca="1">IF((N292-K293+Y293)&gt;_Max_Stock_Gramos,_Max_Stock_Gramos,N292-K293+Y293)</f>
        <v>1157.1340176708838</v>
      </c>
      <c r="O293" s="20">
        <f ca="1">N293/_GramosXFrasco</f>
        <v>6.8066706921816698</v>
      </c>
      <c r="P293" s="63">
        <f ca="1">(N293/_Max_Stock_Gramos)</f>
        <v>0.680667069218167</v>
      </c>
      <c r="Q293" s="63"/>
      <c r="R293" s="10">
        <f ca="1">IF((N292-J293)&lt;0,(N292-J293)*_Costo_Faltante,0)</f>
        <v>0</v>
      </c>
      <c r="S293">
        <f>IF(U293=0,X293*_Costo_Frasco,0)</f>
        <v>0</v>
      </c>
      <c r="T293" s="11">
        <f t="shared" ca="1" si="69"/>
        <v>-24077.89173507681</v>
      </c>
      <c r="U293" s="10">
        <f>IF(U292=0,_Proxima_Compra,U292-1)</f>
        <v>2</v>
      </c>
      <c r="V293" s="3">
        <f t="shared" ca="1" si="64"/>
        <v>-1</v>
      </c>
      <c r="W293" s="3">
        <f ca="1">IF(W292&gt;0,W292-1,IF(V293&gt;0,LOOKUP(V293,$R$3:$R$5,$O$3:$O$5),-1))</f>
        <v>1</v>
      </c>
      <c r="X293" s="25">
        <f t="shared" ca="1" si="65"/>
        <v>0</v>
      </c>
      <c r="Y293" s="28">
        <f ca="1">X293*_GramosXFrasco</f>
        <v>0</v>
      </c>
    </row>
    <row r="294" spans="1:25" x14ac:dyDescent="0.25">
      <c r="A294" s="30">
        <f t="shared" si="66"/>
        <v>278</v>
      </c>
      <c r="B294" s="38">
        <f t="shared" ca="1" si="59"/>
        <v>0.20797748164381147</v>
      </c>
      <c r="C294" s="36">
        <f t="shared" ca="1" si="60"/>
        <v>-1</v>
      </c>
      <c r="D294" s="36">
        <f t="shared" ca="1" si="61"/>
        <v>-1</v>
      </c>
      <c r="E294" s="36">
        <f t="shared" ca="1" si="70"/>
        <v>-1</v>
      </c>
      <c r="F294" s="37">
        <f ca="1">IF(E294&lt;&gt;-1,_Media_M + E294*_Sigma,-1)</f>
        <v>-1</v>
      </c>
      <c r="G294" s="3">
        <f t="shared" ca="1" si="62"/>
        <v>50</v>
      </c>
      <c r="H294" s="36">
        <f t="shared" ca="1" si="71"/>
        <v>50</v>
      </c>
      <c r="I294" s="36">
        <f t="shared" ca="1" si="63"/>
        <v>73.218330992734195</v>
      </c>
      <c r="J294" s="35">
        <f t="shared" ca="1" si="72"/>
        <v>123.2183309927342</v>
      </c>
      <c r="K294" s="19">
        <f t="shared" ca="1" si="67"/>
        <v>123.2183309927342</v>
      </c>
      <c r="L294" s="20">
        <f ca="1" xml:space="preserve"> K294*_Precio_cafe</f>
        <v>184.82749648910129</v>
      </c>
      <c r="M294" s="20">
        <f t="shared" ca="1" si="68"/>
        <v>39685.187372513938</v>
      </c>
      <c r="N294" s="20">
        <f ca="1">IF((N293-K294+Y294)&gt;_Max_Stock_Gramos,_Max_Stock_Gramos,N293-K294+Y294)</f>
        <v>1373.9156866781495</v>
      </c>
      <c r="O294" s="20">
        <f ca="1">N294/_GramosXFrasco</f>
        <v>8.0818569804597029</v>
      </c>
      <c r="P294" s="63">
        <f ca="1">(N294/_Max_Stock_Gramos)</f>
        <v>0.80818569804597029</v>
      </c>
      <c r="Q294" s="63"/>
      <c r="R294" s="10">
        <f ca="1">IF((N293-J294)&lt;0,(N293-J294)*_Costo_Faltante,0)</f>
        <v>0</v>
      </c>
      <c r="S294">
        <f>IF(U294=0,X294*_Costo_Frasco,0)</f>
        <v>0</v>
      </c>
      <c r="T294" s="11">
        <f t="shared" ca="1" si="69"/>
        <v>-24077.89173507681</v>
      </c>
      <c r="U294" s="10">
        <f>IF(U293=0,_Proxima_Compra,U293-1)</f>
        <v>1</v>
      </c>
      <c r="V294" s="3">
        <f t="shared" ca="1" si="64"/>
        <v>-1</v>
      </c>
      <c r="W294" s="3">
        <f ca="1">IF(W293&gt;0,W293-1,IF(V294&gt;0,LOOKUP(V294,$R$3:$R$5,$O$3:$O$5),-1))</f>
        <v>0</v>
      </c>
      <c r="X294" s="25">
        <f t="shared" ca="1" si="65"/>
        <v>2</v>
      </c>
      <c r="Y294" s="28">
        <f ca="1">X294*_GramosXFrasco</f>
        <v>340</v>
      </c>
    </row>
    <row r="295" spans="1:25" x14ac:dyDescent="0.25">
      <c r="A295" s="30">
        <f t="shared" si="66"/>
        <v>279</v>
      </c>
      <c r="B295" s="38">
        <f t="shared" ca="1" si="59"/>
        <v>0.56659492722463467</v>
      </c>
      <c r="C295" s="36">
        <f t="shared" ca="1" si="60"/>
        <v>0.99720913494939478</v>
      </c>
      <c r="D295" s="36">
        <f t="shared" ca="1" si="61"/>
        <v>0.52145130301606946</v>
      </c>
      <c r="E295" s="36">
        <f t="shared" ca="1" si="70"/>
        <v>-2.2397053043786874</v>
      </c>
      <c r="F295" s="37">
        <f ca="1">IF(E295&lt;&gt;-1,_Media_M + E295*_Sigma,-1)</f>
        <v>41.40442043431969</v>
      </c>
      <c r="G295" s="3">
        <f t="shared" ca="1" si="62"/>
        <v>-1</v>
      </c>
      <c r="H295" s="36">
        <f t="shared" ca="1" si="71"/>
        <v>41.40442043431969</v>
      </c>
      <c r="I295" s="36">
        <f t="shared" ca="1" si="63"/>
        <v>20.331139126942887</v>
      </c>
      <c r="J295" s="35">
        <f t="shared" ca="1" si="72"/>
        <v>61.735559561262576</v>
      </c>
      <c r="K295" s="19">
        <f t="shared" ca="1" si="67"/>
        <v>61.735559561262576</v>
      </c>
      <c r="L295" s="20">
        <f ca="1" xml:space="preserve"> K295*_Precio_cafe</f>
        <v>92.603339341893872</v>
      </c>
      <c r="M295" s="20">
        <f t="shared" ca="1" si="68"/>
        <v>39777.790711855829</v>
      </c>
      <c r="N295" s="20">
        <f ca="1">IF((N294-K295+Y295)&gt;_Max_Stock_Gramos,_Max_Stock_Gramos,N294-K295+Y295)</f>
        <v>1652.180127116887</v>
      </c>
      <c r="O295" s="20">
        <f ca="1">N295/_GramosXFrasco</f>
        <v>9.7187066300993354</v>
      </c>
      <c r="P295" s="63">
        <f ca="1">(N295/_Max_Stock_Gramos)</f>
        <v>0.97187066300993352</v>
      </c>
      <c r="Q295" s="63"/>
      <c r="R295" s="10">
        <f ca="1">IF((N294-J295)&lt;0,(N294-J295)*_Costo_Faltante,0)</f>
        <v>0</v>
      </c>
      <c r="S295">
        <f ca="1">IF(U295=0,X295*_Costo_Frasco,0)</f>
        <v>-500</v>
      </c>
      <c r="T295" s="11">
        <f t="shared" ca="1" si="69"/>
        <v>-24577.89173507681</v>
      </c>
      <c r="U295" s="10">
        <f>IF(U294=0,_Proxima_Compra,U294-1)</f>
        <v>0</v>
      </c>
      <c r="V295" s="3">
        <f t="shared" ca="1" si="64"/>
        <v>0.36771579176243552</v>
      </c>
      <c r="W295" s="3">
        <f ca="1">IF(W294&gt;0,W294-1,IF(V295&gt;0,LOOKUP(V295,$R$3:$R$5,$O$3:$O$5),-1))</f>
        <v>0</v>
      </c>
      <c r="X295" s="25">
        <f t="shared" ca="1" si="65"/>
        <v>2</v>
      </c>
      <c r="Y295" s="28">
        <f ca="1">X295*_GramosXFrasco</f>
        <v>340</v>
      </c>
    </row>
    <row r="296" spans="1:25" x14ac:dyDescent="0.25">
      <c r="A296" s="30">
        <f t="shared" si="66"/>
        <v>280</v>
      </c>
      <c r="B296" s="38">
        <f t="shared" ca="1" si="59"/>
        <v>0.66107976253293244</v>
      </c>
      <c r="C296" s="36">
        <f t="shared" ca="1" si="60"/>
        <v>0.28073365961091468</v>
      </c>
      <c r="D296" s="36">
        <f t="shared" ca="1" si="61"/>
        <v>0.13079227146462191</v>
      </c>
      <c r="E296" s="36">
        <f t="shared" ca="1" si="70"/>
        <v>0.36428391825565065</v>
      </c>
      <c r="F296" s="37">
        <f ca="1">IF(E296&lt;&gt;-1,_Media_M + E296*_Sigma,-1)</f>
        <v>80.464258773834757</v>
      </c>
      <c r="G296" s="3">
        <f t="shared" ca="1" si="62"/>
        <v>-1</v>
      </c>
      <c r="H296" s="36">
        <f t="shared" ca="1" si="71"/>
        <v>80.464258773834757</v>
      </c>
      <c r="I296" s="36">
        <f t="shared" ca="1" si="63"/>
        <v>46.038433702218775</v>
      </c>
      <c r="J296" s="35">
        <f t="shared" ca="1" si="72"/>
        <v>126.50269247605354</v>
      </c>
      <c r="K296" s="19">
        <f t="shared" ca="1" si="67"/>
        <v>126.50269247605354</v>
      </c>
      <c r="L296" s="20">
        <f ca="1" xml:space="preserve"> K296*_Precio_cafe</f>
        <v>189.75403871408031</v>
      </c>
      <c r="M296" s="20">
        <f t="shared" ca="1" si="68"/>
        <v>39967.544750569912</v>
      </c>
      <c r="N296" s="20">
        <f ca="1">IF((N295-K296+Y296)&gt;_Max_Stock_Gramos,_Max_Stock_Gramos,N295-K296+Y296)</f>
        <v>1525.6774346408333</v>
      </c>
      <c r="O296" s="20">
        <f ca="1">N296/_GramosXFrasco</f>
        <v>8.9745731449460777</v>
      </c>
      <c r="P296" s="63">
        <f ca="1">(N296/_Max_Stock_Gramos)</f>
        <v>0.89745731449460786</v>
      </c>
      <c r="Q296" s="63"/>
      <c r="R296" s="10">
        <f ca="1">IF((N295-J296)&lt;0,(N295-J296)*_Costo_Faltante,0)</f>
        <v>0</v>
      </c>
      <c r="S296">
        <f>IF(U296=0,X296*_Costo_Frasco,0)</f>
        <v>0</v>
      </c>
      <c r="T296" s="11">
        <f t="shared" ca="1" si="69"/>
        <v>-24577.89173507681</v>
      </c>
      <c r="U296" s="10">
        <f>IF(U295=0,_Proxima_Compra,U295-1)</f>
        <v>2</v>
      </c>
      <c r="V296" s="3">
        <f t="shared" ca="1" si="64"/>
        <v>-1</v>
      </c>
      <c r="W296" s="3">
        <f ca="1">IF(W295&gt;0,W295-1,IF(V296&gt;0,LOOKUP(V296,$R$3:$R$5,$O$3:$O$5),-1))</f>
        <v>-1</v>
      </c>
      <c r="X296" s="25">
        <f t="shared" ca="1" si="65"/>
        <v>0</v>
      </c>
      <c r="Y296" s="28">
        <f ca="1">X296*_GramosXFrasco</f>
        <v>0</v>
      </c>
    </row>
    <row r="297" spans="1:25" x14ac:dyDescent="0.25">
      <c r="A297" s="30">
        <f t="shared" si="66"/>
        <v>281</v>
      </c>
      <c r="B297" s="38">
        <f t="shared" ca="1" si="59"/>
        <v>0.50972769224049319</v>
      </c>
      <c r="C297" s="36">
        <f t="shared" ca="1" si="60"/>
        <v>0.40294560574890903</v>
      </c>
      <c r="D297" s="36">
        <f t="shared" ca="1" si="61"/>
        <v>0.75839349091607655</v>
      </c>
      <c r="E297" s="36">
        <f t="shared" ca="1" si="70"/>
        <v>3.5281471592906864E-2</v>
      </c>
      <c r="F297" s="37">
        <f ca="1">IF(E297&lt;&gt;-1,_Media_M + E297*_Sigma,-1)</f>
        <v>75.529222073893607</v>
      </c>
      <c r="G297" s="3">
        <f t="shared" ca="1" si="62"/>
        <v>-1</v>
      </c>
      <c r="H297" s="36">
        <f t="shared" ca="1" si="71"/>
        <v>75.529222073893607</v>
      </c>
      <c r="I297" s="36">
        <f t="shared" ca="1" si="63"/>
        <v>2.0445055427859238</v>
      </c>
      <c r="J297" s="35">
        <f t="shared" ca="1" si="72"/>
        <v>77.573727616679534</v>
      </c>
      <c r="K297" s="19">
        <f t="shared" ca="1" si="67"/>
        <v>77.573727616679534</v>
      </c>
      <c r="L297" s="20">
        <f ca="1" xml:space="preserve"> K297*_Precio_cafe</f>
        <v>116.36059142501929</v>
      </c>
      <c r="M297" s="20">
        <f t="shared" ca="1" si="68"/>
        <v>40083.905341994934</v>
      </c>
      <c r="N297" s="20">
        <f ca="1">IF((N296-K297+Y297)&gt;_Max_Stock_Gramos,_Max_Stock_Gramos,N296-K297+Y297)</f>
        <v>1448.1037070241539</v>
      </c>
      <c r="O297" s="20">
        <f ca="1">N297/_GramosXFrasco</f>
        <v>8.5182571001420815</v>
      </c>
      <c r="P297" s="63">
        <f ca="1">(N297/_Max_Stock_Gramos)</f>
        <v>0.85182571001420815</v>
      </c>
      <c r="Q297" s="63"/>
      <c r="R297" s="10">
        <f ca="1">IF((N296-J297)&lt;0,(N296-J297)*_Costo_Faltante,0)</f>
        <v>0</v>
      </c>
      <c r="S297">
        <f>IF(U297=0,X297*_Costo_Frasco,0)</f>
        <v>0</v>
      </c>
      <c r="T297" s="11">
        <f t="shared" ca="1" si="69"/>
        <v>-24577.89173507681</v>
      </c>
      <c r="U297" s="10">
        <f>IF(U296=0,_Proxima_Compra,U296-1)</f>
        <v>1</v>
      </c>
      <c r="V297" s="3">
        <f t="shared" ca="1" si="64"/>
        <v>-1</v>
      </c>
      <c r="W297" s="3">
        <f ca="1">IF(W296&gt;0,W296-1,IF(V297&gt;0,LOOKUP(V297,$R$3:$R$5,$O$3:$O$5),-1))</f>
        <v>-1</v>
      </c>
      <c r="X297" s="25">
        <f t="shared" ca="1" si="65"/>
        <v>0</v>
      </c>
      <c r="Y297" s="28">
        <f ca="1">X297*_GramosXFrasco</f>
        <v>0</v>
      </c>
    </row>
    <row r="298" spans="1:25" x14ac:dyDescent="0.25">
      <c r="A298" s="30">
        <f t="shared" si="66"/>
        <v>282</v>
      </c>
      <c r="B298" s="38">
        <f t="shared" ca="1" si="59"/>
        <v>0.31537486999696618</v>
      </c>
      <c r="C298" s="36">
        <f t="shared" ca="1" si="60"/>
        <v>-1</v>
      </c>
      <c r="D298" s="36">
        <f t="shared" ca="1" si="61"/>
        <v>-1</v>
      </c>
      <c r="E298" s="36">
        <f t="shared" ca="1" si="70"/>
        <v>-1</v>
      </c>
      <c r="F298" s="37">
        <f ca="1">IF(E298&lt;&gt;-1,_Media_M + E298*_Sigma,-1)</f>
        <v>-1</v>
      </c>
      <c r="G298" s="3">
        <f t="shared" ca="1" si="62"/>
        <v>50</v>
      </c>
      <c r="H298" s="36">
        <f t="shared" ca="1" si="71"/>
        <v>50</v>
      </c>
      <c r="I298" s="36">
        <f t="shared" ca="1" si="63"/>
        <v>6.980439212919503</v>
      </c>
      <c r="J298" s="35">
        <f t="shared" ca="1" si="72"/>
        <v>56.980439212919507</v>
      </c>
      <c r="K298" s="19">
        <f t="shared" ca="1" si="67"/>
        <v>56.980439212919507</v>
      </c>
      <c r="L298" s="20">
        <f ca="1" xml:space="preserve"> K298*_Precio_cafe</f>
        <v>85.470658819379253</v>
      </c>
      <c r="M298" s="20">
        <f t="shared" ca="1" si="68"/>
        <v>40169.376000814314</v>
      </c>
      <c r="N298" s="20">
        <f ca="1">IF((N297-K298+Y298)&gt;_Max_Stock_Gramos,_Max_Stock_Gramos,N297-K298+Y298)</f>
        <v>1700</v>
      </c>
      <c r="O298" s="20">
        <f ca="1">N298/_GramosXFrasco</f>
        <v>10</v>
      </c>
      <c r="P298" s="63">
        <f ca="1">(N298/_Max_Stock_Gramos)</f>
        <v>1</v>
      </c>
      <c r="Q298" s="63"/>
      <c r="R298" s="10">
        <f ca="1">IF((N297-J298)&lt;0,(N297-J298)*_Costo_Faltante,0)</f>
        <v>0</v>
      </c>
      <c r="S298">
        <f ca="1">IF(U298=0,X298*_Costo_Frasco,0)</f>
        <v>-500</v>
      </c>
      <c r="T298" s="11">
        <f t="shared" ca="1" si="69"/>
        <v>-25077.89173507681</v>
      </c>
      <c r="U298" s="10">
        <f>IF(U297=0,_Proxima_Compra,U297-1)</f>
        <v>0</v>
      </c>
      <c r="V298" s="3">
        <f t="shared" ca="1" si="64"/>
        <v>0.40653499369388224</v>
      </c>
      <c r="W298" s="3">
        <f ca="1">IF(W297&gt;0,W297-1,IF(V298&gt;0,LOOKUP(V298,$R$3:$R$5,$O$3:$O$5),-1))</f>
        <v>0</v>
      </c>
      <c r="X298" s="25">
        <f t="shared" ca="1" si="65"/>
        <v>2</v>
      </c>
      <c r="Y298" s="28">
        <f ca="1">X298*_GramosXFrasco</f>
        <v>340</v>
      </c>
    </row>
    <row r="299" spans="1:25" x14ac:dyDescent="0.25">
      <c r="A299" s="30">
        <f t="shared" si="66"/>
        <v>283</v>
      </c>
      <c r="B299" s="38">
        <f t="shared" ca="1" si="59"/>
        <v>0.49594654278829853</v>
      </c>
      <c r="C299" s="36">
        <f t="shared" ca="1" si="60"/>
        <v>-1</v>
      </c>
      <c r="D299" s="36">
        <f t="shared" ca="1" si="61"/>
        <v>-1</v>
      </c>
      <c r="E299" s="36">
        <f t="shared" ca="1" si="70"/>
        <v>-1</v>
      </c>
      <c r="F299" s="37">
        <f ca="1">IF(E299&lt;&gt;-1,_Media_M + E299*_Sigma,-1)</f>
        <v>-1</v>
      </c>
      <c r="G299" s="3">
        <f t="shared" ca="1" si="62"/>
        <v>50</v>
      </c>
      <c r="H299" s="36">
        <f t="shared" ca="1" si="71"/>
        <v>50</v>
      </c>
      <c r="I299" s="36">
        <f t="shared" ca="1" si="63"/>
        <v>15.25288662766841</v>
      </c>
      <c r="J299" s="35">
        <f t="shared" ca="1" si="72"/>
        <v>65.252886627668403</v>
      </c>
      <c r="K299" s="19">
        <f t="shared" ca="1" si="67"/>
        <v>65.252886627668403</v>
      </c>
      <c r="L299" s="20">
        <f ca="1" xml:space="preserve"> K299*_Precio_cafe</f>
        <v>97.879329941502604</v>
      </c>
      <c r="M299" s="20">
        <f t="shared" ca="1" si="68"/>
        <v>40267.255330755819</v>
      </c>
      <c r="N299" s="20">
        <f ca="1">IF((N298-K299+Y299)&gt;_Max_Stock_Gramos,_Max_Stock_Gramos,N298-K299+Y299)</f>
        <v>1634.7471133723316</v>
      </c>
      <c r="O299" s="20">
        <f ca="1">N299/_GramosXFrasco</f>
        <v>9.6161594904254795</v>
      </c>
      <c r="P299" s="63">
        <f ca="1">(N299/_Max_Stock_Gramos)</f>
        <v>0.96161594904254799</v>
      </c>
      <c r="Q299" s="63"/>
      <c r="R299" s="10">
        <f ca="1">IF((N298-J299)&lt;0,(N298-J299)*_Costo_Faltante,0)</f>
        <v>0</v>
      </c>
      <c r="S299">
        <f>IF(U299=0,X299*_Costo_Frasco,0)</f>
        <v>0</v>
      </c>
      <c r="T299" s="11">
        <f t="shared" ca="1" si="69"/>
        <v>-25077.89173507681</v>
      </c>
      <c r="U299" s="10">
        <f>IF(U298=0,_Proxima_Compra,U298-1)</f>
        <v>2</v>
      </c>
      <c r="V299" s="3">
        <f t="shared" ca="1" si="64"/>
        <v>-1</v>
      </c>
      <c r="W299" s="3">
        <f ca="1">IF(W298&gt;0,W298-1,IF(V299&gt;0,LOOKUP(V299,$R$3:$R$5,$O$3:$O$5),-1))</f>
        <v>-1</v>
      </c>
      <c r="X299" s="25">
        <f t="shared" ca="1" si="65"/>
        <v>0</v>
      </c>
      <c r="Y299" s="28">
        <f ca="1">X299*_GramosXFrasco</f>
        <v>0</v>
      </c>
    </row>
    <row r="300" spans="1:25" x14ac:dyDescent="0.25">
      <c r="A300" s="30">
        <f t="shared" si="66"/>
        <v>284</v>
      </c>
      <c r="B300" s="38">
        <f t="shared" ca="1" si="59"/>
        <v>0.74218866227640368</v>
      </c>
      <c r="C300" s="36">
        <f t="shared" ca="1" si="60"/>
        <v>4.7582858773917103E-2</v>
      </c>
      <c r="D300" s="36">
        <f t="shared" ca="1" si="61"/>
        <v>0.58408738730804577</v>
      </c>
      <c r="E300" s="36">
        <f t="shared" ca="1" si="70"/>
        <v>-0.17772161994914495</v>
      </c>
      <c r="F300" s="37">
        <f ca="1">IF(E300&lt;&gt;-1,_Media_M + E300*_Sigma,-1)</f>
        <v>72.334175700762827</v>
      </c>
      <c r="G300" s="3">
        <f t="shared" ca="1" si="62"/>
        <v>-1</v>
      </c>
      <c r="H300" s="36">
        <f t="shared" ca="1" si="71"/>
        <v>72.334175700762827</v>
      </c>
      <c r="I300" s="36">
        <f t="shared" ca="1" si="63"/>
        <v>6.2561131247410584</v>
      </c>
      <c r="J300" s="35">
        <f t="shared" ca="1" si="72"/>
        <v>78.59028882550389</v>
      </c>
      <c r="K300" s="19">
        <f t="shared" ca="1" si="67"/>
        <v>78.59028882550389</v>
      </c>
      <c r="L300" s="20">
        <f ca="1" xml:space="preserve"> K300*_Precio_cafe</f>
        <v>117.88543323825584</v>
      </c>
      <c r="M300" s="20">
        <f t="shared" ca="1" si="68"/>
        <v>40385.140763994073</v>
      </c>
      <c r="N300" s="20">
        <f ca="1">IF((N299-K300+Y300)&gt;_Max_Stock_Gramos,_Max_Stock_Gramos,N299-K300+Y300)</f>
        <v>1556.1568245468277</v>
      </c>
      <c r="O300" s="20">
        <f ca="1">N300/_GramosXFrasco</f>
        <v>9.1538636738048691</v>
      </c>
      <c r="P300" s="63">
        <f ca="1">(N300/_Max_Stock_Gramos)</f>
        <v>0.91538636738048684</v>
      </c>
      <c r="Q300" s="63"/>
      <c r="R300" s="10">
        <f ca="1">IF((N299-J300)&lt;0,(N299-J300)*_Costo_Faltante,0)</f>
        <v>0</v>
      </c>
      <c r="S300">
        <f>IF(U300=0,X300*_Costo_Frasco,0)</f>
        <v>0</v>
      </c>
      <c r="T300" s="11">
        <f t="shared" ca="1" si="69"/>
        <v>-25077.89173507681</v>
      </c>
      <c r="U300" s="10">
        <f>IF(U299=0,_Proxima_Compra,U299-1)</f>
        <v>1</v>
      </c>
      <c r="V300" s="3">
        <f t="shared" ca="1" si="64"/>
        <v>-1</v>
      </c>
      <c r="W300" s="3">
        <f ca="1">IF(W299&gt;0,W299-1,IF(V300&gt;0,LOOKUP(V300,$R$3:$R$5,$O$3:$O$5),-1))</f>
        <v>-1</v>
      </c>
      <c r="X300" s="25">
        <f t="shared" ca="1" si="65"/>
        <v>0</v>
      </c>
      <c r="Y300" s="28">
        <f ca="1">X300*_GramosXFrasco</f>
        <v>0</v>
      </c>
    </row>
    <row r="301" spans="1:25" x14ac:dyDescent="0.25">
      <c r="A301" s="30">
        <f t="shared" si="66"/>
        <v>285</v>
      </c>
      <c r="B301" s="38">
        <f t="shared" ca="1" si="59"/>
        <v>0.43434820392015649</v>
      </c>
      <c r="C301" s="36">
        <f t="shared" ca="1" si="60"/>
        <v>-1</v>
      </c>
      <c r="D301" s="36">
        <f t="shared" ca="1" si="61"/>
        <v>-1</v>
      </c>
      <c r="E301" s="36">
        <f t="shared" ca="1" si="70"/>
        <v>-1</v>
      </c>
      <c r="F301" s="37">
        <f ca="1">IF(E301&lt;&gt;-1,_Media_M + E301*_Sigma,-1)</f>
        <v>-1</v>
      </c>
      <c r="G301" s="3">
        <f t="shared" ca="1" si="62"/>
        <v>50</v>
      </c>
      <c r="H301" s="36">
        <f t="shared" ca="1" si="71"/>
        <v>50</v>
      </c>
      <c r="I301" s="36">
        <f t="shared" ca="1" si="63"/>
        <v>102.30768610255483</v>
      </c>
      <c r="J301" s="35">
        <f t="shared" ca="1" si="72"/>
        <v>152.30768610255484</v>
      </c>
      <c r="K301" s="19">
        <f t="shared" ca="1" si="67"/>
        <v>152.30768610255484</v>
      </c>
      <c r="L301" s="20">
        <f ca="1" xml:space="preserve"> K301*_Precio_cafe</f>
        <v>228.46152915383226</v>
      </c>
      <c r="M301" s="20">
        <f t="shared" ca="1" si="68"/>
        <v>40613.602293147909</v>
      </c>
      <c r="N301" s="20">
        <f ca="1">IF((N300-K301+Y301)&gt;_Max_Stock_Gramos,_Max_Stock_Gramos,N300-K301+Y301)</f>
        <v>1403.8491384442727</v>
      </c>
      <c r="O301" s="20">
        <f ca="1">N301/_GramosXFrasco</f>
        <v>8.2579361084957217</v>
      </c>
      <c r="P301" s="63">
        <f ca="1">(N301/_Max_Stock_Gramos)</f>
        <v>0.82579361084957215</v>
      </c>
      <c r="Q301" s="63"/>
      <c r="R301" s="10">
        <f ca="1">IF((N300-J301)&lt;0,(N300-J301)*_Costo_Faltante,0)</f>
        <v>0</v>
      </c>
      <c r="S301">
        <f ca="1">IF(U301=0,X301*_Costo_Frasco,0)</f>
        <v>0</v>
      </c>
      <c r="T301" s="11">
        <f t="shared" ca="1" si="69"/>
        <v>-25077.89173507681</v>
      </c>
      <c r="U301" s="10">
        <f>IF(U300=0,_Proxima_Compra,U300-1)</f>
        <v>0</v>
      </c>
      <c r="V301" s="3">
        <f t="shared" ca="1" si="64"/>
        <v>0.76203992254309749</v>
      </c>
      <c r="W301" s="3">
        <f ca="1">IF(W300&gt;0,W300-1,IF(V301&gt;0,LOOKUP(V301,$R$3:$R$5,$O$3:$O$5),-1))</f>
        <v>2</v>
      </c>
      <c r="X301" s="25">
        <f t="shared" ca="1" si="65"/>
        <v>0</v>
      </c>
      <c r="Y301" s="28">
        <f ca="1">X301*_GramosXFrasco</f>
        <v>0</v>
      </c>
    </row>
    <row r="302" spans="1:25" x14ac:dyDescent="0.25">
      <c r="A302" s="30">
        <f t="shared" si="66"/>
        <v>286</v>
      </c>
      <c r="B302" s="38">
        <f t="shared" ca="1" si="59"/>
        <v>0.21345108054199824</v>
      </c>
      <c r="C302" s="36">
        <f t="shared" ca="1" si="60"/>
        <v>-1</v>
      </c>
      <c r="D302" s="36">
        <f t="shared" ca="1" si="61"/>
        <v>-1</v>
      </c>
      <c r="E302" s="36">
        <f t="shared" ca="1" si="70"/>
        <v>-1</v>
      </c>
      <c r="F302" s="37">
        <f ca="1">IF(E302&lt;&gt;-1,_Media_M + E302*_Sigma,-1)</f>
        <v>-1</v>
      </c>
      <c r="G302" s="3">
        <f t="shared" ca="1" si="62"/>
        <v>50</v>
      </c>
      <c r="H302" s="36">
        <f t="shared" ca="1" si="71"/>
        <v>50</v>
      </c>
      <c r="I302" s="36">
        <f t="shared" ca="1" si="63"/>
        <v>50.129348504583703</v>
      </c>
      <c r="J302" s="35">
        <f t="shared" ca="1" si="72"/>
        <v>100.1293485045837</v>
      </c>
      <c r="K302" s="19">
        <f t="shared" ca="1" si="67"/>
        <v>100.1293485045837</v>
      </c>
      <c r="L302" s="20">
        <f ca="1" xml:space="preserve"> K302*_Precio_cafe</f>
        <v>150.19402275687554</v>
      </c>
      <c r="M302" s="20">
        <f t="shared" ca="1" si="68"/>
        <v>40763.796315904787</v>
      </c>
      <c r="N302" s="20">
        <f ca="1">IF((N301-K302+Y302)&gt;_Max_Stock_Gramos,_Max_Stock_Gramos,N301-K302+Y302)</f>
        <v>1303.719789939689</v>
      </c>
      <c r="O302" s="20">
        <f ca="1">N302/_GramosXFrasco</f>
        <v>7.6689399408216996</v>
      </c>
      <c r="P302" s="63">
        <f ca="1">(N302/_Max_Stock_Gramos)</f>
        <v>0.76689399408216996</v>
      </c>
      <c r="Q302" s="63"/>
      <c r="R302" s="10">
        <f ca="1">IF((N301-J302)&lt;0,(N301-J302)*_Costo_Faltante,0)</f>
        <v>0</v>
      </c>
      <c r="S302">
        <f>IF(U302=0,X302*_Costo_Frasco,0)</f>
        <v>0</v>
      </c>
      <c r="T302" s="11">
        <f t="shared" ca="1" si="69"/>
        <v>-25077.89173507681</v>
      </c>
      <c r="U302" s="10">
        <f>IF(U301=0,_Proxima_Compra,U301-1)</f>
        <v>2</v>
      </c>
      <c r="V302" s="3">
        <f t="shared" ca="1" si="64"/>
        <v>-1</v>
      </c>
      <c r="W302" s="3">
        <f ca="1">IF(W301&gt;0,W301-1,IF(V302&gt;0,LOOKUP(V302,$R$3:$R$5,$O$3:$O$5),-1))</f>
        <v>1</v>
      </c>
      <c r="X302" s="25">
        <f t="shared" ca="1" si="65"/>
        <v>0</v>
      </c>
      <c r="Y302" s="28">
        <f ca="1">X302*_GramosXFrasco</f>
        <v>0</v>
      </c>
    </row>
    <row r="303" spans="1:25" x14ac:dyDescent="0.25">
      <c r="A303" s="30">
        <f t="shared" si="66"/>
        <v>287</v>
      </c>
      <c r="B303" s="38">
        <f t="shared" ca="1" si="59"/>
        <v>7.3397923682816391E-2</v>
      </c>
      <c r="C303" s="36">
        <f t="shared" ca="1" si="60"/>
        <v>-1</v>
      </c>
      <c r="D303" s="36">
        <f t="shared" ca="1" si="61"/>
        <v>-1</v>
      </c>
      <c r="E303" s="36">
        <f t="shared" ca="1" si="70"/>
        <v>-1</v>
      </c>
      <c r="F303" s="37">
        <f ca="1">IF(E303&lt;&gt;-1,_Media_M + E303*_Sigma,-1)</f>
        <v>-1</v>
      </c>
      <c r="G303" s="3">
        <f t="shared" ca="1" si="62"/>
        <v>50</v>
      </c>
      <c r="H303" s="36">
        <f t="shared" ca="1" si="71"/>
        <v>50</v>
      </c>
      <c r="I303" s="36">
        <f t="shared" ca="1" si="63"/>
        <v>1.441260304766276</v>
      </c>
      <c r="J303" s="35">
        <f t="shared" ca="1" si="72"/>
        <v>51.441260304766274</v>
      </c>
      <c r="K303" s="19">
        <f t="shared" ca="1" si="67"/>
        <v>51.441260304766274</v>
      </c>
      <c r="L303" s="20">
        <f ca="1" xml:space="preserve"> K303*_Precio_cafe</f>
        <v>77.161890457149411</v>
      </c>
      <c r="M303" s="20">
        <f t="shared" ca="1" si="68"/>
        <v>40840.958206361938</v>
      </c>
      <c r="N303" s="20">
        <f ca="1">IF((N302-K303+Y303)&gt;_Max_Stock_Gramos,_Max_Stock_Gramos,N302-K303+Y303)</f>
        <v>1592.2785296349227</v>
      </c>
      <c r="O303" s="20">
        <f ca="1">N303/_GramosXFrasco</f>
        <v>9.3663442919701332</v>
      </c>
      <c r="P303" s="63">
        <f ca="1">(N303/_Max_Stock_Gramos)</f>
        <v>0.93663442919701334</v>
      </c>
      <c r="Q303" s="63"/>
      <c r="R303" s="10">
        <f ca="1">IF((N302-J303)&lt;0,(N302-J303)*_Costo_Faltante,0)</f>
        <v>0</v>
      </c>
      <c r="S303">
        <f>IF(U303=0,X303*_Costo_Frasco,0)</f>
        <v>0</v>
      </c>
      <c r="T303" s="11">
        <f t="shared" ca="1" si="69"/>
        <v>-25077.89173507681</v>
      </c>
      <c r="U303" s="10">
        <f>IF(U302=0,_Proxima_Compra,U302-1)</f>
        <v>1</v>
      </c>
      <c r="V303" s="3">
        <f t="shared" ca="1" si="64"/>
        <v>-1</v>
      </c>
      <c r="W303" s="3">
        <f ca="1">IF(W302&gt;0,W302-1,IF(V303&gt;0,LOOKUP(V303,$R$3:$R$5,$O$3:$O$5),-1))</f>
        <v>0</v>
      </c>
      <c r="X303" s="25">
        <f t="shared" ca="1" si="65"/>
        <v>2</v>
      </c>
      <c r="Y303" s="28">
        <f ca="1">X303*_GramosXFrasco</f>
        <v>340</v>
      </c>
    </row>
    <row r="304" spans="1:25" x14ac:dyDescent="0.25">
      <c r="A304" s="30">
        <f t="shared" si="66"/>
        <v>288</v>
      </c>
      <c r="B304" s="38">
        <f t="shared" ca="1" si="59"/>
        <v>0.70192962086159483</v>
      </c>
      <c r="C304" s="36">
        <f t="shared" ca="1" si="60"/>
        <v>0.53865599233189987</v>
      </c>
      <c r="D304" s="36">
        <f t="shared" ca="1" si="61"/>
        <v>0.44244243547983886</v>
      </c>
      <c r="E304" s="36">
        <f t="shared" ca="1" si="70"/>
        <v>-0.76670266770290318</v>
      </c>
      <c r="F304" s="37">
        <f ca="1">IF(E304&lt;&gt;-1,_Media_M + E304*_Sigma,-1)</f>
        <v>63.49945998445645</v>
      </c>
      <c r="G304" s="3">
        <f t="shared" ca="1" si="62"/>
        <v>-1</v>
      </c>
      <c r="H304" s="36">
        <f t="shared" ca="1" si="71"/>
        <v>63.49945998445645</v>
      </c>
      <c r="I304" s="36">
        <f t="shared" ca="1" si="63"/>
        <v>3.2462408770765427</v>
      </c>
      <c r="J304" s="35">
        <f t="shared" ca="1" si="72"/>
        <v>66.745700861532995</v>
      </c>
      <c r="K304" s="19">
        <f t="shared" ca="1" si="67"/>
        <v>66.745700861532995</v>
      </c>
      <c r="L304" s="20">
        <f ca="1" xml:space="preserve"> K304*_Precio_cafe</f>
        <v>100.11855129229949</v>
      </c>
      <c r="M304" s="20">
        <f t="shared" ca="1" si="68"/>
        <v>40941.076757654235</v>
      </c>
      <c r="N304" s="20">
        <f ca="1">IF((N303-K304+Y304)&gt;_Max_Stock_Gramos,_Max_Stock_Gramos,N303-K304+Y304)</f>
        <v>1525.5328287733898</v>
      </c>
      <c r="O304" s="20">
        <f ca="1">N304/_GramosXFrasco</f>
        <v>8.973722522196411</v>
      </c>
      <c r="P304" s="63">
        <f ca="1">(N304/_Max_Stock_Gramos)</f>
        <v>0.89737225221964112</v>
      </c>
      <c r="Q304" s="63"/>
      <c r="R304" s="10">
        <f ca="1">IF((N303-J304)&lt;0,(N303-J304)*_Costo_Faltante,0)</f>
        <v>0</v>
      </c>
      <c r="S304">
        <f ca="1">IF(U304=0,X304*_Costo_Frasco,0)</f>
        <v>0</v>
      </c>
      <c r="T304" s="11">
        <f t="shared" ca="1" si="69"/>
        <v>-25077.89173507681</v>
      </c>
      <c r="U304" s="10">
        <f>IF(U303=0,_Proxima_Compra,U303-1)</f>
        <v>0</v>
      </c>
      <c r="V304" s="3">
        <f t="shared" ca="1" si="64"/>
        <v>0.52851831091172674</v>
      </c>
      <c r="W304" s="3">
        <f ca="1">IF(W303&gt;0,W303-1,IF(V304&gt;0,LOOKUP(V304,$R$3:$R$5,$O$3:$O$5),-1))</f>
        <v>1</v>
      </c>
      <c r="X304" s="25">
        <f t="shared" ca="1" si="65"/>
        <v>0</v>
      </c>
      <c r="Y304" s="28">
        <f ca="1">X304*_GramosXFrasco</f>
        <v>0</v>
      </c>
    </row>
    <row r="305" spans="1:25" x14ac:dyDescent="0.25">
      <c r="A305" s="30">
        <f t="shared" si="66"/>
        <v>289</v>
      </c>
      <c r="B305" s="38">
        <f t="shared" ca="1" si="59"/>
        <v>0.83403960361060914</v>
      </c>
      <c r="C305" s="36">
        <f t="shared" ca="1" si="60"/>
        <v>0.89897010341857131</v>
      </c>
      <c r="D305" s="36">
        <f t="shared" ca="1" si="61"/>
        <v>0.68083980410315437</v>
      </c>
      <c r="E305" s="36">
        <f t="shared" ca="1" si="70"/>
        <v>-0.59405622845758499</v>
      </c>
      <c r="F305" s="37">
        <f ca="1">IF(E305&lt;&gt;-1,_Media_M + E305*_Sigma,-1)</f>
        <v>66.089156573136222</v>
      </c>
      <c r="G305" s="3">
        <f t="shared" ca="1" si="62"/>
        <v>-1</v>
      </c>
      <c r="H305" s="36">
        <f t="shared" ca="1" si="71"/>
        <v>66.089156573136222</v>
      </c>
      <c r="I305" s="36">
        <f t="shared" ca="1" si="63"/>
        <v>2.2582404934603413</v>
      </c>
      <c r="J305" s="35">
        <f t="shared" ca="1" si="72"/>
        <v>68.347397066596557</v>
      </c>
      <c r="K305" s="19">
        <f t="shared" ca="1" si="67"/>
        <v>68.347397066596557</v>
      </c>
      <c r="L305" s="20">
        <f ca="1" xml:space="preserve"> K305*_Precio_cafe</f>
        <v>102.52109559989484</v>
      </c>
      <c r="M305" s="20">
        <f t="shared" ca="1" si="68"/>
        <v>41043.597853254127</v>
      </c>
      <c r="N305" s="20">
        <f ca="1">IF((N304-K305+Y305)&gt;_Max_Stock_Gramos,_Max_Stock_Gramos,N304-K305+Y305)</f>
        <v>1700</v>
      </c>
      <c r="O305" s="20">
        <f ca="1">N305/_GramosXFrasco</f>
        <v>10</v>
      </c>
      <c r="P305" s="63">
        <f ca="1">(N305/_Max_Stock_Gramos)</f>
        <v>1</v>
      </c>
      <c r="Q305" s="63"/>
      <c r="R305" s="10">
        <f ca="1">IF((N304-J305)&lt;0,(N304-J305)*_Costo_Faltante,0)</f>
        <v>0</v>
      </c>
      <c r="S305">
        <f>IF(U305=0,X305*_Costo_Frasco,0)</f>
        <v>0</v>
      </c>
      <c r="T305" s="11">
        <f t="shared" ca="1" si="69"/>
        <v>-25077.89173507681</v>
      </c>
      <c r="U305" s="10">
        <f>IF(U304=0,_Proxima_Compra,U304-1)</f>
        <v>2</v>
      </c>
      <c r="V305" s="3">
        <f t="shared" ca="1" si="64"/>
        <v>-1</v>
      </c>
      <c r="W305" s="3">
        <f ca="1">IF(W304&gt;0,W304-1,IF(V305&gt;0,LOOKUP(V305,$R$3:$R$5,$O$3:$O$5),-1))</f>
        <v>0</v>
      </c>
      <c r="X305" s="25">
        <f t="shared" ca="1" si="65"/>
        <v>2</v>
      </c>
      <c r="Y305" s="28">
        <f ca="1">X305*_GramosXFrasco</f>
        <v>340</v>
      </c>
    </row>
    <row r="306" spans="1:25" x14ac:dyDescent="0.25">
      <c r="A306" s="30">
        <f t="shared" si="66"/>
        <v>290</v>
      </c>
      <c r="B306" s="38">
        <f t="shared" ca="1" si="59"/>
        <v>0.76389473276679487</v>
      </c>
      <c r="C306" s="36">
        <f t="shared" ca="1" si="60"/>
        <v>0.40182530290860385</v>
      </c>
      <c r="D306" s="36">
        <f t="shared" ca="1" si="61"/>
        <v>0.28546404003218917</v>
      </c>
      <c r="E306" s="36">
        <f t="shared" ca="1" si="70"/>
        <v>-0.14763964642190994</v>
      </c>
      <c r="F306" s="37">
        <f ca="1">IF(E306&lt;&gt;-1,_Media_M + E306*_Sigma,-1)</f>
        <v>72.785405303671354</v>
      </c>
      <c r="G306" s="3">
        <f t="shared" ca="1" si="62"/>
        <v>-1</v>
      </c>
      <c r="H306" s="36">
        <f t="shared" ca="1" si="71"/>
        <v>72.785405303671354</v>
      </c>
      <c r="I306" s="36">
        <f t="shared" ca="1" si="63"/>
        <v>6.8268014218629531</v>
      </c>
      <c r="J306" s="35">
        <f t="shared" ca="1" si="72"/>
        <v>79.612206725534307</v>
      </c>
      <c r="K306" s="19">
        <f t="shared" ca="1" si="67"/>
        <v>79.612206725534307</v>
      </c>
      <c r="L306" s="20">
        <f ca="1" xml:space="preserve"> K306*_Precio_cafe</f>
        <v>119.41831008830147</v>
      </c>
      <c r="M306" s="20">
        <f t="shared" ca="1" si="68"/>
        <v>41163.016163342429</v>
      </c>
      <c r="N306" s="20">
        <f ca="1">IF((N305-K306+Y306)&gt;_Max_Stock_Gramos,_Max_Stock_Gramos,N305-K306+Y306)</f>
        <v>1620.3877932744656</v>
      </c>
      <c r="O306" s="20">
        <f ca="1">N306/_GramosXFrasco</f>
        <v>9.5316929016145036</v>
      </c>
      <c r="P306" s="63">
        <f ca="1">(N306/_Max_Stock_Gramos)</f>
        <v>0.95316929016145036</v>
      </c>
      <c r="Q306" s="63"/>
      <c r="R306" s="10">
        <f ca="1">IF((N305-J306)&lt;0,(N305-J306)*_Costo_Faltante,0)</f>
        <v>0</v>
      </c>
      <c r="S306">
        <f>IF(U306=0,X306*_Costo_Frasco,0)</f>
        <v>0</v>
      </c>
      <c r="T306" s="11">
        <f t="shared" ca="1" si="69"/>
        <v>-25077.89173507681</v>
      </c>
      <c r="U306" s="10">
        <f>IF(U305=0,_Proxima_Compra,U305-1)</f>
        <v>1</v>
      </c>
      <c r="V306" s="3">
        <f t="shared" ca="1" si="64"/>
        <v>-1</v>
      </c>
      <c r="W306" s="3">
        <f ca="1">IF(W305&gt;0,W305-1,IF(V306&gt;0,LOOKUP(V306,$R$3:$R$5,$O$3:$O$5),-1))</f>
        <v>-1</v>
      </c>
      <c r="X306" s="25">
        <f t="shared" ca="1" si="65"/>
        <v>0</v>
      </c>
      <c r="Y306" s="28">
        <f ca="1">X306*_GramosXFrasco</f>
        <v>0</v>
      </c>
    </row>
    <row r="307" spans="1:25" x14ac:dyDescent="0.25">
      <c r="A307" s="30">
        <f t="shared" si="66"/>
        <v>291</v>
      </c>
      <c r="B307" s="38">
        <f t="shared" ca="1" si="59"/>
        <v>0.17151242030786951</v>
      </c>
      <c r="C307" s="36">
        <f t="shared" ca="1" si="60"/>
        <v>-1</v>
      </c>
      <c r="D307" s="36">
        <f t="shared" ca="1" si="61"/>
        <v>-1</v>
      </c>
      <c r="E307" s="36">
        <f t="shared" ca="1" si="70"/>
        <v>-1</v>
      </c>
      <c r="F307" s="37">
        <f ca="1">IF(E307&lt;&gt;-1,_Media_M + E307*_Sigma,-1)</f>
        <v>-1</v>
      </c>
      <c r="G307" s="3">
        <f t="shared" ca="1" si="62"/>
        <v>50</v>
      </c>
      <c r="H307" s="36">
        <f t="shared" ca="1" si="71"/>
        <v>50</v>
      </c>
      <c r="I307" s="36">
        <f t="shared" ca="1" si="63"/>
        <v>59.1266503848273</v>
      </c>
      <c r="J307" s="35">
        <f t="shared" ca="1" si="72"/>
        <v>109.1266503848273</v>
      </c>
      <c r="K307" s="19">
        <f t="shared" ca="1" si="67"/>
        <v>109.1266503848273</v>
      </c>
      <c r="L307" s="20">
        <f ca="1" xml:space="preserve"> K307*_Precio_cafe</f>
        <v>163.68997557724094</v>
      </c>
      <c r="M307" s="20">
        <f t="shared" ca="1" si="68"/>
        <v>41326.706138919668</v>
      </c>
      <c r="N307" s="20">
        <f ca="1">IF((N306-K307+Y307)&gt;_Max_Stock_Gramos,_Max_Stock_Gramos,N306-K307+Y307)</f>
        <v>1700</v>
      </c>
      <c r="O307" s="20">
        <f ca="1">N307/_GramosXFrasco</f>
        <v>10</v>
      </c>
      <c r="P307" s="63">
        <f ca="1">(N307/_Max_Stock_Gramos)</f>
        <v>1</v>
      </c>
      <c r="Q307" s="63"/>
      <c r="R307" s="10">
        <f ca="1">IF((N306-J307)&lt;0,(N306-J307)*_Costo_Faltante,0)</f>
        <v>0</v>
      </c>
      <c r="S307">
        <f ca="1">IF(U307=0,X307*_Costo_Frasco,0)</f>
        <v>-500</v>
      </c>
      <c r="T307" s="11">
        <f t="shared" ca="1" si="69"/>
        <v>-25577.89173507681</v>
      </c>
      <c r="U307" s="10">
        <f>IF(U306=0,_Proxima_Compra,U306-1)</f>
        <v>0</v>
      </c>
      <c r="V307" s="3">
        <f t="shared" ca="1" si="64"/>
        <v>0.25778857423425261</v>
      </c>
      <c r="W307" s="3">
        <f ca="1">IF(W306&gt;0,W306-1,IF(V307&gt;0,LOOKUP(V307,$R$3:$R$5,$O$3:$O$5),-1))</f>
        <v>0</v>
      </c>
      <c r="X307" s="25">
        <f t="shared" ca="1" si="65"/>
        <v>2</v>
      </c>
      <c r="Y307" s="28">
        <f ca="1">X307*_GramosXFrasco</f>
        <v>340</v>
      </c>
    </row>
    <row r="308" spans="1:25" x14ac:dyDescent="0.25">
      <c r="A308" s="30">
        <f t="shared" si="66"/>
        <v>292</v>
      </c>
      <c r="B308" s="38">
        <f t="shared" ca="1" si="59"/>
        <v>0.57626933364634669</v>
      </c>
      <c r="C308" s="36">
        <f t="shared" ca="1" si="60"/>
        <v>0.66276610413818626</v>
      </c>
      <c r="D308" s="36">
        <f t="shared" ca="1" si="61"/>
        <v>0.22525952476831246</v>
      </c>
      <c r="E308" s="36">
        <f t="shared" ca="1" si="70"/>
        <v>0.15043713569519476</v>
      </c>
      <c r="F308" s="37">
        <f ca="1">IF(E308&lt;&gt;-1,_Media_M + E308*_Sigma,-1)</f>
        <v>77.256557035427917</v>
      </c>
      <c r="G308" s="3">
        <f t="shared" ca="1" si="62"/>
        <v>-1</v>
      </c>
      <c r="H308" s="36">
        <f t="shared" ca="1" si="71"/>
        <v>77.256557035427917</v>
      </c>
      <c r="I308" s="36">
        <f t="shared" ca="1" si="63"/>
        <v>50.236398887731774</v>
      </c>
      <c r="J308" s="35">
        <f t="shared" ca="1" si="72"/>
        <v>127.49295592315968</v>
      </c>
      <c r="K308" s="19">
        <f t="shared" ca="1" si="67"/>
        <v>127.49295592315968</v>
      </c>
      <c r="L308" s="20">
        <f ca="1" xml:space="preserve"> K308*_Precio_cafe</f>
        <v>191.23943388473953</v>
      </c>
      <c r="M308" s="20">
        <f t="shared" ca="1" si="68"/>
        <v>41517.945572804405</v>
      </c>
      <c r="N308" s="20">
        <f ca="1">IF((N307-K308+Y308)&gt;_Max_Stock_Gramos,_Max_Stock_Gramos,N307-K308+Y308)</f>
        <v>1572.5070440768404</v>
      </c>
      <c r="O308" s="20">
        <f ca="1">N308/_GramosXFrasco</f>
        <v>9.2500414357461196</v>
      </c>
      <c r="P308" s="63">
        <f ca="1">(N308/_Max_Stock_Gramos)</f>
        <v>0.92500414357461203</v>
      </c>
      <c r="Q308" s="63"/>
      <c r="R308" s="10">
        <f ca="1">IF((N307-J308)&lt;0,(N307-J308)*_Costo_Faltante,0)</f>
        <v>0</v>
      </c>
      <c r="S308">
        <f>IF(U308=0,X308*_Costo_Frasco,0)</f>
        <v>0</v>
      </c>
      <c r="T308" s="11">
        <f t="shared" ca="1" si="69"/>
        <v>-25577.89173507681</v>
      </c>
      <c r="U308" s="10">
        <f>IF(U307=0,_Proxima_Compra,U307-1)</f>
        <v>2</v>
      </c>
      <c r="V308" s="3">
        <f t="shared" ca="1" si="64"/>
        <v>-1</v>
      </c>
      <c r="W308" s="3">
        <f ca="1">IF(W307&gt;0,W307-1,IF(V308&gt;0,LOOKUP(V308,$R$3:$R$5,$O$3:$O$5),-1))</f>
        <v>-1</v>
      </c>
      <c r="X308" s="25">
        <f t="shared" ca="1" si="65"/>
        <v>0</v>
      </c>
      <c r="Y308" s="28">
        <f ca="1">X308*_GramosXFrasco</f>
        <v>0</v>
      </c>
    </row>
    <row r="309" spans="1:25" x14ac:dyDescent="0.25">
      <c r="A309" s="30">
        <f t="shared" si="66"/>
        <v>293</v>
      </c>
      <c r="B309" s="38">
        <f t="shared" ca="1" si="59"/>
        <v>0.74861419924874595</v>
      </c>
      <c r="C309" s="36">
        <f t="shared" ca="1" si="60"/>
        <v>0.81077475468907689</v>
      </c>
      <c r="D309" s="36">
        <f t="shared" ca="1" si="61"/>
        <v>0.39033628572579804</v>
      </c>
      <c r="E309" s="36">
        <f t="shared" ca="1" si="70"/>
        <v>-0.92817110677401293</v>
      </c>
      <c r="F309" s="37">
        <f ca="1">IF(E309&lt;&gt;-1,_Media_M + E309*_Sigma,-1)</f>
        <v>61.077433398389807</v>
      </c>
      <c r="G309" s="3">
        <f t="shared" ca="1" si="62"/>
        <v>-1</v>
      </c>
      <c r="H309" s="36">
        <f t="shared" ca="1" si="71"/>
        <v>61.077433398389807</v>
      </c>
      <c r="I309" s="36">
        <f t="shared" ca="1" si="63"/>
        <v>67.60682881748231</v>
      </c>
      <c r="J309" s="35">
        <f t="shared" ca="1" si="72"/>
        <v>128.68426221587211</v>
      </c>
      <c r="K309" s="19">
        <f t="shared" ca="1" si="67"/>
        <v>128.68426221587211</v>
      </c>
      <c r="L309" s="20">
        <f ca="1" xml:space="preserve"> K309*_Precio_cafe</f>
        <v>193.02639332380818</v>
      </c>
      <c r="M309" s="20">
        <f t="shared" ca="1" si="68"/>
        <v>41710.971966128214</v>
      </c>
      <c r="N309" s="20">
        <f ca="1">IF((N308-K309+Y309)&gt;_Max_Stock_Gramos,_Max_Stock_Gramos,N308-K309+Y309)</f>
        <v>1443.8227818609682</v>
      </c>
      <c r="O309" s="20">
        <f ca="1">N309/_GramosXFrasco</f>
        <v>8.4930751874174604</v>
      </c>
      <c r="P309" s="63">
        <f ca="1">(N309/_Max_Stock_Gramos)</f>
        <v>0.84930751874174604</v>
      </c>
      <c r="Q309" s="63"/>
      <c r="R309" s="10">
        <f ca="1">IF((N308-J309)&lt;0,(N308-J309)*_Costo_Faltante,0)</f>
        <v>0</v>
      </c>
      <c r="S309">
        <f>IF(U309=0,X309*_Costo_Frasco,0)</f>
        <v>0</v>
      </c>
      <c r="T309" s="11">
        <f t="shared" ca="1" si="69"/>
        <v>-25577.89173507681</v>
      </c>
      <c r="U309" s="10">
        <f>IF(U308=0,_Proxima_Compra,U308-1)</f>
        <v>1</v>
      </c>
      <c r="V309" s="3">
        <f t="shared" ca="1" si="64"/>
        <v>-1</v>
      </c>
      <c r="W309" s="3">
        <f ca="1">IF(W308&gt;0,W308-1,IF(V309&gt;0,LOOKUP(V309,$R$3:$R$5,$O$3:$O$5),-1))</f>
        <v>-1</v>
      </c>
      <c r="X309" s="25">
        <f t="shared" ca="1" si="65"/>
        <v>0</v>
      </c>
      <c r="Y309" s="28">
        <f ca="1">X309*_GramosXFrasco</f>
        <v>0</v>
      </c>
    </row>
    <row r="310" spans="1:25" x14ac:dyDescent="0.25">
      <c r="A310" s="30">
        <f t="shared" si="66"/>
        <v>294</v>
      </c>
      <c r="B310" s="38">
        <f t="shared" ca="1" si="59"/>
        <v>0.87514385698980823</v>
      </c>
      <c r="C310" s="36">
        <f t="shared" ca="1" si="60"/>
        <v>2.3257138041008929E-2</v>
      </c>
      <c r="D310" s="36">
        <f t="shared" ca="1" si="61"/>
        <v>0.39411191112548638</v>
      </c>
      <c r="E310" s="36">
        <f t="shared" ca="1" si="70"/>
        <v>-0.11247523091715589</v>
      </c>
      <c r="F310" s="37">
        <f ca="1">IF(E310&lt;&gt;-1,_Media_M + E310*_Sigma,-1)</f>
        <v>73.312871536242668</v>
      </c>
      <c r="G310" s="3">
        <f t="shared" ca="1" si="62"/>
        <v>-1</v>
      </c>
      <c r="H310" s="36">
        <f t="shared" ca="1" si="71"/>
        <v>73.312871536242668</v>
      </c>
      <c r="I310" s="36">
        <f t="shared" ca="1" si="63"/>
        <v>101.59633852819826</v>
      </c>
      <c r="J310" s="35">
        <f t="shared" ca="1" si="72"/>
        <v>174.90921006444091</v>
      </c>
      <c r="K310" s="19">
        <f t="shared" ca="1" si="67"/>
        <v>174.90921006444091</v>
      </c>
      <c r="L310" s="20">
        <f ca="1" xml:space="preserve"> K310*_Precio_cafe</f>
        <v>262.36381509666137</v>
      </c>
      <c r="M310" s="20">
        <f t="shared" ca="1" si="68"/>
        <v>41973.335781224872</v>
      </c>
      <c r="N310" s="20">
        <f ca="1">IF((N309-K310+Y310)&gt;_Max_Stock_Gramos,_Max_Stock_Gramos,N309-K310+Y310)</f>
        <v>1268.9135717965273</v>
      </c>
      <c r="O310" s="20">
        <f ca="1">N310/_GramosXFrasco</f>
        <v>7.4641974811560434</v>
      </c>
      <c r="P310" s="63">
        <f ca="1">(N310/_Max_Stock_Gramos)</f>
        <v>0.7464197481156043</v>
      </c>
      <c r="Q310" s="63"/>
      <c r="R310" s="10">
        <f ca="1">IF((N309-J310)&lt;0,(N309-J310)*_Costo_Faltante,0)</f>
        <v>0</v>
      </c>
      <c r="S310">
        <f ca="1">IF(U310=0,X310*_Costo_Frasco,0)</f>
        <v>0</v>
      </c>
      <c r="T310" s="11">
        <f t="shared" ca="1" si="69"/>
        <v>-25577.89173507681</v>
      </c>
      <c r="U310" s="10">
        <f>IF(U309=0,_Proxima_Compra,U309-1)</f>
        <v>0</v>
      </c>
      <c r="V310" s="3">
        <f t="shared" ca="1" si="64"/>
        <v>0.79098951409213492</v>
      </c>
      <c r="W310" s="3">
        <f ca="1">IF(W309&gt;0,W309-1,IF(V310&gt;0,LOOKUP(V310,$R$3:$R$5,$O$3:$O$5),-1))</f>
        <v>2</v>
      </c>
      <c r="X310" s="25">
        <f t="shared" ca="1" si="65"/>
        <v>0</v>
      </c>
      <c r="Y310" s="28">
        <f ca="1">X310*_GramosXFrasco</f>
        <v>0</v>
      </c>
    </row>
    <row r="311" spans="1:25" x14ac:dyDescent="0.25">
      <c r="A311" s="30">
        <f t="shared" si="66"/>
        <v>295</v>
      </c>
      <c r="B311" s="38">
        <f t="shared" ca="1" si="59"/>
        <v>0.89835464572315593</v>
      </c>
      <c r="C311" s="36">
        <f t="shared" ca="1" si="60"/>
        <v>0.18246512273948778</v>
      </c>
      <c r="D311" s="36">
        <f t="shared" ca="1" si="61"/>
        <v>0.30038796636792231</v>
      </c>
      <c r="E311" s="36">
        <f t="shared" ca="1" si="70"/>
        <v>-0.13023585570398385</v>
      </c>
      <c r="F311" s="37">
        <f ca="1">IF(E311&lt;&gt;-1,_Media_M + E311*_Sigma,-1)</f>
        <v>73.046462164440243</v>
      </c>
      <c r="G311" s="3">
        <f t="shared" ca="1" si="62"/>
        <v>-1</v>
      </c>
      <c r="H311" s="36">
        <f t="shared" ca="1" si="71"/>
        <v>73.046462164440243</v>
      </c>
      <c r="I311" s="36">
        <f t="shared" ca="1" si="63"/>
        <v>36.138569027433029</v>
      </c>
      <c r="J311" s="35">
        <f t="shared" ca="1" si="72"/>
        <v>109.18503119187326</v>
      </c>
      <c r="K311" s="19">
        <f t="shared" ca="1" si="67"/>
        <v>109.18503119187326</v>
      </c>
      <c r="L311" s="20">
        <f ca="1" xml:space="preserve"> K311*_Precio_cafe</f>
        <v>163.77754678780991</v>
      </c>
      <c r="M311" s="20">
        <f t="shared" ca="1" si="68"/>
        <v>42137.113328012681</v>
      </c>
      <c r="N311" s="20">
        <f ca="1">IF((N310-K311+Y311)&gt;_Max_Stock_Gramos,_Max_Stock_Gramos,N310-K311+Y311)</f>
        <v>1159.728540604654</v>
      </c>
      <c r="O311" s="20">
        <f ca="1">N311/_GramosXFrasco</f>
        <v>6.8219325917920823</v>
      </c>
      <c r="P311" s="63">
        <f ca="1">(N311/_Max_Stock_Gramos)</f>
        <v>0.68219325917920826</v>
      </c>
      <c r="Q311" s="63"/>
      <c r="R311" s="10">
        <f ca="1">IF((N310-J311)&lt;0,(N310-J311)*_Costo_Faltante,0)</f>
        <v>0</v>
      </c>
      <c r="S311">
        <f>IF(U311=0,X311*_Costo_Frasco,0)</f>
        <v>0</v>
      </c>
      <c r="T311" s="11">
        <f t="shared" ca="1" si="69"/>
        <v>-25577.89173507681</v>
      </c>
      <c r="U311" s="10">
        <f>IF(U310=0,_Proxima_Compra,U310-1)</f>
        <v>2</v>
      </c>
      <c r="V311" s="3">
        <f t="shared" ca="1" si="64"/>
        <v>-1</v>
      </c>
      <c r="W311" s="3">
        <f ca="1">IF(W310&gt;0,W310-1,IF(V311&gt;0,LOOKUP(V311,$R$3:$R$5,$O$3:$O$5),-1))</f>
        <v>1</v>
      </c>
      <c r="X311" s="25">
        <f t="shared" ca="1" si="65"/>
        <v>0</v>
      </c>
      <c r="Y311" s="28">
        <f ca="1">X311*_GramosXFrasco</f>
        <v>0</v>
      </c>
    </row>
    <row r="312" spans="1:25" x14ac:dyDescent="0.25">
      <c r="A312" s="30">
        <f t="shared" si="66"/>
        <v>296</v>
      </c>
      <c r="B312" s="38">
        <f t="shared" ca="1" si="59"/>
        <v>0.54906465031067608</v>
      </c>
      <c r="C312" s="36">
        <f t="shared" ca="1" si="60"/>
        <v>0.62083525365644554</v>
      </c>
      <c r="D312" s="36">
        <f t="shared" ca="1" si="61"/>
        <v>0.23235725782747207</v>
      </c>
      <c r="E312" s="36">
        <f t="shared" ca="1" si="70"/>
        <v>0.10153152347057655</v>
      </c>
      <c r="F312" s="37">
        <f ca="1">IF(E312&lt;&gt;-1,_Media_M + E312*_Sigma,-1)</f>
        <v>76.522972852058643</v>
      </c>
      <c r="G312" s="3">
        <f t="shared" ca="1" si="62"/>
        <v>-1</v>
      </c>
      <c r="H312" s="36">
        <f t="shared" ca="1" si="71"/>
        <v>76.522972852058643</v>
      </c>
      <c r="I312" s="36">
        <f t="shared" ca="1" si="63"/>
        <v>39.958145846834356</v>
      </c>
      <c r="J312" s="35">
        <f t="shared" ca="1" si="72"/>
        <v>116.481118698893</v>
      </c>
      <c r="K312" s="19">
        <f t="shared" ca="1" si="67"/>
        <v>116.481118698893</v>
      </c>
      <c r="L312" s="20">
        <f ca="1" xml:space="preserve"> K312*_Precio_cafe</f>
        <v>174.7216780483395</v>
      </c>
      <c r="M312" s="20">
        <f t="shared" ca="1" si="68"/>
        <v>42311.835006061017</v>
      </c>
      <c r="N312" s="20">
        <f ca="1">IF((N311-K312+Y312)&gt;_Max_Stock_Gramos,_Max_Stock_Gramos,N311-K312+Y312)</f>
        <v>1383.247421905761</v>
      </c>
      <c r="O312" s="20">
        <f ca="1">N312/_GramosXFrasco</f>
        <v>8.1367495406221231</v>
      </c>
      <c r="P312" s="63">
        <f ca="1">(N312/_Max_Stock_Gramos)</f>
        <v>0.81367495406221235</v>
      </c>
      <c r="Q312" s="63"/>
      <c r="R312" s="10">
        <f ca="1">IF((N311-J312)&lt;0,(N311-J312)*_Costo_Faltante,0)</f>
        <v>0</v>
      </c>
      <c r="S312">
        <f>IF(U312=0,X312*_Costo_Frasco,0)</f>
        <v>0</v>
      </c>
      <c r="T312" s="11">
        <f t="shared" ca="1" si="69"/>
        <v>-25577.89173507681</v>
      </c>
      <c r="U312" s="10">
        <f>IF(U311=0,_Proxima_Compra,U311-1)</f>
        <v>1</v>
      </c>
      <c r="V312" s="3">
        <f t="shared" ca="1" si="64"/>
        <v>-1</v>
      </c>
      <c r="W312" s="3">
        <f ca="1">IF(W311&gt;0,W311-1,IF(V312&gt;0,LOOKUP(V312,$R$3:$R$5,$O$3:$O$5),-1))</f>
        <v>0</v>
      </c>
      <c r="X312" s="25">
        <f t="shared" ca="1" si="65"/>
        <v>2</v>
      </c>
      <c r="Y312" s="28">
        <f ca="1">X312*_GramosXFrasco</f>
        <v>340</v>
      </c>
    </row>
    <row r="313" spans="1:25" x14ac:dyDescent="0.25">
      <c r="A313" s="30">
        <f t="shared" si="66"/>
        <v>297</v>
      </c>
      <c r="B313" s="38">
        <f t="shared" ca="1" si="59"/>
        <v>0.69537116167190416</v>
      </c>
      <c r="C313" s="36">
        <f t="shared" ca="1" si="60"/>
        <v>0.65709369737315659</v>
      </c>
      <c r="D313" s="36">
        <f t="shared" ca="1" si="61"/>
        <v>0.86148698606285534</v>
      </c>
      <c r="E313" s="36">
        <f t="shared" ca="1" si="70"/>
        <v>0.62150758748900847</v>
      </c>
      <c r="F313" s="37">
        <f ca="1">IF(E313&lt;&gt;-1,_Media_M + E313*_Sigma,-1)</f>
        <v>84.322613812335135</v>
      </c>
      <c r="G313" s="3">
        <f t="shared" ca="1" si="62"/>
        <v>-1</v>
      </c>
      <c r="H313" s="36">
        <f t="shared" ca="1" si="71"/>
        <v>84.322613812335135</v>
      </c>
      <c r="I313" s="36">
        <f t="shared" ca="1" si="63"/>
        <v>62.293237489736278</v>
      </c>
      <c r="J313" s="35">
        <f t="shared" ca="1" si="72"/>
        <v>146.61585130207141</v>
      </c>
      <c r="K313" s="19">
        <f t="shared" ca="1" si="67"/>
        <v>146.61585130207141</v>
      </c>
      <c r="L313" s="20">
        <f ca="1" xml:space="preserve"> K313*_Precio_cafe</f>
        <v>219.92377695310711</v>
      </c>
      <c r="M313" s="20">
        <f t="shared" ca="1" si="68"/>
        <v>42531.758783014127</v>
      </c>
      <c r="N313" s="20">
        <f ca="1">IF((N312-K313+Y313)&gt;_Max_Stock_Gramos,_Max_Stock_Gramos,N312-K313+Y313)</f>
        <v>1576.6315706036896</v>
      </c>
      <c r="O313" s="20">
        <f ca="1">N313/_GramosXFrasco</f>
        <v>9.2743033564922914</v>
      </c>
      <c r="P313" s="63">
        <f ca="1">(N313/_Max_Stock_Gramos)</f>
        <v>0.92743033564922917</v>
      </c>
      <c r="Q313" s="63"/>
      <c r="R313" s="10">
        <f ca="1">IF((N312-J313)&lt;0,(N312-J313)*_Costo_Faltante,0)</f>
        <v>0</v>
      </c>
      <c r="S313">
        <f ca="1">IF(U313=0,X313*_Costo_Frasco,0)</f>
        <v>-500</v>
      </c>
      <c r="T313" s="11">
        <f t="shared" ca="1" si="69"/>
        <v>-26077.89173507681</v>
      </c>
      <c r="U313" s="10">
        <f>IF(U312=0,_Proxima_Compra,U312-1)</f>
        <v>0</v>
      </c>
      <c r="V313" s="3">
        <f t="shared" ca="1" si="64"/>
        <v>0.48644873251114473</v>
      </c>
      <c r="W313" s="3">
        <f ca="1">IF(W312&gt;0,W312-1,IF(V313&gt;0,LOOKUP(V313,$R$3:$R$5,$O$3:$O$5),-1))</f>
        <v>0</v>
      </c>
      <c r="X313" s="25">
        <f t="shared" ca="1" si="65"/>
        <v>2</v>
      </c>
      <c r="Y313" s="28">
        <f ca="1">X313*_GramosXFrasco</f>
        <v>340</v>
      </c>
    </row>
    <row r="314" spans="1:25" x14ac:dyDescent="0.25">
      <c r="A314" s="30">
        <f t="shared" si="66"/>
        <v>298</v>
      </c>
      <c r="B314" s="38">
        <f t="shared" ca="1" si="59"/>
        <v>0.7938239017912152</v>
      </c>
      <c r="C314" s="36">
        <f t="shared" ca="1" si="60"/>
        <v>0.98684061082344587</v>
      </c>
      <c r="D314" s="36">
        <f t="shared" ca="1" si="61"/>
        <v>0.18792200274024407</v>
      </c>
      <c r="E314" s="36">
        <f t="shared" ca="1" si="70"/>
        <v>0.73744783588585849</v>
      </c>
      <c r="F314" s="37">
        <f ca="1">IF(E314&lt;&gt;-1,_Media_M + E314*_Sigma,-1)</f>
        <v>86.06171753828788</v>
      </c>
      <c r="G314" s="3">
        <f t="shared" ca="1" si="62"/>
        <v>-1</v>
      </c>
      <c r="H314" s="36">
        <f t="shared" ca="1" si="71"/>
        <v>86.06171753828788</v>
      </c>
      <c r="I314" s="36">
        <f t="shared" ca="1" si="63"/>
        <v>6.9254705357959816</v>
      </c>
      <c r="J314" s="35">
        <f t="shared" ca="1" si="72"/>
        <v>92.987188074083861</v>
      </c>
      <c r="K314" s="19">
        <f t="shared" ca="1" si="67"/>
        <v>92.987188074083861</v>
      </c>
      <c r="L314" s="20">
        <f ca="1" xml:space="preserve"> K314*_Precio_cafe</f>
        <v>139.48078211112579</v>
      </c>
      <c r="M314" s="20">
        <f t="shared" ca="1" si="68"/>
        <v>42671.239565125252</v>
      </c>
      <c r="N314" s="20">
        <f ca="1">IF((N313-K314+Y314)&gt;_Max_Stock_Gramos,_Max_Stock_Gramos,N313-K314+Y314)</f>
        <v>1483.6443825296058</v>
      </c>
      <c r="O314" s="20">
        <f ca="1">N314/_GramosXFrasco</f>
        <v>8.7273198972329755</v>
      </c>
      <c r="P314" s="63">
        <f ca="1">(N314/_Max_Stock_Gramos)</f>
        <v>0.87273198972329746</v>
      </c>
      <c r="Q314" s="63"/>
      <c r="R314" s="10">
        <f ca="1">IF((N313-J314)&lt;0,(N313-J314)*_Costo_Faltante,0)</f>
        <v>0</v>
      </c>
      <c r="S314">
        <f>IF(U314=0,X314*_Costo_Frasco,0)</f>
        <v>0</v>
      </c>
      <c r="T314" s="11">
        <f t="shared" ca="1" si="69"/>
        <v>-26077.89173507681</v>
      </c>
      <c r="U314" s="10">
        <f>IF(U313=0,_Proxima_Compra,U313-1)</f>
        <v>2</v>
      </c>
      <c r="V314" s="3">
        <f t="shared" ca="1" si="64"/>
        <v>-1</v>
      </c>
      <c r="W314" s="3">
        <f ca="1">IF(W313&gt;0,W313-1,IF(V314&gt;0,LOOKUP(V314,$R$3:$R$5,$O$3:$O$5),-1))</f>
        <v>-1</v>
      </c>
      <c r="X314" s="25">
        <f t="shared" ca="1" si="65"/>
        <v>0</v>
      </c>
      <c r="Y314" s="28">
        <f ca="1">X314*_GramosXFrasco</f>
        <v>0</v>
      </c>
    </row>
    <row r="315" spans="1:25" x14ac:dyDescent="0.25">
      <c r="A315" s="30">
        <f t="shared" si="66"/>
        <v>299</v>
      </c>
      <c r="B315" s="38">
        <f t="shared" ca="1" si="59"/>
        <v>6.367545890063353E-2</v>
      </c>
      <c r="C315" s="36">
        <f t="shared" ca="1" si="60"/>
        <v>-1</v>
      </c>
      <c r="D315" s="36">
        <f t="shared" ca="1" si="61"/>
        <v>-1</v>
      </c>
      <c r="E315" s="36">
        <f t="shared" ca="1" si="70"/>
        <v>-1</v>
      </c>
      <c r="F315" s="37">
        <f ca="1">IF(E315&lt;&gt;-1,_Media_M + E315*_Sigma,-1)</f>
        <v>-1</v>
      </c>
      <c r="G315" s="3">
        <f t="shared" ca="1" si="62"/>
        <v>50</v>
      </c>
      <c r="H315" s="36">
        <f t="shared" ca="1" si="71"/>
        <v>50</v>
      </c>
      <c r="I315" s="36">
        <f t="shared" ca="1" si="63"/>
        <v>23.168471277984818</v>
      </c>
      <c r="J315" s="35">
        <f t="shared" ca="1" si="72"/>
        <v>73.168471277984821</v>
      </c>
      <c r="K315" s="19">
        <f t="shared" ca="1" si="67"/>
        <v>73.168471277984821</v>
      </c>
      <c r="L315" s="20">
        <f ca="1" xml:space="preserve"> K315*_Precio_cafe</f>
        <v>109.75270691697723</v>
      </c>
      <c r="M315" s="20">
        <f t="shared" ca="1" si="68"/>
        <v>42780.992272042226</v>
      </c>
      <c r="N315" s="20">
        <f ca="1">IF((N314-K315+Y315)&gt;_Max_Stock_Gramos,_Max_Stock_Gramos,N314-K315+Y315)</f>
        <v>1410.475911251621</v>
      </c>
      <c r="O315" s="20">
        <f ca="1">N315/_GramosXFrasco</f>
        <v>8.2969171250095357</v>
      </c>
      <c r="P315" s="63">
        <f ca="1">(N315/_Max_Stock_Gramos)</f>
        <v>0.82969171250095353</v>
      </c>
      <c r="Q315" s="63"/>
      <c r="R315" s="10">
        <f ca="1">IF((N314-J315)&lt;0,(N314-J315)*_Costo_Faltante,0)</f>
        <v>0</v>
      </c>
      <c r="S315">
        <f>IF(U315=0,X315*_Costo_Frasco,0)</f>
        <v>0</v>
      </c>
      <c r="T315" s="11">
        <f t="shared" ca="1" si="69"/>
        <v>-26077.89173507681</v>
      </c>
      <c r="U315" s="10">
        <f>IF(U314=0,_Proxima_Compra,U314-1)</f>
        <v>1</v>
      </c>
      <c r="V315" s="3">
        <f t="shared" ca="1" si="64"/>
        <v>-1</v>
      </c>
      <c r="W315" s="3">
        <f ca="1">IF(W314&gt;0,W314-1,IF(V315&gt;0,LOOKUP(V315,$R$3:$R$5,$O$3:$O$5),-1))</f>
        <v>-1</v>
      </c>
      <c r="X315" s="25">
        <f t="shared" ca="1" si="65"/>
        <v>0</v>
      </c>
      <c r="Y315" s="28">
        <f ca="1">X315*_GramosXFrasco</f>
        <v>0</v>
      </c>
    </row>
    <row r="316" spans="1:25" x14ac:dyDescent="0.25">
      <c r="A316" s="30">
        <f t="shared" si="66"/>
        <v>300</v>
      </c>
      <c r="B316" s="38">
        <f t="shared" ca="1" si="59"/>
        <v>0.89423273581266194</v>
      </c>
      <c r="C316" s="36">
        <f t="shared" ca="1" si="60"/>
        <v>0.45956385196188199</v>
      </c>
      <c r="D316" s="36">
        <f t="shared" ca="1" si="61"/>
        <v>0.14033259580037083</v>
      </c>
      <c r="E316" s="36">
        <f t="shared" ca="1" si="70"/>
        <v>0.46484419710271252</v>
      </c>
      <c r="F316" s="37">
        <f ca="1">IF(E316&lt;&gt;-1,_Media_M + E316*_Sigma,-1)</f>
        <v>81.972662956540688</v>
      </c>
      <c r="G316" s="3">
        <f t="shared" ca="1" si="62"/>
        <v>-1</v>
      </c>
      <c r="H316" s="36">
        <f t="shared" ca="1" si="71"/>
        <v>81.972662956540688</v>
      </c>
      <c r="I316" s="36">
        <f t="shared" ca="1" si="63"/>
        <v>104.20558218620337</v>
      </c>
      <c r="J316" s="35">
        <f t="shared" ca="1" si="72"/>
        <v>186.17824514274406</v>
      </c>
      <c r="K316" s="19">
        <f t="shared" ca="1" si="67"/>
        <v>186.17824514274406</v>
      </c>
      <c r="L316" s="20">
        <f ca="1" xml:space="preserve"> K316*_Precio_cafe</f>
        <v>279.26736771411606</v>
      </c>
      <c r="M316" s="20">
        <f t="shared" ca="1" si="68"/>
        <v>43060.259639756339</v>
      </c>
      <c r="N316" s="20">
        <f ca="1">IF((N315-K316+Y316)&gt;_Max_Stock_Gramos,_Max_Stock_Gramos,N315-K316+Y316)</f>
        <v>1564.2976661088769</v>
      </c>
      <c r="O316" s="20">
        <f ca="1">N316/_GramosXFrasco</f>
        <v>9.2017509771110415</v>
      </c>
      <c r="P316" s="63">
        <f ca="1">(N316/_Max_Stock_Gramos)</f>
        <v>0.92017509771110406</v>
      </c>
      <c r="Q316" s="63"/>
      <c r="R316" s="10">
        <f ca="1">IF((N315-J316)&lt;0,(N315-J316)*_Costo_Faltante,0)</f>
        <v>0</v>
      </c>
      <c r="S316">
        <f ca="1">IF(U316=0,X316*_Costo_Frasco,0)</f>
        <v>-500</v>
      </c>
      <c r="T316" s="11">
        <f t="shared" ca="1" si="69"/>
        <v>-26577.89173507681</v>
      </c>
      <c r="U316" s="10">
        <f>IF(U315=0,_Proxima_Compra,U315-1)</f>
        <v>0</v>
      </c>
      <c r="V316" s="3">
        <f t="shared" ca="1" si="64"/>
        <v>0.32953305028563484</v>
      </c>
      <c r="W316" s="3">
        <f ca="1">IF(W315&gt;0,W315-1,IF(V316&gt;0,LOOKUP(V316,$R$3:$R$5,$O$3:$O$5),-1))</f>
        <v>0</v>
      </c>
      <c r="X316" s="25">
        <f t="shared" ca="1" si="65"/>
        <v>2</v>
      </c>
      <c r="Y316" s="28">
        <f ca="1">X316*_GramosXFrasco</f>
        <v>340</v>
      </c>
    </row>
    <row r="317" spans="1:25" x14ac:dyDescent="0.25">
      <c r="A317" s="30">
        <f t="shared" si="66"/>
        <v>301</v>
      </c>
      <c r="B317" s="38">
        <f t="shared" ca="1" si="59"/>
        <v>0.13872107623481211</v>
      </c>
      <c r="C317" s="36">
        <f t="shared" ca="1" si="60"/>
        <v>-1</v>
      </c>
      <c r="D317" s="36">
        <f t="shared" ca="1" si="61"/>
        <v>-1</v>
      </c>
      <c r="E317" s="36">
        <f t="shared" ca="1" si="70"/>
        <v>-1</v>
      </c>
      <c r="F317" s="37">
        <f ca="1">IF(E317&lt;&gt;-1,_Media_M + E317*_Sigma,-1)</f>
        <v>-1</v>
      </c>
      <c r="G317" s="3">
        <f t="shared" ca="1" si="62"/>
        <v>50</v>
      </c>
      <c r="H317" s="36">
        <f t="shared" ca="1" si="71"/>
        <v>50</v>
      </c>
      <c r="I317" s="36">
        <f t="shared" ca="1" si="63"/>
        <v>12.173555787070578</v>
      </c>
      <c r="J317" s="35">
        <f t="shared" ca="1" si="72"/>
        <v>62.173555787070576</v>
      </c>
      <c r="K317" s="19">
        <f t="shared" ca="1" si="67"/>
        <v>62.173555787070576</v>
      </c>
      <c r="L317" s="20">
        <f ca="1" xml:space="preserve"> K317*_Precio_cafe</f>
        <v>93.260333680605868</v>
      </c>
      <c r="M317" s="20">
        <f t="shared" ca="1" si="68"/>
        <v>43153.519973436945</v>
      </c>
      <c r="N317" s="20">
        <f ca="1">IF((N316-K317+Y317)&gt;_Max_Stock_Gramos,_Max_Stock_Gramos,N316-K317+Y317)</f>
        <v>1502.1241103218063</v>
      </c>
      <c r="O317" s="20">
        <f ca="1">N317/_GramosXFrasco</f>
        <v>8.8360241783635658</v>
      </c>
      <c r="P317" s="63">
        <f ca="1">(N317/_Max_Stock_Gramos)</f>
        <v>0.88360241783635662</v>
      </c>
      <c r="Q317" s="63"/>
      <c r="R317" s="10">
        <f ca="1">IF((N316-J317)&lt;0,(N316-J317)*_Costo_Faltante,0)</f>
        <v>0</v>
      </c>
      <c r="S317">
        <f>IF(U317=0,X317*_Costo_Frasco,0)</f>
        <v>0</v>
      </c>
      <c r="T317" s="11">
        <f t="shared" ca="1" si="69"/>
        <v>-26577.89173507681</v>
      </c>
      <c r="U317" s="10">
        <f>IF(U316=0,_Proxima_Compra,U316-1)</f>
        <v>2</v>
      </c>
      <c r="V317" s="3">
        <f t="shared" ca="1" si="64"/>
        <v>-1</v>
      </c>
      <c r="W317" s="3">
        <f ca="1">IF(W316&gt;0,W316-1,IF(V317&gt;0,LOOKUP(V317,$R$3:$R$5,$O$3:$O$5),-1))</f>
        <v>-1</v>
      </c>
      <c r="X317" s="25">
        <f t="shared" ca="1" si="65"/>
        <v>0</v>
      </c>
      <c r="Y317" s="28">
        <f ca="1">X317*_GramosXFrasco</f>
        <v>0</v>
      </c>
    </row>
    <row r="318" spans="1:25" x14ac:dyDescent="0.25">
      <c r="A318" s="30">
        <f t="shared" si="66"/>
        <v>302</v>
      </c>
      <c r="B318" s="38">
        <f t="shared" ca="1" si="59"/>
        <v>0.33462205350208807</v>
      </c>
      <c r="C318" s="36">
        <f t="shared" ca="1" si="60"/>
        <v>-1</v>
      </c>
      <c r="D318" s="36">
        <f t="shared" ca="1" si="61"/>
        <v>-1</v>
      </c>
      <c r="E318" s="36">
        <f t="shared" ca="1" si="70"/>
        <v>-1</v>
      </c>
      <c r="F318" s="37">
        <f ca="1">IF(E318&lt;&gt;-1,_Media_M + E318*_Sigma,-1)</f>
        <v>-1</v>
      </c>
      <c r="G318" s="3">
        <f t="shared" ca="1" si="62"/>
        <v>50</v>
      </c>
      <c r="H318" s="36">
        <f t="shared" ca="1" si="71"/>
        <v>50</v>
      </c>
      <c r="I318" s="36">
        <f t="shared" ca="1" si="63"/>
        <v>10.128040626192295</v>
      </c>
      <c r="J318" s="35">
        <f t="shared" ca="1" si="72"/>
        <v>60.128040626192295</v>
      </c>
      <c r="K318" s="19">
        <f t="shared" ca="1" si="67"/>
        <v>60.128040626192295</v>
      </c>
      <c r="L318" s="20">
        <f ca="1" xml:space="preserve"> K318*_Precio_cafe</f>
        <v>90.192060939288439</v>
      </c>
      <c r="M318" s="20">
        <f t="shared" ca="1" si="68"/>
        <v>43243.712034376236</v>
      </c>
      <c r="N318" s="20">
        <f ca="1">IF((N317-K318+Y318)&gt;_Max_Stock_Gramos,_Max_Stock_Gramos,N317-K318+Y318)</f>
        <v>1441.9960696956139</v>
      </c>
      <c r="O318" s="20">
        <f ca="1">N318/_GramosXFrasco</f>
        <v>8.4823298217389045</v>
      </c>
      <c r="P318" s="63">
        <f ca="1">(N318/_Max_Stock_Gramos)</f>
        <v>0.84823298217389054</v>
      </c>
      <c r="Q318" s="63"/>
      <c r="R318" s="10">
        <f ca="1">IF((N317-J318)&lt;0,(N317-J318)*_Costo_Faltante,0)</f>
        <v>0</v>
      </c>
      <c r="S318">
        <f>IF(U318=0,X318*_Costo_Frasco,0)</f>
        <v>0</v>
      </c>
      <c r="T318" s="11">
        <f t="shared" ca="1" si="69"/>
        <v>-26577.89173507681</v>
      </c>
      <c r="U318" s="10">
        <f>IF(U317=0,_Proxima_Compra,U317-1)</f>
        <v>1</v>
      </c>
      <c r="V318" s="3">
        <f t="shared" ca="1" si="64"/>
        <v>-1</v>
      </c>
      <c r="W318" s="3">
        <f ca="1">IF(W317&gt;0,W317-1,IF(V318&gt;0,LOOKUP(V318,$R$3:$R$5,$O$3:$O$5),-1))</f>
        <v>-1</v>
      </c>
      <c r="X318" s="25">
        <f t="shared" ca="1" si="65"/>
        <v>0</v>
      </c>
      <c r="Y318" s="28">
        <f ca="1">X318*_GramosXFrasco</f>
        <v>0</v>
      </c>
    </row>
    <row r="319" spans="1:25" x14ac:dyDescent="0.25">
      <c r="A319" s="30">
        <f t="shared" si="66"/>
        <v>303</v>
      </c>
      <c r="B319" s="38">
        <f t="shared" ca="1" si="59"/>
        <v>0.41019087837902746</v>
      </c>
      <c r="C319" s="36">
        <f t="shared" ca="1" si="60"/>
        <v>-1</v>
      </c>
      <c r="D319" s="36">
        <f t="shared" ca="1" si="61"/>
        <v>-1</v>
      </c>
      <c r="E319" s="36">
        <f t="shared" ca="1" si="70"/>
        <v>-1</v>
      </c>
      <c r="F319" s="37">
        <f ca="1">IF(E319&lt;&gt;-1,_Media_M + E319*_Sigma,-1)</f>
        <v>-1</v>
      </c>
      <c r="G319" s="3">
        <f t="shared" ca="1" si="62"/>
        <v>50</v>
      </c>
      <c r="H319" s="36">
        <f t="shared" ca="1" si="71"/>
        <v>50</v>
      </c>
      <c r="I319" s="36">
        <f t="shared" ca="1" si="63"/>
        <v>6.0713564669140823</v>
      </c>
      <c r="J319" s="35">
        <f t="shared" ca="1" si="72"/>
        <v>56.071356466914082</v>
      </c>
      <c r="K319" s="19">
        <f t="shared" ca="1" si="67"/>
        <v>56.071356466914082</v>
      </c>
      <c r="L319" s="20">
        <f ca="1" xml:space="preserve"> K319*_Precio_cafe</f>
        <v>84.107034700371116</v>
      </c>
      <c r="M319" s="20">
        <f t="shared" ca="1" si="68"/>
        <v>43327.819069076606</v>
      </c>
      <c r="N319" s="20">
        <f ca="1">IF((N318-K319+Y319)&gt;_Max_Stock_Gramos,_Max_Stock_Gramos,N318-K319+Y319)</f>
        <v>1700</v>
      </c>
      <c r="O319" s="20">
        <f ca="1">N319/_GramosXFrasco</f>
        <v>10</v>
      </c>
      <c r="P319" s="63">
        <f ca="1">(N319/_Max_Stock_Gramos)</f>
        <v>1</v>
      </c>
      <c r="Q319" s="63"/>
      <c r="R319" s="10">
        <f ca="1">IF((N318-J319)&lt;0,(N318-J319)*_Costo_Faltante,0)</f>
        <v>0</v>
      </c>
      <c r="S319">
        <f ca="1">IF(U319=0,X319*_Costo_Frasco,0)</f>
        <v>-500</v>
      </c>
      <c r="T319" s="11">
        <f t="shared" ca="1" si="69"/>
        <v>-27077.89173507681</v>
      </c>
      <c r="U319" s="10">
        <f>IF(U318=0,_Proxima_Compra,U318-1)</f>
        <v>0</v>
      </c>
      <c r="V319" s="3">
        <f t="shared" ca="1" si="64"/>
        <v>5.1229723372694824E-2</v>
      </c>
      <c r="W319" s="3">
        <f ca="1">IF(W318&gt;0,W318-1,IF(V319&gt;0,LOOKUP(V319,$R$3:$R$5,$O$3:$O$5),-1))</f>
        <v>0</v>
      </c>
      <c r="X319" s="25">
        <f t="shared" ca="1" si="65"/>
        <v>2</v>
      </c>
      <c r="Y319" s="28">
        <f ca="1">X319*_GramosXFrasco</f>
        <v>340</v>
      </c>
    </row>
    <row r="320" spans="1:25" x14ac:dyDescent="0.25">
      <c r="A320" s="30">
        <f t="shared" si="66"/>
        <v>304</v>
      </c>
      <c r="B320" s="38">
        <f t="shared" ca="1" si="59"/>
        <v>0.44057442015408754</v>
      </c>
      <c r="C320" s="36">
        <f t="shared" ca="1" si="60"/>
        <v>-1</v>
      </c>
      <c r="D320" s="36">
        <f t="shared" ca="1" si="61"/>
        <v>-1</v>
      </c>
      <c r="E320" s="36">
        <f t="shared" ca="1" si="70"/>
        <v>-1</v>
      </c>
      <c r="F320" s="37">
        <f ca="1">IF(E320&lt;&gt;-1,_Media_M + E320*_Sigma,-1)</f>
        <v>-1</v>
      </c>
      <c r="G320" s="3">
        <f t="shared" ca="1" si="62"/>
        <v>50</v>
      </c>
      <c r="H320" s="36">
        <f t="shared" ca="1" si="71"/>
        <v>50</v>
      </c>
      <c r="I320" s="36">
        <f t="shared" ca="1" si="63"/>
        <v>18.172167245168964</v>
      </c>
      <c r="J320" s="35">
        <f t="shared" ca="1" si="72"/>
        <v>68.172167245168964</v>
      </c>
      <c r="K320" s="19">
        <f t="shared" ca="1" si="67"/>
        <v>68.172167245168964</v>
      </c>
      <c r="L320" s="20">
        <f ca="1" xml:space="preserve"> K320*_Precio_cafe</f>
        <v>102.25825086775345</v>
      </c>
      <c r="M320" s="20">
        <f t="shared" ca="1" si="68"/>
        <v>43430.077319944357</v>
      </c>
      <c r="N320" s="20">
        <f ca="1">IF((N319-K320+Y320)&gt;_Max_Stock_Gramos,_Max_Stock_Gramos,N319-K320+Y320)</f>
        <v>1631.827832754831</v>
      </c>
      <c r="O320" s="20">
        <f ca="1">N320/_GramosXFrasco</f>
        <v>9.5989872514990058</v>
      </c>
      <c r="P320" s="63">
        <f ca="1">(N320/_Max_Stock_Gramos)</f>
        <v>0.9598987251499006</v>
      </c>
      <c r="Q320" s="63"/>
      <c r="R320" s="10">
        <f ca="1">IF((N319-J320)&lt;0,(N319-J320)*_Costo_Faltante,0)</f>
        <v>0</v>
      </c>
      <c r="S320">
        <f>IF(U320=0,X320*_Costo_Frasco,0)</f>
        <v>0</v>
      </c>
      <c r="T320" s="11">
        <f t="shared" ca="1" si="69"/>
        <v>-27077.89173507681</v>
      </c>
      <c r="U320" s="10">
        <f>IF(U319=0,_Proxima_Compra,U319-1)</f>
        <v>2</v>
      </c>
      <c r="V320" s="3">
        <f t="shared" ca="1" si="64"/>
        <v>-1</v>
      </c>
      <c r="W320" s="3">
        <f ca="1">IF(W319&gt;0,W319-1,IF(V320&gt;0,LOOKUP(V320,$R$3:$R$5,$O$3:$O$5),-1))</f>
        <v>-1</v>
      </c>
      <c r="X320" s="25">
        <f t="shared" ca="1" si="65"/>
        <v>0</v>
      </c>
      <c r="Y320" s="28">
        <f ca="1">X320*_GramosXFrasco</f>
        <v>0</v>
      </c>
    </row>
    <row r="321" spans="1:25" x14ac:dyDescent="0.25">
      <c r="A321" s="30">
        <f t="shared" si="66"/>
        <v>305</v>
      </c>
      <c r="B321" s="38">
        <f t="shared" ca="1" si="59"/>
        <v>0.76660177753431347</v>
      </c>
      <c r="C321" s="36">
        <f t="shared" ca="1" si="60"/>
        <v>0.39477274267628693</v>
      </c>
      <c r="D321" s="36">
        <f t="shared" ca="1" si="61"/>
        <v>0.7498248326950343</v>
      </c>
      <c r="E321" s="36">
        <f t="shared" ca="1" si="70"/>
        <v>-7.2687086342042349E-4</v>
      </c>
      <c r="F321" s="37">
        <f ca="1">IF(E321&lt;&gt;-1,_Media_M + E321*_Sigma,-1)</f>
        <v>74.9890969370487</v>
      </c>
      <c r="G321" s="3">
        <f t="shared" ca="1" si="62"/>
        <v>-1</v>
      </c>
      <c r="H321" s="36">
        <f t="shared" ca="1" si="71"/>
        <v>74.9890969370487</v>
      </c>
      <c r="I321" s="36">
        <f t="shared" ca="1" si="63"/>
        <v>9.6822076948577038</v>
      </c>
      <c r="J321" s="35">
        <f t="shared" ca="1" si="72"/>
        <v>84.671304631906409</v>
      </c>
      <c r="K321" s="19">
        <f t="shared" ca="1" si="67"/>
        <v>84.671304631906409</v>
      </c>
      <c r="L321" s="20">
        <f ca="1" xml:space="preserve"> K321*_Precio_cafe</f>
        <v>127.00695694785961</v>
      </c>
      <c r="M321" s="20">
        <f t="shared" ca="1" si="68"/>
        <v>43557.084276892216</v>
      </c>
      <c r="N321" s="20">
        <f ca="1">IF((N320-K321+Y321)&gt;_Max_Stock_Gramos,_Max_Stock_Gramos,N320-K321+Y321)</f>
        <v>1547.1565281229246</v>
      </c>
      <c r="O321" s="20">
        <f ca="1">N321/_GramosXFrasco</f>
        <v>9.100920753664262</v>
      </c>
      <c r="P321" s="63">
        <f ca="1">(N321/_Max_Stock_Gramos)</f>
        <v>0.91009207536642622</v>
      </c>
      <c r="Q321" s="63"/>
      <c r="R321" s="10">
        <f ca="1">IF((N320-J321)&lt;0,(N320-J321)*_Costo_Faltante,0)</f>
        <v>0</v>
      </c>
      <c r="S321">
        <f>IF(U321=0,X321*_Costo_Frasco,0)</f>
        <v>0</v>
      </c>
      <c r="T321" s="11">
        <f t="shared" ca="1" si="69"/>
        <v>-27077.89173507681</v>
      </c>
      <c r="U321" s="10">
        <f>IF(U320=0,_Proxima_Compra,U320-1)</f>
        <v>1</v>
      </c>
      <c r="V321" s="3">
        <f t="shared" ca="1" si="64"/>
        <v>-1</v>
      </c>
      <c r="W321" s="3">
        <f ca="1">IF(W320&gt;0,W320-1,IF(V321&gt;0,LOOKUP(V321,$R$3:$R$5,$O$3:$O$5),-1))</f>
        <v>-1</v>
      </c>
      <c r="X321" s="25">
        <f t="shared" ca="1" si="65"/>
        <v>0</v>
      </c>
      <c r="Y321" s="28">
        <f ca="1">X321*_GramosXFrasco</f>
        <v>0</v>
      </c>
    </row>
    <row r="322" spans="1:25" x14ac:dyDescent="0.25">
      <c r="A322" s="30">
        <f t="shared" si="66"/>
        <v>306</v>
      </c>
      <c r="B322" s="38">
        <f t="shared" ca="1" si="59"/>
        <v>0.93340322352944161</v>
      </c>
      <c r="C322" s="36">
        <f t="shared" ca="1" si="60"/>
        <v>0.90580799762153141</v>
      </c>
      <c r="D322" s="36">
        <f t="shared" ca="1" si="61"/>
        <v>6.952656006443525E-2</v>
      </c>
      <c r="E322" s="36">
        <f t="shared" ca="1" si="70"/>
        <v>1.2979467131530047</v>
      </c>
      <c r="F322" s="37">
        <f ca="1">IF(E322&lt;&gt;-1,_Media_M + E322*_Sigma,-1)</f>
        <v>94.469200697295065</v>
      </c>
      <c r="G322" s="3">
        <f t="shared" ca="1" si="62"/>
        <v>-1</v>
      </c>
      <c r="H322" s="36">
        <f t="shared" ca="1" si="71"/>
        <v>94.469200697295065</v>
      </c>
      <c r="I322" s="36">
        <f t="shared" ca="1" si="63"/>
        <v>78.258166414212113</v>
      </c>
      <c r="J322" s="35">
        <f t="shared" ca="1" si="72"/>
        <v>172.72736711150719</v>
      </c>
      <c r="K322" s="19">
        <f t="shared" ca="1" si="67"/>
        <v>172.72736711150719</v>
      </c>
      <c r="L322" s="20">
        <f ca="1" xml:space="preserve"> K322*_Precio_cafe</f>
        <v>259.09105066726079</v>
      </c>
      <c r="M322" s="20">
        <f t="shared" ca="1" si="68"/>
        <v>43816.175327559475</v>
      </c>
      <c r="N322" s="20">
        <f ca="1">IF((N321-K322+Y322)&gt;_Max_Stock_Gramos,_Max_Stock_Gramos,N321-K322+Y322)</f>
        <v>1700</v>
      </c>
      <c r="O322" s="20">
        <f ca="1">N322/_GramosXFrasco</f>
        <v>10</v>
      </c>
      <c r="P322" s="63">
        <f ca="1">(N322/_Max_Stock_Gramos)</f>
        <v>1</v>
      </c>
      <c r="Q322" s="63"/>
      <c r="R322" s="10">
        <f ca="1">IF((N321-J322)&lt;0,(N321-J322)*_Costo_Faltante,0)</f>
        <v>0</v>
      </c>
      <c r="S322">
        <f ca="1">IF(U322=0,X322*_Costo_Frasco,0)</f>
        <v>-500</v>
      </c>
      <c r="T322" s="11">
        <f t="shared" ca="1" si="69"/>
        <v>-27577.89173507681</v>
      </c>
      <c r="U322" s="10">
        <f>IF(U321=0,_Proxima_Compra,U321-1)</f>
        <v>0</v>
      </c>
      <c r="V322" s="3">
        <f t="shared" ca="1" si="64"/>
        <v>0.13362121912026526</v>
      </c>
      <c r="W322" s="3">
        <f ca="1">IF(W321&gt;0,W321-1,IF(V322&gt;0,LOOKUP(V322,$R$3:$R$5,$O$3:$O$5),-1))</f>
        <v>0</v>
      </c>
      <c r="X322" s="25">
        <f t="shared" ca="1" si="65"/>
        <v>2</v>
      </c>
      <c r="Y322" s="28">
        <f ca="1">X322*_GramosXFrasco</f>
        <v>340</v>
      </c>
    </row>
    <row r="323" spans="1:25" x14ac:dyDescent="0.25">
      <c r="A323" s="30">
        <f t="shared" si="66"/>
        <v>307</v>
      </c>
      <c r="B323" s="38">
        <f t="shared" ca="1" si="59"/>
        <v>0.26017267274686706</v>
      </c>
      <c r="C323" s="36">
        <f t="shared" ca="1" si="60"/>
        <v>-1</v>
      </c>
      <c r="D323" s="36">
        <f t="shared" ca="1" si="61"/>
        <v>-1</v>
      </c>
      <c r="E323" s="36">
        <f t="shared" ca="1" si="70"/>
        <v>-1</v>
      </c>
      <c r="F323" s="37">
        <f ca="1">IF(E323&lt;&gt;-1,_Media_M + E323*_Sigma,-1)</f>
        <v>-1</v>
      </c>
      <c r="G323" s="3">
        <f t="shared" ca="1" si="62"/>
        <v>50</v>
      </c>
      <c r="H323" s="36">
        <f t="shared" ca="1" si="71"/>
        <v>50</v>
      </c>
      <c r="I323" s="36">
        <f t="shared" ca="1" si="63"/>
        <v>11.286429599082844</v>
      </c>
      <c r="J323" s="35">
        <f t="shared" ca="1" si="72"/>
        <v>61.286429599082844</v>
      </c>
      <c r="K323" s="19">
        <f t="shared" ca="1" si="67"/>
        <v>61.286429599082844</v>
      </c>
      <c r="L323" s="20">
        <f ca="1" xml:space="preserve"> K323*_Precio_cafe</f>
        <v>91.929644398624262</v>
      </c>
      <c r="M323" s="20">
        <f t="shared" ca="1" si="68"/>
        <v>43908.104971958099</v>
      </c>
      <c r="N323" s="20">
        <f ca="1">IF((N322-K323+Y323)&gt;_Max_Stock_Gramos,_Max_Stock_Gramos,N322-K323+Y323)</f>
        <v>1638.7135704009172</v>
      </c>
      <c r="O323" s="20">
        <f ca="1">N323/_GramosXFrasco</f>
        <v>9.6394915905936305</v>
      </c>
      <c r="P323" s="63">
        <f ca="1">(N323/_Max_Stock_Gramos)</f>
        <v>0.96394915905936307</v>
      </c>
      <c r="Q323" s="63"/>
      <c r="R323" s="10">
        <f ca="1">IF((N322-J323)&lt;0,(N322-J323)*_Costo_Faltante,0)</f>
        <v>0</v>
      </c>
      <c r="S323">
        <f>IF(U323=0,X323*_Costo_Frasco,0)</f>
        <v>0</v>
      </c>
      <c r="T323" s="11">
        <f t="shared" ca="1" si="69"/>
        <v>-27577.89173507681</v>
      </c>
      <c r="U323" s="10">
        <f>IF(U322=0,_Proxima_Compra,U322-1)</f>
        <v>2</v>
      </c>
      <c r="V323" s="3">
        <f t="shared" ca="1" si="64"/>
        <v>-1</v>
      </c>
      <c r="W323" s="3">
        <f ca="1">IF(W322&gt;0,W322-1,IF(V323&gt;0,LOOKUP(V323,$R$3:$R$5,$O$3:$O$5),-1))</f>
        <v>-1</v>
      </c>
      <c r="X323" s="25">
        <f t="shared" ca="1" si="65"/>
        <v>0</v>
      </c>
      <c r="Y323" s="28">
        <f ca="1">X323*_GramosXFrasco</f>
        <v>0</v>
      </c>
    </row>
    <row r="324" spans="1:25" x14ac:dyDescent="0.25">
      <c r="A324" s="30">
        <f t="shared" si="66"/>
        <v>308</v>
      </c>
      <c r="B324" s="38">
        <f t="shared" ca="1" si="59"/>
        <v>0.23914402850201011</v>
      </c>
      <c r="C324" s="36">
        <f t="shared" ca="1" si="60"/>
        <v>-1</v>
      </c>
      <c r="D324" s="36">
        <f t="shared" ca="1" si="61"/>
        <v>-1</v>
      </c>
      <c r="E324" s="36">
        <f t="shared" ca="1" si="70"/>
        <v>-1</v>
      </c>
      <c r="F324" s="37">
        <f ca="1">IF(E324&lt;&gt;-1,_Media_M + E324*_Sigma,-1)</f>
        <v>-1</v>
      </c>
      <c r="G324" s="3">
        <f t="shared" ca="1" si="62"/>
        <v>50</v>
      </c>
      <c r="H324" s="36">
        <f t="shared" ca="1" si="71"/>
        <v>50</v>
      </c>
      <c r="I324" s="36">
        <f t="shared" ca="1" si="63"/>
        <v>8.7245564652666143</v>
      </c>
      <c r="J324" s="35">
        <f t="shared" ca="1" si="72"/>
        <v>58.724556465266616</v>
      </c>
      <c r="K324" s="19">
        <f t="shared" ca="1" si="67"/>
        <v>58.724556465266616</v>
      </c>
      <c r="L324" s="20">
        <f ca="1" xml:space="preserve"> K324*_Precio_cafe</f>
        <v>88.086834697899917</v>
      </c>
      <c r="M324" s="20">
        <f t="shared" ca="1" si="68"/>
        <v>43996.191806655996</v>
      </c>
      <c r="N324" s="20">
        <f ca="1">IF((N323-K324+Y324)&gt;_Max_Stock_Gramos,_Max_Stock_Gramos,N323-K324+Y324)</f>
        <v>1579.9890139356505</v>
      </c>
      <c r="O324" s="20">
        <f ca="1">N324/_GramosXFrasco</f>
        <v>9.2940530231508856</v>
      </c>
      <c r="P324" s="63">
        <f ca="1">(N324/_Max_Stock_Gramos)</f>
        <v>0.92940530231508856</v>
      </c>
      <c r="Q324" s="63"/>
      <c r="R324" s="10">
        <f ca="1">IF((N323-J324)&lt;0,(N323-J324)*_Costo_Faltante,0)</f>
        <v>0</v>
      </c>
      <c r="S324">
        <f>IF(U324=0,X324*_Costo_Frasco,0)</f>
        <v>0</v>
      </c>
      <c r="T324" s="11">
        <f t="shared" ca="1" si="69"/>
        <v>-27577.89173507681</v>
      </c>
      <c r="U324" s="10">
        <f>IF(U323=0,_Proxima_Compra,U323-1)</f>
        <v>1</v>
      </c>
      <c r="V324" s="3">
        <f t="shared" ca="1" si="64"/>
        <v>-1</v>
      </c>
      <c r="W324" s="3">
        <f ca="1">IF(W323&gt;0,W323-1,IF(V324&gt;0,LOOKUP(V324,$R$3:$R$5,$O$3:$O$5),-1))</f>
        <v>-1</v>
      </c>
      <c r="X324" s="25">
        <f t="shared" ca="1" si="65"/>
        <v>0</v>
      </c>
      <c r="Y324" s="28">
        <f ca="1">X324*_GramosXFrasco</f>
        <v>0</v>
      </c>
    </row>
    <row r="325" spans="1:25" x14ac:dyDescent="0.25">
      <c r="A325" s="30">
        <f t="shared" si="66"/>
        <v>309</v>
      </c>
      <c r="B325" s="38">
        <f t="shared" ca="1" si="59"/>
        <v>0.33307521375496707</v>
      </c>
      <c r="C325" s="36">
        <f t="shared" ca="1" si="60"/>
        <v>-1</v>
      </c>
      <c r="D325" s="36">
        <f t="shared" ca="1" si="61"/>
        <v>-1</v>
      </c>
      <c r="E325" s="36">
        <f t="shared" ca="1" si="70"/>
        <v>-1</v>
      </c>
      <c r="F325" s="37">
        <f ca="1">IF(E325&lt;&gt;-1,_Media_M + E325*_Sigma,-1)</f>
        <v>-1</v>
      </c>
      <c r="G325" s="3">
        <f t="shared" ca="1" si="62"/>
        <v>50</v>
      </c>
      <c r="H325" s="36">
        <f t="shared" ca="1" si="71"/>
        <v>50</v>
      </c>
      <c r="I325" s="36">
        <f t="shared" ca="1" si="63"/>
        <v>50.595013868409673</v>
      </c>
      <c r="J325" s="35">
        <f t="shared" ca="1" si="72"/>
        <v>100.59501386840967</v>
      </c>
      <c r="K325" s="19">
        <f t="shared" ca="1" si="67"/>
        <v>100.59501386840967</v>
      </c>
      <c r="L325" s="20">
        <f ca="1" xml:space="preserve"> K325*_Precio_cafe</f>
        <v>150.89252080261451</v>
      </c>
      <c r="M325" s="20">
        <f t="shared" ca="1" si="68"/>
        <v>44147.084327458608</v>
      </c>
      <c r="N325" s="20">
        <f ca="1">IF((N324-K325+Y325)&gt;_Max_Stock_Gramos,_Max_Stock_Gramos,N324-K325+Y325)</f>
        <v>1700</v>
      </c>
      <c r="O325" s="20">
        <f ca="1">N325/_GramosXFrasco</f>
        <v>10</v>
      </c>
      <c r="P325" s="63">
        <f ca="1">(N325/_Max_Stock_Gramos)</f>
        <v>1</v>
      </c>
      <c r="Q325" s="63"/>
      <c r="R325" s="10">
        <f ca="1">IF((N324-J325)&lt;0,(N324-J325)*_Costo_Faltante,0)</f>
        <v>0</v>
      </c>
      <c r="S325">
        <f ca="1">IF(U325=0,X325*_Costo_Frasco,0)</f>
        <v>-500</v>
      </c>
      <c r="T325" s="11">
        <f t="shared" ca="1" si="69"/>
        <v>-28077.89173507681</v>
      </c>
      <c r="U325" s="10">
        <f>IF(U324=0,_Proxima_Compra,U324-1)</f>
        <v>0</v>
      </c>
      <c r="V325" s="3">
        <f t="shared" ca="1" si="64"/>
        <v>0.44370864532416476</v>
      </c>
      <c r="W325" s="3">
        <f ca="1">IF(W324&gt;0,W324-1,IF(V325&gt;0,LOOKUP(V325,$R$3:$R$5,$O$3:$O$5),-1))</f>
        <v>0</v>
      </c>
      <c r="X325" s="25">
        <f t="shared" ca="1" si="65"/>
        <v>2</v>
      </c>
      <c r="Y325" s="28">
        <f ca="1">X325*_GramosXFrasco</f>
        <v>340</v>
      </c>
    </row>
    <row r="326" spans="1:25" x14ac:dyDescent="0.25">
      <c r="A326" s="30">
        <f t="shared" si="66"/>
        <v>310</v>
      </c>
      <c r="B326" s="38">
        <f t="shared" ca="1" si="59"/>
        <v>8.0493905765367524E-2</v>
      </c>
      <c r="C326" s="36">
        <f t="shared" ca="1" si="60"/>
        <v>-1</v>
      </c>
      <c r="D326" s="36">
        <f t="shared" ca="1" si="61"/>
        <v>-1</v>
      </c>
      <c r="E326" s="36">
        <f t="shared" ca="1" si="70"/>
        <v>-1</v>
      </c>
      <c r="F326" s="37">
        <f ca="1">IF(E326&lt;&gt;-1,_Media_M + E326*_Sigma,-1)</f>
        <v>-1</v>
      </c>
      <c r="G326" s="3">
        <f t="shared" ca="1" si="62"/>
        <v>50</v>
      </c>
      <c r="H326" s="36">
        <f t="shared" ca="1" si="71"/>
        <v>50</v>
      </c>
      <c r="I326" s="36">
        <f t="shared" ca="1" si="63"/>
        <v>5.501858209008673</v>
      </c>
      <c r="J326" s="35">
        <f t="shared" ca="1" si="72"/>
        <v>55.501858209008674</v>
      </c>
      <c r="K326" s="19">
        <f t="shared" ca="1" si="67"/>
        <v>55.501858209008674</v>
      </c>
      <c r="L326" s="20">
        <f ca="1" xml:space="preserve"> K326*_Precio_cafe</f>
        <v>83.252787313513011</v>
      </c>
      <c r="M326" s="20">
        <f t="shared" ca="1" si="68"/>
        <v>44230.337114772119</v>
      </c>
      <c r="N326" s="20">
        <f ca="1">IF((N325-K326+Y326)&gt;_Max_Stock_Gramos,_Max_Stock_Gramos,N325-K326+Y326)</f>
        <v>1644.4981417909912</v>
      </c>
      <c r="O326" s="20">
        <f ca="1">N326/_GramosXFrasco</f>
        <v>9.6735184811234785</v>
      </c>
      <c r="P326" s="63">
        <f ca="1">(N326/_Max_Stock_Gramos)</f>
        <v>0.96735184811234776</v>
      </c>
      <c r="Q326" s="63"/>
      <c r="R326" s="10">
        <f ca="1">IF((N325-J326)&lt;0,(N325-J326)*_Costo_Faltante,0)</f>
        <v>0</v>
      </c>
      <c r="S326">
        <f>IF(U326=0,X326*_Costo_Frasco,0)</f>
        <v>0</v>
      </c>
      <c r="T326" s="11">
        <f t="shared" ca="1" si="69"/>
        <v>-28077.89173507681</v>
      </c>
      <c r="U326" s="10">
        <f>IF(U325=0,_Proxima_Compra,U325-1)</f>
        <v>2</v>
      </c>
      <c r="V326" s="3">
        <f t="shared" ca="1" si="64"/>
        <v>-1</v>
      </c>
      <c r="W326" s="3">
        <f ca="1">IF(W325&gt;0,W325-1,IF(V326&gt;0,LOOKUP(V326,$R$3:$R$5,$O$3:$O$5),-1))</f>
        <v>-1</v>
      </c>
      <c r="X326" s="25">
        <f t="shared" ca="1" si="65"/>
        <v>0</v>
      </c>
      <c r="Y326" s="28">
        <f ca="1">X326*_GramosXFrasco</f>
        <v>0</v>
      </c>
    </row>
    <row r="327" spans="1:25" x14ac:dyDescent="0.25">
      <c r="A327" s="30">
        <f t="shared" si="66"/>
        <v>311</v>
      </c>
      <c r="B327" s="38">
        <f t="shared" ca="1" si="59"/>
        <v>0.54414313877672749</v>
      </c>
      <c r="C327" s="36">
        <f t="shared" ca="1" si="60"/>
        <v>0.42757709999929627</v>
      </c>
      <c r="D327" s="36">
        <f t="shared" ca="1" si="61"/>
        <v>0.61595532974774747</v>
      </c>
      <c r="E327" s="36">
        <f t="shared" ca="1" si="70"/>
        <v>-0.51938551639721475</v>
      </c>
      <c r="F327" s="37">
        <f ca="1">IF(E327&lt;&gt;-1,_Media_M + E327*_Sigma,-1)</f>
        <v>67.209217254041775</v>
      </c>
      <c r="G327" s="3">
        <f t="shared" ca="1" si="62"/>
        <v>-1</v>
      </c>
      <c r="H327" s="36">
        <f t="shared" ca="1" si="71"/>
        <v>67.209217254041775</v>
      </c>
      <c r="I327" s="36">
        <f t="shared" ca="1" si="63"/>
        <v>64.137200822374695</v>
      </c>
      <c r="J327" s="35">
        <f t="shared" ca="1" si="72"/>
        <v>131.34641807641646</v>
      </c>
      <c r="K327" s="19">
        <f t="shared" ca="1" si="67"/>
        <v>131.34641807641646</v>
      </c>
      <c r="L327" s="20">
        <f ca="1" xml:space="preserve"> K327*_Precio_cafe</f>
        <v>197.01962711462468</v>
      </c>
      <c r="M327" s="20">
        <f t="shared" ca="1" si="68"/>
        <v>44427.356741886746</v>
      </c>
      <c r="N327" s="20">
        <f ca="1">IF((N326-K327+Y327)&gt;_Max_Stock_Gramos,_Max_Stock_Gramos,N326-K327+Y327)</f>
        <v>1513.1517237145747</v>
      </c>
      <c r="O327" s="20">
        <f ca="1">N327/_GramosXFrasco</f>
        <v>8.9008924924386754</v>
      </c>
      <c r="P327" s="63">
        <f ca="1">(N327/_Max_Stock_Gramos)</f>
        <v>0.89008924924386745</v>
      </c>
      <c r="Q327" s="63"/>
      <c r="R327" s="10">
        <f ca="1">IF((N326-J327)&lt;0,(N326-J327)*_Costo_Faltante,0)</f>
        <v>0</v>
      </c>
      <c r="S327">
        <f>IF(U327=0,X327*_Costo_Frasco,0)</f>
        <v>0</v>
      </c>
      <c r="T327" s="11">
        <f t="shared" ca="1" si="69"/>
        <v>-28077.89173507681</v>
      </c>
      <c r="U327" s="10">
        <f>IF(U326=0,_Proxima_Compra,U326-1)</f>
        <v>1</v>
      </c>
      <c r="V327" s="3">
        <f t="shared" ca="1" si="64"/>
        <v>-1</v>
      </c>
      <c r="W327" s="3">
        <f ca="1">IF(W326&gt;0,W326-1,IF(V327&gt;0,LOOKUP(V327,$R$3:$R$5,$O$3:$O$5),-1))</f>
        <v>-1</v>
      </c>
      <c r="X327" s="25">
        <f t="shared" ca="1" si="65"/>
        <v>0</v>
      </c>
      <c r="Y327" s="28">
        <f ca="1">X327*_GramosXFrasco</f>
        <v>0</v>
      </c>
    </row>
    <row r="328" spans="1:25" x14ac:dyDescent="0.25">
      <c r="A328" s="30">
        <f t="shared" si="66"/>
        <v>312</v>
      </c>
      <c r="B328" s="38">
        <f t="shared" ca="1" si="59"/>
        <v>7.3367944340421154E-2</v>
      </c>
      <c r="C328" s="36">
        <f t="shared" ca="1" si="60"/>
        <v>-1</v>
      </c>
      <c r="D328" s="36">
        <f t="shared" ca="1" si="61"/>
        <v>-1</v>
      </c>
      <c r="E328" s="36">
        <f t="shared" ca="1" si="70"/>
        <v>-1</v>
      </c>
      <c r="F328" s="37">
        <f ca="1">IF(E328&lt;&gt;-1,_Media_M + E328*_Sigma,-1)</f>
        <v>-1</v>
      </c>
      <c r="G328" s="3">
        <f t="shared" ca="1" si="62"/>
        <v>50</v>
      </c>
      <c r="H328" s="36">
        <f t="shared" ca="1" si="71"/>
        <v>50</v>
      </c>
      <c r="I328" s="36">
        <f t="shared" ca="1" si="63"/>
        <v>11.452587323571521</v>
      </c>
      <c r="J328" s="35">
        <f t="shared" ca="1" si="72"/>
        <v>61.452587323571521</v>
      </c>
      <c r="K328" s="19">
        <f t="shared" ca="1" si="67"/>
        <v>61.452587323571521</v>
      </c>
      <c r="L328" s="20">
        <f ca="1" xml:space="preserve"> K328*_Precio_cafe</f>
        <v>92.178880985357281</v>
      </c>
      <c r="M328" s="20">
        <f t="shared" ca="1" si="68"/>
        <v>44519.535622872107</v>
      </c>
      <c r="N328" s="20">
        <f ca="1">IF((N327-K328+Y328)&gt;_Max_Stock_Gramos,_Max_Stock_Gramos,N327-K328+Y328)</f>
        <v>1451.6991363910031</v>
      </c>
      <c r="O328" s="20">
        <f ca="1">N328/_GramosXFrasco</f>
        <v>8.5394066846529597</v>
      </c>
      <c r="P328" s="63">
        <f ca="1">(N328/_Max_Stock_Gramos)</f>
        <v>0.85394066846529593</v>
      </c>
      <c r="Q328" s="63"/>
      <c r="R328" s="10">
        <f ca="1">IF((N327-J328)&lt;0,(N327-J328)*_Costo_Faltante,0)</f>
        <v>0</v>
      </c>
      <c r="S328">
        <f ca="1">IF(U328=0,X328*_Costo_Frasco,0)</f>
        <v>0</v>
      </c>
      <c r="T328" s="11">
        <f t="shared" ca="1" si="69"/>
        <v>-28077.89173507681</v>
      </c>
      <c r="U328" s="10">
        <f>IF(U327=0,_Proxima_Compra,U327-1)</f>
        <v>0</v>
      </c>
      <c r="V328" s="3">
        <f t="shared" ca="1" si="64"/>
        <v>0.89351582828661269</v>
      </c>
      <c r="W328" s="3">
        <f ca="1">IF(W327&gt;0,W327-1,IF(V328&gt;0,LOOKUP(V328,$R$3:$R$5,$O$3:$O$5),-1))</f>
        <v>2</v>
      </c>
      <c r="X328" s="25">
        <f t="shared" ca="1" si="65"/>
        <v>0</v>
      </c>
      <c r="Y328" s="28">
        <f ca="1">X328*_GramosXFrasco</f>
        <v>0</v>
      </c>
    </row>
    <row r="329" spans="1:25" x14ac:dyDescent="0.25">
      <c r="A329" s="30">
        <f t="shared" si="66"/>
        <v>313</v>
      </c>
      <c r="B329" s="38">
        <f t="shared" ca="1" si="59"/>
        <v>0.8260603715807151</v>
      </c>
      <c r="C329" s="36">
        <f t="shared" ca="1" si="60"/>
        <v>0.60570044142097978</v>
      </c>
      <c r="D329" s="36">
        <f t="shared" ca="1" si="61"/>
        <v>0.55177589806305327</v>
      </c>
      <c r="E329" s="36">
        <f t="shared" ca="1" si="70"/>
        <v>-0.85192396038277629</v>
      </c>
      <c r="F329" s="37">
        <f ca="1">IF(E329&lt;&gt;-1,_Media_M + E329*_Sigma,-1)</f>
        <v>62.221140594258358</v>
      </c>
      <c r="G329" s="3">
        <f t="shared" ca="1" si="62"/>
        <v>-1</v>
      </c>
      <c r="H329" s="36">
        <f t="shared" ca="1" si="71"/>
        <v>62.221140594258358</v>
      </c>
      <c r="I329" s="36">
        <f t="shared" ca="1" si="63"/>
        <v>45.556500041071864</v>
      </c>
      <c r="J329" s="35">
        <f t="shared" ca="1" si="72"/>
        <v>107.77764063533021</v>
      </c>
      <c r="K329" s="19">
        <f t="shared" ca="1" si="67"/>
        <v>107.77764063533021</v>
      </c>
      <c r="L329" s="20">
        <f ca="1" xml:space="preserve"> K329*_Precio_cafe</f>
        <v>161.66646095299532</v>
      </c>
      <c r="M329" s="20">
        <f t="shared" ca="1" si="68"/>
        <v>44681.202083825105</v>
      </c>
      <c r="N329" s="20">
        <f ca="1">IF((N328-K329+Y329)&gt;_Max_Stock_Gramos,_Max_Stock_Gramos,N328-K329+Y329)</f>
        <v>1343.9214957556728</v>
      </c>
      <c r="O329" s="20">
        <f ca="1">N329/_GramosXFrasco</f>
        <v>7.905420563268664</v>
      </c>
      <c r="P329" s="63">
        <f ca="1">(N329/_Max_Stock_Gramos)</f>
        <v>0.79054205632686636</v>
      </c>
      <c r="Q329" s="63"/>
      <c r="R329" s="10">
        <f ca="1">IF((N328-J329)&lt;0,(N328-J329)*_Costo_Faltante,0)</f>
        <v>0</v>
      </c>
      <c r="S329">
        <f>IF(U329=0,X329*_Costo_Frasco,0)</f>
        <v>0</v>
      </c>
      <c r="T329" s="11">
        <f t="shared" ca="1" si="69"/>
        <v>-28077.89173507681</v>
      </c>
      <c r="U329" s="10">
        <f>IF(U328=0,_Proxima_Compra,U328-1)</f>
        <v>2</v>
      </c>
      <c r="V329" s="3">
        <f t="shared" ca="1" si="64"/>
        <v>-1</v>
      </c>
      <c r="W329" s="3">
        <f ca="1">IF(W328&gt;0,W328-1,IF(V329&gt;0,LOOKUP(V329,$R$3:$R$5,$O$3:$O$5),-1))</f>
        <v>1</v>
      </c>
      <c r="X329" s="25">
        <f t="shared" ca="1" si="65"/>
        <v>0</v>
      </c>
      <c r="Y329" s="28">
        <f ca="1">X329*_GramosXFrasco</f>
        <v>0</v>
      </c>
    </row>
    <row r="330" spans="1:25" x14ac:dyDescent="0.25">
      <c r="A330" s="30">
        <f t="shared" si="66"/>
        <v>314</v>
      </c>
      <c r="B330" s="38">
        <f t="shared" ca="1" si="59"/>
        <v>0.59462080701757414</v>
      </c>
      <c r="C330" s="36">
        <f t="shared" ca="1" si="60"/>
        <v>0.45280816878021535</v>
      </c>
      <c r="D330" s="36">
        <f t="shared" ca="1" si="61"/>
        <v>0.32118447029452868</v>
      </c>
      <c r="E330" s="36">
        <f t="shared" ca="1" si="70"/>
        <v>-0.31299500610377951</v>
      </c>
      <c r="F330" s="37">
        <f ca="1">IF(E330&lt;&gt;-1,_Media_M + E330*_Sigma,-1)</f>
        <v>70.305074908443302</v>
      </c>
      <c r="G330" s="3">
        <f t="shared" ca="1" si="62"/>
        <v>-1</v>
      </c>
      <c r="H330" s="36">
        <f t="shared" ca="1" si="71"/>
        <v>70.305074908443302</v>
      </c>
      <c r="I330" s="36">
        <f t="shared" ca="1" si="63"/>
        <v>3.3015151679657913</v>
      </c>
      <c r="J330" s="35">
        <f t="shared" ca="1" si="72"/>
        <v>73.606590076409091</v>
      </c>
      <c r="K330" s="19">
        <f t="shared" ca="1" si="67"/>
        <v>73.606590076409091</v>
      </c>
      <c r="L330" s="20">
        <f ca="1" xml:space="preserve"> K330*_Precio_cafe</f>
        <v>110.40988511461364</v>
      </c>
      <c r="M330" s="20">
        <f t="shared" ca="1" si="68"/>
        <v>44791.611968939716</v>
      </c>
      <c r="N330" s="20">
        <f ca="1">IF((N329-K330+Y330)&gt;_Max_Stock_Gramos,_Max_Stock_Gramos,N329-K330+Y330)</f>
        <v>1610.3149056792638</v>
      </c>
      <c r="O330" s="20">
        <f ca="1">N330/_GramosXFrasco</f>
        <v>9.472440621642729</v>
      </c>
      <c r="P330" s="63">
        <f ca="1">(N330/_Max_Stock_Gramos)</f>
        <v>0.94724406216427282</v>
      </c>
      <c r="Q330" s="63"/>
      <c r="R330" s="10">
        <f ca="1">IF((N329-J330)&lt;0,(N329-J330)*_Costo_Faltante,0)</f>
        <v>0</v>
      </c>
      <c r="S330">
        <f>IF(U330=0,X330*_Costo_Frasco,0)</f>
        <v>0</v>
      </c>
      <c r="T330" s="11">
        <f t="shared" ca="1" si="69"/>
        <v>-28077.89173507681</v>
      </c>
      <c r="U330" s="10">
        <f>IF(U329=0,_Proxima_Compra,U329-1)</f>
        <v>1</v>
      </c>
      <c r="V330" s="3">
        <f t="shared" ca="1" si="64"/>
        <v>-1</v>
      </c>
      <c r="W330" s="3">
        <f ca="1">IF(W329&gt;0,W329-1,IF(V330&gt;0,LOOKUP(V330,$R$3:$R$5,$O$3:$O$5),-1))</f>
        <v>0</v>
      </c>
      <c r="X330" s="25">
        <f t="shared" ca="1" si="65"/>
        <v>2</v>
      </c>
      <c r="Y330" s="28">
        <f ca="1">X330*_GramosXFrasco</f>
        <v>340</v>
      </c>
    </row>
    <row r="331" spans="1:25" x14ac:dyDescent="0.25">
      <c r="A331" s="30">
        <f t="shared" si="66"/>
        <v>315</v>
      </c>
      <c r="B331" s="38">
        <f t="shared" ca="1" si="59"/>
        <v>0.98022287047197687</v>
      </c>
      <c r="C331" s="36">
        <f t="shared" ca="1" si="60"/>
        <v>0.94674583992959704</v>
      </c>
      <c r="D331" s="36">
        <f t="shared" ca="1" si="61"/>
        <v>0.3976783966576144</v>
      </c>
      <c r="E331" s="36">
        <f t="shared" ca="1" si="70"/>
        <v>-1.2773893248218855</v>
      </c>
      <c r="F331" s="37">
        <f ca="1">IF(E331&lt;&gt;-1,_Media_M + E331*_Sigma,-1)</f>
        <v>55.839160127671718</v>
      </c>
      <c r="G331" s="3">
        <f t="shared" ca="1" si="62"/>
        <v>-1</v>
      </c>
      <c r="H331" s="36">
        <f t="shared" ca="1" si="71"/>
        <v>55.839160127671718</v>
      </c>
      <c r="I331" s="36">
        <f t="shared" ca="1" si="63"/>
        <v>14.806346570366747</v>
      </c>
      <c r="J331" s="35">
        <f t="shared" ca="1" si="72"/>
        <v>70.64550669803846</v>
      </c>
      <c r="K331" s="19">
        <f t="shared" ca="1" si="67"/>
        <v>70.64550669803846</v>
      </c>
      <c r="L331" s="20">
        <f ca="1" xml:space="preserve"> K331*_Precio_cafe</f>
        <v>105.9682600470577</v>
      </c>
      <c r="M331" s="20">
        <f t="shared" ca="1" si="68"/>
        <v>44897.580228986772</v>
      </c>
      <c r="N331" s="20">
        <f ca="1">IF((N330-K331+Y331)&gt;_Max_Stock_Gramos,_Max_Stock_Gramos,N330-K331+Y331)</f>
        <v>1700</v>
      </c>
      <c r="O331" s="20">
        <f ca="1">N331/_GramosXFrasco</f>
        <v>10</v>
      </c>
      <c r="P331" s="63">
        <f ca="1">(N331/_Max_Stock_Gramos)</f>
        <v>1</v>
      </c>
      <c r="Q331" s="63"/>
      <c r="R331" s="10">
        <f ca="1">IF((N330-J331)&lt;0,(N330-J331)*_Costo_Faltante,0)</f>
        <v>0</v>
      </c>
      <c r="S331">
        <f ca="1">IF(U331=0,X331*_Costo_Frasco,0)</f>
        <v>-500</v>
      </c>
      <c r="T331" s="11">
        <f t="shared" ca="1" si="69"/>
        <v>-28577.89173507681</v>
      </c>
      <c r="U331" s="10">
        <f>IF(U330=0,_Proxima_Compra,U330-1)</f>
        <v>0</v>
      </c>
      <c r="V331" s="3">
        <f t="shared" ca="1" si="64"/>
        <v>0.30865269022084052</v>
      </c>
      <c r="W331" s="3">
        <f ca="1">IF(W330&gt;0,W330-1,IF(V331&gt;0,LOOKUP(V331,$R$3:$R$5,$O$3:$O$5),-1))</f>
        <v>0</v>
      </c>
      <c r="X331" s="25">
        <f t="shared" ca="1" si="65"/>
        <v>2</v>
      </c>
      <c r="Y331" s="28">
        <f ca="1">X331*_GramosXFrasco</f>
        <v>340</v>
      </c>
    </row>
    <row r="332" spans="1:25" x14ac:dyDescent="0.25">
      <c r="A332" s="30">
        <f t="shared" si="66"/>
        <v>316</v>
      </c>
      <c r="B332" s="38">
        <f t="shared" ca="1" si="59"/>
        <v>0.69299633711044406</v>
      </c>
      <c r="C332" s="36">
        <f t="shared" ca="1" si="60"/>
        <v>0.17911459910638616</v>
      </c>
      <c r="D332" s="36">
        <f t="shared" ca="1" si="61"/>
        <v>2.2900083600857823E-2</v>
      </c>
      <c r="E332" s="36">
        <f t="shared" ca="1" si="70"/>
        <v>0.40976839730064601</v>
      </c>
      <c r="F332" s="37">
        <f ca="1">IF(E332&lt;&gt;-1,_Media_M + E332*_Sigma,-1)</f>
        <v>81.146525959509688</v>
      </c>
      <c r="G332" s="3">
        <f t="shared" ca="1" si="62"/>
        <v>-1</v>
      </c>
      <c r="H332" s="36">
        <f t="shared" ca="1" si="71"/>
        <v>81.146525959509688</v>
      </c>
      <c r="I332" s="36">
        <f t="shared" ca="1" si="63"/>
        <v>31.468268590243287</v>
      </c>
      <c r="J332" s="35">
        <f t="shared" ca="1" si="72"/>
        <v>112.61479454975297</v>
      </c>
      <c r="K332" s="19">
        <f t="shared" ca="1" si="67"/>
        <v>112.61479454975297</v>
      </c>
      <c r="L332" s="20">
        <f ca="1" xml:space="preserve"> K332*_Precio_cafe</f>
        <v>168.92219182462946</v>
      </c>
      <c r="M332" s="20">
        <f t="shared" ca="1" si="68"/>
        <v>45066.502420811405</v>
      </c>
      <c r="N332" s="20">
        <f ca="1">IF((N331-K332+Y332)&gt;_Max_Stock_Gramos,_Max_Stock_Gramos,N331-K332+Y332)</f>
        <v>1587.385205450247</v>
      </c>
      <c r="O332" s="20">
        <f ca="1">N332/_GramosXFrasco</f>
        <v>9.3375600320602761</v>
      </c>
      <c r="P332" s="63">
        <f ca="1">(N332/_Max_Stock_Gramos)</f>
        <v>0.93375600320602758</v>
      </c>
      <c r="Q332" s="63"/>
      <c r="R332" s="10">
        <f ca="1">IF((N331-J332)&lt;0,(N331-J332)*_Costo_Faltante,0)</f>
        <v>0</v>
      </c>
      <c r="S332">
        <f>IF(U332=0,X332*_Costo_Frasco,0)</f>
        <v>0</v>
      </c>
      <c r="T332" s="11">
        <f t="shared" ca="1" si="69"/>
        <v>-28577.89173507681</v>
      </c>
      <c r="U332" s="10">
        <f>IF(U331=0,_Proxima_Compra,U331-1)</f>
        <v>2</v>
      </c>
      <c r="V332" s="3">
        <f t="shared" ca="1" si="64"/>
        <v>-1</v>
      </c>
      <c r="W332" s="3">
        <f ca="1">IF(W331&gt;0,W331-1,IF(V332&gt;0,LOOKUP(V332,$R$3:$R$5,$O$3:$O$5),-1))</f>
        <v>-1</v>
      </c>
      <c r="X332" s="25">
        <f t="shared" ca="1" si="65"/>
        <v>0</v>
      </c>
      <c r="Y332" s="28">
        <f ca="1">X332*_GramosXFrasco</f>
        <v>0</v>
      </c>
    </row>
    <row r="333" spans="1:25" x14ac:dyDescent="0.25">
      <c r="A333" s="30">
        <f t="shared" si="66"/>
        <v>317</v>
      </c>
      <c r="B333" s="38">
        <f t="shared" ca="1" si="59"/>
        <v>0.4868630277395154</v>
      </c>
      <c r="C333" s="36">
        <f t="shared" ca="1" si="60"/>
        <v>-1</v>
      </c>
      <c r="D333" s="36">
        <f t="shared" ca="1" si="61"/>
        <v>-1</v>
      </c>
      <c r="E333" s="36">
        <f t="shared" ca="1" si="70"/>
        <v>-1</v>
      </c>
      <c r="F333" s="37">
        <f ca="1">IF(E333&lt;&gt;-1,_Media_M + E333*_Sigma,-1)</f>
        <v>-1</v>
      </c>
      <c r="G333" s="3">
        <f t="shared" ca="1" si="62"/>
        <v>50</v>
      </c>
      <c r="H333" s="36">
        <f t="shared" ca="1" si="71"/>
        <v>50</v>
      </c>
      <c r="I333" s="36">
        <f t="shared" ca="1" si="63"/>
        <v>4.1529987827740564</v>
      </c>
      <c r="J333" s="35">
        <f t="shared" ca="1" si="72"/>
        <v>54.152998782774056</v>
      </c>
      <c r="K333" s="19">
        <f t="shared" ca="1" si="67"/>
        <v>54.152998782774056</v>
      </c>
      <c r="L333" s="20">
        <f ca="1" xml:space="preserve"> K333*_Precio_cafe</f>
        <v>81.22949817416108</v>
      </c>
      <c r="M333" s="20">
        <f t="shared" ca="1" si="68"/>
        <v>45147.731918985563</v>
      </c>
      <c r="N333" s="20">
        <f ca="1">IF((N332-K333+Y333)&gt;_Max_Stock_Gramos,_Max_Stock_Gramos,N332-K333+Y333)</f>
        <v>1533.2322066674728</v>
      </c>
      <c r="O333" s="20">
        <f ca="1">N333/_GramosXFrasco</f>
        <v>9.0190129803968997</v>
      </c>
      <c r="P333" s="63">
        <f ca="1">(N333/_Max_Stock_Gramos)</f>
        <v>0.90190129803968988</v>
      </c>
      <c r="Q333" s="63"/>
      <c r="R333" s="10">
        <f ca="1">IF((N332-J333)&lt;0,(N332-J333)*_Costo_Faltante,0)</f>
        <v>0</v>
      </c>
      <c r="S333">
        <f>IF(U333=0,X333*_Costo_Frasco,0)</f>
        <v>0</v>
      </c>
      <c r="T333" s="11">
        <f t="shared" ca="1" si="69"/>
        <v>-28577.89173507681</v>
      </c>
      <c r="U333" s="10">
        <f>IF(U332=0,_Proxima_Compra,U332-1)</f>
        <v>1</v>
      </c>
      <c r="V333" s="3">
        <f t="shared" ca="1" si="64"/>
        <v>-1</v>
      </c>
      <c r="W333" s="3">
        <f ca="1">IF(W332&gt;0,W332-1,IF(V333&gt;0,LOOKUP(V333,$R$3:$R$5,$O$3:$O$5),-1))</f>
        <v>-1</v>
      </c>
      <c r="X333" s="25">
        <f t="shared" ca="1" si="65"/>
        <v>0</v>
      </c>
      <c r="Y333" s="28">
        <f ca="1">X333*_GramosXFrasco</f>
        <v>0</v>
      </c>
    </row>
    <row r="334" spans="1:25" x14ac:dyDescent="0.25">
      <c r="A334" s="30">
        <f t="shared" si="66"/>
        <v>318</v>
      </c>
      <c r="B334" s="38">
        <f t="shared" ca="1" si="59"/>
        <v>0.95628864028308613</v>
      </c>
      <c r="C334" s="36">
        <f t="shared" ca="1" si="60"/>
        <v>0.60050647953192693</v>
      </c>
      <c r="D334" s="36">
        <f t="shared" ca="1" si="61"/>
        <v>0.69433466047442793</v>
      </c>
      <c r="E334" s="36">
        <f t="shared" ca="1" si="70"/>
        <v>-0.30591285467952661</v>
      </c>
      <c r="F334" s="37">
        <f ca="1">IF(E334&lt;&gt;-1,_Media_M + E334*_Sigma,-1)</f>
        <v>70.411307179807096</v>
      </c>
      <c r="G334" s="3">
        <f t="shared" ca="1" si="62"/>
        <v>-1</v>
      </c>
      <c r="H334" s="36">
        <f t="shared" ca="1" si="71"/>
        <v>70.411307179807096</v>
      </c>
      <c r="I334" s="36">
        <f t="shared" ca="1" si="63"/>
        <v>63.386155549630182</v>
      </c>
      <c r="J334" s="35">
        <f t="shared" ca="1" si="72"/>
        <v>133.79746272943729</v>
      </c>
      <c r="K334" s="19">
        <f t="shared" ca="1" si="67"/>
        <v>133.79746272943729</v>
      </c>
      <c r="L334" s="20">
        <f ca="1" xml:space="preserve"> K334*_Precio_cafe</f>
        <v>200.69619409415594</v>
      </c>
      <c r="M334" s="20">
        <f t="shared" ca="1" si="68"/>
        <v>45348.428113079717</v>
      </c>
      <c r="N334" s="20">
        <f ca="1">IF((N333-K334+Y334)&gt;_Max_Stock_Gramos,_Max_Stock_Gramos,N333-K334+Y334)</f>
        <v>1700</v>
      </c>
      <c r="O334" s="20">
        <f ca="1">N334/_GramosXFrasco</f>
        <v>10</v>
      </c>
      <c r="P334" s="63">
        <f ca="1">(N334/_Max_Stock_Gramos)</f>
        <v>1</v>
      </c>
      <c r="Q334" s="63"/>
      <c r="R334" s="10">
        <f ca="1">IF((N333-J334)&lt;0,(N333-J334)*_Costo_Faltante,0)</f>
        <v>0</v>
      </c>
      <c r="S334">
        <f ca="1">IF(U334=0,X334*_Costo_Frasco,0)</f>
        <v>-500</v>
      </c>
      <c r="T334" s="11">
        <f t="shared" ca="1" si="69"/>
        <v>-29077.89173507681</v>
      </c>
      <c r="U334" s="10">
        <f>IF(U333=0,_Proxima_Compra,U333-1)</f>
        <v>0</v>
      </c>
      <c r="V334" s="3">
        <f t="shared" ca="1" si="64"/>
        <v>0.24566530104015816</v>
      </c>
      <c r="W334" s="3">
        <f ca="1">IF(W333&gt;0,W333-1,IF(V334&gt;0,LOOKUP(V334,$R$3:$R$5,$O$3:$O$5),-1))</f>
        <v>0</v>
      </c>
      <c r="X334" s="25">
        <f t="shared" ca="1" si="65"/>
        <v>2</v>
      </c>
      <c r="Y334" s="28">
        <f ca="1">X334*_GramosXFrasco</f>
        <v>340</v>
      </c>
    </row>
    <row r="335" spans="1:25" x14ac:dyDescent="0.25">
      <c r="A335" s="30">
        <f t="shared" si="66"/>
        <v>319</v>
      </c>
      <c r="B335" s="38">
        <f t="shared" ca="1" si="59"/>
        <v>0.26663305841075013</v>
      </c>
      <c r="C335" s="36">
        <f t="shared" ca="1" si="60"/>
        <v>-1</v>
      </c>
      <c r="D335" s="36">
        <f t="shared" ca="1" si="61"/>
        <v>-1</v>
      </c>
      <c r="E335" s="36">
        <f t="shared" ca="1" si="70"/>
        <v>-1</v>
      </c>
      <c r="F335" s="37">
        <f ca="1">IF(E335&lt;&gt;-1,_Media_M + E335*_Sigma,-1)</f>
        <v>-1</v>
      </c>
      <c r="G335" s="3">
        <f t="shared" ca="1" si="62"/>
        <v>50</v>
      </c>
      <c r="H335" s="36">
        <f t="shared" ca="1" si="71"/>
        <v>50</v>
      </c>
      <c r="I335" s="36">
        <f t="shared" ca="1" si="63"/>
        <v>41.053244802599735</v>
      </c>
      <c r="J335" s="35">
        <f t="shared" ca="1" si="72"/>
        <v>91.053244802599735</v>
      </c>
      <c r="K335" s="19">
        <f t="shared" ca="1" si="67"/>
        <v>91.053244802599735</v>
      </c>
      <c r="L335" s="20">
        <f ca="1" xml:space="preserve"> K335*_Precio_cafe</f>
        <v>136.5798672038996</v>
      </c>
      <c r="M335" s="20">
        <f t="shared" ca="1" si="68"/>
        <v>45485.007980283619</v>
      </c>
      <c r="N335" s="20">
        <f ca="1">IF((N334-K335+Y335)&gt;_Max_Stock_Gramos,_Max_Stock_Gramos,N334-K335+Y335)</f>
        <v>1608.9467551974003</v>
      </c>
      <c r="O335" s="20">
        <f ca="1">N335/_GramosXFrasco</f>
        <v>9.4643926776317659</v>
      </c>
      <c r="P335" s="63">
        <f ca="1">(N335/_Max_Stock_Gramos)</f>
        <v>0.94643926776317666</v>
      </c>
      <c r="Q335" s="63"/>
      <c r="R335" s="10">
        <f ca="1">IF((N334-J335)&lt;0,(N334-J335)*_Costo_Faltante,0)</f>
        <v>0</v>
      </c>
      <c r="S335">
        <f>IF(U335=0,X335*_Costo_Frasco,0)</f>
        <v>0</v>
      </c>
      <c r="T335" s="11">
        <f t="shared" ca="1" si="69"/>
        <v>-29077.89173507681</v>
      </c>
      <c r="U335" s="10">
        <f>IF(U334=0,_Proxima_Compra,U334-1)</f>
        <v>2</v>
      </c>
      <c r="V335" s="3">
        <f t="shared" ca="1" si="64"/>
        <v>-1</v>
      </c>
      <c r="W335" s="3">
        <f ca="1">IF(W334&gt;0,W334-1,IF(V335&gt;0,LOOKUP(V335,$R$3:$R$5,$O$3:$O$5),-1))</f>
        <v>-1</v>
      </c>
      <c r="X335" s="25">
        <f t="shared" ca="1" si="65"/>
        <v>0</v>
      </c>
      <c r="Y335" s="28">
        <f ca="1">X335*_GramosXFrasco</f>
        <v>0</v>
      </c>
    </row>
    <row r="336" spans="1:25" x14ac:dyDescent="0.25">
      <c r="A336" s="30">
        <f t="shared" si="66"/>
        <v>320</v>
      </c>
      <c r="B336" s="38">
        <f t="shared" ca="1" si="59"/>
        <v>0.43132332740844004</v>
      </c>
      <c r="C336" s="36">
        <f t="shared" ca="1" si="60"/>
        <v>-1</v>
      </c>
      <c r="D336" s="36">
        <f t="shared" ca="1" si="61"/>
        <v>-1</v>
      </c>
      <c r="E336" s="36">
        <f t="shared" ca="1" si="70"/>
        <v>-1</v>
      </c>
      <c r="F336" s="37">
        <f ca="1">IF(E336&lt;&gt;-1,_Media_M + E336*_Sigma,-1)</f>
        <v>-1</v>
      </c>
      <c r="G336" s="3">
        <f t="shared" ca="1" si="62"/>
        <v>50</v>
      </c>
      <c r="H336" s="36">
        <f t="shared" ca="1" si="71"/>
        <v>50</v>
      </c>
      <c r="I336" s="36">
        <f t="shared" ca="1" si="63"/>
        <v>15.86624294994475</v>
      </c>
      <c r="J336" s="35">
        <f t="shared" ca="1" si="72"/>
        <v>65.866242949944748</v>
      </c>
      <c r="K336" s="19">
        <f t="shared" ca="1" si="67"/>
        <v>65.866242949944748</v>
      </c>
      <c r="L336" s="20">
        <f ca="1" xml:space="preserve"> K336*_Precio_cafe</f>
        <v>98.799364424917115</v>
      </c>
      <c r="M336" s="20">
        <f t="shared" ca="1" si="68"/>
        <v>45583.807344708533</v>
      </c>
      <c r="N336" s="20">
        <f ca="1">IF((N335-K336+Y336)&gt;_Max_Stock_Gramos,_Max_Stock_Gramos,N335-K336+Y336)</f>
        <v>1543.0805122474555</v>
      </c>
      <c r="O336" s="20">
        <f ca="1">N336/_GramosXFrasco</f>
        <v>9.0769441896909147</v>
      </c>
      <c r="P336" s="63">
        <f ca="1">(N336/_Max_Stock_Gramos)</f>
        <v>0.90769441896909153</v>
      </c>
      <c r="Q336" s="63"/>
      <c r="R336" s="10">
        <f ca="1">IF((N335-J336)&lt;0,(N335-J336)*_Costo_Faltante,0)</f>
        <v>0</v>
      </c>
      <c r="S336">
        <f>IF(U336=0,X336*_Costo_Frasco,0)</f>
        <v>0</v>
      </c>
      <c r="T336" s="11">
        <f t="shared" ca="1" si="69"/>
        <v>-29077.89173507681</v>
      </c>
      <c r="U336" s="10">
        <f>IF(U335=0,_Proxima_Compra,U335-1)</f>
        <v>1</v>
      </c>
      <c r="V336" s="3">
        <f t="shared" ca="1" si="64"/>
        <v>-1</v>
      </c>
      <c r="W336" s="3">
        <f ca="1">IF(W335&gt;0,W335-1,IF(V336&gt;0,LOOKUP(V336,$R$3:$R$5,$O$3:$O$5),-1))</f>
        <v>-1</v>
      </c>
      <c r="X336" s="25">
        <f t="shared" ca="1" si="65"/>
        <v>0</v>
      </c>
      <c r="Y336" s="28">
        <f ca="1">X336*_GramosXFrasco</f>
        <v>0</v>
      </c>
    </row>
    <row r="337" spans="1:25" x14ac:dyDescent="0.25">
      <c r="A337" s="30">
        <f t="shared" si="66"/>
        <v>321</v>
      </c>
      <c r="B337" s="38">
        <f t="shared" ref="B337:B400" ca="1" si="73">RAND()</f>
        <v>0.31137671215674223</v>
      </c>
      <c r="C337" s="36">
        <f t="shared" ref="C337:C400" ca="1" si="74">IF(B337&gt;0.5,RAND(),-1)</f>
        <v>-1</v>
      </c>
      <c r="D337" s="36">
        <f t="shared" ref="D337:D400" ca="1" si="75">IF(B337&gt;0.5,RAND(),-1)</f>
        <v>-1</v>
      </c>
      <c r="E337" s="36">
        <f t="shared" ca="1" si="70"/>
        <v>-1</v>
      </c>
      <c r="F337" s="37">
        <f ca="1">IF(E337&lt;&gt;-1,_Media_M + E337*_Sigma,-1)</f>
        <v>-1</v>
      </c>
      <c r="G337" s="3">
        <f t="shared" ref="G337:G400" ca="1" si="76">IF(F337=-1,50,-1)</f>
        <v>50</v>
      </c>
      <c r="H337" s="36">
        <f t="shared" ca="1" si="71"/>
        <v>50</v>
      </c>
      <c r="I337" s="36">
        <f t="shared" ref="I337:I400" ca="1" si="77">(-1/(1/70)*(LOG(1-RAND())))</f>
        <v>85.85273181965259</v>
      </c>
      <c r="J337" s="35">
        <f t="shared" ca="1" si="72"/>
        <v>135.8527318196526</v>
      </c>
      <c r="K337" s="19">
        <f t="shared" ca="1" si="67"/>
        <v>135.8527318196526</v>
      </c>
      <c r="L337" s="20">
        <f ca="1" xml:space="preserve"> K337*_Precio_cafe</f>
        <v>203.77909772947891</v>
      </c>
      <c r="M337" s="20">
        <f t="shared" ca="1" si="68"/>
        <v>45787.586442438012</v>
      </c>
      <c r="N337" s="20">
        <f ca="1">IF((N336-K337+Y337)&gt;_Max_Stock_Gramos,_Max_Stock_Gramos,N336-K337+Y337)</f>
        <v>1700</v>
      </c>
      <c r="O337" s="20">
        <f ca="1">N337/_GramosXFrasco</f>
        <v>10</v>
      </c>
      <c r="P337" s="63">
        <f ca="1">(N337/_Max_Stock_Gramos)</f>
        <v>1</v>
      </c>
      <c r="Q337" s="63"/>
      <c r="R337" s="10">
        <f ca="1">IF((N336-J337)&lt;0,(N336-J337)*_Costo_Faltante,0)</f>
        <v>0</v>
      </c>
      <c r="S337">
        <f ca="1">IF(U337=0,X337*_Costo_Frasco,0)</f>
        <v>-500</v>
      </c>
      <c r="T337" s="11">
        <f t="shared" ca="1" si="69"/>
        <v>-29577.89173507681</v>
      </c>
      <c r="U337" s="10">
        <f>IF(U336=0,_Proxima_Compra,U336-1)</f>
        <v>0</v>
      </c>
      <c r="V337" s="3">
        <f t="shared" ref="V337:V400" ca="1" si="78">IF(U337=0,RAND(),-1)</f>
        <v>0.37141540690025865</v>
      </c>
      <c r="W337" s="3">
        <f ca="1">IF(W336&gt;0,W336-1,IF(V337&gt;0,LOOKUP(V337,$R$3:$R$5,$O$3:$O$5),-1))</f>
        <v>0</v>
      </c>
      <c r="X337" s="25">
        <f t="shared" ref="X337:X400" ca="1" si="79">IF(W337=0,2,)</f>
        <v>2</v>
      </c>
      <c r="Y337" s="28">
        <f ca="1">X337*_GramosXFrasco</f>
        <v>340</v>
      </c>
    </row>
    <row r="338" spans="1:25" x14ac:dyDescent="0.25">
      <c r="A338" s="30">
        <f t="shared" ref="A338:A401" si="80">A337+1</f>
        <v>322</v>
      </c>
      <c r="B338" s="38">
        <f t="shared" ca="1" si="73"/>
        <v>0.20690337472057296</v>
      </c>
      <c r="C338" s="36">
        <f t="shared" ca="1" si="74"/>
        <v>-1</v>
      </c>
      <c r="D338" s="36">
        <f t="shared" ca="1" si="75"/>
        <v>-1</v>
      </c>
      <c r="E338" s="36">
        <f t="shared" ca="1" si="70"/>
        <v>-1</v>
      </c>
      <c r="F338" s="37">
        <f ca="1">IF(E338&lt;&gt;-1,_Media_M + E338*_Sigma,-1)</f>
        <v>-1</v>
      </c>
      <c r="G338" s="3">
        <f t="shared" ca="1" si="76"/>
        <v>50</v>
      </c>
      <c r="H338" s="36">
        <f t="shared" ca="1" si="71"/>
        <v>50</v>
      </c>
      <c r="I338" s="36">
        <f t="shared" ca="1" si="77"/>
        <v>39.247362827430862</v>
      </c>
      <c r="J338" s="35">
        <f t="shared" ca="1" si="72"/>
        <v>89.247362827430862</v>
      </c>
      <c r="K338" s="19">
        <f t="shared" ref="K338:K401" ca="1" si="81">IF(J338&lt;N337,J338,N337)</f>
        <v>89.247362827430862</v>
      </c>
      <c r="L338" s="20">
        <f ca="1" xml:space="preserve"> K338*_Precio_cafe</f>
        <v>133.87104424114631</v>
      </c>
      <c r="M338" s="20">
        <f t="shared" ref="M338:M401" ca="1" si="82">L338+M337</f>
        <v>45921.457486679159</v>
      </c>
      <c r="N338" s="20">
        <f ca="1">IF((N337-K338+Y338)&gt;_Max_Stock_Gramos,_Max_Stock_Gramos,N337-K338+Y338)</f>
        <v>1610.7526371725692</v>
      </c>
      <c r="O338" s="20">
        <f ca="1">N338/_GramosXFrasco</f>
        <v>9.4750155127798195</v>
      </c>
      <c r="P338" s="63">
        <f ca="1">(N338/_Max_Stock_Gramos)</f>
        <v>0.94750155127798186</v>
      </c>
      <c r="Q338" s="63"/>
      <c r="R338" s="10">
        <f ca="1">IF((N337-J338)&lt;0,(N337-J338)*_Costo_Faltante,0)</f>
        <v>0</v>
      </c>
      <c r="S338">
        <f>IF(U338=0,X338*_Costo_Frasco,0)</f>
        <v>0</v>
      </c>
      <c r="T338" s="11">
        <f t="shared" ref="T338:T401" ca="1" si="83">R338+S338+T337</f>
        <v>-29577.89173507681</v>
      </c>
      <c r="U338" s="10">
        <f>IF(U337=0,_Proxima_Compra,U337-1)</f>
        <v>2</v>
      </c>
      <c r="V338" s="3">
        <f t="shared" ca="1" si="78"/>
        <v>-1</v>
      </c>
      <c r="W338" s="3">
        <f ca="1">IF(W337&gt;0,W337-1,IF(V338&gt;0,LOOKUP(V338,$R$3:$R$5,$O$3:$O$5),-1))</f>
        <v>-1</v>
      </c>
      <c r="X338" s="25">
        <f t="shared" ca="1" si="79"/>
        <v>0</v>
      </c>
      <c r="Y338" s="28">
        <f ca="1">X338*_GramosXFrasco</f>
        <v>0</v>
      </c>
    </row>
    <row r="339" spans="1:25" x14ac:dyDescent="0.25">
      <c r="A339" s="30">
        <f t="shared" si="80"/>
        <v>323</v>
      </c>
      <c r="B339" s="38">
        <f t="shared" ca="1" si="73"/>
        <v>0.72870640880980708</v>
      </c>
      <c r="C339" s="36">
        <f t="shared" ca="1" si="74"/>
        <v>0.64791586248034727</v>
      </c>
      <c r="D339" s="36">
        <f t="shared" ca="1" si="75"/>
        <v>0.21008112732797679</v>
      </c>
      <c r="E339" s="36">
        <f t="shared" ca="1" si="70"/>
        <v>0.23633525480801118</v>
      </c>
      <c r="F339" s="37">
        <f ca="1">IF(E339&lt;&gt;-1,_Media_M + E339*_Sigma,-1)</f>
        <v>78.545028822120173</v>
      </c>
      <c r="G339" s="3">
        <f t="shared" ca="1" si="76"/>
        <v>-1</v>
      </c>
      <c r="H339" s="36">
        <f t="shared" ca="1" si="71"/>
        <v>78.545028822120173</v>
      </c>
      <c r="I339" s="36">
        <f t="shared" ca="1" si="77"/>
        <v>7.0925819701411719</v>
      </c>
      <c r="J339" s="35">
        <f t="shared" ca="1" si="72"/>
        <v>85.637610792261341</v>
      </c>
      <c r="K339" s="19">
        <f t="shared" ca="1" si="81"/>
        <v>85.637610792261341</v>
      </c>
      <c r="L339" s="20">
        <f ca="1" xml:space="preserve"> K339*_Precio_cafe</f>
        <v>128.45641618839201</v>
      </c>
      <c r="M339" s="20">
        <f t="shared" ca="1" si="82"/>
        <v>46049.913902867549</v>
      </c>
      <c r="N339" s="20">
        <f ca="1">IF((N338-K339+Y339)&gt;_Max_Stock_Gramos,_Max_Stock_Gramos,N338-K339+Y339)</f>
        <v>1525.1150263803079</v>
      </c>
      <c r="O339" s="20">
        <f ca="1">N339/_GramosXFrasco</f>
        <v>8.971264861060634</v>
      </c>
      <c r="P339" s="63">
        <f ca="1">(N339/_Max_Stock_Gramos)</f>
        <v>0.89712648610606349</v>
      </c>
      <c r="Q339" s="63"/>
      <c r="R339" s="10">
        <f ca="1">IF((N338-J339)&lt;0,(N338-J339)*_Costo_Faltante,0)</f>
        <v>0</v>
      </c>
      <c r="S339">
        <f>IF(U339=0,X339*_Costo_Frasco,0)</f>
        <v>0</v>
      </c>
      <c r="T339" s="11">
        <f t="shared" ca="1" si="83"/>
        <v>-29577.89173507681</v>
      </c>
      <c r="U339" s="10">
        <f>IF(U338=0,_Proxima_Compra,U338-1)</f>
        <v>1</v>
      </c>
      <c r="V339" s="3">
        <f t="shared" ca="1" si="78"/>
        <v>-1</v>
      </c>
      <c r="W339" s="3">
        <f ca="1">IF(W338&gt;0,W338-1,IF(V339&gt;0,LOOKUP(V339,$R$3:$R$5,$O$3:$O$5),-1))</f>
        <v>-1</v>
      </c>
      <c r="X339" s="25">
        <f t="shared" ca="1" si="79"/>
        <v>0</v>
      </c>
      <c r="Y339" s="28">
        <f ca="1">X339*_GramosXFrasco</f>
        <v>0</v>
      </c>
    </row>
    <row r="340" spans="1:25" x14ac:dyDescent="0.25">
      <c r="A340" s="30">
        <f t="shared" si="80"/>
        <v>324</v>
      </c>
      <c r="B340" s="38">
        <f t="shared" ca="1" si="73"/>
        <v>0.42691206707226426</v>
      </c>
      <c r="C340" s="36">
        <f t="shared" ca="1" si="74"/>
        <v>-1</v>
      </c>
      <c r="D340" s="36">
        <f t="shared" ca="1" si="75"/>
        <v>-1</v>
      </c>
      <c r="E340" s="36">
        <f t="shared" ca="1" si="70"/>
        <v>-1</v>
      </c>
      <c r="F340" s="37">
        <f ca="1">IF(E340&lt;&gt;-1,_Media_M + E340*_Sigma,-1)</f>
        <v>-1</v>
      </c>
      <c r="G340" s="3">
        <f t="shared" ca="1" si="76"/>
        <v>50</v>
      </c>
      <c r="H340" s="36">
        <f t="shared" ca="1" si="71"/>
        <v>50</v>
      </c>
      <c r="I340" s="36">
        <f t="shared" ca="1" si="77"/>
        <v>2.3681801284111605</v>
      </c>
      <c r="J340" s="35">
        <f t="shared" ca="1" si="72"/>
        <v>52.368180128411161</v>
      </c>
      <c r="K340" s="19">
        <f t="shared" ca="1" si="81"/>
        <v>52.368180128411161</v>
      </c>
      <c r="L340" s="20">
        <f ca="1" xml:space="preserve"> K340*_Precio_cafe</f>
        <v>78.552270192616746</v>
      </c>
      <c r="M340" s="20">
        <f t="shared" ca="1" si="82"/>
        <v>46128.466173060166</v>
      </c>
      <c r="N340" s="20">
        <f ca="1">IF((N339-K340+Y340)&gt;_Max_Stock_Gramos,_Max_Stock_Gramos,N339-K340+Y340)</f>
        <v>1700</v>
      </c>
      <c r="O340" s="20">
        <f ca="1">N340/_GramosXFrasco</f>
        <v>10</v>
      </c>
      <c r="P340" s="63">
        <f ca="1">(N340/_Max_Stock_Gramos)</f>
        <v>1</v>
      </c>
      <c r="Q340" s="63"/>
      <c r="R340" s="10">
        <f ca="1">IF((N339-J340)&lt;0,(N339-J340)*_Costo_Faltante,0)</f>
        <v>0</v>
      </c>
      <c r="S340">
        <f ca="1">IF(U340=0,X340*_Costo_Frasco,0)</f>
        <v>-500</v>
      </c>
      <c r="T340" s="11">
        <f t="shared" ca="1" si="83"/>
        <v>-30077.89173507681</v>
      </c>
      <c r="U340" s="10">
        <f>IF(U339=0,_Proxima_Compra,U339-1)</f>
        <v>0</v>
      </c>
      <c r="V340" s="3">
        <f t="shared" ca="1" si="78"/>
        <v>8.0219377641962075E-2</v>
      </c>
      <c r="W340" s="3">
        <f ca="1">IF(W339&gt;0,W339-1,IF(V340&gt;0,LOOKUP(V340,$R$3:$R$5,$O$3:$O$5),-1))</f>
        <v>0</v>
      </c>
      <c r="X340" s="25">
        <f t="shared" ca="1" si="79"/>
        <v>2</v>
      </c>
      <c r="Y340" s="28">
        <f ca="1">X340*_GramosXFrasco</f>
        <v>340</v>
      </c>
    </row>
    <row r="341" spans="1:25" x14ac:dyDescent="0.25">
      <c r="A341" s="30">
        <f t="shared" si="80"/>
        <v>325</v>
      </c>
      <c r="B341" s="38">
        <f t="shared" ca="1" si="73"/>
        <v>0.73384190553715023</v>
      </c>
      <c r="C341" s="36">
        <f t="shared" ca="1" si="74"/>
        <v>0.10714721882693068</v>
      </c>
      <c r="D341" s="36">
        <f t="shared" ca="1" si="75"/>
        <v>0.26740828175798259</v>
      </c>
      <c r="E341" s="36">
        <f t="shared" ca="1" si="70"/>
        <v>-3.4249630883491408E-2</v>
      </c>
      <c r="F341" s="37">
        <f ca="1">IF(E341&lt;&gt;-1,_Media_M + E341*_Sigma,-1)</f>
        <v>74.486255536747635</v>
      </c>
      <c r="G341" s="3">
        <f t="shared" ca="1" si="76"/>
        <v>-1</v>
      </c>
      <c r="H341" s="36">
        <f t="shared" ca="1" si="71"/>
        <v>74.486255536747635</v>
      </c>
      <c r="I341" s="36">
        <f t="shared" ca="1" si="77"/>
        <v>39.601017943654377</v>
      </c>
      <c r="J341" s="35">
        <f t="shared" ca="1" si="72"/>
        <v>114.08727348040202</v>
      </c>
      <c r="K341" s="19">
        <f t="shared" ca="1" si="81"/>
        <v>114.08727348040202</v>
      </c>
      <c r="L341" s="20">
        <f ca="1" xml:space="preserve"> K341*_Precio_cafe</f>
        <v>171.13091022060303</v>
      </c>
      <c r="M341" s="20">
        <f t="shared" ca="1" si="82"/>
        <v>46299.597083280765</v>
      </c>
      <c r="N341" s="20">
        <f ca="1">IF((N340-K341+Y341)&gt;_Max_Stock_Gramos,_Max_Stock_Gramos,N340-K341+Y341)</f>
        <v>1585.912726519598</v>
      </c>
      <c r="O341" s="20">
        <f ca="1">N341/_GramosXFrasco</f>
        <v>9.3288983912917534</v>
      </c>
      <c r="P341" s="63">
        <f ca="1">(N341/_Max_Stock_Gramos)</f>
        <v>0.93288983912917534</v>
      </c>
      <c r="Q341" s="63"/>
      <c r="R341" s="10">
        <f ca="1">IF((N340-J341)&lt;0,(N340-J341)*_Costo_Faltante,0)</f>
        <v>0</v>
      </c>
      <c r="S341">
        <f>IF(U341=0,X341*_Costo_Frasco,0)</f>
        <v>0</v>
      </c>
      <c r="T341" s="11">
        <f t="shared" ca="1" si="83"/>
        <v>-30077.89173507681</v>
      </c>
      <c r="U341" s="10">
        <f>IF(U340=0,_Proxima_Compra,U340-1)</f>
        <v>2</v>
      </c>
      <c r="V341" s="3">
        <f t="shared" ca="1" si="78"/>
        <v>-1</v>
      </c>
      <c r="W341" s="3">
        <f ca="1">IF(W340&gt;0,W340-1,IF(V341&gt;0,LOOKUP(V341,$R$3:$R$5,$O$3:$O$5),-1))</f>
        <v>-1</v>
      </c>
      <c r="X341" s="25">
        <f t="shared" ca="1" si="79"/>
        <v>0</v>
      </c>
      <c r="Y341" s="28">
        <f ca="1">X341*_GramosXFrasco</f>
        <v>0</v>
      </c>
    </row>
    <row r="342" spans="1:25" x14ac:dyDescent="0.25">
      <c r="A342" s="30">
        <f t="shared" si="80"/>
        <v>326</v>
      </c>
      <c r="B342" s="38">
        <f t="shared" ca="1" si="73"/>
        <v>0.3228311967442502</v>
      </c>
      <c r="C342" s="36">
        <f t="shared" ca="1" si="74"/>
        <v>-1</v>
      </c>
      <c r="D342" s="36">
        <f t="shared" ca="1" si="75"/>
        <v>-1</v>
      </c>
      <c r="E342" s="36">
        <f t="shared" ca="1" si="70"/>
        <v>-1</v>
      </c>
      <c r="F342" s="37">
        <f ca="1">IF(E342&lt;&gt;-1,_Media_M + E342*_Sigma,-1)</f>
        <v>-1</v>
      </c>
      <c r="G342" s="3">
        <f t="shared" ca="1" si="76"/>
        <v>50</v>
      </c>
      <c r="H342" s="36">
        <f t="shared" ca="1" si="71"/>
        <v>50</v>
      </c>
      <c r="I342" s="36">
        <f t="shared" ca="1" si="77"/>
        <v>68.869383382348261</v>
      </c>
      <c r="J342" s="35">
        <f t="shared" ca="1" si="72"/>
        <v>118.86938338234826</v>
      </c>
      <c r="K342" s="19">
        <f t="shared" ca="1" si="81"/>
        <v>118.86938338234826</v>
      </c>
      <c r="L342" s="20">
        <f ca="1" xml:space="preserve"> K342*_Precio_cafe</f>
        <v>178.3040750735224</v>
      </c>
      <c r="M342" s="20">
        <f t="shared" ca="1" si="82"/>
        <v>46477.901158354289</v>
      </c>
      <c r="N342" s="20">
        <f ca="1">IF((N341-K342+Y342)&gt;_Max_Stock_Gramos,_Max_Stock_Gramos,N341-K342+Y342)</f>
        <v>1467.0433431372496</v>
      </c>
      <c r="O342" s="20">
        <f ca="1">N342/_GramosXFrasco</f>
        <v>8.6296667243367633</v>
      </c>
      <c r="P342" s="63">
        <f ca="1">(N342/_Max_Stock_Gramos)</f>
        <v>0.8629666724336762</v>
      </c>
      <c r="Q342" s="63"/>
      <c r="R342" s="10">
        <f ca="1">IF((N341-J342)&lt;0,(N341-J342)*_Costo_Faltante,0)</f>
        <v>0</v>
      </c>
      <c r="S342">
        <f>IF(U342=0,X342*_Costo_Frasco,0)</f>
        <v>0</v>
      </c>
      <c r="T342" s="11">
        <f t="shared" ca="1" si="83"/>
        <v>-30077.89173507681</v>
      </c>
      <c r="U342" s="10">
        <f>IF(U341=0,_Proxima_Compra,U341-1)</f>
        <v>1</v>
      </c>
      <c r="V342" s="3">
        <f t="shared" ca="1" si="78"/>
        <v>-1</v>
      </c>
      <c r="W342" s="3">
        <f ca="1">IF(W341&gt;0,W341-1,IF(V342&gt;0,LOOKUP(V342,$R$3:$R$5,$O$3:$O$5),-1))</f>
        <v>-1</v>
      </c>
      <c r="X342" s="25">
        <f t="shared" ca="1" si="79"/>
        <v>0</v>
      </c>
      <c r="Y342" s="28">
        <f ca="1">X342*_GramosXFrasco</f>
        <v>0</v>
      </c>
    </row>
    <row r="343" spans="1:25" x14ac:dyDescent="0.25">
      <c r="A343" s="30">
        <f t="shared" si="80"/>
        <v>327</v>
      </c>
      <c r="B343" s="38">
        <f t="shared" ca="1" si="73"/>
        <v>0.99306854449113413</v>
      </c>
      <c r="C343" s="36">
        <f t="shared" ca="1" si="74"/>
        <v>0.47050036326682021</v>
      </c>
      <c r="D343" s="36">
        <f t="shared" ca="1" si="75"/>
        <v>0.28239088039772964</v>
      </c>
      <c r="E343" s="36">
        <f t="shared" ca="1" si="70"/>
        <v>-0.15020196928082535</v>
      </c>
      <c r="F343" s="37">
        <f ca="1">IF(E343&lt;&gt;-1,_Media_M + E343*_Sigma,-1)</f>
        <v>72.746970460787622</v>
      </c>
      <c r="G343" s="3">
        <f t="shared" ca="1" si="76"/>
        <v>-1</v>
      </c>
      <c r="H343" s="36">
        <f t="shared" ca="1" si="71"/>
        <v>72.746970460787622</v>
      </c>
      <c r="I343" s="36">
        <f t="shared" ca="1" si="77"/>
        <v>66.535186916092002</v>
      </c>
      <c r="J343" s="35">
        <f t="shared" ca="1" si="72"/>
        <v>139.28215737687964</v>
      </c>
      <c r="K343" s="19">
        <f t="shared" ca="1" si="81"/>
        <v>139.28215737687964</v>
      </c>
      <c r="L343" s="20">
        <f ca="1" xml:space="preserve"> K343*_Precio_cafe</f>
        <v>208.92323606531946</v>
      </c>
      <c r="M343" s="20">
        <f t="shared" ca="1" si="82"/>
        <v>46686.824394419607</v>
      </c>
      <c r="N343" s="20">
        <f ca="1">IF((N342-K343+Y343)&gt;_Max_Stock_Gramos,_Max_Stock_Gramos,N342-K343+Y343)</f>
        <v>1327.7611857603699</v>
      </c>
      <c r="O343" s="20">
        <f ca="1">N343/_GramosXFrasco</f>
        <v>7.8103599162374699</v>
      </c>
      <c r="P343" s="63">
        <f ca="1">(N343/_Max_Stock_Gramos)</f>
        <v>0.78103599162374704</v>
      </c>
      <c r="Q343" s="63"/>
      <c r="R343" s="10">
        <f ca="1">IF((N342-J343)&lt;0,(N342-J343)*_Costo_Faltante,0)</f>
        <v>0</v>
      </c>
      <c r="S343">
        <f ca="1">IF(U343=0,X343*_Costo_Frasco,0)</f>
        <v>0</v>
      </c>
      <c r="T343" s="11">
        <f t="shared" ca="1" si="83"/>
        <v>-30077.89173507681</v>
      </c>
      <c r="U343" s="10">
        <f>IF(U342=0,_Proxima_Compra,U342-1)</f>
        <v>0</v>
      </c>
      <c r="V343" s="3">
        <f t="shared" ca="1" si="78"/>
        <v>0.96058311194245571</v>
      </c>
      <c r="W343" s="3">
        <f ca="1">IF(W342&gt;0,W342-1,IF(V343&gt;0,LOOKUP(V343,$R$3:$R$5,$O$3:$O$5),-1))</f>
        <v>2</v>
      </c>
      <c r="X343" s="25">
        <f t="shared" ca="1" si="79"/>
        <v>0</v>
      </c>
      <c r="Y343" s="28">
        <f ca="1">X343*_GramosXFrasco</f>
        <v>0</v>
      </c>
    </row>
    <row r="344" spans="1:25" x14ac:dyDescent="0.25">
      <c r="A344" s="30">
        <f t="shared" si="80"/>
        <v>328</v>
      </c>
      <c r="B344" s="38">
        <f t="shared" ca="1" si="73"/>
        <v>0.73644643269742516</v>
      </c>
      <c r="C344" s="36">
        <f t="shared" ca="1" si="74"/>
        <v>0.8710065548539121</v>
      </c>
      <c r="D344" s="36">
        <f t="shared" ca="1" si="75"/>
        <v>0.17394817074048274</v>
      </c>
      <c r="E344" s="36">
        <f t="shared" ca="1" si="70"/>
        <v>0.61334616203394021</v>
      </c>
      <c r="F344" s="37">
        <f ca="1">IF(E344&lt;&gt;-1,_Media_M + E344*_Sigma,-1)</f>
        <v>84.200192430509105</v>
      </c>
      <c r="G344" s="3">
        <f t="shared" ca="1" si="76"/>
        <v>-1</v>
      </c>
      <c r="H344" s="36">
        <f t="shared" ca="1" si="71"/>
        <v>84.200192430509105</v>
      </c>
      <c r="I344" s="36">
        <f t="shared" ca="1" si="77"/>
        <v>23.807252858181261</v>
      </c>
      <c r="J344" s="35">
        <f t="shared" ca="1" si="72"/>
        <v>108.00744528869036</v>
      </c>
      <c r="K344" s="19">
        <f t="shared" ca="1" si="81"/>
        <v>108.00744528869036</v>
      </c>
      <c r="L344" s="20">
        <f ca="1" xml:space="preserve"> K344*_Precio_cafe</f>
        <v>162.01116793303555</v>
      </c>
      <c r="M344" s="20">
        <f t="shared" ca="1" si="82"/>
        <v>46848.835562352644</v>
      </c>
      <c r="N344" s="20">
        <f ca="1">IF((N343-K344+Y344)&gt;_Max_Stock_Gramos,_Max_Stock_Gramos,N343-K344+Y344)</f>
        <v>1219.7537404716795</v>
      </c>
      <c r="O344" s="20">
        <f ca="1">N344/_GramosXFrasco</f>
        <v>7.1750220027745852</v>
      </c>
      <c r="P344" s="63">
        <f ca="1">(N344/_Max_Stock_Gramos)</f>
        <v>0.71750220027745859</v>
      </c>
      <c r="Q344" s="63"/>
      <c r="R344" s="10">
        <f ca="1">IF((N343-J344)&lt;0,(N343-J344)*_Costo_Faltante,0)</f>
        <v>0</v>
      </c>
      <c r="S344">
        <f>IF(U344=0,X344*_Costo_Frasco,0)</f>
        <v>0</v>
      </c>
      <c r="T344" s="11">
        <f t="shared" ca="1" si="83"/>
        <v>-30077.89173507681</v>
      </c>
      <c r="U344" s="10">
        <f>IF(U343=0,_Proxima_Compra,U343-1)</f>
        <v>2</v>
      </c>
      <c r="V344" s="3">
        <f t="shared" ca="1" si="78"/>
        <v>-1</v>
      </c>
      <c r="W344" s="3">
        <f ca="1">IF(W343&gt;0,W343-1,IF(V344&gt;0,LOOKUP(V344,$R$3:$R$5,$O$3:$O$5),-1))</f>
        <v>1</v>
      </c>
      <c r="X344" s="25">
        <f t="shared" ca="1" si="79"/>
        <v>0</v>
      </c>
      <c r="Y344" s="28">
        <f ca="1">X344*_GramosXFrasco</f>
        <v>0</v>
      </c>
    </row>
    <row r="345" spans="1:25" x14ac:dyDescent="0.25">
      <c r="A345" s="30">
        <f t="shared" si="80"/>
        <v>329</v>
      </c>
      <c r="B345" s="38">
        <f t="shared" ca="1" si="73"/>
        <v>0.83285564756225561</v>
      </c>
      <c r="C345" s="36">
        <f t="shared" ca="1" si="74"/>
        <v>0.40801882933195877</v>
      </c>
      <c r="D345" s="36">
        <f t="shared" ca="1" si="75"/>
        <v>0.38200561331083815</v>
      </c>
      <c r="E345" s="36">
        <f t="shared" ca="1" si="70"/>
        <v>-0.49770586679170076</v>
      </c>
      <c r="F345" s="37">
        <f ca="1">IF(E345&lt;&gt;-1,_Media_M + E345*_Sigma,-1)</f>
        <v>67.534411998124483</v>
      </c>
      <c r="G345" s="3">
        <f t="shared" ca="1" si="76"/>
        <v>-1</v>
      </c>
      <c r="H345" s="36">
        <f t="shared" ca="1" si="71"/>
        <v>67.534411998124483</v>
      </c>
      <c r="I345" s="36">
        <f t="shared" ca="1" si="77"/>
        <v>94.180919876727756</v>
      </c>
      <c r="J345" s="35">
        <f t="shared" ca="1" si="72"/>
        <v>161.71533187485224</v>
      </c>
      <c r="K345" s="19">
        <f t="shared" ca="1" si="81"/>
        <v>161.71533187485224</v>
      </c>
      <c r="L345" s="20">
        <f ca="1" xml:space="preserve"> K345*_Precio_cafe</f>
        <v>242.57299781227835</v>
      </c>
      <c r="M345" s="20">
        <f t="shared" ca="1" si="82"/>
        <v>47091.40856016492</v>
      </c>
      <c r="N345" s="20">
        <f ca="1">IF((N344-K345+Y345)&gt;_Max_Stock_Gramos,_Max_Stock_Gramos,N344-K345+Y345)</f>
        <v>1398.0384085968274</v>
      </c>
      <c r="O345" s="20">
        <f ca="1">N345/_GramosXFrasco</f>
        <v>8.2237553446872198</v>
      </c>
      <c r="P345" s="63">
        <f ca="1">(N345/_Max_Stock_Gramos)</f>
        <v>0.82237553446872202</v>
      </c>
      <c r="Q345" s="63"/>
      <c r="R345" s="10">
        <f ca="1">IF((N344-J345)&lt;0,(N344-J345)*_Costo_Faltante,0)</f>
        <v>0</v>
      </c>
      <c r="S345">
        <f>IF(U345=0,X345*_Costo_Frasco,0)</f>
        <v>0</v>
      </c>
      <c r="T345" s="11">
        <f t="shared" ca="1" si="83"/>
        <v>-30077.89173507681</v>
      </c>
      <c r="U345" s="10">
        <f>IF(U344=0,_Proxima_Compra,U344-1)</f>
        <v>1</v>
      </c>
      <c r="V345" s="3">
        <f t="shared" ca="1" si="78"/>
        <v>-1</v>
      </c>
      <c r="W345" s="3">
        <f ca="1">IF(W344&gt;0,W344-1,IF(V345&gt;0,LOOKUP(V345,$R$3:$R$5,$O$3:$O$5),-1))</f>
        <v>0</v>
      </c>
      <c r="X345" s="25">
        <f t="shared" ca="1" si="79"/>
        <v>2</v>
      </c>
      <c r="Y345" s="28">
        <f ca="1">X345*_GramosXFrasco</f>
        <v>340</v>
      </c>
    </row>
    <row r="346" spans="1:25" x14ac:dyDescent="0.25">
      <c r="A346" s="30">
        <f t="shared" si="80"/>
        <v>330</v>
      </c>
      <c r="B346" s="38">
        <f t="shared" ca="1" si="73"/>
        <v>0.96113483201924765</v>
      </c>
      <c r="C346" s="36">
        <f t="shared" ca="1" si="74"/>
        <v>2.5859019184039655E-2</v>
      </c>
      <c r="D346" s="36">
        <f t="shared" ca="1" si="75"/>
        <v>0.5893995140045164</v>
      </c>
      <c r="E346" s="36">
        <f t="shared" ca="1" si="70"/>
        <v>-0.12767274947735202</v>
      </c>
      <c r="F346" s="37">
        <f ca="1">IF(E346&lt;&gt;-1,_Media_M + E346*_Sigma,-1)</f>
        <v>73.084908757839713</v>
      </c>
      <c r="G346" s="3">
        <f t="shared" ca="1" si="76"/>
        <v>-1</v>
      </c>
      <c r="H346" s="36">
        <f t="shared" ca="1" si="71"/>
        <v>73.084908757839713</v>
      </c>
      <c r="I346" s="36">
        <f t="shared" ca="1" si="77"/>
        <v>79.303100846428691</v>
      </c>
      <c r="J346" s="35">
        <f t="shared" ca="1" si="72"/>
        <v>152.3880096042684</v>
      </c>
      <c r="K346" s="19">
        <f t="shared" ca="1" si="81"/>
        <v>152.3880096042684</v>
      </c>
      <c r="L346" s="20">
        <f ca="1" xml:space="preserve"> K346*_Precio_cafe</f>
        <v>228.58201440640261</v>
      </c>
      <c r="M346" s="20">
        <f t="shared" ca="1" si="82"/>
        <v>47319.990574571326</v>
      </c>
      <c r="N346" s="20">
        <f ca="1">IF((N345-K346+Y346)&gt;_Max_Stock_Gramos,_Max_Stock_Gramos,N345-K346+Y346)</f>
        <v>1245.6503989925591</v>
      </c>
      <c r="O346" s="20">
        <f ca="1">N346/_GramosXFrasco</f>
        <v>7.3273552881915238</v>
      </c>
      <c r="P346" s="63">
        <f ca="1">(N346/_Max_Stock_Gramos)</f>
        <v>0.73273552881915238</v>
      </c>
      <c r="Q346" s="63"/>
      <c r="R346" s="10">
        <f ca="1">IF((N345-J346)&lt;0,(N345-J346)*_Costo_Faltante,0)</f>
        <v>0</v>
      </c>
      <c r="S346">
        <f ca="1">IF(U346=0,X346*_Costo_Frasco,0)</f>
        <v>0</v>
      </c>
      <c r="T346" s="11">
        <f t="shared" ca="1" si="83"/>
        <v>-30077.89173507681</v>
      </c>
      <c r="U346" s="10">
        <f>IF(U345=0,_Proxima_Compra,U345-1)</f>
        <v>0</v>
      </c>
      <c r="V346" s="3">
        <f t="shared" ca="1" si="78"/>
        <v>0.56715597401206053</v>
      </c>
      <c r="W346" s="3">
        <f ca="1">IF(W345&gt;0,W345-1,IF(V346&gt;0,LOOKUP(V346,$R$3:$R$5,$O$3:$O$5),-1))</f>
        <v>1</v>
      </c>
      <c r="X346" s="25">
        <f t="shared" ca="1" si="79"/>
        <v>0</v>
      </c>
      <c r="Y346" s="28">
        <f ca="1">X346*_GramosXFrasco</f>
        <v>0</v>
      </c>
    </row>
    <row r="347" spans="1:25" x14ac:dyDescent="0.25">
      <c r="A347" s="30">
        <f t="shared" si="80"/>
        <v>331</v>
      </c>
      <c r="B347" s="38">
        <f t="shared" ca="1" si="73"/>
        <v>0.47395311568568921</v>
      </c>
      <c r="C347" s="36">
        <f t="shared" ca="1" si="74"/>
        <v>-1</v>
      </c>
      <c r="D347" s="36">
        <f t="shared" ca="1" si="75"/>
        <v>-1</v>
      </c>
      <c r="E347" s="36">
        <f t="shared" ca="1" si="70"/>
        <v>-1</v>
      </c>
      <c r="F347" s="37">
        <f ca="1">IF(E347&lt;&gt;-1,_Media_M + E347*_Sigma,-1)</f>
        <v>-1</v>
      </c>
      <c r="G347" s="3">
        <f t="shared" ca="1" si="76"/>
        <v>50</v>
      </c>
      <c r="H347" s="36">
        <f t="shared" ca="1" si="71"/>
        <v>50</v>
      </c>
      <c r="I347" s="36">
        <f t="shared" ca="1" si="77"/>
        <v>5.8925121550522341</v>
      </c>
      <c r="J347" s="35">
        <f t="shared" ca="1" si="72"/>
        <v>55.892512155052231</v>
      </c>
      <c r="K347" s="19">
        <f t="shared" ca="1" si="81"/>
        <v>55.892512155052231</v>
      </c>
      <c r="L347" s="20">
        <f ca="1" xml:space="preserve"> K347*_Precio_cafe</f>
        <v>83.838768232578346</v>
      </c>
      <c r="M347" s="20">
        <f t="shared" ca="1" si="82"/>
        <v>47403.829342803903</v>
      </c>
      <c r="N347" s="20">
        <f ca="1">IF((N346-K347+Y347)&gt;_Max_Stock_Gramos,_Max_Stock_Gramos,N346-K347+Y347)</f>
        <v>1529.7578868375069</v>
      </c>
      <c r="O347" s="20">
        <f ca="1">N347/_GramosXFrasco</f>
        <v>8.9985758049265119</v>
      </c>
      <c r="P347" s="63">
        <f ca="1">(N347/_Max_Stock_Gramos)</f>
        <v>0.89985758049265119</v>
      </c>
      <c r="Q347" s="63"/>
      <c r="R347" s="10">
        <f ca="1">IF((N346-J347)&lt;0,(N346-J347)*_Costo_Faltante,0)</f>
        <v>0</v>
      </c>
      <c r="S347">
        <f>IF(U347=0,X347*_Costo_Frasco,0)</f>
        <v>0</v>
      </c>
      <c r="T347" s="11">
        <f t="shared" ca="1" si="83"/>
        <v>-30077.89173507681</v>
      </c>
      <c r="U347" s="10">
        <f>IF(U346=0,_Proxima_Compra,U346-1)</f>
        <v>2</v>
      </c>
      <c r="V347" s="3">
        <f t="shared" ca="1" si="78"/>
        <v>-1</v>
      </c>
      <c r="W347" s="3">
        <f ca="1">IF(W346&gt;0,W346-1,IF(V347&gt;0,LOOKUP(V347,$R$3:$R$5,$O$3:$O$5),-1))</f>
        <v>0</v>
      </c>
      <c r="X347" s="25">
        <f t="shared" ca="1" si="79"/>
        <v>2</v>
      </c>
      <c r="Y347" s="28">
        <f ca="1">X347*_GramosXFrasco</f>
        <v>340</v>
      </c>
    </row>
    <row r="348" spans="1:25" x14ac:dyDescent="0.25">
      <c r="A348" s="30">
        <f t="shared" si="80"/>
        <v>332</v>
      </c>
      <c r="B348" s="38">
        <f t="shared" ca="1" si="73"/>
        <v>0.19760228862379192</v>
      </c>
      <c r="C348" s="36">
        <f t="shared" ca="1" si="74"/>
        <v>-1</v>
      </c>
      <c r="D348" s="36">
        <f t="shared" ca="1" si="75"/>
        <v>-1</v>
      </c>
      <c r="E348" s="36">
        <f t="shared" ca="1" si="70"/>
        <v>-1</v>
      </c>
      <c r="F348" s="37">
        <f ca="1">IF(E348&lt;&gt;-1,_Media_M + E348*_Sigma,-1)</f>
        <v>-1</v>
      </c>
      <c r="G348" s="3">
        <f t="shared" ca="1" si="76"/>
        <v>50</v>
      </c>
      <c r="H348" s="36">
        <f t="shared" ca="1" si="71"/>
        <v>50</v>
      </c>
      <c r="I348" s="36">
        <f t="shared" ca="1" si="77"/>
        <v>64.35687536472264</v>
      </c>
      <c r="J348" s="35">
        <f t="shared" ca="1" si="72"/>
        <v>114.35687536472264</v>
      </c>
      <c r="K348" s="19">
        <f t="shared" ca="1" si="81"/>
        <v>114.35687536472264</v>
      </c>
      <c r="L348" s="20">
        <f ca="1" xml:space="preserve"> K348*_Precio_cafe</f>
        <v>171.53531304708395</v>
      </c>
      <c r="M348" s="20">
        <f t="shared" ca="1" si="82"/>
        <v>47575.364655850986</v>
      </c>
      <c r="N348" s="20">
        <f ca="1">IF((N347-K348+Y348)&gt;_Max_Stock_Gramos,_Max_Stock_Gramos,N347-K348+Y348)</f>
        <v>1415.4010114727844</v>
      </c>
      <c r="O348" s="20">
        <f ca="1">N348/_GramosXFrasco</f>
        <v>8.3258883027810846</v>
      </c>
      <c r="P348" s="63">
        <f ca="1">(N348/_Max_Stock_Gramos)</f>
        <v>0.83258883027810848</v>
      </c>
      <c r="Q348" s="63"/>
      <c r="R348" s="10">
        <f ca="1">IF((N347-J348)&lt;0,(N347-J348)*_Costo_Faltante,0)</f>
        <v>0</v>
      </c>
      <c r="S348">
        <f>IF(U348=0,X348*_Costo_Frasco,0)</f>
        <v>0</v>
      </c>
      <c r="T348" s="11">
        <f t="shared" ca="1" si="83"/>
        <v>-30077.89173507681</v>
      </c>
      <c r="U348" s="10">
        <f>IF(U347=0,_Proxima_Compra,U347-1)</f>
        <v>1</v>
      </c>
      <c r="V348" s="3">
        <f t="shared" ca="1" si="78"/>
        <v>-1</v>
      </c>
      <c r="W348" s="3">
        <f ca="1">IF(W347&gt;0,W347-1,IF(V348&gt;0,LOOKUP(V348,$R$3:$R$5,$O$3:$O$5),-1))</f>
        <v>-1</v>
      </c>
      <c r="X348" s="25">
        <f t="shared" ca="1" si="79"/>
        <v>0</v>
      </c>
      <c r="Y348" s="28">
        <f ca="1">X348*_GramosXFrasco</f>
        <v>0</v>
      </c>
    </row>
    <row r="349" spans="1:25" x14ac:dyDescent="0.25">
      <c r="A349" s="30">
        <f t="shared" si="80"/>
        <v>333</v>
      </c>
      <c r="B349" s="38">
        <f t="shared" ca="1" si="73"/>
        <v>0.48980424739688133</v>
      </c>
      <c r="C349" s="36">
        <f t="shared" ca="1" si="74"/>
        <v>-1</v>
      </c>
      <c r="D349" s="36">
        <f t="shared" ca="1" si="75"/>
        <v>-1</v>
      </c>
      <c r="E349" s="36">
        <f t="shared" ca="1" si="70"/>
        <v>-1</v>
      </c>
      <c r="F349" s="37">
        <f ca="1">IF(E349&lt;&gt;-1,_Media_M + E349*_Sigma,-1)</f>
        <v>-1</v>
      </c>
      <c r="G349" s="3">
        <f t="shared" ca="1" si="76"/>
        <v>50</v>
      </c>
      <c r="H349" s="36">
        <f t="shared" ca="1" si="71"/>
        <v>50</v>
      </c>
      <c r="I349" s="36">
        <f t="shared" ca="1" si="77"/>
        <v>70.551188937128842</v>
      </c>
      <c r="J349" s="35">
        <f t="shared" ca="1" si="72"/>
        <v>120.55118893712884</v>
      </c>
      <c r="K349" s="19">
        <f t="shared" ca="1" si="81"/>
        <v>120.55118893712884</v>
      </c>
      <c r="L349" s="20">
        <f ca="1" xml:space="preserve"> K349*_Precio_cafe</f>
        <v>180.82678340569328</v>
      </c>
      <c r="M349" s="20">
        <f t="shared" ca="1" si="82"/>
        <v>47756.191439256683</v>
      </c>
      <c r="N349" s="20">
        <f ca="1">IF((N348-K349+Y349)&gt;_Max_Stock_Gramos,_Max_Stock_Gramos,N348-K349+Y349)</f>
        <v>1634.8498225356554</v>
      </c>
      <c r="O349" s="20">
        <f ca="1">N349/_GramosXFrasco</f>
        <v>9.6167636619744439</v>
      </c>
      <c r="P349" s="63">
        <f ca="1">(N349/_Max_Stock_Gramos)</f>
        <v>0.96167636619744434</v>
      </c>
      <c r="Q349" s="63"/>
      <c r="R349" s="10">
        <f ca="1">IF((N348-J349)&lt;0,(N348-J349)*_Costo_Faltante,0)</f>
        <v>0</v>
      </c>
      <c r="S349">
        <f ca="1">IF(U349=0,X349*_Costo_Frasco,0)</f>
        <v>-500</v>
      </c>
      <c r="T349" s="11">
        <f t="shared" ca="1" si="83"/>
        <v>-30577.89173507681</v>
      </c>
      <c r="U349" s="10">
        <f>IF(U348=0,_Proxima_Compra,U348-1)</f>
        <v>0</v>
      </c>
      <c r="V349" s="3">
        <f t="shared" ca="1" si="78"/>
        <v>0.12580706323527879</v>
      </c>
      <c r="W349" s="3">
        <f ca="1">IF(W348&gt;0,W348-1,IF(V349&gt;0,LOOKUP(V349,$R$3:$R$5,$O$3:$O$5),-1))</f>
        <v>0</v>
      </c>
      <c r="X349" s="25">
        <f t="shared" ca="1" si="79"/>
        <v>2</v>
      </c>
      <c r="Y349" s="28">
        <f ca="1">X349*_GramosXFrasco</f>
        <v>340</v>
      </c>
    </row>
    <row r="350" spans="1:25" x14ac:dyDescent="0.25">
      <c r="A350" s="30">
        <f t="shared" si="80"/>
        <v>334</v>
      </c>
      <c r="B350" s="38">
        <f t="shared" ca="1" si="73"/>
        <v>0.5535742543032961</v>
      </c>
      <c r="C350" s="36">
        <f t="shared" ca="1" si="74"/>
        <v>0.29046871659284401</v>
      </c>
      <c r="D350" s="36">
        <f t="shared" ca="1" si="75"/>
        <v>4.1288112702185686E-2</v>
      </c>
      <c r="E350" s="36">
        <f t="shared" ca="1" si="70"/>
        <v>0.52767782106810734</v>
      </c>
      <c r="F350" s="37">
        <f ca="1">IF(E350&lt;&gt;-1,_Media_M + E350*_Sigma,-1)</f>
        <v>82.915167316021609</v>
      </c>
      <c r="G350" s="3">
        <f t="shared" ca="1" si="76"/>
        <v>-1</v>
      </c>
      <c r="H350" s="36">
        <f t="shared" ca="1" si="71"/>
        <v>82.915167316021609</v>
      </c>
      <c r="I350" s="36">
        <f t="shared" ca="1" si="77"/>
        <v>26.835206966319468</v>
      </c>
      <c r="J350" s="35">
        <f t="shared" ca="1" si="72"/>
        <v>109.75037428234108</v>
      </c>
      <c r="K350" s="19">
        <f t="shared" ca="1" si="81"/>
        <v>109.75037428234108</v>
      </c>
      <c r="L350" s="20">
        <f ca="1" xml:space="preserve"> K350*_Precio_cafe</f>
        <v>164.62556142351161</v>
      </c>
      <c r="M350" s="20">
        <f t="shared" ca="1" si="82"/>
        <v>47920.817000680196</v>
      </c>
      <c r="N350" s="20">
        <f ca="1">IF((N349-K350+Y350)&gt;_Max_Stock_Gramos,_Max_Stock_Gramos,N349-K350+Y350)</f>
        <v>1525.0994482533144</v>
      </c>
      <c r="O350" s="20">
        <f ca="1">N350/_GramosXFrasco</f>
        <v>8.9711732250194967</v>
      </c>
      <c r="P350" s="63">
        <f ca="1">(N350/_Max_Stock_Gramos)</f>
        <v>0.89711732250194964</v>
      </c>
      <c r="Q350" s="63"/>
      <c r="R350" s="10">
        <f ca="1">IF((N349-J350)&lt;0,(N349-J350)*_Costo_Faltante,0)</f>
        <v>0</v>
      </c>
      <c r="S350">
        <f>IF(U350=0,X350*_Costo_Frasco,0)</f>
        <v>0</v>
      </c>
      <c r="T350" s="11">
        <f t="shared" ca="1" si="83"/>
        <v>-30577.89173507681</v>
      </c>
      <c r="U350" s="10">
        <f>IF(U349=0,_Proxima_Compra,U349-1)</f>
        <v>2</v>
      </c>
      <c r="V350" s="3">
        <f t="shared" ca="1" si="78"/>
        <v>-1</v>
      </c>
      <c r="W350" s="3">
        <f ca="1">IF(W349&gt;0,W349-1,IF(V350&gt;0,LOOKUP(V350,$R$3:$R$5,$O$3:$O$5),-1))</f>
        <v>-1</v>
      </c>
      <c r="X350" s="25">
        <f t="shared" ca="1" si="79"/>
        <v>0</v>
      </c>
      <c r="Y350" s="28">
        <f ca="1">X350*_GramosXFrasco</f>
        <v>0</v>
      </c>
    </row>
    <row r="351" spans="1:25" x14ac:dyDescent="0.25">
      <c r="A351" s="30">
        <f t="shared" si="80"/>
        <v>335</v>
      </c>
      <c r="B351" s="38">
        <f t="shared" ca="1" si="73"/>
        <v>0.36252439797719627</v>
      </c>
      <c r="C351" s="36">
        <f t="shared" ca="1" si="74"/>
        <v>-1</v>
      </c>
      <c r="D351" s="36">
        <f t="shared" ca="1" si="75"/>
        <v>-1</v>
      </c>
      <c r="E351" s="36">
        <f t="shared" ca="1" si="70"/>
        <v>-1</v>
      </c>
      <c r="F351" s="37">
        <f ca="1">IF(E351&lt;&gt;-1,_Media_M + E351*_Sigma,-1)</f>
        <v>-1</v>
      </c>
      <c r="G351" s="3">
        <f t="shared" ca="1" si="76"/>
        <v>50</v>
      </c>
      <c r="H351" s="36">
        <f t="shared" ca="1" si="71"/>
        <v>50</v>
      </c>
      <c r="I351" s="36">
        <f t="shared" ca="1" si="77"/>
        <v>28.923742851242878</v>
      </c>
      <c r="J351" s="35">
        <f t="shared" ca="1" si="72"/>
        <v>78.923742851242878</v>
      </c>
      <c r="K351" s="19">
        <f t="shared" ca="1" si="81"/>
        <v>78.923742851242878</v>
      </c>
      <c r="L351" s="20">
        <f ca="1" xml:space="preserve"> K351*_Precio_cafe</f>
        <v>118.38561427686432</v>
      </c>
      <c r="M351" s="20">
        <f t="shared" ca="1" si="82"/>
        <v>48039.202614957059</v>
      </c>
      <c r="N351" s="20">
        <f ca="1">IF((N350-K351+Y351)&gt;_Max_Stock_Gramos,_Max_Stock_Gramos,N350-K351+Y351)</f>
        <v>1446.1757054020716</v>
      </c>
      <c r="O351" s="20">
        <f ca="1">N351/_GramosXFrasco</f>
        <v>8.5069159141298325</v>
      </c>
      <c r="P351" s="63">
        <f ca="1">(N351/_Max_Stock_Gramos)</f>
        <v>0.85069159141298323</v>
      </c>
      <c r="Q351" s="63"/>
      <c r="R351" s="10">
        <f ca="1">IF((N350-J351)&lt;0,(N350-J351)*_Costo_Faltante,0)</f>
        <v>0</v>
      </c>
      <c r="S351">
        <f>IF(U351=0,X351*_Costo_Frasco,0)</f>
        <v>0</v>
      </c>
      <c r="T351" s="11">
        <f t="shared" ca="1" si="83"/>
        <v>-30577.89173507681</v>
      </c>
      <c r="U351" s="10">
        <f>IF(U350=0,_Proxima_Compra,U350-1)</f>
        <v>1</v>
      </c>
      <c r="V351" s="3">
        <f t="shared" ca="1" si="78"/>
        <v>-1</v>
      </c>
      <c r="W351" s="3">
        <f ca="1">IF(W350&gt;0,W350-1,IF(V351&gt;0,LOOKUP(V351,$R$3:$R$5,$O$3:$O$5),-1))</f>
        <v>-1</v>
      </c>
      <c r="X351" s="25">
        <f t="shared" ca="1" si="79"/>
        <v>0</v>
      </c>
      <c r="Y351" s="28">
        <f ca="1">X351*_GramosXFrasco</f>
        <v>0</v>
      </c>
    </row>
    <row r="352" spans="1:25" x14ac:dyDescent="0.25">
      <c r="A352" s="30">
        <f t="shared" si="80"/>
        <v>336</v>
      </c>
      <c r="B352" s="38">
        <f t="shared" ca="1" si="73"/>
        <v>0.68495449872841774</v>
      </c>
      <c r="C352" s="36">
        <f t="shared" ca="1" si="74"/>
        <v>0.11148494085583249</v>
      </c>
      <c r="D352" s="36">
        <f t="shared" ca="1" si="75"/>
        <v>0.82517785620726314</v>
      </c>
      <c r="E352" s="36">
        <f t="shared" ca="1" si="70"/>
        <v>0.14578760894670259</v>
      </c>
      <c r="F352" s="37">
        <f ca="1">IF(E352&lt;&gt;-1,_Media_M + E352*_Sigma,-1)</f>
        <v>77.186814134200546</v>
      </c>
      <c r="G352" s="3">
        <f t="shared" ca="1" si="76"/>
        <v>-1</v>
      </c>
      <c r="H352" s="36">
        <f t="shared" ca="1" si="71"/>
        <v>77.186814134200546</v>
      </c>
      <c r="I352" s="36">
        <f t="shared" ca="1" si="77"/>
        <v>30.77388667079801</v>
      </c>
      <c r="J352" s="35">
        <f t="shared" ca="1" si="72"/>
        <v>107.96070080499855</v>
      </c>
      <c r="K352" s="19">
        <f t="shared" ca="1" si="81"/>
        <v>107.96070080499855</v>
      </c>
      <c r="L352" s="20">
        <f ca="1" xml:space="preserve"> K352*_Precio_cafe</f>
        <v>161.94105120749782</v>
      </c>
      <c r="M352" s="20">
        <f t="shared" ca="1" si="82"/>
        <v>48201.143666164557</v>
      </c>
      <c r="N352" s="20">
        <f ca="1">IF((N351-K352+Y352)&gt;_Max_Stock_Gramos,_Max_Stock_Gramos,N351-K352+Y352)</f>
        <v>1338.2150045970729</v>
      </c>
      <c r="O352" s="20">
        <f ca="1">N352/_GramosXFrasco</f>
        <v>7.871852968218076</v>
      </c>
      <c r="P352" s="63">
        <f ca="1">(N352/_Max_Stock_Gramos)</f>
        <v>0.7871852968218076</v>
      </c>
      <c r="Q352" s="63"/>
      <c r="R352" s="10">
        <f ca="1">IF((N351-J352)&lt;0,(N351-J352)*_Costo_Faltante,0)</f>
        <v>0</v>
      </c>
      <c r="S352">
        <f ca="1">IF(U352=0,X352*_Costo_Frasco,0)</f>
        <v>0</v>
      </c>
      <c r="T352" s="11">
        <f t="shared" ca="1" si="83"/>
        <v>-30577.89173507681</v>
      </c>
      <c r="U352" s="10">
        <f>IF(U351=0,_Proxima_Compra,U351-1)</f>
        <v>0</v>
      </c>
      <c r="V352" s="3">
        <f t="shared" ca="1" si="78"/>
        <v>0.97763587940477081</v>
      </c>
      <c r="W352" s="3">
        <f ca="1">IF(W351&gt;0,W351-1,IF(V352&gt;0,LOOKUP(V352,$R$3:$R$5,$O$3:$O$5),-1))</f>
        <v>2</v>
      </c>
      <c r="X352" s="25">
        <f t="shared" ca="1" si="79"/>
        <v>0</v>
      </c>
      <c r="Y352" s="28">
        <f ca="1">X352*_GramosXFrasco</f>
        <v>0</v>
      </c>
    </row>
    <row r="353" spans="1:25" x14ac:dyDescent="0.25">
      <c r="A353" s="30">
        <f t="shared" si="80"/>
        <v>337</v>
      </c>
      <c r="B353" s="38">
        <f t="shared" ca="1" si="73"/>
        <v>0.35691038968841959</v>
      </c>
      <c r="C353" s="36">
        <f t="shared" ca="1" si="74"/>
        <v>-1</v>
      </c>
      <c r="D353" s="36">
        <f t="shared" ca="1" si="75"/>
        <v>-1</v>
      </c>
      <c r="E353" s="36">
        <f t="shared" ca="1" si="70"/>
        <v>-1</v>
      </c>
      <c r="F353" s="37">
        <f ca="1">IF(E353&lt;&gt;-1,_Media_M + E353*_Sigma,-1)</f>
        <v>-1</v>
      </c>
      <c r="G353" s="3">
        <f t="shared" ca="1" si="76"/>
        <v>50</v>
      </c>
      <c r="H353" s="36">
        <f t="shared" ca="1" si="71"/>
        <v>50</v>
      </c>
      <c r="I353" s="36">
        <f t="shared" ca="1" si="77"/>
        <v>28.931928536118477</v>
      </c>
      <c r="J353" s="35">
        <f t="shared" ca="1" si="72"/>
        <v>78.931928536118477</v>
      </c>
      <c r="K353" s="19">
        <f t="shared" ca="1" si="81"/>
        <v>78.931928536118477</v>
      </c>
      <c r="L353" s="20">
        <f ca="1" xml:space="preserve"> K353*_Precio_cafe</f>
        <v>118.39789280417772</v>
      </c>
      <c r="M353" s="20">
        <f t="shared" ca="1" si="82"/>
        <v>48319.541558968733</v>
      </c>
      <c r="N353" s="20">
        <f ca="1">IF((N352-K353+Y353)&gt;_Max_Stock_Gramos,_Max_Stock_Gramos,N352-K353+Y353)</f>
        <v>1259.2830760609545</v>
      </c>
      <c r="O353" s="20">
        <f ca="1">N353/_GramosXFrasco</f>
        <v>7.4075475062409089</v>
      </c>
      <c r="P353" s="63">
        <f ca="1">(N353/_Max_Stock_Gramos)</f>
        <v>0.74075475062409091</v>
      </c>
      <c r="Q353" s="63"/>
      <c r="R353" s="10">
        <f ca="1">IF((N352-J353)&lt;0,(N352-J353)*_Costo_Faltante,0)</f>
        <v>0</v>
      </c>
      <c r="S353">
        <f>IF(U353=0,X353*_Costo_Frasco,0)</f>
        <v>0</v>
      </c>
      <c r="T353" s="11">
        <f t="shared" ca="1" si="83"/>
        <v>-30577.89173507681</v>
      </c>
      <c r="U353" s="10">
        <f>IF(U352=0,_Proxima_Compra,U352-1)</f>
        <v>2</v>
      </c>
      <c r="V353" s="3">
        <f t="shared" ca="1" si="78"/>
        <v>-1</v>
      </c>
      <c r="W353" s="3">
        <f ca="1">IF(W352&gt;0,W352-1,IF(V353&gt;0,LOOKUP(V353,$R$3:$R$5,$O$3:$O$5),-1))</f>
        <v>1</v>
      </c>
      <c r="X353" s="25">
        <f t="shared" ca="1" si="79"/>
        <v>0</v>
      </c>
      <c r="Y353" s="28">
        <f ca="1">X353*_GramosXFrasco</f>
        <v>0</v>
      </c>
    </row>
    <row r="354" spans="1:25" x14ac:dyDescent="0.25">
      <c r="A354" s="30">
        <f t="shared" si="80"/>
        <v>338</v>
      </c>
      <c r="B354" s="38">
        <f t="shared" ca="1" si="73"/>
        <v>0.8806678116551474</v>
      </c>
      <c r="C354" s="36">
        <f t="shared" ca="1" si="74"/>
        <v>0.41380563606233056</v>
      </c>
      <c r="D354" s="36">
        <f t="shared" ca="1" si="75"/>
        <v>0.40061066308627957</v>
      </c>
      <c r="E354" s="36">
        <f t="shared" ca="1" si="70"/>
        <v>-0.55256510633570111</v>
      </c>
      <c r="F354" s="37">
        <f ca="1">IF(E354&lt;&gt;-1,_Media_M + E354*_Sigma,-1)</f>
        <v>66.711523404964481</v>
      </c>
      <c r="G354" s="3">
        <f t="shared" ca="1" si="76"/>
        <v>-1</v>
      </c>
      <c r="H354" s="36">
        <f t="shared" ca="1" si="71"/>
        <v>66.711523404964481</v>
      </c>
      <c r="I354" s="36">
        <f t="shared" ca="1" si="77"/>
        <v>36.786220977041182</v>
      </c>
      <c r="J354" s="35">
        <f t="shared" ca="1" si="72"/>
        <v>103.49774438200566</v>
      </c>
      <c r="K354" s="19">
        <f t="shared" ca="1" si="81"/>
        <v>103.49774438200566</v>
      </c>
      <c r="L354" s="20">
        <f ca="1" xml:space="preserve"> K354*_Precio_cafe</f>
        <v>155.24661657300851</v>
      </c>
      <c r="M354" s="20">
        <f t="shared" ca="1" si="82"/>
        <v>48474.78817554174</v>
      </c>
      <c r="N354" s="20">
        <f ca="1">IF((N353-K354+Y354)&gt;_Max_Stock_Gramos,_Max_Stock_Gramos,N353-K354+Y354)</f>
        <v>1495.7853316789488</v>
      </c>
      <c r="O354" s="20">
        <f ca="1">N354/_GramosXFrasco</f>
        <v>8.7987372451702868</v>
      </c>
      <c r="P354" s="63">
        <f ca="1">(N354/_Max_Stock_Gramos)</f>
        <v>0.87987372451702872</v>
      </c>
      <c r="Q354" s="63"/>
      <c r="R354" s="10">
        <f ca="1">IF((N353-J354)&lt;0,(N353-J354)*_Costo_Faltante,0)</f>
        <v>0</v>
      </c>
      <c r="S354">
        <f>IF(U354=0,X354*_Costo_Frasco,0)</f>
        <v>0</v>
      </c>
      <c r="T354" s="11">
        <f t="shared" ca="1" si="83"/>
        <v>-30577.89173507681</v>
      </c>
      <c r="U354" s="10">
        <f>IF(U353=0,_Proxima_Compra,U353-1)</f>
        <v>1</v>
      </c>
      <c r="V354" s="3">
        <f t="shared" ca="1" si="78"/>
        <v>-1</v>
      </c>
      <c r="W354" s="3">
        <f ca="1">IF(W353&gt;0,W353-1,IF(V354&gt;0,LOOKUP(V354,$R$3:$R$5,$O$3:$O$5),-1))</f>
        <v>0</v>
      </c>
      <c r="X354" s="25">
        <f t="shared" ca="1" si="79"/>
        <v>2</v>
      </c>
      <c r="Y354" s="28">
        <f ca="1">X354*_GramosXFrasco</f>
        <v>340</v>
      </c>
    </row>
    <row r="355" spans="1:25" x14ac:dyDescent="0.25">
      <c r="A355" s="30">
        <f t="shared" si="80"/>
        <v>339</v>
      </c>
      <c r="B355" s="38">
        <f t="shared" ca="1" si="73"/>
        <v>0.13714869999737189</v>
      </c>
      <c r="C355" s="36">
        <f t="shared" ca="1" si="74"/>
        <v>-1</v>
      </c>
      <c r="D355" s="36">
        <f t="shared" ca="1" si="75"/>
        <v>-1</v>
      </c>
      <c r="E355" s="36">
        <f t="shared" ca="1" si="70"/>
        <v>-1</v>
      </c>
      <c r="F355" s="37">
        <f ca="1">IF(E355&lt;&gt;-1,_Media_M + E355*_Sigma,-1)</f>
        <v>-1</v>
      </c>
      <c r="G355" s="3">
        <f t="shared" ca="1" si="76"/>
        <v>50</v>
      </c>
      <c r="H355" s="36">
        <f t="shared" ca="1" si="71"/>
        <v>50</v>
      </c>
      <c r="I355" s="36">
        <f t="shared" ca="1" si="77"/>
        <v>18.493550528792568</v>
      </c>
      <c r="J355" s="35">
        <f t="shared" ca="1" si="72"/>
        <v>68.493550528792568</v>
      </c>
      <c r="K355" s="19">
        <f t="shared" ca="1" si="81"/>
        <v>68.493550528792568</v>
      </c>
      <c r="L355" s="20">
        <f ca="1" xml:space="preserve"> K355*_Precio_cafe</f>
        <v>102.74032579318884</v>
      </c>
      <c r="M355" s="20">
        <f t="shared" ca="1" si="82"/>
        <v>48577.528501334928</v>
      </c>
      <c r="N355" s="20">
        <f ca="1">IF((N354-K355+Y355)&gt;_Max_Stock_Gramos,_Max_Stock_Gramos,N354-K355+Y355)</f>
        <v>1700</v>
      </c>
      <c r="O355" s="20">
        <f ca="1">N355/_GramosXFrasco</f>
        <v>10</v>
      </c>
      <c r="P355" s="63">
        <f ca="1">(N355/_Max_Stock_Gramos)</f>
        <v>1</v>
      </c>
      <c r="Q355" s="63"/>
      <c r="R355" s="10">
        <f ca="1">IF((N354-J355)&lt;0,(N354-J355)*_Costo_Faltante,0)</f>
        <v>0</v>
      </c>
      <c r="S355">
        <f ca="1">IF(U355=0,X355*_Costo_Frasco,0)</f>
        <v>-500</v>
      </c>
      <c r="T355" s="11">
        <f t="shared" ca="1" si="83"/>
        <v>-31077.89173507681</v>
      </c>
      <c r="U355" s="10">
        <f>IF(U354=0,_Proxima_Compra,U354-1)</f>
        <v>0</v>
      </c>
      <c r="V355" s="3">
        <f t="shared" ca="1" si="78"/>
        <v>6.6409798632837025E-2</v>
      </c>
      <c r="W355" s="3">
        <f ca="1">IF(W354&gt;0,W354-1,IF(V355&gt;0,LOOKUP(V355,$R$3:$R$5,$O$3:$O$5),-1))</f>
        <v>0</v>
      </c>
      <c r="X355" s="25">
        <f t="shared" ca="1" si="79"/>
        <v>2</v>
      </c>
      <c r="Y355" s="28">
        <f ca="1">X355*_GramosXFrasco</f>
        <v>340</v>
      </c>
    </row>
    <row r="356" spans="1:25" x14ac:dyDescent="0.25">
      <c r="A356" s="30">
        <f t="shared" si="80"/>
        <v>340</v>
      </c>
      <c r="B356" s="38">
        <f t="shared" ca="1" si="73"/>
        <v>0.2112485797031719</v>
      </c>
      <c r="C356" s="36">
        <f t="shared" ca="1" si="74"/>
        <v>-1</v>
      </c>
      <c r="D356" s="36">
        <f t="shared" ca="1" si="75"/>
        <v>-1</v>
      </c>
      <c r="E356" s="36">
        <f t="shared" ref="E356:E419" ca="1" si="84">IF(D356&gt;0,SQRT(-2*LOG(1-C356)) * COS(2*PI()*D356),-1)</f>
        <v>-1</v>
      </c>
      <c r="F356" s="37">
        <f ca="1">IF(E356&lt;&gt;-1,_Media_M + E356*_Sigma,-1)</f>
        <v>-1</v>
      </c>
      <c r="G356" s="3">
        <f t="shared" ca="1" si="76"/>
        <v>50</v>
      </c>
      <c r="H356" s="36">
        <f t="shared" ref="H356:H419" ca="1" si="85">IF(F356=-1,G356,F356)</f>
        <v>50</v>
      </c>
      <c r="I356" s="36">
        <f t="shared" ca="1" si="77"/>
        <v>17.558565007662164</v>
      </c>
      <c r="J356" s="35">
        <f t="shared" ref="J356:J419" ca="1" si="86">H356+I356</f>
        <v>67.558565007662168</v>
      </c>
      <c r="K356" s="19">
        <f t="shared" ca="1" si="81"/>
        <v>67.558565007662168</v>
      </c>
      <c r="L356" s="20">
        <f ca="1" xml:space="preserve"> K356*_Precio_cafe</f>
        <v>101.33784751149325</v>
      </c>
      <c r="M356" s="20">
        <f t="shared" ca="1" si="82"/>
        <v>48678.866348846423</v>
      </c>
      <c r="N356" s="20">
        <f ca="1">IF((N355-K356+Y356)&gt;_Max_Stock_Gramos,_Max_Stock_Gramos,N355-K356+Y356)</f>
        <v>1632.4414349923379</v>
      </c>
      <c r="O356" s="20">
        <f ca="1">N356/_GramosXFrasco</f>
        <v>9.6025966764255166</v>
      </c>
      <c r="P356" s="63">
        <f ca="1">(N356/_Max_Stock_Gramos)</f>
        <v>0.96025966764255166</v>
      </c>
      <c r="Q356" s="63"/>
      <c r="R356" s="10">
        <f ca="1">IF((N355-J356)&lt;0,(N355-J356)*_Costo_Faltante,0)</f>
        <v>0</v>
      </c>
      <c r="S356">
        <f>IF(U356=0,X356*_Costo_Frasco,0)</f>
        <v>0</v>
      </c>
      <c r="T356" s="11">
        <f t="shared" ca="1" si="83"/>
        <v>-31077.89173507681</v>
      </c>
      <c r="U356" s="10">
        <f>IF(U355=0,_Proxima_Compra,U355-1)</f>
        <v>2</v>
      </c>
      <c r="V356" s="3">
        <f t="shared" ca="1" si="78"/>
        <v>-1</v>
      </c>
      <c r="W356" s="3">
        <f ca="1">IF(W355&gt;0,W355-1,IF(V356&gt;0,LOOKUP(V356,$R$3:$R$5,$O$3:$O$5),-1))</f>
        <v>-1</v>
      </c>
      <c r="X356" s="25">
        <f t="shared" ca="1" si="79"/>
        <v>0</v>
      </c>
      <c r="Y356" s="28">
        <f ca="1">X356*_GramosXFrasco</f>
        <v>0</v>
      </c>
    </row>
    <row r="357" spans="1:25" x14ac:dyDescent="0.25">
      <c r="A357" s="30">
        <f t="shared" si="80"/>
        <v>341</v>
      </c>
      <c r="B357" s="38">
        <f t="shared" ca="1" si="73"/>
        <v>0.88529812039159017</v>
      </c>
      <c r="C357" s="36">
        <f t="shared" ca="1" si="74"/>
        <v>0.26315301344099085</v>
      </c>
      <c r="D357" s="36">
        <f t="shared" ca="1" si="75"/>
        <v>0.17954402582419871</v>
      </c>
      <c r="E357" s="36">
        <f t="shared" ca="1" si="84"/>
        <v>0.22061894352462616</v>
      </c>
      <c r="F357" s="37">
        <f ca="1">IF(E357&lt;&gt;-1,_Media_M + E357*_Sigma,-1)</f>
        <v>78.309284152869395</v>
      </c>
      <c r="G357" s="3">
        <f t="shared" ca="1" si="76"/>
        <v>-1</v>
      </c>
      <c r="H357" s="36">
        <f t="shared" ca="1" si="85"/>
        <v>78.309284152869395</v>
      </c>
      <c r="I357" s="36">
        <f t="shared" ca="1" si="77"/>
        <v>58.488840496520403</v>
      </c>
      <c r="J357" s="35">
        <f t="shared" ca="1" si="86"/>
        <v>136.79812464938979</v>
      </c>
      <c r="K357" s="19">
        <f t="shared" ca="1" si="81"/>
        <v>136.79812464938979</v>
      </c>
      <c r="L357" s="20">
        <f ca="1" xml:space="preserve"> K357*_Precio_cafe</f>
        <v>205.19718697408467</v>
      </c>
      <c r="M357" s="20">
        <f t="shared" ca="1" si="82"/>
        <v>48884.063535820511</v>
      </c>
      <c r="N357" s="20">
        <f ca="1">IF((N356-K357+Y357)&gt;_Max_Stock_Gramos,_Max_Stock_Gramos,N356-K357+Y357)</f>
        <v>1495.6433103429481</v>
      </c>
      <c r="O357" s="20">
        <f ca="1">N357/_GramosXFrasco</f>
        <v>8.797901825546754</v>
      </c>
      <c r="P357" s="63">
        <f ca="1">(N357/_Max_Stock_Gramos)</f>
        <v>0.87979018255467534</v>
      </c>
      <c r="Q357" s="63"/>
      <c r="R357" s="10">
        <f ca="1">IF((N356-J357)&lt;0,(N356-J357)*_Costo_Faltante,0)</f>
        <v>0</v>
      </c>
      <c r="S357">
        <f>IF(U357=0,X357*_Costo_Frasco,0)</f>
        <v>0</v>
      </c>
      <c r="T357" s="11">
        <f t="shared" ca="1" si="83"/>
        <v>-31077.89173507681</v>
      </c>
      <c r="U357" s="10">
        <f>IF(U356=0,_Proxima_Compra,U356-1)</f>
        <v>1</v>
      </c>
      <c r="V357" s="3">
        <f t="shared" ca="1" si="78"/>
        <v>-1</v>
      </c>
      <c r="W357" s="3">
        <f ca="1">IF(W356&gt;0,W356-1,IF(V357&gt;0,LOOKUP(V357,$R$3:$R$5,$O$3:$O$5),-1))</f>
        <v>-1</v>
      </c>
      <c r="X357" s="25">
        <f t="shared" ca="1" si="79"/>
        <v>0</v>
      </c>
      <c r="Y357" s="28">
        <f ca="1">X357*_GramosXFrasco</f>
        <v>0</v>
      </c>
    </row>
    <row r="358" spans="1:25" x14ac:dyDescent="0.25">
      <c r="A358" s="30">
        <f t="shared" si="80"/>
        <v>342</v>
      </c>
      <c r="B358" s="38">
        <f t="shared" ca="1" si="73"/>
        <v>0.2213459034289964</v>
      </c>
      <c r="C358" s="36">
        <f t="shared" ca="1" si="74"/>
        <v>-1</v>
      </c>
      <c r="D358" s="36">
        <f t="shared" ca="1" si="75"/>
        <v>-1</v>
      </c>
      <c r="E358" s="36">
        <f t="shared" ca="1" si="84"/>
        <v>-1</v>
      </c>
      <c r="F358" s="37">
        <f ca="1">IF(E358&lt;&gt;-1,_Media_M + E358*_Sigma,-1)</f>
        <v>-1</v>
      </c>
      <c r="G358" s="3">
        <f t="shared" ca="1" si="76"/>
        <v>50</v>
      </c>
      <c r="H358" s="36">
        <f t="shared" ca="1" si="85"/>
        <v>50</v>
      </c>
      <c r="I358" s="36">
        <f t="shared" ca="1" si="77"/>
        <v>36.042193760598138</v>
      </c>
      <c r="J358" s="35">
        <f t="shared" ca="1" si="86"/>
        <v>86.042193760598138</v>
      </c>
      <c r="K358" s="19">
        <f t="shared" ca="1" si="81"/>
        <v>86.042193760598138</v>
      </c>
      <c r="L358" s="20">
        <f ca="1" xml:space="preserve"> K358*_Precio_cafe</f>
        <v>129.06329064089721</v>
      </c>
      <c r="M358" s="20">
        <f t="shared" ca="1" si="82"/>
        <v>49013.126826461405</v>
      </c>
      <c r="N358" s="20">
        <f ca="1">IF((N357-K358+Y358)&gt;_Max_Stock_Gramos,_Max_Stock_Gramos,N357-K358+Y358)</f>
        <v>1700</v>
      </c>
      <c r="O358" s="20">
        <f ca="1">N358/_GramosXFrasco</f>
        <v>10</v>
      </c>
      <c r="P358" s="63">
        <f ca="1">(N358/_Max_Stock_Gramos)</f>
        <v>1</v>
      </c>
      <c r="Q358" s="63"/>
      <c r="R358" s="10">
        <f ca="1">IF((N357-J358)&lt;0,(N357-J358)*_Costo_Faltante,0)</f>
        <v>0</v>
      </c>
      <c r="S358">
        <f ca="1">IF(U358=0,X358*_Costo_Frasco,0)</f>
        <v>-500</v>
      </c>
      <c r="T358" s="11">
        <f t="shared" ca="1" si="83"/>
        <v>-31577.89173507681</v>
      </c>
      <c r="U358" s="10">
        <f>IF(U357=0,_Proxima_Compra,U357-1)</f>
        <v>0</v>
      </c>
      <c r="V358" s="3">
        <f t="shared" ca="1" si="78"/>
        <v>0.22610736580933177</v>
      </c>
      <c r="W358" s="3">
        <f ca="1">IF(W357&gt;0,W357-1,IF(V358&gt;0,LOOKUP(V358,$R$3:$R$5,$O$3:$O$5),-1))</f>
        <v>0</v>
      </c>
      <c r="X358" s="25">
        <f t="shared" ca="1" si="79"/>
        <v>2</v>
      </c>
      <c r="Y358" s="28">
        <f ca="1">X358*_GramosXFrasco</f>
        <v>340</v>
      </c>
    </row>
    <row r="359" spans="1:25" x14ac:dyDescent="0.25">
      <c r="A359" s="30">
        <f t="shared" si="80"/>
        <v>343</v>
      </c>
      <c r="B359" s="38">
        <f t="shared" ca="1" si="73"/>
        <v>0.98183154101227832</v>
      </c>
      <c r="C359" s="36">
        <f t="shared" ca="1" si="74"/>
        <v>0.63332414683997695</v>
      </c>
      <c r="D359" s="36">
        <f t="shared" ca="1" si="75"/>
        <v>0.32560569120434635</v>
      </c>
      <c r="E359" s="36">
        <f t="shared" ca="1" si="84"/>
        <v>-0.42696565446543883</v>
      </c>
      <c r="F359" s="37">
        <f ca="1">IF(E359&lt;&gt;-1,_Media_M + E359*_Sigma,-1)</f>
        <v>68.595515183018421</v>
      </c>
      <c r="G359" s="3">
        <f t="shared" ca="1" si="76"/>
        <v>-1</v>
      </c>
      <c r="H359" s="36">
        <f t="shared" ca="1" si="85"/>
        <v>68.595515183018421</v>
      </c>
      <c r="I359" s="36">
        <f t="shared" ca="1" si="77"/>
        <v>28.1281280439871</v>
      </c>
      <c r="J359" s="35">
        <f t="shared" ca="1" si="86"/>
        <v>96.723643227005525</v>
      </c>
      <c r="K359" s="19">
        <f t="shared" ca="1" si="81"/>
        <v>96.723643227005525</v>
      </c>
      <c r="L359" s="20">
        <f ca="1" xml:space="preserve"> K359*_Precio_cafe</f>
        <v>145.08546484050828</v>
      </c>
      <c r="M359" s="20">
        <f t="shared" ca="1" si="82"/>
        <v>49158.212291301912</v>
      </c>
      <c r="N359" s="20">
        <f ca="1">IF((N358-K359+Y359)&gt;_Max_Stock_Gramos,_Max_Stock_Gramos,N358-K359+Y359)</f>
        <v>1603.2763567729944</v>
      </c>
      <c r="O359" s="20">
        <f ca="1">N359/_GramosXFrasco</f>
        <v>9.4310373927823203</v>
      </c>
      <c r="P359" s="63">
        <f ca="1">(N359/_Max_Stock_Gramos)</f>
        <v>0.94310373927823199</v>
      </c>
      <c r="Q359" s="63"/>
      <c r="R359" s="10">
        <f ca="1">IF((N358-J359)&lt;0,(N358-J359)*_Costo_Faltante,0)</f>
        <v>0</v>
      </c>
      <c r="S359">
        <f>IF(U359=0,X359*_Costo_Frasco,0)</f>
        <v>0</v>
      </c>
      <c r="T359" s="11">
        <f t="shared" ca="1" si="83"/>
        <v>-31577.89173507681</v>
      </c>
      <c r="U359" s="10">
        <f>IF(U358=0,_Proxima_Compra,U358-1)</f>
        <v>2</v>
      </c>
      <c r="V359" s="3">
        <f t="shared" ca="1" si="78"/>
        <v>-1</v>
      </c>
      <c r="W359" s="3">
        <f ca="1">IF(W358&gt;0,W358-1,IF(V359&gt;0,LOOKUP(V359,$R$3:$R$5,$O$3:$O$5),-1))</f>
        <v>-1</v>
      </c>
      <c r="X359" s="25">
        <f t="shared" ca="1" si="79"/>
        <v>0</v>
      </c>
      <c r="Y359" s="28">
        <f ca="1">X359*_GramosXFrasco</f>
        <v>0</v>
      </c>
    </row>
    <row r="360" spans="1:25" x14ac:dyDescent="0.25">
      <c r="A360" s="30">
        <f t="shared" si="80"/>
        <v>344</v>
      </c>
      <c r="B360" s="38">
        <f t="shared" ca="1" si="73"/>
        <v>0.43832990869299238</v>
      </c>
      <c r="C360" s="36">
        <f t="shared" ca="1" si="74"/>
        <v>-1</v>
      </c>
      <c r="D360" s="36">
        <f t="shared" ca="1" si="75"/>
        <v>-1</v>
      </c>
      <c r="E360" s="36">
        <f t="shared" ca="1" si="84"/>
        <v>-1</v>
      </c>
      <c r="F360" s="37">
        <f ca="1">IF(E360&lt;&gt;-1,_Media_M + E360*_Sigma,-1)</f>
        <v>-1</v>
      </c>
      <c r="G360" s="3">
        <f t="shared" ca="1" si="76"/>
        <v>50</v>
      </c>
      <c r="H360" s="36">
        <f t="shared" ca="1" si="85"/>
        <v>50</v>
      </c>
      <c r="I360" s="36">
        <f t="shared" ca="1" si="77"/>
        <v>0.96205880121816412</v>
      </c>
      <c r="J360" s="35">
        <f t="shared" ca="1" si="86"/>
        <v>50.962058801218163</v>
      </c>
      <c r="K360" s="19">
        <f t="shared" ca="1" si="81"/>
        <v>50.962058801218163</v>
      </c>
      <c r="L360" s="20">
        <f ca="1" xml:space="preserve"> K360*_Precio_cafe</f>
        <v>76.443088201827237</v>
      </c>
      <c r="M360" s="20">
        <f t="shared" ca="1" si="82"/>
        <v>49234.65537950374</v>
      </c>
      <c r="N360" s="20">
        <f ca="1">IF((N359-K360+Y360)&gt;_Max_Stock_Gramos,_Max_Stock_Gramos,N359-K360+Y360)</f>
        <v>1552.3142979717763</v>
      </c>
      <c r="O360" s="20">
        <f ca="1">N360/_GramosXFrasco</f>
        <v>9.131260576304566</v>
      </c>
      <c r="P360" s="63">
        <f ca="1">(N360/_Max_Stock_Gramos)</f>
        <v>0.91312605763045662</v>
      </c>
      <c r="Q360" s="63"/>
      <c r="R360" s="10">
        <f ca="1">IF((N359-J360)&lt;0,(N359-J360)*_Costo_Faltante,0)</f>
        <v>0</v>
      </c>
      <c r="S360">
        <f>IF(U360=0,X360*_Costo_Frasco,0)</f>
        <v>0</v>
      </c>
      <c r="T360" s="11">
        <f t="shared" ca="1" si="83"/>
        <v>-31577.89173507681</v>
      </c>
      <c r="U360" s="10">
        <f>IF(U359=0,_Proxima_Compra,U359-1)</f>
        <v>1</v>
      </c>
      <c r="V360" s="3">
        <f t="shared" ca="1" si="78"/>
        <v>-1</v>
      </c>
      <c r="W360" s="3">
        <f ca="1">IF(W359&gt;0,W359-1,IF(V360&gt;0,LOOKUP(V360,$R$3:$R$5,$O$3:$O$5),-1))</f>
        <v>-1</v>
      </c>
      <c r="X360" s="25">
        <f t="shared" ca="1" si="79"/>
        <v>0</v>
      </c>
      <c r="Y360" s="28">
        <f ca="1">X360*_GramosXFrasco</f>
        <v>0</v>
      </c>
    </row>
    <row r="361" spans="1:25" x14ac:dyDescent="0.25">
      <c r="A361" s="30">
        <f t="shared" si="80"/>
        <v>345</v>
      </c>
      <c r="B361" s="38">
        <f t="shared" ca="1" si="73"/>
        <v>0.18580301785787801</v>
      </c>
      <c r="C361" s="36">
        <f t="shared" ca="1" si="74"/>
        <v>-1</v>
      </c>
      <c r="D361" s="36">
        <f t="shared" ca="1" si="75"/>
        <v>-1</v>
      </c>
      <c r="E361" s="36">
        <f t="shared" ca="1" si="84"/>
        <v>-1</v>
      </c>
      <c r="F361" s="37">
        <f ca="1">IF(E361&lt;&gt;-1,_Media_M + E361*_Sigma,-1)</f>
        <v>-1</v>
      </c>
      <c r="G361" s="3">
        <f t="shared" ca="1" si="76"/>
        <v>50</v>
      </c>
      <c r="H361" s="36">
        <f t="shared" ca="1" si="85"/>
        <v>50</v>
      </c>
      <c r="I361" s="36">
        <f t="shared" ca="1" si="77"/>
        <v>1.4404196119500294</v>
      </c>
      <c r="J361" s="35">
        <f t="shared" ca="1" si="86"/>
        <v>51.440419611950027</v>
      </c>
      <c r="K361" s="19">
        <f t="shared" ca="1" si="81"/>
        <v>51.440419611950027</v>
      </c>
      <c r="L361" s="20">
        <f ca="1" xml:space="preserve"> K361*_Precio_cafe</f>
        <v>77.160629417925037</v>
      </c>
      <c r="M361" s="20">
        <f t="shared" ca="1" si="82"/>
        <v>49311.816008921662</v>
      </c>
      <c r="N361" s="20">
        <f ca="1">IF((N360-K361+Y361)&gt;_Max_Stock_Gramos,_Max_Stock_Gramos,N360-K361+Y361)</f>
        <v>1500.8738783598262</v>
      </c>
      <c r="O361" s="20">
        <f ca="1">N361/_GramosXFrasco</f>
        <v>8.8286698727048609</v>
      </c>
      <c r="P361" s="63">
        <f ca="1">(N361/_Max_Stock_Gramos)</f>
        <v>0.88286698727048596</v>
      </c>
      <c r="Q361" s="63"/>
      <c r="R361" s="10">
        <f ca="1">IF((N360-J361)&lt;0,(N360-J361)*_Costo_Faltante,0)</f>
        <v>0</v>
      </c>
      <c r="S361">
        <f ca="1">IF(U361=0,X361*_Costo_Frasco,0)</f>
        <v>0</v>
      </c>
      <c r="T361" s="11">
        <f t="shared" ca="1" si="83"/>
        <v>-31577.89173507681</v>
      </c>
      <c r="U361" s="10">
        <f>IF(U360=0,_Proxima_Compra,U360-1)</f>
        <v>0</v>
      </c>
      <c r="V361" s="3">
        <f t="shared" ca="1" si="78"/>
        <v>0.5347953934308487</v>
      </c>
      <c r="W361" s="3">
        <f ca="1">IF(W360&gt;0,W360-1,IF(V361&gt;0,LOOKUP(V361,$R$3:$R$5,$O$3:$O$5),-1))</f>
        <v>1</v>
      </c>
      <c r="X361" s="25">
        <f t="shared" ca="1" si="79"/>
        <v>0</v>
      </c>
      <c r="Y361" s="28">
        <f ca="1">X361*_GramosXFrasco</f>
        <v>0</v>
      </c>
    </row>
    <row r="362" spans="1:25" x14ac:dyDescent="0.25">
      <c r="A362" s="30">
        <f t="shared" si="80"/>
        <v>346</v>
      </c>
      <c r="B362" s="38">
        <f t="shared" ca="1" si="73"/>
        <v>3.127883491785266E-2</v>
      </c>
      <c r="C362" s="36">
        <f t="shared" ca="1" si="74"/>
        <v>-1</v>
      </c>
      <c r="D362" s="36">
        <f t="shared" ca="1" si="75"/>
        <v>-1</v>
      </c>
      <c r="E362" s="36">
        <f t="shared" ca="1" si="84"/>
        <v>-1</v>
      </c>
      <c r="F362" s="37">
        <f ca="1">IF(E362&lt;&gt;-1,_Media_M + E362*_Sigma,-1)</f>
        <v>-1</v>
      </c>
      <c r="G362" s="3">
        <f t="shared" ca="1" si="76"/>
        <v>50</v>
      </c>
      <c r="H362" s="36">
        <f t="shared" ca="1" si="85"/>
        <v>50</v>
      </c>
      <c r="I362" s="36">
        <f t="shared" ca="1" si="77"/>
        <v>28.783428310582234</v>
      </c>
      <c r="J362" s="35">
        <f t="shared" ca="1" si="86"/>
        <v>78.783428310582238</v>
      </c>
      <c r="K362" s="19">
        <f t="shared" ca="1" si="81"/>
        <v>78.783428310582238</v>
      </c>
      <c r="L362" s="20">
        <f ca="1" xml:space="preserve"> K362*_Precio_cafe</f>
        <v>118.17514246587336</v>
      </c>
      <c r="M362" s="20">
        <f t="shared" ca="1" si="82"/>
        <v>49429.991151387534</v>
      </c>
      <c r="N362" s="20">
        <f ca="1">IF((N361-K362+Y362)&gt;_Max_Stock_Gramos,_Max_Stock_Gramos,N361-K362+Y362)</f>
        <v>1700</v>
      </c>
      <c r="O362" s="20">
        <f ca="1">N362/_GramosXFrasco</f>
        <v>10</v>
      </c>
      <c r="P362" s="63">
        <f ca="1">(N362/_Max_Stock_Gramos)</f>
        <v>1</v>
      </c>
      <c r="Q362" s="63"/>
      <c r="R362" s="10">
        <f ca="1">IF((N361-J362)&lt;0,(N361-J362)*_Costo_Faltante,0)</f>
        <v>0</v>
      </c>
      <c r="S362">
        <f>IF(U362=0,X362*_Costo_Frasco,0)</f>
        <v>0</v>
      </c>
      <c r="T362" s="11">
        <f t="shared" ca="1" si="83"/>
        <v>-31577.89173507681</v>
      </c>
      <c r="U362" s="10">
        <f>IF(U361=0,_Proxima_Compra,U361-1)</f>
        <v>2</v>
      </c>
      <c r="V362" s="3">
        <f t="shared" ca="1" si="78"/>
        <v>-1</v>
      </c>
      <c r="W362" s="3">
        <f ca="1">IF(W361&gt;0,W361-1,IF(V362&gt;0,LOOKUP(V362,$R$3:$R$5,$O$3:$O$5),-1))</f>
        <v>0</v>
      </c>
      <c r="X362" s="25">
        <f t="shared" ca="1" si="79"/>
        <v>2</v>
      </c>
      <c r="Y362" s="28">
        <f ca="1">X362*_GramosXFrasco</f>
        <v>340</v>
      </c>
    </row>
    <row r="363" spans="1:25" x14ac:dyDescent="0.25">
      <c r="A363" s="30">
        <f t="shared" si="80"/>
        <v>347</v>
      </c>
      <c r="B363" s="38">
        <f t="shared" ca="1" si="73"/>
        <v>0.89625077450305046</v>
      </c>
      <c r="C363" s="36">
        <f t="shared" ca="1" si="74"/>
        <v>0.48184183590798091</v>
      </c>
      <c r="D363" s="36">
        <f t="shared" ca="1" si="75"/>
        <v>7.2264108715247577E-2</v>
      </c>
      <c r="E363" s="36">
        <f t="shared" ca="1" si="84"/>
        <v>0.67912718199068323</v>
      </c>
      <c r="F363" s="37">
        <f ca="1">IF(E363&lt;&gt;-1,_Media_M + E363*_Sigma,-1)</f>
        <v>85.186907729860252</v>
      </c>
      <c r="G363" s="3">
        <f t="shared" ca="1" si="76"/>
        <v>-1</v>
      </c>
      <c r="H363" s="36">
        <f t="shared" ca="1" si="85"/>
        <v>85.186907729860252</v>
      </c>
      <c r="I363" s="36">
        <f t="shared" ca="1" si="77"/>
        <v>15.68274015015878</v>
      </c>
      <c r="J363" s="35">
        <f t="shared" ca="1" si="86"/>
        <v>100.86964788001903</v>
      </c>
      <c r="K363" s="19">
        <f t="shared" ca="1" si="81"/>
        <v>100.86964788001903</v>
      </c>
      <c r="L363" s="20">
        <f ca="1" xml:space="preserve"> K363*_Precio_cafe</f>
        <v>151.30447182002854</v>
      </c>
      <c r="M363" s="20">
        <f t="shared" ca="1" si="82"/>
        <v>49581.295623207559</v>
      </c>
      <c r="N363" s="20">
        <f ca="1">IF((N362-K363+Y363)&gt;_Max_Stock_Gramos,_Max_Stock_Gramos,N362-K363+Y363)</f>
        <v>1599.1303521199809</v>
      </c>
      <c r="O363" s="20">
        <f ca="1">N363/_GramosXFrasco</f>
        <v>9.4066491301175343</v>
      </c>
      <c r="P363" s="63">
        <f ca="1">(N363/_Max_Stock_Gramos)</f>
        <v>0.94066491301175348</v>
      </c>
      <c r="Q363" s="63"/>
      <c r="R363" s="10">
        <f ca="1">IF((N362-J363)&lt;0,(N362-J363)*_Costo_Faltante,0)</f>
        <v>0</v>
      </c>
      <c r="S363">
        <f>IF(U363=0,X363*_Costo_Frasco,0)</f>
        <v>0</v>
      </c>
      <c r="T363" s="11">
        <f t="shared" ca="1" si="83"/>
        <v>-31577.89173507681</v>
      </c>
      <c r="U363" s="10">
        <f>IF(U362=0,_Proxima_Compra,U362-1)</f>
        <v>1</v>
      </c>
      <c r="V363" s="3">
        <f t="shared" ca="1" si="78"/>
        <v>-1</v>
      </c>
      <c r="W363" s="3">
        <f ca="1">IF(W362&gt;0,W362-1,IF(V363&gt;0,LOOKUP(V363,$R$3:$R$5,$O$3:$O$5),-1))</f>
        <v>-1</v>
      </c>
      <c r="X363" s="25">
        <f t="shared" ca="1" si="79"/>
        <v>0</v>
      </c>
      <c r="Y363" s="28">
        <f ca="1">X363*_GramosXFrasco</f>
        <v>0</v>
      </c>
    </row>
    <row r="364" spans="1:25" x14ac:dyDescent="0.25">
      <c r="A364" s="30">
        <f t="shared" si="80"/>
        <v>348</v>
      </c>
      <c r="B364" s="38">
        <f t="shared" ca="1" si="73"/>
        <v>0.82305667511986125</v>
      </c>
      <c r="C364" s="36">
        <f t="shared" ca="1" si="74"/>
        <v>0.17777305778026664</v>
      </c>
      <c r="D364" s="36">
        <f t="shared" ca="1" si="75"/>
        <v>0.50025484287212862</v>
      </c>
      <c r="E364" s="36">
        <f t="shared" ca="1" si="84"/>
        <v>-0.41233015576678056</v>
      </c>
      <c r="F364" s="37">
        <f ca="1">IF(E364&lt;&gt;-1,_Media_M + E364*_Sigma,-1)</f>
        <v>68.815047663498291</v>
      </c>
      <c r="G364" s="3">
        <f t="shared" ca="1" si="76"/>
        <v>-1</v>
      </c>
      <c r="H364" s="36">
        <f t="shared" ca="1" si="85"/>
        <v>68.815047663498291</v>
      </c>
      <c r="I364" s="36">
        <f t="shared" ca="1" si="77"/>
        <v>31.710727237708678</v>
      </c>
      <c r="J364" s="35">
        <f t="shared" ca="1" si="86"/>
        <v>100.52577490120697</v>
      </c>
      <c r="K364" s="19">
        <f t="shared" ca="1" si="81"/>
        <v>100.52577490120697</v>
      </c>
      <c r="L364" s="20">
        <f ca="1" xml:space="preserve"> K364*_Precio_cafe</f>
        <v>150.78866235181044</v>
      </c>
      <c r="M364" s="20">
        <f t="shared" ca="1" si="82"/>
        <v>49732.084285559373</v>
      </c>
      <c r="N364" s="20">
        <f ca="1">IF((N363-K364+Y364)&gt;_Max_Stock_Gramos,_Max_Stock_Gramos,N363-K364+Y364)</f>
        <v>1498.604577218774</v>
      </c>
      <c r="O364" s="20">
        <f ca="1">N364/_GramosXFrasco</f>
        <v>8.8153210424633759</v>
      </c>
      <c r="P364" s="63">
        <f ca="1">(N364/_Max_Stock_Gramos)</f>
        <v>0.88153210424633766</v>
      </c>
      <c r="Q364" s="63"/>
      <c r="R364" s="10">
        <f ca="1">IF((N363-J364)&lt;0,(N363-J364)*_Costo_Faltante,0)</f>
        <v>0</v>
      </c>
      <c r="S364">
        <f ca="1">IF(U364=0,X364*_Costo_Frasco,0)</f>
        <v>0</v>
      </c>
      <c r="T364" s="11">
        <f t="shared" ca="1" si="83"/>
        <v>-31577.89173507681</v>
      </c>
      <c r="U364" s="10">
        <f>IF(U363=0,_Proxima_Compra,U363-1)</f>
        <v>0</v>
      </c>
      <c r="V364" s="3">
        <f t="shared" ca="1" si="78"/>
        <v>0.88244993623397439</v>
      </c>
      <c r="W364" s="3">
        <f ca="1">IF(W363&gt;0,W363-1,IF(V364&gt;0,LOOKUP(V364,$R$3:$R$5,$O$3:$O$5),-1))</f>
        <v>2</v>
      </c>
      <c r="X364" s="25">
        <f t="shared" ca="1" si="79"/>
        <v>0</v>
      </c>
      <c r="Y364" s="28">
        <f ca="1">X364*_GramosXFrasco</f>
        <v>0</v>
      </c>
    </row>
    <row r="365" spans="1:25" x14ac:dyDescent="0.25">
      <c r="A365" s="30">
        <f t="shared" si="80"/>
        <v>349</v>
      </c>
      <c r="B365" s="38">
        <f t="shared" ca="1" si="73"/>
        <v>0.68698851008423634</v>
      </c>
      <c r="C365" s="36">
        <f t="shared" ca="1" si="74"/>
        <v>0.52918462602344929</v>
      </c>
      <c r="D365" s="36">
        <f t="shared" ca="1" si="75"/>
        <v>0.87047794724321403</v>
      </c>
      <c r="E365" s="36">
        <f t="shared" ca="1" si="84"/>
        <v>0.55548973575452587</v>
      </c>
      <c r="F365" s="37">
        <f ca="1">IF(E365&lt;&gt;-1,_Media_M + E365*_Sigma,-1)</f>
        <v>83.332346036317887</v>
      </c>
      <c r="G365" s="3">
        <f t="shared" ca="1" si="76"/>
        <v>-1</v>
      </c>
      <c r="H365" s="36">
        <f t="shared" ca="1" si="85"/>
        <v>83.332346036317887</v>
      </c>
      <c r="I365" s="36">
        <f t="shared" ca="1" si="77"/>
        <v>3.5117113591933333</v>
      </c>
      <c r="J365" s="35">
        <f t="shared" ca="1" si="86"/>
        <v>86.844057395511214</v>
      </c>
      <c r="K365" s="19">
        <f t="shared" ca="1" si="81"/>
        <v>86.844057395511214</v>
      </c>
      <c r="L365" s="20">
        <f ca="1" xml:space="preserve"> K365*_Precio_cafe</f>
        <v>130.26608609326684</v>
      </c>
      <c r="M365" s="20">
        <f t="shared" ca="1" si="82"/>
        <v>49862.350371652639</v>
      </c>
      <c r="N365" s="20">
        <f ca="1">IF((N364-K365+Y365)&gt;_Max_Stock_Gramos,_Max_Stock_Gramos,N364-K365+Y365)</f>
        <v>1411.7605198232627</v>
      </c>
      <c r="O365" s="20">
        <f ca="1">N365/_GramosXFrasco</f>
        <v>8.3044736460191917</v>
      </c>
      <c r="P365" s="63">
        <f ca="1">(N365/_Max_Stock_Gramos)</f>
        <v>0.83044736460191926</v>
      </c>
      <c r="Q365" s="63"/>
      <c r="R365" s="10">
        <f ca="1">IF((N364-J365)&lt;0,(N364-J365)*_Costo_Faltante,0)</f>
        <v>0</v>
      </c>
      <c r="S365">
        <f>IF(U365=0,X365*_Costo_Frasco,0)</f>
        <v>0</v>
      </c>
      <c r="T365" s="11">
        <f t="shared" ca="1" si="83"/>
        <v>-31577.89173507681</v>
      </c>
      <c r="U365" s="10">
        <f>IF(U364=0,_Proxima_Compra,U364-1)</f>
        <v>2</v>
      </c>
      <c r="V365" s="3">
        <f t="shared" ca="1" si="78"/>
        <v>-1</v>
      </c>
      <c r="W365" s="3">
        <f ca="1">IF(W364&gt;0,W364-1,IF(V365&gt;0,LOOKUP(V365,$R$3:$R$5,$O$3:$O$5),-1))</f>
        <v>1</v>
      </c>
      <c r="X365" s="25">
        <f t="shared" ca="1" si="79"/>
        <v>0</v>
      </c>
      <c r="Y365" s="28">
        <f ca="1">X365*_GramosXFrasco</f>
        <v>0</v>
      </c>
    </row>
    <row r="366" spans="1:25" x14ac:dyDescent="0.25">
      <c r="A366" s="30">
        <f t="shared" si="80"/>
        <v>350</v>
      </c>
      <c r="B366" s="38">
        <f t="shared" ca="1" si="73"/>
        <v>0.48006096496703299</v>
      </c>
      <c r="C366" s="36">
        <f t="shared" ca="1" si="74"/>
        <v>-1</v>
      </c>
      <c r="D366" s="36">
        <f t="shared" ca="1" si="75"/>
        <v>-1</v>
      </c>
      <c r="E366" s="36">
        <f t="shared" ca="1" si="84"/>
        <v>-1</v>
      </c>
      <c r="F366" s="37">
        <f ca="1">IF(E366&lt;&gt;-1,_Media_M + E366*_Sigma,-1)</f>
        <v>-1</v>
      </c>
      <c r="G366" s="3">
        <f t="shared" ca="1" si="76"/>
        <v>50</v>
      </c>
      <c r="H366" s="36">
        <f t="shared" ca="1" si="85"/>
        <v>50</v>
      </c>
      <c r="I366" s="36">
        <f t="shared" ca="1" si="77"/>
        <v>42.274946815116351</v>
      </c>
      <c r="J366" s="35">
        <f t="shared" ca="1" si="86"/>
        <v>92.274946815116351</v>
      </c>
      <c r="K366" s="19">
        <f t="shared" ca="1" si="81"/>
        <v>92.274946815116351</v>
      </c>
      <c r="L366" s="20">
        <f ca="1" xml:space="preserve"> K366*_Precio_cafe</f>
        <v>138.41242022267454</v>
      </c>
      <c r="M366" s="20">
        <f t="shared" ca="1" si="82"/>
        <v>50000.762791875313</v>
      </c>
      <c r="N366" s="20">
        <f ca="1">IF((N365-K366+Y366)&gt;_Max_Stock_Gramos,_Max_Stock_Gramos,N365-K366+Y366)</f>
        <v>1659.4855730081463</v>
      </c>
      <c r="O366" s="20">
        <f ca="1">N366/_GramosXFrasco</f>
        <v>9.7616798412243906</v>
      </c>
      <c r="P366" s="63">
        <f ca="1">(N366/_Max_Stock_Gramos)</f>
        <v>0.97616798412243899</v>
      </c>
      <c r="Q366" s="63"/>
      <c r="R366" s="10">
        <f ca="1">IF((N365-J366)&lt;0,(N365-J366)*_Costo_Faltante,0)</f>
        <v>0</v>
      </c>
      <c r="S366">
        <f>IF(U366=0,X366*_Costo_Frasco,0)</f>
        <v>0</v>
      </c>
      <c r="T366" s="11">
        <f t="shared" ca="1" si="83"/>
        <v>-31577.89173507681</v>
      </c>
      <c r="U366" s="10">
        <f>IF(U365=0,_Proxima_Compra,U365-1)</f>
        <v>1</v>
      </c>
      <c r="V366" s="3">
        <f t="shared" ca="1" si="78"/>
        <v>-1</v>
      </c>
      <c r="W366" s="3">
        <f ca="1">IF(W365&gt;0,W365-1,IF(V366&gt;0,LOOKUP(V366,$R$3:$R$5,$O$3:$O$5),-1))</f>
        <v>0</v>
      </c>
      <c r="X366" s="25">
        <f t="shared" ca="1" si="79"/>
        <v>2</v>
      </c>
      <c r="Y366" s="28">
        <f ca="1">X366*_GramosXFrasco</f>
        <v>340</v>
      </c>
    </row>
    <row r="367" spans="1:25" x14ac:dyDescent="0.25">
      <c r="A367" s="30">
        <f t="shared" si="80"/>
        <v>351</v>
      </c>
      <c r="B367" s="38">
        <f t="shared" ca="1" si="73"/>
        <v>0.14038875700548914</v>
      </c>
      <c r="C367" s="36">
        <f t="shared" ca="1" si="74"/>
        <v>-1</v>
      </c>
      <c r="D367" s="36">
        <f t="shared" ca="1" si="75"/>
        <v>-1</v>
      </c>
      <c r="E367" s="36">
        <f t="shared" ca="1" si="84"/>
        <v>-1</v>
      </c>
      <c r="F367" s="37">
        <f ca="1">IF(E367&lt;&gt;-1,_Media_M + E367*_Sigma,-1)</f>
        <v>-1</v>
      </c>
      <c r="G367" s="3">
        <f t="shared" ca="1" si="76"/>
        <v>50</v>
      </c>
      <c r="H367" s="36">
        <f t="shared" ca="1" si="85"/>
        <v>50</v>
      </c>
      <c r="I367" s="36">
        <f t="shared" ca="1" si="77"/>
        <v>36.356022035505106</v>
      </c>
      <c r="J367" s="35">
        <f t="shared" ca="1" si="86"/>
        <v>86.356022035505106</v>
      </c>
      <c r="K367" s="19">
        <f t="shared" ca="1" si="81"/>
        <v>86.356022035505106</v>
      </c>
      <c r="L367" s="20">
        <f ca="1" xml:space="preserve"> K367*_Precio_cafe</f>
        <v>129.53403305325764</v>
      </c>
      <c r="M367" s="20">
        <f t="shared" ca="1" si="82"/>
        <v>50130.29682492857</v>
      </c>
      <c r="N367" s="20">
        <f ca="1">IF((N366-K367+Y367)&gt;_Max_Stock_Gramos,_Max_Stock_Gramos,N366-K367+Y367)</f>
        <v>1573.1295509726413</v>
      </c>
      <c r="O367" s="20">
        <f ca="1">N367/_GramosXFrasco</f>
        <v>9.2537032410155362</v>
      </c>
      <c r="P367" s="63">
        <f ca="1">(N367/_Max_Stock_Gramos)</f>
        <v>0.92537032410155373</v>
      </c>
      <c r="Q367" s="63"/>
      <c r="R367" s="10">
        <f ca="1">IF((N366-J367)&lt;0,(N366-J367)*_Costo_Faltante,0)</f>
        <v>0</v>
      </c>
      <c r="S367">
        <f ca="1">IF(U367=0,X367*_Costo_Frasco,0)</f>
        <v>0</v>
      </c>
      <c r="T367" s="11">
        <f t="shared" ca="1" si="83"/>
        <v>-31577.89173507681</v>
      </c>
      <c r="U367" s="10">
        <f>IF(U366=0,_Proxima_Compra,U366-1)</f>
        <v>0</v>
      </c>
      <c r="V367" s="3">
        <f t="shared" ca="1" si="78"/>
        <v>0.87010589102580538</v>
      </c>
      <c r="W367" s="3">
        <f ca="1">IF(W366&gt;0,W366-1,IF(V367&gt;0,LOOKUP(V367,$R$3:$R$5,$O$3:$O$5),-1))</f>
        <v>2</v>
      </c>
      <c r="X367" s="25">
        <f t="shared" ca="1" si="79"/>
        <v>0</v>
      </c>
      <c r="Y367" s="28">
        <f ca="1">X367*_GramosXFrasco</f>
        <v>0</v>
      </c>
    </row>
    <row r="368" spans="1:25" x14ac:dyDescent="0.25">
      <c r="A368" s="30">
        <f t="shared" si="80"/>
        <v>352</v>
      </c>
      <c r="B368" s="38">
        <f t="shared" ca="1" si="73"/>
        <v>0.74750541256521508</v>
      </c>
      <c r="C368" s="36">
        <f t="shared" ca="1" si="74"/>
        <v>0.17060897552615906</v>
      </c>
      <c r="D368" s="36">
        <f t="shared" ca="1" si="75"/>
        <v>0.32590106090173598</v>
      </c>
      <c r="E368" s="36">
        <f t="shared" ca="1" si="84"/>
        <v>-0.18502933939629035</v>
      </c>
      <c r="F368" s="37">
        <f ca="1">IF(E368&lt;&gt;-1,_Media_M + E368*_Sigma,-1)</f>
        <v>72.224559909055642</v>
      </c>
      <c r="G368" s="3">
        <f t="shared" ca="1" si="76"/>
        <v>-1</v>
      </c>
      <c r="H368" s="36">
        <f t="shared" ca="1" si="85"/>
        <v>72.224559909055642</v>
      </c>
      <c r="I368" s="36">
        <f t="shared" ca="1" si="77"/>
        <v>193.10143180567124</v>
      </c>
      <c r="J368" s="35">
        <f t="shared" ca="1" si="86"/>
        <v>265.32599171472691</v>
      </c>
      <c r="K368" s="19">
        <f t="shared" ca="1" si="81"/>
        <v>265.32599171472691</v>
      </c>
      <c r="L368" s="20">
        <f ca="1" xml:space="preserve"> K368*_Precio_cafe</f>
        <v>397.98898757209037</v>
      </c>
      <c r="M368" s="20">
        <f t="shared" ca="1" si="82"/>
        <v>50528.285812500661</v>
      </c>
      <c r="N368" s="20">
        <f ca="1">IF((N367-K368+Y368)&gt;_Max_Stock_Gramos,_Max_Stock_Gramos,N367-K368+Y368)</f>
        <v>1307.8035592579145</v>
      </c>
      <c r="O368" s="20">
        <f ca="1">N368/_GramosXFrasco</f>
        <v>7.6929621132818493</v>
      </c>
      <c r="P368" s="63">
        <f ca="1">(N368/_Max_Stock_Gramos)</f>
        <v>0.76929621132818493</v>
      </c>
      <c r="Q368" s="63"/>
      <c r="R368" s="10">
        <f ca="1">IF((N367-J368)&lt;0,(N367-J368)*_Costo_Faltante,0)</f>
        <v>0</v>
      </c>
      <c r="S368">
        <f>IF(U368=0,X368*_Costo_Frasco,0)</f>
        <v>0</v>
      </c>
      <c r="T368" s="11">
        <f t="shared" ca="1" si="83"/>
        <v>-31577.89173507681</v>
      </c>
      <c r="U368" s="10">
        <f>IF(U367=0,_Proxima_Compra,U367-1)</f>
        <v>2</v>
      </c>
      <c r="V368" s="3">
        <f t="shared" ca="1" si="78"/>
        <v>-1</v>
      </c>
      <c r="W368" s="3">
        <f ca="1">IF(W367&gt;0,W367-1,IF(V368&gt;0,LOOKUP(V368,$R$3:$R$5,$O$3:$O$5),-1))</f>
        <v>1</v>
      </c>
      <c r="X368" s="25">
        <f t="shared" ca="1" si="79"/>
        <v>0</v>
      </c>
      <c r="Y368" s="28">
        <f ca="1">X368*_GramosXFrasco</f>
        <v>0</v>
      </c>
    </row>
    <row r="369" spans="1:25" x14ac:dyDescent="0.25">
      <c r="A369" s="30">
        <f t="shared" si="80"/>
        <v>353</v>
      </c>
      <c r="B369" s="38">
        <f t="shared" ca="1" si="73"/>
        <v>0.12679542649733166</v>
      </c>
      <c r="C369" s="36">
        <f t="shared" ca="1" si="74"/>
        <v>-1</v>
      </c>
      <c r="D369" s="36">
        <f t="shared" ca="1" si="75"/>
        <v>-1</v>
      </c>
      <c r="E369" s="36">
        <f t="shared" ca="1" si="84"/>
        <v>-1</v>
      </c>
      <c r="F369" s="37">
        <f ca="1">IF(E369&lt;&gt;-1,_Media_M + E369*_Sigma,-1)</f>
        <v>-1</v>
      </c>
      <c r="G369" s="3">
        <f t="shared" ca="1" si="76"/>
        <v>50</v>
      </c>
      <c r="H369" s="36">
        <f t="shared" ca="1" si="85"/>
        <v>50</v>
      </c>
      <c r="I369" s="36">
        <f t="shared" ca="1" si="77"/>
        <v>101.10493626980879</v>
      </c>
      <c r="J369" s="35">
        <f t="shared" ca="1" si="86"/>
        <v>151.10493626980877</v>
      </c>
      <c r="K369" s="19">
        <f t="shared" ca="1" si="81"/>
        <v>151.10493626980877</v>
      </c>
      <c r="L369" s="20">
        <f ca="1" xml:space="preserve"> K369*_Precio_cafe</f>
        <v>226.65740440471316</v>
      </c>
      <c r="M369" s="20">
        <f t="shared" ca="1" si="82"/>
        <v>50754.943216905376</v>
      </c>
      <c r="N369" s="20">
        <f ca="1">IF((N368-K369+Y369)&gt;_Max_Stock_Gramos,_Max_Stock_Gramos,N368-K369+Y369)</f>
        <v>1496.6986229881056</v>
      </c>
      <c r="O369" s="20">
        <f ca="1">N369/_GramosXFrasco</f>
        <v>8.8041095469888564</v>
      </c>
      <c r="P369" s="63">
        <f ca="1">(N369/_Max_Stock_Gramos)</f>
        <v>0.88041095469888564</v>
      </c>
      <c r="Q369" s="63"/>
      <c r="R369" s="10">
        <f ca="1">IF((N368-J369)&lt;0,(N368-J369)*_Costo_Faltante,0)</f>
        <v>0</v>
      </c>
      <c r="S369">
        <f>IF(U369=0,X369*_Costo_Frasco,0)</f>
        <v>0</v>
      </c>
      <c r="T369" s="11">
        <f t="shared" ca="1" si="83"/>
        <v>-31577.89173507681</v>
      </c>
      <c r="U369" s="10">
        <f>IF(U368=0,_Proxima_Compra,U368-1)</f>
        <v>1</v>
      </c>
      <c r="V369" s="3">
        <f t="shared" ca="1" si="78"/>
        <v>-1</v>
      </c>
      <c r="W369" s="3">
        <f ca="1">IF(W368&gt;0,W368-1,IF(V369&gt;0,LOOKUP(V369,$R$3:$R$5,$O$3:$O$5),-1))</f>
        <v>0</v>
      </c>
      <c r="X369" s="25">
        <f t="shared" ca="1" si="79"/>
        <v>2</v>
      </c>
      <c r="Y369" s="28">
        <f ca="1">X369*_GramosXFrasco</f>
        <v>340</v>
      </c>
    </row>
    <row r="370" spans="1:25" x14ac:dyDescent="0.25">
      <c r="A370" s="30">
        <f t="shared" si="80"/>
        <v>354</v>
      </c>
      <c r="B370" s="38">
        <f t="shared" ca="1" si="73"/>
        <v>0.77271781466609513</v>
      </c>
      <c r="C370" s="36">
        <f t="shared" ca="1" si="74"/>
        <v>0.71712155846484826</v>
      </c>
      <c r="D370" s="36">
        <f t="shared" ca="1" si="75"/>
        <v>0.95390457160047737</v>
      </c>
      <c r="E370" s="36">
        <f t="shared" ca="1" si="84"/>
        <v>1.0036637849455259</v>
      </c>
      <c r="F370" s="37">
        <f ca="1">IF(E370&lt;&gt;-1,_Media_M + E370*_Sigma,-1)</f>
        <v>90.054956774182884</v>
      </c>
      <c r="G370" s="3">
        <f t="shared" ca="1" si="76"/>
        <v>-1</v>
      </c>
      <c r="H370" s="36">
        <f t="shared" ca="1" si="85"/>
        <v>90.054956774182884</v>
      </c>
      <c r="I370" s="36">
        <f t="shared" ca="1" si="77"/>
        <v>13.444449492476119</v>
      </c>
      <c r="J370" s="35">
        <f t="shared" ca="1" si="86"/>
        <v>103.49940626665901</v>
      </c>
      <c r="K370" s="19">
        <f t="shared" ca="1" si="81"/>
        <v>103.49940626665901</v>
      </c>
      <c r="L370" s="20">
        <f ca="1" xml:space="preserve"> K370*_Precio_cafe</f>
        <v>155.24910939998853</v>
      </c>
      <c r="M370" s="20">
        <f t="shared" ca="1" si="82"/>
        <v>50910.192326305361</v>
      </c>
      <c r="N370" s="20">
        <f ca="1">IF((N369-K370+Y370)&gt;_Max_Stock_Gramos,_Max_Stock_Gramos,N369-K370+Y370)</f>
        <v>1393.1992167214466</v>
      </c>
      <c r="O370" s="20">
        <f ca="1">N370/_GramosXFrasco</f>
        <v>8.1952895101261571</v>
      </c>
      <c r="P370" s="63">
        <f ca="1">(N370/_Max_Stock_Gramos)</f>
        <v>0.81952895101261569</v>
      </c>
      <c r="Q370" s="63"/>
      <c r="R370" s="10">
        <f ca="1">IF((N369-J370)&lt;0,(N369-J370)*_Costo_Faltante,0)</f>
        <v>0</v>
      </c>
      <c r="S370">
        <f ca="1">IF(U370=0,X370*_Costo_Frasco,0)</f>
        <v>0</v>
      </c>
      <c r="T370" s="11">
        <f t="shared" ca="1" si="83"/>
        <v>-31577.89173507681</v>
      </c>
      <c r="U370" s="10">
        <f>IF(U369=0,_Proxima_Compra,U369-1)</f>
        <v>0</v>
      </c>
      <c r="V370" s="3">
        <f t="shared" ca="1" si="78"/>
        <v>0.95919525822702079</v>
      </c>
      <c r="W370" s="3">
        <f ca="1">IF(W369&gt;0,W369-1,IF(V370&gt;0,LOOKUP(V370,$R$3:$R$5,$O$3:$O$5),-1))</f>
        <v>2</v>
      </c>
      <c r="X370" s="25">
        <f t="shared" ca="1" si="79"/>
        <v>0</v>
      </c>
      <c r="Y370" s="28">
        <f ca="1">X370*_GramosXFrasco</f>
        <v>0</v>
      </c>
    </row>
    <row r="371" spans="1:25" x14ac:dyDescent="0.25">
      <c r="A371" s="30">
        <f t="shared" si="80"/>
        <v>355</v>
      </c>
      <c r="B371" s="38">
        <f t="shared" ca="1" si="73"/>
        <v>0.5631097516046738</v>
      </c>
      <c r="C371" s="36">
        <f t="shared" ca="1" si="74"/>
        <v>0.50053603654619006</v>
      </c>
      <c r="D371" s="36">
        <f t="shared" ca="1" si="75"/>
        <v>0.93574483158699273</v>
      </c>
      <c r="E371" s="36">
        <f t="shared" ca="1" si="84"/>
        <v>0.71409522372744372</v>
      </c>
      <c r="F371" s="37">
        <f ca="1">IF(E371&lt;&gt;-1,_Media_M + E371*_Sigma,-1)</f>
        <v>85.71142835591165</v>
      </c>
      <c r="G371" s="3">
        <f t="shared" ca="1" si="76"/>
        <v>-1</v>
      </c>
      <c r="H371" s="36">
        <f t="shared" ca="1" si="85"/>
        <v>85.71142835591165</v>
      </c>
      <c r="I371" s="36">
        <f t="shared" ca="1" si="77"/>
        <v>56.404121823065211</v>
      </c>
      <c r="J371" s="35">
        <f t="shared" ca="1" si="86"/>
        <v>142.11555017897686</v>
      </c>
      <c r="K371" s="19">
        <f t="shared" ca="1" si="81"/>
        <v>142.11555017897686</v>
      </c>
      <c r="L371" s="20">
        <f ca="1" xml:space="preserve"> K371*_Precio_cafe</f>
        <v>213.17332526846531</v>
      </c>
      <c r="M371" s="20">
        <f t="shared" ca="1" si="82"/>
        <v>51123.365651573826</v>
      </c>
      <c r="N371" s="20">
        <f ca="1">IF((N370-K371+Y371)&gt;_Max_Stock_Gramos,_Max_Stock_Gramos,N370-K371+Y371)</f>
        <v>1251.0836665424697</v>
      </c>
      <c r="O371" s="20">
        <f ca="1">N371/_GramosXFrasco</f>
        <v>7.3593156855439394</v>
      </c>
      <c r="P371" s="63">
        <f ca="1">(N371/_Max_Stock_Gramos)</f>
        <v>0.7359315685543939</v>
      </c>
      <c r="Q371" s="63"/>
      <c r="R371" s="10">
        <f ca="1">IF((N370-J371)&lt;0,(N370-J371)*_Costo_Faltante,0)</f>
        <v>0</v>
      </c>
      <c r="S371">
        <f>IF(U371=0,X371*_Costo_Frasco,0)</f>
        <v>0</v>
      </c>
      <c r="T371" s="11">
        <f t="shared" ca="1" si="83"/>
        <v>-31577.89173507681</v>
      </c>
      <c r="U371" s="10">
        <f>IF(U370=0,_Proxima_Compra,U370-1)</f>
        <v>2</v>
      </c>
      <c r="V371" s="3">
        <f t="shared" ca="1" si="78"/>
        <v>-1</v>
      </c>
      <c r="W371" s="3">
        <f ca="1">IF(W370&gt;0,W370-1,IF(V371&gt;0,LOOKUP(V371,$R$3:$R$5,$O$3:$O$5),-1))</f>
        <v>1</v>
      </c>
      <c r="X371" s="25">
        <f t="shared" ca="1" si="79"/>
        <v>0</v>
      </c>
      <c r="Y371" s="28">
        <f ca="1">X371*_GramosXFrasco</f>
        <v>0</v>
      </c>
    </row>
    <row r="372" spans="1:25" x14ac:dyDescent="0.25">
      <c r="A372" s="30">
        <f t="shared" si="80"/>
        <v>356</v>
      </c>
      <c r="B372" s="38">
        <f t="shared" ca="1" si="73"/>
        <v>0.24488706624736878</v>
      </c>
      <c r="C372" s="36">
        <f t="shared" ca="1" si="74"/>
        <v>-1</v>
      </c>
      <c r="D372" s="36">
        <f t="shared" ca="1" si="75"/>
        <v>-1</v>
      </c>
      <c r="E372" s="36">
        <f t="shared" ca="1" si="84"/>
        <v>-1</v>
      </c>
      <c r="F372" s="37">
        <f ca="1">IF(E372&lt;&gt;-1,_Media_M + E372*_Sigma,-1)</f>
        <v>-1</v>
      </c>
      <c r="G372" s="3">
        <f t="shared" ca="1" si="76"/>
        <v>50</v>
      </c>
      <c r="H372" s="36">
        <f t="shared" ca="1" si="85"/>
        <v>50</v>
      </c>
      <c r="I372" s="36">
        <f t="shared" ca="1" si="77"/>
        <v>18.352336469779619</v>
      </c>
      <c r="J372" s="35">
        <f t="shared" ca="1" si="86"/>
        <v>68.352336469779615</v>
      </c>
      <c r="K372" s="19">
        <f t="shared" ca="1" si="81"/>
        <v>68.352336469779615</v>
      </c>
      <c r="L372" s="20">
        <f ca="1" xml:space="preserve"> K372*_Precio_cafe</f>
        <v>102.52850470466942</v>
      </c>
      <c r="M372" s="20">
        <f t="shared" ca="1" si="82"/>
        <v>51225.894156278497</v>
      </c>
      <c r="N372" s="20">
        <f ca="1">IF((N371-K372+Y372)&gt;_Max_Stock_Gramos,_Max_Stock_Gramos,N371-K372+Y372)</f>
        <v>1522.7313300726901</v>
      </c>
      <c r="O372" s="20">
        <f ca="1">N372/_GramosXFrasco</f>
        <v>8.957243118074647</v>
      </c>
      <c r="P372" s="63">
        <f ca="1">(N372/_Max_Stock_Gramos)</f>
        <v>0.8957243118074647</v>
      </c>
      <c r="Q372" s="63"/>
      <c r="R372" s="10">
        <f ca="1">IF((N371-J372)&lt;0,(N371-J372)*_Costo_Faltante,0)</f>
        <v>0</v>
      </c>
      <c r="S372">
        <f>IF(U372=0,X372*_Costo_Frasco,0)</f>
        <v>0</v>
      </c>
      <c r="T372" s="11">
        <f t="shared" ca="1" si="83"/>
        <v>-31577.89173507681</v>
      </c>
      <c r="U372" s="10">
        <f>IF(U371=0,_Proxima_Compra,U371-1)</f>
        <v>1</v>
      </c>
      <c r="V372" s="3">
        <f t="shared" ca="1" si="78"/>
        <v>-1</v>
      </c>
      <c r="W372" s="3">
        <f ca="1">IF(W371&gt;0,W371-1,IF(V372&gt;0,LOOKUP(V372,$R$3:$R$5,$O$3:$O$5),-1))</f>
        <v>0</v>
      </c>
      <c r="X372" s="25">
        <f t="shared" ca="1" si="79"/>
        <v>2</v>
      </c>
      <c r="Y372" s="28">
        <f ca="1">X372*_GramosXFrasco</f>
        <v>340</v>
      </c>
    </row>
    <row r="373" spans="1:25" x14ac:dyDescent="0.25">
      <c r="A373" s="30">
        <f t="shared" si="80"/>
        <v>357</v>
      </c>
      <c r="B373" s="38">
        <f t="shared" ca="1" si="73"/>
        <v>0.87996397785029501</v>
      </c>
      <c r="C373" s="36">
        <f t="shared" ca="1" si="74"/>
        <v>0.7028089770998267</v>
      </c>
      <c r="D373" s="36">
        <f t="shared" ca="1" si="75"/>
        <v>0.25702373934183798</v>
      </c>
      <c r="E373" s="36">
        <f t="shared" ca="1" si="84"/>
        <v>-4.5291100637064638E-2</v>
      </c>
      <c r="F373" s="37">
        <f ca="1">IF(E373&lt;&gt;-1,_Media_M + E373*_Sigma,-1)</f>
        <v>74.320633490444024</v>
      </c>
      <c r="G373" s="3">
        <f t="shared" ca="1" si="76"/>
        <v>-1</v>
      </c>
      <c r="H373" s="36">
        <f t="shared" ca="1" si="85"/>
        <v>74.320633490444024</v>
      </c>
      <c r="I373" s="36">
        <f t="shared" ca="1" si="77"/>
        <v>38.080260196301246</v>
      </c>
      <c r="J373" s="35">
        <f t="shared" ca="1" si="86"/>
        <v>112.40089368674526</v>
      </c>
      <c r="K373" s="19">
        <f t="shared" ca="1" si="81"/>
        <v>112.40089368674526</v>
      </c>
      <c r="L373" s="20">
        <f ca="1" xml:space="preserve"> K373*_Precio_cafe</f>
        <v>168.60134053011791</v>
      </c>
      <c r="M373" s="20">
        <f t="shared" ca="1" si="82"/>
        <v>51394.495496808617</v>
      </c>
      <c r="N373" s="20">
        <f ca="1">IF((N372-K373+Y373)&gt;_Max_Stock_Gramos,_Max_Stock_Gramos,N372-K373+Y373)</f>
        <v>1700</v>
      </c>
      <c r="O373" s="20">
        <f ca="1">N373/_GramosXFrasco</f>
        <v>10</v>
      </c>
      <c r="P373" s="63">
        <f ca="1">(N373/_Max_Stock_Gramos)</f>
        <v>1</v>
      </c>
      <c r="Q373" s="63"/>
      <c r="R373" s="10">
        <f ca="1">IF((N372-J373)&lt;0,(N372-J373)*_Costo_Faltante,0)</f>
        <v>0</v>
      </c>
      <c r="S373">
        <f ca="1">IF(U373=0,X373*_Costo_Frasco,0)</f>
        <v>-500</v>
      </c>
      <c r="T373" s="11">
        <f t="shared" ca="1" si="83"/>
        <v>-32077.89173507681</v>
      </c>
      <c r="U373" s="10">
        <f>IF(U372=0,_Proxima_Compra,U372-1)</f>
        <v>0</v>
      </c>
      <c r="V373" s="3">
        <f t="shared" ca="1" si="78"/>
        <v>0.39151131324355393</v>
      </c>
      <c r="W373" s="3">
        <f ca="1">IF(W372&gt;0,W372-1,IF(V373&gt;0,LOOKUP(V373,$R$3:$R$5,$O$3:$O$5),-1))</f>
        <v>0</v>
      </c>
      <c r="X373" s="25">
        <f t="shared" ca="1" si="79"/>
        <v>2</v>
      </c>
      <c r="Y373" s="28">
        <f ca="1">X373*_GramosXFrasco</f>
        <v>340</v>
      </c>
    </row>
    <row r="374" spans="1:25" x14ac:dyDescent="0.25">
      <c r="A374" s="30">
        <f t="shared" si="80"/>
        <v>358</v>
      </c>
      <c r="B374" s="38">
        <f t="shared" ca="1" si="73"/>
        <v>7.8973711157611981E-2</v>
      </c>
      <c r="C374" s="36">
        <f t="shared" ca="1" si="74"/>
        <v>-1</v>
      </c>
      <c r="D374" s="36">
        <f t="shared" ca="1" si="75"/>
        <v>-1</v>
      </c>
      <c r="E374" s="36">
        <f t="shared" ca="1" si="84"/>
        <v>-1</v>
      </c>
      <c r="F374" s="37">
        <f ca="1">IF(E374&lt;&gt;-1,_Media_M + E374*_Sigma,-1)</f>
        <v>-1</v>
      </c>
      <c r="G374" s="3">
        <f t="shared" ca="1" si="76"/>
        <v>50</v>
      </c>
      <c r="H374" s="36">
        <f t="shared" ca="1" si="85"/>
        <v>50</v>
      </c>
      <c r="I374" s="36">
        <f t="shared" ca="1" si="77"/>
        <v>41.975793973947425</v>
      </c>
      <c r="J374" s="35">
        <f t="shared" ca="1" si="86"/>
        <v>91.975793973947418</v>
      </c>
      <c r="K374" s="19">
        <f t="shared" ca="1" si="81"/>
        <v>91.975793973947418</v>
      </c>
      <c r="L374" s="20">
        <f ca="1" xml:space="preserve"> K374*_Precio_cafe</f>
        <v>137.96369096092113</v>
      </c>
      <c r="M374" s="20">
        <f t="shared" ca="1" si="82"/>
        <v>51532.459187769535</v>
      </c>
      <c r="N374" s="20">
        <f ca="1">IF((N373-K374+Y374)&gt;_Max_Stock_Gramos,_Max_Stock_Gramos,N373-K374+Y374)</f>
        <v>1608.0242060260525</v>
      </c>
      <c r="O374" s="20">
        <f ca="1">N374/_GramosXFrasco</f>
        <v>9.4589659178003096</v>
      </c>
      <c r="P374" s="63">
        <f ca="1">(N374/_Max_Stock_Gramos)</f>
        <v>0.94589659178003094</v>
      </c>
      <c r="Q374" s="63"/>
      <c r="R374" s="10">
        <f ca="1">IF((N373-J374)&lt;0,(N373-J374)*_Costo_Faltante,0)</f>
        <v>0</v>
      </c>
      <c r="S374">
        <f>IF(U374=0,X374*_Costo_Frasco,0)</f>
        <v>0</v>
      </c>
      <c r="T374" s="11">
        <f t="shared" ca="1" si="83"/>
        <v>-32077.89173507681</v>
      </c>
      <c r="U374" s="10">
        <f>IF(U373=0,_Proxima_Compra,U373-1)</f>
        <v>2</v>
      </c>
      <c r="V374" s="3">
        <f t="shared" ca="1" si="78"/>
        <v>-1</v>
      </c>
      <c r="W374" s="3">
        <f ca="1">IF(W373&gt;0,W373-1,IF(V374&gt;0,LOOKUP(V374,$R$3:$R$5,$O$3:$O$5),-1))</f>
        <v>-1</v>
      </c>
      <c r="X374" s="25">
        <f t="shared" ca="1" si="79"/>
        <v>0</v>
      </c>
      <c r="Y374" s="28">
        <f ca="1">X374*_GramosXFrasco</f>
        <v>0</v>
      </c>
    </row>
    <row r="375" spans="1:25" x14ac:dyDescent="0.25">
      <c r="A375" s="30">
        <f t="shared" si="80"/>
        <v>359</v>
      </c>
      <c r="B375" s="38">
        <f t="shared" ca="1" si="73"/>
        <v>0.41835448135292408</v>
      </c>
      <c r="C375" s="36">
        <f t="shared" ca="1" si="74"/>
        <v>-1</v>
      </c>
      <c r="D375" s="36">
        <f t="shared" ca="1" si="75"/>
        <v>-1</v>
      </c>
      <c r="E375" s="36">
        <f t="shared" ca="1" si="84"/>
        <v>-1</v>
      </c>
      <c r="F375" s="37">
        <f ca="1">IF(E375&lt;&gt;-1,_Media_M + E375*_Sigma,-1)</f>
        <v>-1</v>
      </c>
      <c r="G375" s="3">
        <f t="shared" ca="1" si="76"/>
        <v>50</v>
      </c>
      <c r="H375" s="36">
        <f t="shared" ca="1" si="85"/>
        <v>50</v>
      </c>
      <c r="I375" s="36">
        <f t="shared" ca="1" si="77"/>
        <v>0.6564052466377176</v>
      </c>
      <c r="J375" s="35">
        <f t="shared" ca="1" si="86"/>
        <v>50.656405246637718</v>
      </c>
      <c r="K375" s="19">
        <f t="shared" ca="1" si="81"/>
        <v>50.656405246637718</v>
      </c>
      <c r="L375" s="20">
        <f ca="1" xml:space="preserve"> K375*_Precio_cafe</f>
        <v>75.984607869956577</v>
      </c>
      <c r="M375" s="20">
        <f t="shared" ca="1" si="82"/>
        <v>51608.44379563949</v>
      </c>
      <c r="N375" s="20">
        <f ca="1">IF((N374-K375+Y375)&gt;_Max_Stock_Gramos,_Max_Stock_Gramos,N374-K375+Y375)</f>
        <v>1557.3678007794149</v>
      </c>
      <c r="O375" s="20">
        <f ca="1">N375/_GramosXFrasco</f>
        <v>9.1609870634083226</v>
      </c>
      <c r="P375" s="63">
        <f ca="1">(N375/_Max_Stock_Gramos)</f>
        <v>0.91609870634083224</v>
      </c>
      <c r="Q375" s="63"/>
      <c r="R375" s="10">
        <f ca="1">IF((N374-J375)&lt;0,(N374-J375)*_Costo_Faltante,0)</f>
        <v>0</v>
      </c>
      <c r="S375">
        <f>IF(U375=0,X375*_Costo_Frasco,0)</f>
        <v>0</v>
      </c>
      <c r="T375" s="11">
        <f t="shared" ca="1" si="83"/>
        <v>-32077.89173507681</v>
      </c>
      <c r="U375" s="10">
        <f>IF(U374=0,_Proxima_Compra,U374-1)</f>
        <v>1</v>
      </c>
      <c r="V375" s="3">
        <f t="shared" ca="1" si="78"/>
        <v>-1</v>
      </c>
      <c r="W375" s="3">
        <f ca="1">IF(W374&gt;0,W374-1,IF(V375&gt;0,LOOKUP(V375,$R$3:$R$5,$O$3:$O$5),-1))</f>
        <v>-1</v>
      </c>
      <c r="X375" s="25">
        <f t="shared" ca="1" si="79"/>
        <v>0</v>
      </c>
      <c r="Y375" s="28">
        <f ca="1">X375*_GramosXFrasco</f>
        <v>0</v>
      </c>
    </row>
    <row r="376" spans="1:25" x14ac:dyDescent="0.25">
      <c r="A376" s="30">
        <f t="shared" si="80"/>
        <v>360</v>
      </c>
      <c r="B376" s="38">
        <f t="shared" ca="1" si="73"/>
        <v>0.67507092057747253</v>
      </c>
      <c r="C376" s="36">
        <f t="shared" ca="1" si="74"/>
        <v>0.38822708899333658</v>
      </c>
      <c r="D376" s="36">
        <f t="shared" ca="1" si="75"/>
        <v>0.68694094610966761</v>
      </c>
      <c r="E376" s="36">
        <f t="shared" ca="1" si="84"/>
        <v>-0.25213116602816893</v>
      </c>
      <c r="F376" s="37">
        <f ca="1">IF(E376&lt;&gt;-1,_Media_M + E376*_Sigma,-1)</f>
        <v>71.218032509577469</v>
      </c>
      <c r="G376" s="3">
        <f t="shared" ca="1" si="76"/>
        <v>-1</v>
      </c>
      <c r="H376" s="36">
        <f t="shared" ca="1" si="85"/>
        <v>71.218032509577469</v>
      </c>
      <c r="I376" s="36">
        <f t="shared" ca="1" si="77"/>
        <v>15.667873474825832</v>
      </c>
      <c r="J376" s="35">
        <f t="shared" ca="1" si="86"/>
        <v>86.885905984403308</v>
      </c>
      <c r="K376" s="19">
        <f t="shared" ca="1" si="81"/>
        <v>86.885905984403308</v>
      </c>
      <c r="L376" s="20">
        <f ca="1" xml:space="preserve"> K376*_Precio_cafe</f>
        <v>130.32885897660498</v>
      </c>
      <c r="M376" s="20">
        <f t="shared" ca="1" si="82"/>
        <v>51738.772654616092</v>
      </c>
      <c r="N376" s="20">
        <f ca="1">IF((N375-K376+Y376)&gt;_Max_Stock_Gramos,_Max_Stock_Gramos,N375-K376+Y376)</f>
        <v>1700</v>
      </c>
      <c r="O376" s="20">
        <f ca="1">N376/_GramosXFrasco</f>
        <v>10</v>
      </c>
      <c r="P376" s="63">
        <f ca="1">(N376/_Max_Stock_Gramos)</f>
        <v>1</v>
      </c>
      <c r="Q376" s="63"/>
      <c r="R376" s="10">
        <f ca="1">IF((N375-J376)&lt;0,(N375-J376)*_Costo_Faltante,0)</f>
        <v>0</v>
      </c>
      <c r="S376">
        <f ca="1">IF(U376=0,X376*_Costo_Frasco,0)</f>
        <v>-500</v>
      </c>
      <c r="T376" s="11">
        <f t="shared" ca="1" si="83"/>
        <v>-32577.89173507681</v>
      </c>
      <c r="U376" s="10">
        <f>IF(U375=0,_Proxima_Compra,U375-1)</f>
        <v>0</v>
      </c>
      <c r="V376" s="3">
        <f t="shared" ca="1" si="78"/>
        <v>0.48821783358646742</v>
      </c>
      <c r="W376" s="3">
        <f ca="1">IF(W375&gt;0,W375-1,IF(V376&gt;0,LOOKUP(V376,$R$3:$R$5,$O$3:$O$5),-1))</f>
        <v>0</v>
      </c>
      <c r="X376" s="25">
        <f t="shared" ca="1" si="79"/>
        <v>2</v>
      </c>
      <c r="Y376" s="28">
        <f ca="1">X376*_GramosXFrasco</f>
        <v>340</v>
      </c>
    </row>
    <row r="377" spans="1:25" x14ac:dyDescent="0.25">
      <c r="A377" s="30">
        <f t="shared" si="80"/>
        <v>361</v>
      </c>
      <c r="B377" s="38">
        <f t="shared" ca="1" si="73"/>
        <v>0.47848129321974664</v>
      </c>
      <c r="C377" s="36">
        <f t="shared" ca="1" si="74"/>
        <v>-1</v>
      </c>
      <c r="D377" s="36">
        <f t="shared" ca="1" si="75"/>
        <v>-1</v>
      </c>
      <c r="E377" s="36">
        <f t="shared" ca="1" si="84"/>
        <v>-1</v>
      </c>
      <c r="F377" s="37">
        <f ca="1">IF(E377&lt;&gt;-1,_Media_M + E377*_Sigma,-1)</f>
        <v>-1</v>
      </c>
      <c r="G377" s="3">
        <f t="shared" ca="1" si="76"/>
        <v>50</v>
      </c>
      <c r="H377" s="36">
        <f t="shared" ca="1" si="85"/>
        <v>50</v>
      </c>
      <c r="I377" s="36">
        <f t="shared" ca="1" si="77"/>
        <v>8.3669435762386986</v>
      </c>
      <c r="J377" s="35">
        <f t="shared" ca="1" si="86"/>
        <v>58.366943576238697</v>
      </c>
      <c r="K377" s="19">
        <f t="shared" ca="1" si="81"/>
        <v>58.366943576238697</v>
      </c>
      <c r="L377" s="20">
        <f ca="1" xml:space="preserve"> K377*_Precio_cafe</f>
        <v>87.550415364358045</v>
      </c>
      <c r="M377" s="20">
        <f t="shared" ca="1" si="82"/>
        <v>51826.323069980448</v>
      </c>
      <c r="N377" s="20">
        <f ca="1">IF((N376-K377+Y377)&gt;_Max_Stock_Gramos,_Max_Stock_Gramos,N376-K377+Y377)</f>
        <v>1641.6330564237612</v>
      </c>
      <c r="O377" s="20">
        <f ca="1">N377/_GramosXFrasco</f>
        <v>9.6566650377868299</v>
      </c>
      <c r="P377" s="63">
        <f ca="1">(N377/_Max_Stock_Gramos)</f>
        <v>0.96566650377868302</v>
      </c>
      <c r="Q377" s="63"/>
      <c r="R377" s="10">
        <f ca="1">IF((N376-J377)&lt;0,(N376-J377)*_Costo_Faltante,0)</f>
        <v>0</v>
      </c>
      <c r="S377">
        <f>IF(U377=0,X377*_Costo_Frasco,0)</f>
        <v>0</v>
      </c>
      <c r="T377" s="11">
        <f t="shared" ca="1" si="83"/>
        <v>-32577.89173507681</v>
      </c>
      <c r="U377" s="10">
        <f>IF(U376=0,_Proxima_Compra,U376-1)</f>
        <v>2</v>
      </c>
      <c r="V377" s="3">
        <f t="shared" ca="1" si="78"/>
        <v>-1</v>
      </c>
      <c r="W377" s="3">
        <f ca="1">IF(W376&gt;0,W376-1,IF(V377&gt;0,LOOKUP(V377,$R$3:$R$5,$O$3:$O$5),-1))</f>
        <v>-1</v>
      </c>
      <c r="X377" s="25">
        <f t="shared" ca="1" si="79"/>
        <v>0</v>
      </c>
      <c r="Y377" s="28">
        <f ca="1">X377*_GramosXFrasco</f>
        <v>0</v>
      </c>
    </row>
    <row r="378" spans="1:25" x14ac:dyDescent="0.25">
      <c r="A378" s="30">
        <f t="shared" si="80"/>
        <v>362</v>
      </c>
      <c r="B378" s="38">
        <f t="shared" ca="1" si="73"/>
        <v>0.74680470011296696</v>
      </c>
      <c r="C378" s="36">
        <f t="shared" ca="1" si="74"/>
        <v>0.59055279536243865</v>
      </c>
      <c r="D378" s="36">
        <f t="shared" ca="1" si="75"/>
        <v>0.90406472053843245</v>
      </c>
      <c r="E378" s="36">
        <f t="shared" ca="1" si="84"/>
        <v>0.72547501869023012</v>
      </c>
      <c r="F378" s="37">
        <f ca="1">IF(E378&lt;&gt;-1,_Media_M + E378*_Sigma,-1)</f>
        <v>85.882125280353449</v>
      </c>
      <c r="G378" s="3">
        <f t="shared" ca="1" si="76"/>
        <v>-1</v>
      </c>
      <c r="H378" s="36">
        <f t="shared" ca="1" si="85"/>
        <v>85.882125280353449</v>
      </c>
      <c r="I378" s="36">
        <f t="shared" ca="1" si="77"/>
        <v>16.822092156053589</v>
      </c>
      <c r="J378" s="35">
        <f t="shared" ca="1" si="86"/>
        <v>102.70421743640703</v>
      </c>
      <c r="K378" s="19">
        <f t="shared" ca="1" si="81"/>
        <v>102.70421743640703</v>
      </c>
      <c r="L378" s="20">
        <f ca="1" xml:space="preserve"> K378*_Precio_cafe</f>
        <v>154.05632615461056</v>
      </c>
      <c r="M378" s="20">
        <f t="shared" ca="1" si="82"/>
        <v>51980.37939613506</v>
      </c>
      <c r="N378" s="20">
        <f ca="1">IF((N377-K378+Y378)&gt;_Max_Stock_Gramos,_Max_Stock_Gramos,N377-K378+Y378)</f>
        <v>1538.9288389873541</v>
      </c>
      <c r="O378" s="20">
        <f ca="1">N378/_GramosXFrasco</f>
        <v>9.052522582278554</v>
      </c>
      <c r="P378" s="63">
        <f ca="1">(N378/_Max_Stock_Gramos)</f>
        <v>0.90525225822785538</v>
      </c>
      <c r="Q378" s="63"/>
      <c r="R378" s="10">
        <f ca="1">IF((N377-J378)&lt;0,(N377-J378)*_Costo_Faltante,0)</f>
        <v>0</v>
      </c>
      <c r="S378">
        <f>IF(U378=0,X378*_Costo_Frasco,0)</f>
        <v>0</v>
      </c>
      <c r="T378" s="11">
        <f t="shared" ca="1" si="83"/>
        <v>-32577.89173507681</v>
      </c>
      <c r="U378" s="10">
        <f>IF(U377=0,_Proxima_Compra,U377-1)</f>
        <v>1</v>
      </c>
      <c r="V378" s="3">
        <f t="shared" ca="1" si="78"/>
        <v>-1</v>
      </c>
      <c r="W378" s="3">
        <f ca="1">IF(W377&gt;0,W377-1,IF(V378&gt;0,LOOKUP(V378,$R$3:$R$5,$O$3:$O$5),-1))</f>
        <v>-1</v>
      </c>
      <c r="X378" s="25">
        <f t="shared" ca="1" si="79"/>
        <v>0</v>
      </c>
      <c r="Y378" s="28">
        <f ca="1">X378*_GramosXFrasco</f>
        <v>0</v>
      </c>
    </row>
    <row r="379" spans="1:25" x14ac:dyDescent="0.25">
      <c r="A379" s="30">
        <f t="shared" si="80"/>
        <v>363</v>
      </c>
      <c r="B379" s="38">
        <f t="shared" ca="1" si="73"/>
        <v>0.4093487880268627</v>
      </c>
      <c r="C379" s="36">
        <f t="shared" ca="1" si="74"/>
        <v>-1</v>
      </c>
      <c r="D379" s="36">
        <f t="shared" ca="1" si="75"/>
        <v>-1</v>
      </c>
      <c r="E379" s="36">
        <f t="shared" ca="1" si="84"/>
        <v>-1</v>
      </c>
      <c r="F379" s="37">
        <f ca="1">IF(E379&lt;&gt;-1,_Media_M + E379*_Sigma,-1)</f>
        <v>-1</v>
      </c>
      <c r="G379" s="3">
        <f t="shared" ca="1" si="76"/>
        <v>50</v>
      </c>
      <c r="H379" s="36">
        <f t="shared" ca="1" si="85"/>
        <v>50</v>
      </c>
      <c r="I379" s="36">
        <f t="shared" ca="1" si="77"/>
        <v>88.529872957750939</v>
      </c>
      <c r="J379" s="35">
        <f t="shared" ca="1" si="86"/>
        <v>138.52987295775094</v>
      </c>
      <c r="K379" s="19">
        <f t="shared" ca="1" si="81"/>
        <v>138.52987295775094</v>
      </c>
      <c r="L379" s="20">
        <f ca="1" xml:space="preserve"> K379*_Precio_cafe</f>
        <v>207.79480943662639</v>
      </c>
      <c r="M379" s="20">
        <f t="shared" ca="1" si="82"/>
        <v>52188.17420557169</v>
      </c>
      <c r="N379" s="20">
        <f ca="1">IF((N378-K379+Y379)&gt;_Max_Stock_Gramos,_Max_Stock_Gramos,N378-K379+Y379)</f>
        <v>1700</v>
      </c>
      <c r="O379" s="20">
        <f ca="1">N379/_GramosXFrasco</f>
        <v>10</v>
      </c>
      <c r="P379" s="63">
        <f ca="1">(N379/_Max_Stock_Gramos)</f>
        <v>1</v>
      </c>
      <c r="Q379" s="63"/>
      <c r="R379" s="10">
        <f ca="1">IF((N378-J379)&lt;0,(N378-J379)*_Costo_Faltante,0)</f>
        <v>0</v>
      </c>
      <c r="S379">
        <f ca="1">IF(U379=0,X379*_Costo_Frasco,0)</f>
        <v>-500</v>
      </c>
      <c r="T379" s="11">
        <f t="shared" ca="1" si="83"/>
        <v>-33077.89173507681</v>
      </c>
      <c r="U379" s="10">
        <f>IF(U378=0,_Proxima_Compra,U378-1)</f>
        <v>0</v>
      </c>
      <c r="V379" s="3">
        <f t="shared" ca="1" si="78"/>
        <v>0.35594890284844338</v>
      </c>
      <c r="W379" s="3">
        <f ca="1">IF(W378&gt;0,W378-1,IF(V379&gt;0,LOOKUP(V379,$R$3:$R$5,$O$3:$O$5),-1))</f>
        <v>0</v>
      </c>
      <c r="X379" s="25">
        <f t="shared" ca="1" si="79"/>
        <v>2</v>
      </c>
      <c r="Y379" s="28">
        <f ca="1">X379*_GramosXFrasco</f>
        <v>340</v>
      </c>
    </row>
    <row r="380" spans="1:25" x14ac:dyDescent="0.25">
      <c r="A380" s="30">
        <f t="shared" si="80"/>
        <v>364</v>
      </c>
      <c r="B380" s="38">
        <f t="shared" ca="1" si="73"/>
        <v>0.56944536340230434</v>
      </c>
      <c r="C380" s="36">
        <f t="shared" ca="1" si="74"/>
        <v>0.23657388685476344</v>
      </c>
      <c r="D380" s="36">
        <f t="shared" ca="1" si="75"/>
        <v>0.89936718889111678</v>
      </c>
      <c r="E380" s="36">
        <f t="shared" ca="1" si="84"/>
        <v>0.39060493278576652</v>
      </c>
      <c r="F380" s="37">
        <f ca="1">IF(E380&lt;&gt;-1,_Media_M + E380*_Sigma,-1)</f>
        <v>80.859073991786502</v>
      </c>
      <c r="G380" s="3">
        <f t="shared" ca="1" si="76"/>
        <v>-1</v>
      </c>
      <c r="H380" s="36">
        <f t="shared" ca="1" si="85"/>
        <v>80.859073991786502</v>
      </c>
      <c r="I380" s="36">
        <f t="shared" ca="1" si="77"/>
        <v>24.477729654301609</v>
      </c>
      <c r="J380" s="35">
        <f t="shared" ca="1" si="86"/>
        <v>105.33680364608811</v>
      </c>
      <c r="K380" s="19">
        <f t="shared" ca="1" si="81"/>
        <v>105.33680364608811</v>
      </c>
      <c r="L380" s="20">
        <f ca="1" xml:space="preserve"> K380*_Precio_cafe</f>
        <v>158.00520546913216</v>
      </c>
      <c r="M380" s="20">
        <f t="shared" ca="1" si="82"/>
        <v>52346.179411040823</v>
      </c>
      <c r="N380" s="20">
        <f ca="1">IF((N379-K380+Y380)&gt;_Max_Stock_Gramos,_Max_Stock_Gramos,N379-K380+Y380)</f>
        <v>1594.6631963539119</v>
      </c>
      <c r="O380" s="20">
        <f ca="1">N380/_GramosXFrasco</f>
        <v>9.3803717432583049</v>
      </c>
      <c r="P380" s="63">
        <f ca="1">(N380/_Max_Stock_Gramos)</f>
        <v>0.93803717432583056</v>
      </c>
      <c r="Q380" s="63"/>
      <c r="R380" s="10">
        <f ca="1">IF((N379-J380)&lt;0,(N379-J380)*_Costo_Faltante,0)</f>
        <v>0</v>
      </c>
      <c r="S380">
        <f>IF(U380=0,X380*_Costo_Frasco,0)</f>
        <v>0</v>
      </c>
      <c r="T380" s="11">
        <f t="shared" ca="1" si="83"/>
        <v>-33077.89173507681</v>
      </c>
      <c r="U380" s="10">
        <f>IF(U379=0,_Proxima_Compra,U379-1)</f>
        <v>2</v>
      </c>
      <c r="V380" s="3">
        <f t="shared" ca="1" si="78"/>
        <v>-1</v>
      </c>
      <c r="W380" s="3">
        <f ca="1">IF(W379&gt;0,W379-1,IF(V380&gt;0,LOOKUP(V380,$R$3:$R$5,$O$3:$O$5),-1))</f>
        <v>-1</v>
      </c>
      <c r="X380" s="25">
        <f t="shared" ca="1" si="79"/>
        <v>0</v>
      </c>
      <c r="Y380" s="28">
        <f ca="1">X380*_GramosXFrasco</f>
        <v>0</v>
      </c>
    </row>
    <row r="381" spans="1:25" x14ac:dyDescent="0.25">
      <c r="A381" s="30">
        <f t="shared" si="80"/>
        <v>365</v>
      </c>
      <c r="B381" s="38">
        <f t="shared" ca="1" si="73"/>
        <v>0.22702573530182824</v>
      </c>
      <c r="C381" s="36">
        <f t="shared" ca="1" si="74"/>
        <v>-1</v>
      </c>
      <c r="D381" s="36">
        <f t="shared" ca="1" si="75"/>
        <v>-1</v>
      </c>
      <c r="E381" s="36">
        <f t="shared" ca="1" si="84"/>
        <v>-1</v>
      </c>
      <c r="F381" s="37">
        <f ca="1">IF(E381&lt;&gt;-1,_Media_M + E381*_Sigma,-1)</f>
        <v>-1</v>
      </c>
      <c r="G381" s="3">
        <f t="shared" ca="1" si="76"/>
        <v>50</v>
      </c>
      <c r="H381" s="36">
        <f t="shared" ca="1" si="85"/>
        <v>50</v>
      </c>
      <c r="I381" s="36">
        <f t="shared" ca="1" si="77"/>
        <v>61.677987508280005</v>
      </c>
      <c r="J381" s="35">
        <f t="shared" ca="1" si="86"/>
        <v>111.67798750828001</v>
      </c>
      <c r="K381" s="19">
        <f t="shared" ca="1" si="81"/>
        <v>111.67798750828001</v>
      </c>
      <c r="L381" s="20">
        <f ca="1" xml:space="preserve"> K381*_Precio_cafe</f>
        <v>167.51698126242002</v>
      </c>
      <c r="M381" s="20">
        <f t="shared" ca="1" si="82"/>
        <v>52513.696392303245</v>
      </c>
      <c r="N381" s="20">
        <f ca="1">IF((N380-K381+Y381)&gt;_Max_Stock_Gramos,_Max_Stock_Gramos,N380-K381+Y381)</f>
        <v>1482.9852088456319</v>
      </c>
      <c r="O381" s="20">
        <f ca="1">N381/_GramosXFrasco</f>
        <v>8.7234424049743051</v>
      </c>
      <c r="P381" s="63">
        <f ca="1">(N381/_Max_Stock_Gramos)</f>
        <v>0.87234424049743053</v>
      </c>
      <c r="Q381" s="63"/>
      <c r="R381" s="10">
        <f ca="1">IF((N380-J381)&lt;0,(N380-J381)*_Costo_Faltante,0)</f>
        <v>0</v>
      </c>
      <c r="S381">
        <f>IF(U381=0,X381*_Costo_Frasco,0)</f>
        <v>0</v>
      </c>
      <c r="T381" s="11">
        <f t="shared" ca="1" si="83"/>
        <v>-33077.89173507681</v>
      </c>
      <c r="U381" s="10">
        <f>IF(U380=0,_Proxima_Compra,U380-1)</f>
        <v>1</v>
      </c>
      <c r="V381" s="3">
        <f t="shared" ca="1" si="78"/>
        <v>-1</v>
      </c>
      <c r="W381" s="3">
        <f ca="1">IF(W380&gt;0,W380-1,IF(V381&gt;0,LOOKUP(V381,$R$3:$R$5,$O$3:$O$5),-1))</f>
        <v>-1</v>
      </c>
      <c r="X381" s="25">
        <f t="shared" ca="1" si="79"/>
        <v>0</v>
      </c>
      <c r="Y381" s="28">
        <f ca="1">X381*_GramosXFrasco</f>
        <v>0</v>
      </c>
    </row>
    <row r="382" spans="1:25" x14ac:dyDescent="0.25">
      <c r="A382" s="30">
        <f t="shared" si="80"/>
        <v>366</v>
      </c>
      <c r="B382" s="38">
        <f t="shared" ca="1" si="73"/>
        <v>0.49958264254960894</v>
      </c>
      <c r="C382" s="36">
        <f t="shared" ca="1" si="74"/>
        <v>-1</v>
      </c>
      <c r="D382" s="36">
        <f t="shared" ca="1" si="75"/>
        <v>-1</v>
      </c>
      <c r="E382" s="36">
        <f t="shared" ca="1" si="84"/>
        <v>-1</v>
      </c>
      <c r="F382" s="37">
        <f ca="1">IF(E382&lt;&gt;-1,_Media_M + E382*_Sigma,-1)</f>
        <v>-1</v>
      </c>
      <c r="G382" s="3">
        <f t="shared" ca="1" si="76"/>
        <v>50</v>
      </c>
      <c r="H382" s="36">
        <f t="shared" ca="1" si="85"/>
        <v>50</v>
      </c>
      <c r="I382" s="36">
        <f t="shared" ca="1" si="77"/>
        <v>20.768830027607045</v>
      </c>
      <c r="J382" s="35">
        <f t="shared" ca="1" si="86"/>
        <v>70.768830027607038</v>
      </c>
      <c r="K382" s="19">
        <f t="shared" ca="1" si="81"/>
        <v>70.768830027607038</v>
      </c>
      <c r="L382" s="20">
        <f ca="1" xml:space="preserve"> K382*_Precio_cafe</f>
        <v>106.15324504141056</v>
      </c>
      <c r="M382" s="20">
        <f t="shared" ca="1" si="82"/>
        <v>52619.849637344654</v>
      </c>
      <c r="N382" s="20">
        <f ca="1">IF((N381-K382+Y382)&gt;_Max_Stock_Gramos,_Max_Stock_Gramos,N381-K382+Y382)</f>
        <v>1700</v>
      </c>
      <c r="O382" s="20">
        <f ca="1">N382/_GramosXFrasco</f>
        <v>10</v>
      </c>
      <c r="P382" s="63">
        <f ca="1">(N382/_Max_Stock_Gramos)</f>
        <v>1</v>
      </c>
      <c r="Q382" s="63"/>
      <c r="R382" s="10">
        <f ca="1">IF((N381-J382)&lt;0,(N381-J382)*_Costo_Faltante,0)</f>
        <v>0</v>
      </c>
      <c r="S382">
        <f ca="1">IF(U382=0,X382*_Costo_Frasco,0)</f>
        <v>-500</v>
      </c>
      <c r="T382" s="11">
        <f t="shared" ca="1" si="83"/>
        <v>-33577.89173507681</v>
      </c>
      <c r="U382" s="10">
        <f>IF(U381=0,_Proxima_Compra,U381-1)</f>
        <v>0</v>
      </c>
      <c r="V382" s="3">
        <f t="shared" ca="1" si="78"/>
        <v>0.29065482334673109</v>
      </c>
      <c r="W382" s="3">
        <f ca="1">IF(W381&gt;0,W381-1,IF(V382&gt;0,LOOKUP(V382,$R$3:$R$5,$O$3:$O$5),-1))</f>
        <v>0</v>
      </c>
      <c r="X382" s="25">
        <f t="shared" ca="1" si="79"/>
        <v>2</v>
      </c>
      <c r="Y382" s="28">
        <f ca="1">X382*_GramosXFrasco</f>
        <v>340</v>
      </c>
    </row>
    <row r="383" spans="1:25" x14ac:dyDescent="0.25">
      <c r="A383" s="30">
        <f t="shared" si="80"/>
        <v>367</v>
      </c>
      <c r="B383" s="38">
        <f t="shared" ca="1" si="73"/>
        <v>0.16609278231036906</v>
      </c>
      <c r="C383" s="36">
        <f t="shared" ca="1" si="74"/>
        <v>-1</v>
      </c>
      <c r="D383" s="36">
        <f t="shared" ca="1" si="75"/>
        <v>-1</v>
      </c>
      <c r="E383" s="36">
        <f t="shared" ca="1" si="84"/>
        <v>-1</v>
      </c>
      <c r="F383" s="37">
        <f ca="1">IF(E383&lt;&gt;-1,_Media_M + E383*_Sigma,-1)</f>
        <v>-1</v>
      </c>
      <c r="G383" s="3">
        <f t="shared" ca="1" si="76"/>
        <v>50</v>
      </c>
      <c r="H383" s="36">
        <f t="shared" ca="1" si="85"/>
        <v>50</v>
      </c>
      <c r="I383" s="36">
        <f t="shared" ca="1" si="77"/>
        <v>4.0987372093639154</v>
      </c>
      <c r="J383" s="35">
        <f t="shared" ca="1" si="86"/>
        <v>54.098737209363918</v>
      </c>
      <c r="K383" s="19">
        <f t="shared" ca="1" si="81"/>
        <v>54.098737209363918</v>
      </c>
      <c r="L383" s="20">
        <f ca="1" xml:space="preserve"> K383*_Precio_cafe</f>
        <v>81.148105814045877</v>
      </c>
      <c r="M383" s="20">
        <f t="shared" ca="1" si="82"/>
        <v>52700.997743158703</v>
      </c>
      <c r="N383" s="20">
        <f ca="1">IF((N382-K383+Y383)&gt;_Max_Stock_Gramos,_Max_Stock_Gramos,N382-K383+Y383)</f>
        <v>1645.9012627906361</v>
      </c>
      <c r="O383" s="20">
        <f ca="1">N383/_GramosXFrasco</f>
        <v>9.681772134062566</v>
      </c>
      <c r="P383" s="63">
        <f ca="1">(N383/_Max_Stock_Gramos)</f>
        <v>0.96817721340625651</v>
      </c>
      <c r="Q383" s="63"/>
      <c r="R383" s="10">
        <f ca="1">IF((N382-J383)&lt;0,(N382-J383)*_Costo_Faltante,0)</f>
        <v>0</v>
      </c>
      <c r="S383">
        <f>IF(U383=0,X383*_Costo_Frasco,0)</f>
        <v>0</v>
      </c>
      <c r="T383" s="11">
        <f t="shared" ca="1" si="83"/>
        <v>-33577.89173507681</v>
      </c>
      <c r="U383" s="10">
        <f>IF(U382=0,_Proxima_Compra,U382-1)</f>
        <v>2</v>
      </c>
      <c r="V383" s="3">
        <f t="shared" ca="1" si="78"/>
        <v>-1</v>
      </c>
      <c r="W383" s="3">
        <f ca="1">IF(W382&gt;0,W382-1,IF(V383&gt;0,LOOKUP(V383,$R$3:$R$5,$O$3:$O$5),-1))</f>
        <v>-1</v>
      </c>
      <c r="X383" s="25">
        <f t="shared" ca="1" si="79"/>
        <v>0</v>
      </c>
      <c r="Y383" s="28">
        <f ca="1">X383*_GramosXFrasco</f>
        <v>0</v>
      </c>
    </row>
    <row r="384" spans="1:25" x14ac:dyDescent="0.25">
      <c r="A384" s="30">
        <f t="shared" si="80"/>
        <v>368</v>
      </c>
      <c r="B384" s="38">
        <f t="shared" ca="1" si="73"/>
        <v>0.1672900640203866</v>
      </c>
      <c r="C384" s="36">
        <f t="shared" ca="1" si="74"/>
        <v>-1</v>
      </c>
      <c r="D384" s="36">
        <f t="shared" ca="1" si="75"/>
        <v>-1</v>
      </c>
      <c r="E384" s="36">
        <f t="shared" ca="1" si="84"/>
        <v>-1</v>
      </c>
      <c r="F384" s="37">
        <f ca="1">IF(E384&lt;&gt;-1,_Media_M + E384*_Sigma,-1)</f>
        <v>-1</v>
      </c>
      <c r="G384" s="3">
        <f t="shared" ca="1" si="76"/>
        <v>50</v>
      </c>
      <c r="H384" s="36">
        <f t="shared" ca="1" si="85"/>
        <v>50</v>
      </c>
      <c r="I384" s="36">
        <f t="shared" ca="1" si="77"/>
        <v>5.9978124201692022</v>
      </c>
      <c r="J384" s="35">
        <f t="shared" ca="1" si="86"/>
        <v>55.997812420169204</v>
      </c>
      <c r="K384" s="19">
        <f t="shared" ca="1" si="81"/>
        <v>55.997812420169204</v>
      </c>
      <c r="L384" s="20">
        <f ca="1" xml:space="preserve"> K384*_Precio_cafe</f>
        <v>83.99671863025381</v>
      </c>
      <c r="M384" s="20">
        <f t="shared" ca="1" si="82"/>
        <v>52784.994461788956</v>
      </c>
      <c r="N384" s="20">
        <f ca="1">IF((N383-K384+Y384)&gt;_Max_Stock_Gramos,_Max_Stock_Gramos,N383-K384+Y384)</f>
        <v>1589.903450370467</v>
      </c>
      <c r="O384" s="20">
        <f ca="1">N384/_GramosXFrasco</f>
        <v>9.3523732374733353</v>
      </c>
      <c r="P384" s="63">
        <f ca="1">(N384/_Max_Stock_Gramos)</f>
        <v>0.93523732374733348</v>
      </c>
      <c r="Q384" s="63"/>
      <c r="R384" s="10">
        <f ca="1">IF((N383-J384)&lt;0,(N383-J384)*_Costo_Faltante,0)</f>
        <v>0</v>
      </c>
      <c r="S384">
        <f>IF(U384=0,X384*_Costo_Frasco,0)</f>
        <v>0</v>
      </c>
      <c r="T384" s="11">
        <f t="shared" ca="1" si="83"/>
        <v>-33577.89173507681</v>
      </c>
      <c r="U384" s="10">
        <f>IF(U383=0,_Proxima_Compra,U383-1)</f>
        <v>1</v>
      </c>
      <c r="V384" s="3">
        <f t="shared" ca="1" si="78"/>
        <v>-1</v>
      </c>
      <c r="W384" s="3">
        <f ca="1">IF(W383&gt;0,W383-1,IF(V384&gt;0,LOOKUP(V384,$R$3:$R$5,$O$3:$O$5),-1))</f>
        <v>-1</v>
      </c>
      <c r="X384" s="25">
        <f t="shared" ca="1" si="79"/>
        <v>0</v>
      </c>
      <c r="Y384" s="28">
        <f ca="1">X384*_GramosXFrasco</f>
        <v>0</v>
      </c>
    </row>
    <row r="385" spans="1:25" x14ac:dyDescent="0.25">
      <c r="A385" s="30">
        <f t="shared" si="80"/>
        <v>369</v>
      </c>
      <c r="B385" s="38">
        <f t="shared" ca="1" si="73"/>
        <v>0.34961350700799221</v>
      </c>
      <c r="C385" s="36">
        <f t="shared" ca="1" si="74"/>
        <v>-1</v>
      </c>
      <c r="D385" s="36">
        <f t="shared" ca="1" si="75"/>
        <v>-1</v>
      </c>
      <c r="E385" s="36">
        <f t="shared" ca="1" si="84"/>
        <v>-1</v>
      </c>
      <c r="F385" s="37">
        <f ca="1">IF(E385&lt;&gt;-1,_Media_M + E385*_Sigma,-1)</f>
        <v>-1</v>
      </c>
      <c r="G385" s="3">
        <f t="shared" ca="1" si="76"/>
        <v>50</v>
      </c>
      <c r="H385" s="36">
        <f t="shared" ca="1" si="85"/>
        <v>50</v>
      </c>
      <c r="I385" s="36">
        <f t="shared" ca="1" si="77"/>
        <v>3.9418163285501313</v>
      </c>
      <c r="J385" s="35">
        <f t="shared" ca="1" si="86"/>
        <v>53.941816328550132</v>
      </c>
      <c r="K385" s="19">
        <f t="shared" ca="1" si="81"/>
        <v>53.941816328550132</v>
      </c>
      <c r="L385" s="20">
        <f ca="1" xml:space="preserve"> K385*_Precio_cafe</f>
        <v>80.912724492825191</v>
      </c>
      <c r="M385" s="20">
        <f t="shared" ca="1" si="82"/>
        <v>52865.90718628178</v>
      </c>
      <c r="N385" s="20">
        <f ca="1">IF((N384-K385+Y385)&gt;_Max_Stock_Gramos,_Max_Stock_Gramos,N384-K385+Y385)</f>
        <v>1700</v>
      </c>
      <c r="O385" s="20">
        <f ca="1">N385/_GramosXFrasco</f>
        <v>10</v>
      </c>
      <c r="P385" s="63">
        <f ca="1">(N385/_Max_Stock_Gramos)</f>
        <v>1</v>
      </c>
      <c r="Q385" s="63"/>
      <c r="R385" s="10">
        <f ca="1">IF((N384-J385)&lt;0,(N384-J385)*_Costo_Faltante,0)</f>
        <v>0</v>
      </c>
      <c r="S385">
        <f ca="1">IF(U385=0,X385*_Costo_Frasco,0)</f>
        <v>-500</v>
      </c>
      <c r="T385" s="11">
        <f t="shared" ca="1" si="83"/>
        <v>-34077.89173507681</v>
      </c>
      <c r="U385" s="10">
        <f>IF(U384=0,_Proxima_Compra,U384-1)</f>
        <v>0</v>
      </c>
      <c r="V385" s="3">
        <f t="shared" ca="1" si="78"/>
        <v>9.0859177162764593E-2</v>
      </c>
      <c r="W385" s="3">
        <f ca="1">IF(W384&gt;0,W384-1,IF(V385&gt;0,LOOKUP(V385,$R$3:$R$5,$O$3:$O$5),-1))</f>
        <v>0</v>
      </c>
      <c r="X385" s="25">
        <f t="shared" ca="1" si="79"/>
        <v>2</v>
      </c>
      <c r="Y385" s="28">
        <f ca="1">X385*_GramosXFrasco</f>
        <v>340</v>
      </c>
    </row>
    <row r="386" spans="1:25" x14ac:dyDescent="0.25">
      <c r="A386" s="30">
        <f t="shared" si="80"/>
        <v>370</v>
      </c>
      <c r="B386" s="38">
        <f t="shared" ca="1" si="73"/>
        <v>0.65081502213476194</v>
      </c>
      <c r="C386" s="36">
        <f t="shared" ca="1" si="74"/>
        <v>0.58598238250954959</v>
      </c>
      <c r="D386" s="36">
        <f t="shared" ca="1" si="75"/>
        <v>0.45418918789884954</v>
      </c>
      <c r="E386" s="36">
        <f t="shared" ca="1" si="84"/>
        <v>-0.83918724942632628</v>
      </c>
      <c r="F386" s="37">
        <f ca="1">IF(E386&lt;&gt;-1,_Media_M + E386*_Sigma,-1)</f>
        <v>62.412191258605105</v>
      </c>
      <c r="G386" s="3">
        <f t="shared" ca="1" si="76"/>
        <v>-1</v>
      </c>
      <c r="H386" s="36">
        <f t="shared" ca="1" si="85"/>
        <v>62.412191258605105</v>
      </c>
      <c r="I386" s="36">
        <f t="shared" ca="1" si="77"/>
        <v>42.593116927372016</v>
      </c>
      <c r="J386" s="35">
        <f t="shared" ca="1" si="86"/>
        <v>105.00530818597713</v>
      </c>
      <c r="K386" s="19">
        <f t="shared" ca="1" si="81"/>
        <v>105.00530818597713</v>
      </c>
      <c r="L386" s="20">
        <f ca="1" xml:space="preserve"> K386*_Precio_cafe</f>
        <v>157.50796227896569</v>
      </c>
      <c r="M386" s="20">
        <f t="shared" ca="1" si="82"/>
        <v>53023.415148560744</v>
      </c>
      <c r="N386" s="20">
        <f ca="1">IF((N385-K386+Y386)&gt;_Max_Stock_Gramos,_Max_Stock_Gramos,N385-K386+Y386)</f>
        <v>1594.9946918140229</v>
      </c>
      <c r="O386" s="20">
        <f ca="1">N386/_GramosXFrasco</f>
        <v>9.3823217165530757</v>
      </c>
      <c r="P386" s="63">
        <f ca="1">(N386/_Max_Stock_Gramos)</f>
        <v>0.93823217165530759</v>
      </c>
      <c r="Q386" s="63"/>
      <c r="R386" s="10">
        <f ca="1">IF((N385-J386)&lt;0,(N385-J386)*_Costo_Faltante,0)</f>
        <v>0</v>
      </c>
      <c r="S386">
        <f>IF(U386=0,X386*_Costo_Frasco,0)</f>
        <v>0</v>
      </c>
      <c r="T386" s="11">
        <f t="shared" ca="1" si="83"/>
        <v>-34077.89173507681</v>
      </c>
      <c r="U386" s="10">
        <f>IF(U385=0,_Proxima_Compra,U385-1)</f>
        <v>2</v>
      </c>
      <c r="V386" s="3">
        <f t="shared" ca="1" si="78"/>
        <v>-1</v>
      </c>
      <c r="W386" s="3">
        <f ca="1">IF(W385&gt;0,W385-1,IF(V386&gt;0,LOOKUP(V386,$R$3:$R$5,$O$3:$O$5),-1))</f>
        <v>-1</v>
      </c>
      <c r="X386" s="25">
        <f t="shared" ca="1" si="79"/>
        <v>0</v>
      </c>
      <c r="Y386" s="28">
        <f ca="1">X386*_GramosXFrasco</f>
        <v>0</v>
      </c>
    </row>
    <row r="387" spans="1:25" x14ac:dyDescent="0.25">
      <c r="A387" s="30">
        <f t="shared" si="80"/>
        <v>371</v>
      </c>
      <c r="B387" s="38">
        <f t="shared" ca="1" si="73"/>
        <v>0.11914941959769676</v>
      </c>
      <c r="C387" s="36">
        <f t="shared" ca="1" si="74"/>
        <v>-1</v>
      </c>
      <c r="D387" s="36">
        <f t="shared" ca="1" si="75"/>
        <v>-1</v>
      </c>
      <c r="E387" s="36">
        <f t="shared" ca="1" si="84"/>
        <v>-1</v>
      </c>
      <c r="F387" s="37">
        <f ca="1">IF(E387&lt;&gt;-1,_Media_M + E387*_Sigma,-1)</f>
        <v>-1</v>
      </c>
      <c r="G387" s="3">
        <f t="shared" ca="1" si="76"/>
        <v>50</v>
      </c>
      <c r="H387" s="36">
        <f t="shared" ca="1" si="85"/>
        <v>50</v>
      </c>
      <c r="I387" s="36">
        <f t="shared" ca="1" si="77"/>
        <v>2.2154178446545902</v>
      </c>
      <c r="J387" s="35">
        <f t="shared" ca="1" si="86"/>
        <v>52.215417844654588</v>
      </c>
      <c r="K387" s="19">
        <f t="shared" ca="1" si="81"/>
        <v>52.215417844654588</v>
      </c>
      <c r="L387" s="20">
        <f ca="1" xml:space="preserve"> K387*_Precio_cafe</f>
        <v>78.323126766981886</v>
      </c>
      <c r="M387" s="20">
        <f t="shared" ca="1" si="82"/>
        <v>53101.738275327727</v>
      </c>
      <c r="N387" s="20">
        <f ca="1">IF((N386-K387+Y387)&gt;_Max_Stock_Gramos,_Max_Stock_Gramos,N386-K387+Y387)</f>
        <v>1542.7792739693682</v>
      </c>
      <c r="O387" s="20">
        <f ca="1">N387/_GramosXFrasco</f>
        <v>9.0751721998198125</v>
      </c>
      <c r="P387" s="63">
        <f ca="1">(N387/_Max_Stock_Gramos)</f>
        <v>0.90751721998198132</v>
      </c>
      <c r="Q387" s="63"/>
      <c r="R387" s="10">
        <f ca="1">IF((N386-J387)&lt;0,(N386-J387)*_Costo_Faltante,0)</f>
        <v>0</v>
      </c>
      <c r="S387">
        <f>IF(U387=0,X387*_Costo_Frasco,0)</f>
        <v>0</v>
      </c>
      <c r="T387" s="11">
        <f t="shared" ca="1" si="83"/>
        <v>-34077.89173507681</v>
      </c>
      <c r="U387" s="10">
        <f>IF(U386=0,_Proxima_Compra,U386-1)</f>
        <v>1</v>
      </c>
      <c r="V387" s="3">
        <f t="shared" ca="1" si="78"/>
        <v>-1</v>
      </c>
      <c r="W387" s="3">
        <f ca="1">IF(W386&gt;0,W386-1,IF(V387&gt;0,LOOKUP(V387,$R$3:$R$5,$O$3:$O$5),-1))</f>
        <v>-1</v>
      </c>
      <c r="X387" s="25">
        <f t="shared" ca="1" si="79"/>
        <v>0</v>
      </c>
      <c r="Y387" s="28">
        <f ca="1">X387*_GramosXFrasco</f>
        <v>0</v>
      </c>
    </row>
    <row r="388" spans="1:25" x14ac:dyDescent="0.25">
      <c r="A388" s="30">
        <f t="shared" si="80"/>
        <v>372</v>
      </c>
      <c r="B388" s="38">
        <f t="shared" ca="1" si="73"/>
        <v>0.61364367018743682</v>
      </c>
      <c r="C388" s="36">
        <f t="shared" ca="1" si="74"/>
        <v>0.62226529657891616</v>
      </c>
      <c r="D388" s="36">
        <f t="shared" ca="1" si="75"/>
        <v>0.32431477695105859</v>
      </c>
      <c r="E388" s="36">
        <f t="shared" ca="1" si="84"/>
        <v>-0.41394882057067189</v>
      </c>
      <c r="F388" s="37">
        <f ca="1">IF(E388&lt;&gt;-1,_Media_M + E388*_Sigma,-1)</f>
        <v>68.790767691439925</v>
      </c>
      <c r="G388" s="3">
        <f t="shared" ca="1" si="76"/>
        <v>-1</v>
      </c>
      <c r="H388" s="36">
        <f t="shared" ca="1" si="85"/>
        <v>68.790767691439925</v>
      </c>
      <c r="I388" s="36">
        <f t="shared" ca="1" si="77"/>
        <v>16.105684367084891</v>
      </c>
      <c r="J388" s="35">
        <f t="shared" ca="1" si="86"/>
        <v>84.896452058524815</v>
      </c>
      <c r="K388" s="19">
        <f t="shared" ca="1" si="81"/>
        <v>84.896452058524815</v>
      </c>
      <c r="L388" s="20">
        <f ca="1" xml:space="preserve"> K388*_Precio_cafe</f>
        <v>127.34467808778723</v>
      </c>
      <c r="M388" s="20">
        <f t="shared" ca="1" si="82"/>
        <v>53229.082953415513</v>
      </c>
      <c r="N388" s="20">
        <f ca="1">IF((N387-K388+Y388)&gt;_Max_Stock_Gramos,_Max_Stock_Gramos,N387-K388+Y388)</f>
        <v>1700</v>
      </c>
      <c r="O388" s="20">
        <f ca="1">N388/_GramosXFrasco</f>
        <v>10</v>
      </c>
      <c r="P388" s="63">
        <f ca="1">(N388/_Max_Stock_Gramos)</f>
        <v>1</v>
      </c>
      <c r="Q388" s="63"/>
      <c r="R388" s="10">
        <f ca="1">IF((N387-J388)&lt;0,(N387-J388)*_Costo_Faltante,0)</f>
        <v>0</v>
      </c>
      <c r="S388">
        <f ca="1">IF(U388=0,X388*_Costo_Frasco,0)</f>
        <v>-500</v>
      </c>
      <c r="T388" s="11">
        <f t="shared" ca="1" si="83"/>
        <v>-34577.89173507681</v>
      </c>
      <c r="U388" s="10">
        <f>IF(U387=0,_Proxima_Compra,U387-1)</f>
        <v>0</v>
      </c>
      <c r="V388" s="3">
        <f t="shared" ca="1" si="78"/>
        <v>0.2480487149202365</v>
      </c>
      <c r="W388" s="3">
        <f ca="1">IF(W387&gt;0,W387-1,IF(V388&gt;0,LOOKUP(V388,$R$3:$R$5,$O$3:$O$5),-1))</f>
        <v>0</v>
      </c>
      <c r="X388" s="25">
        <f t="shared" ca="1" si="79"/>
        <v>2</v>
      </c>
      <c r="Y388" s="28">
        <f ca="1">X388*_GramosXFrasco</f>
        <v>340</v>
      </c>
    </row>
    <row r="389" spans="1:25" x14ac:dyDescent="0.25">
      <c r="A389" s="30">
        <f t="shared" si="80"/>
        <v>373</v>
      </c>
      <c r="B389" s="38">
        <f t="shared" ca="1" si="73"/>
        <v>0.99813654915805761</v>
      </c>
      <c r="C389" s="36">
        <f t="shared" ca="1" si="74"/>
        <v>0.1026241878297891</v>
      </c>
      <c r="D389" s="36">
        <f t="shared" ca="1" si="75"/>
        <v>0.38982784609998045</v>
      </c>
      <c r="E389" s="36">
        <f t="shared" ca="1" si="84"/>
        <v>-0.23608772834880232</v>
      </c>
      <c r="F389" s="37">
        <f ca="1">IF(E389&lt;&gt;-1,_Media_M + E389*_Sigma,-1)</f>
        <v>71.458684074767959</v>
      </c>
      <c r="G389" s="3">
        <f t="shared" ca="1" si="76"/>
        <v>-1</v>
      </c>
      <c r="H389" s="36">
        <f t="shared" ca="1" si="85"/>
        <v>71.458684074767959</v>
      </c>
      <c r="I389" s="36">
        <f t="shared" ca="1" si="77"/>
        <v>3.563559748756004</v>
      </c>
      <c r="J389" s="35">
        <f t="shared" ca="1" si="86"/>
        <v>75.022243823523965</v>
      </c>
      <c r="K389" s="19">
        <f t="shared" ca="1" si="81"/>
        <v>75.022243823523965</v>
      </c>
      <c r="L389" s="20">
        <f ca="1" xml:space="preserve"> K389*_Precio_cafe</f>
        <v>112.53336573528594</v>
      </c>
      <c r="M389" s="20">
        <f t="shared" ca="1" si="82"/>
        <v>53341.616319150802</v>
      </c>
      <c r="N389" s="20">
        <f ca="1">IF((N388-K389+Y389)&gt;_Max_Stock_Gramos,_Max_Stock_Gramos,N388-K389+Y389)</f>
        <v>1624.9777561764761</v>
      </c>
      <c r="O389" s="20">
        <f ca="1">N389/_GramosXFrasco</f>
        <v>9.5586926833910351</v>
      </c>
      <c r="P389" s="63">
        <f ca="1">(N389/_Max_Stock_Gramos)</f>
        <v>0.95586926833910357</v>
      </c>
      <c r="Q389" s="63"/>
      <c r="R389" s="10">
        <f ca="1">IF((N388-J389)&lt;0,(N388-J389)*_Costo_Faltante,0)</f>
        <v>0</v>
      </c>
      <c r="S389">
        <f>IF(U389=0,X389*_Costo_Frasco,0)</f>
        <v>0</v>
      </c>
      <c r="T389" s="11">
        <f t="shared" ca="1" si="83"/>
        <v>-34577.89173507681</v>
      </c>
      <c r="U389" s="10">
        <f>IF(U388=0,_Proxima_Compra,U388-1)</f>
        <v>2</v>
      </c>
      <c r="V389" s="3">
        <f t="shared" ca="1" si="78"/>
        <v>-1</v>
      </c>
      <c r="W389" s="3">
        <f ca="1">IF(W388&gt;0,W388-1,IF(V389&gt;0,LOOKUP(V389,$R$3:$R$5,$O$3:$O$5),-1))</f>
        <v>-1</v>
      </c>
      <c r="X389" s="25">
        <f t="shared" ca="1" si="79"/>
        <v>0</v>
      </c>
      <c r="Y389" s="28">
        <f ca="1">X389*_GramosXFrasco</f>
        <v>0</v>
      </c>
    </row>
    <row r="390" spans="1:25" x14ac:dyDescent="0.25">
      <c r="A390" s="30">
        <f t="shared" si="80"/>
        <v>374</v>
      </c>
      <c r="B390" s="38">
        <f t="shared" ca="1" si="73"/>
        <v>0.1397582053578359</v>
      </c>
      <c r="C390" s="36">
        <f t="shared" ca="1" si="74"/>
        <v>-1</v>
      </c>
      <c r="D390" s="36">
        <f t="shared" ca="1" si="75"/>
        <v>-1</v>
      </c>
      <c r="E390" s="36">
        <f t="shared" ca="1" si="84"/>
        <v>-1</v>
      </c>
      <c r="F390" s="37">
        <f ca="1">IF(E390&lt;&gt;-1,_Media_M + E390*_Sigma,-1)</f>
        <v>-1</v>
      </c>
      <c r="G390" s="3">
        <f t="shared" ca="1" si="76"/>
        <v>50</v>
      </c>
      <c r="H390" s="36">
        <f t="shared" ca="1" si="85"/>
        <v>50</v>
      </c>
      <c r="I390" s="36">
        <f t="shared" ca="1" si="77"/>
        <v>25.769977787582235</v>
      </c>
      <c r="J390" s="35">
        <f t="shared" ca="1" si="86"/>
        <v>75.769977787582235</v>
      </c>
      <c r="K390" s="19">
        <f t="shared" ca="1" si="81"/>
        <v>75.769977787582235</v>
      </c>
      <c r="L390" s="20">
        <f ca="1" xml:space="preserve"> K390*_Precio_cafe</f>
        <v>113.65496668137335</v>
      </c>
      <c r="M390" s="20">
        <f t="shared" ca="1" si="82"/>
        <v>53455.271285832176</v>
      </c>
      <c r="N390" s="20">
        <f ca="1">IF((N389-K390+Y390)&gt;_Max_Stock_Gramos,_Max_Stock_Gramos,N389-K390+Y390)</f>
        <v>1549.2077783888938</v>
      </c>
      <c r="O390" s="20">
        <f ca="1">N390/_GramosXFrasco</f>
        <v>9.1129869316993748</v>
      </c>
      <c r="P390" s="63">
        <f ca="1">(N390/_Max_Stock_Gramos)</f>
        <v>0.9112986931699375</v>
      </c>
      <c r="Q390" s="63"/>
      <c r="R390" s="10">
        <f ca="1">IF((N389-J390)&lt;0,(N389-J390)*_Costo_Faltante,0)</f>
        <v>0</v>
      </c>
      <c r="S390">
        <f>IF(U390=0,X390*_Costo_Frasco,0)</f>
        <v>0</v>
      </c>
      <c r="T390" s="11">
        <f t="shared" ca="1" si="83"/>
        <v>-34577.89173507681</v>
      </c>
      <c r="U390" s="10">
        <f>IF(U389=0,_Proxima_Compra,U389-1)</f>
        <v>1</v>
      </c>
      <c r="V390" s="3">
        <f t="shared" ca="1" si="78"/>
        <v>-1</v>
      </c>
      <c r="W390" s="3">
        <f ca="1">IF(W389&gt;0,W389-1,IF(V390&gt;0,LOOKUP(V390,$R$3:$R$5,$O$3:$O$5),-1))</f>
        <v>-1</v>
      </c>
      <c r="X390" s="25">
        <f t="shared" ca="1" si="79"/>
        <v>0</v>
      </c>
      <c r="Y390" s="28">
        <f ca="1">X390*_GramosXFrasco</f>
        <v>0</v>
      </c>
    </row>
    <row r="391" spans="1:25" x14ac:dyDescent="0.25">
      <c r="A391" s="30">
        <f t="shared" si="80"/>
        <v>375</v>
      </c>
      <c r="B391" s="38">
        <f t="shared" ca="1" si="73"/>
        <v>0.34744234771751858</v>
      </c>
      <c r="C391" s="36">
        <f t="shared" ca="1" si="74"/>
        <v>-1</v>
      </c>
      <c r="D391" s="36">
        <f t="shared" ca="1" si="75"/>
        <v>-1</v>
      </c>
      <c r="E391" s="36">
        <f t="shared" ca="1" si="84"/>
        <v>-1</v>
      </c>
      <c r="F391" s="37">
        <f ca="1">IF(E391&lt;&gt;-1,_Media_M + E391*_Sigma,-1)</f>
        <v>-1</v>
      </c>
      <c r="G391" s="3">
        <f t="shared" ca="1" si="76"/>
        <v>50</v>
      </c>
      <c r="H391" s="36">
        <f t="shared" ca="1" si="85"/>
        <v>50</v>
      </c>
      <c r="I391" s="36">
        <f t="shared" ca="1" si="77"/>
        <v>31.252220473031869</v>
      </c>
      <c r="J391" s="35">
        <f t="shared" ca="1" si="86"/>
        <v>81.252220473031869</v>
      </c>
      <c r="K391" s="19">
        <f t="shared" ca="1" si="81"/>
        <v>81.252220473031869</v>
      </c>
      <c r="L391" s="20">
        <f ca="1" xml:space="preserve"> K391*_Precio_cafe</f>
        <v>121.87833070954781</v>
      </c>
      <c r="M391" s="20">
        <f t="shared" ca="1" si="82"/>
        <v>53577.149616541727</v>
      </c>
      <c r="N391" s="20">
        <f ca="1">IF((N390-K391+Y391)&gt;_Max_Stock_Gramos,_Max_Stock_Gramos,N390-K391+Y391)</f>
        <v>1467.9555579158618</v>
      </c>
      <c r="O391" s="20">
        <f ca="1">N391/_GramosXFrasco</f>
        <v>8.6350326936227173</v>
      </c>
      <c r="P391" s="63">
        <f ca="1">(N391/_Max_Stock_Gramos)</f>
        <v>0.86350326936227162</v>
      </c>
      <c r="Q391" s="63"/>
      <c r="R391" s="10">
        <f ca="1">IF((N390-J391)&lt;0,(N390-J391)*_Costo_Faltante,0)</f>
        <v>0</v>
      </c>
      <c r="S391">
        <f ca="1">IF(U391=0,X391*_Costo_Frasco,0)</f>
        <v>0</v>
      </c>
      <c r="T391" s="11">
        <f t="shared" ca="1" si="83"/>
        <v>-34577.89173507681</v>
      </c>
      <c r="U391" s="10">
        <f>IF(U390=0,_Proxima_Compra,U390-1)</f>
        <v>0</v>
      </c>
      <c r="V391" s="3">
        <f t="shared" ca="1" si="78"/>
        <v>0.97544083163579998</v>
      </c>
      <c r="W391" s="3">
        <f ca="1">IF(W390&gt;0,W390-1,IF(V391&gt;0,LOOKUP(V391,$R$3:$R$5,$O$3:$O$5),-1))</f>
        <v>2</v>
      </c>
      <c r="X391" s="25">
        <f t="shared" ca="1" si="79"/>
        <v>0</v>
      </c>
      <c r="Y391" s="28">
        <f ca="1">X391*_GramosXFrasco</f>
        <v>0</v>
      </c>
    </row>
    <row r="392" spans="1:25" x14ac:dyDescent="0.25">
      <c r="A392" s="30">
        <f t="shared" si="80"/>
        <v>376</v>
      </c>
      <c r="B392" s="38">
        <f t="shared" ca="1" si="73"/>
        <v>0.78147250867457851</v>
      </c>
      <c r="C392" s="36">
        <f t="shared" ca="1" si="74"/>
        <v>0.26149083173668253</v>
      </c>
      <c r="D392" s="36">
        <f t="shared" ca="1" si="75"/>
        <v>0.39598490279630327</v>
      </c>
      <c r="E392" s="36">
        <f t="shared" ca="1" si="84"/>
        <v>-0.4073797309787327</v>
      </c>
      <c r="F392" s="37">
        <f ca="1">IF(E392&lt;&gt;-1,_Media_M + E392*_Sigma,-1)</f>
        <v>68.889304035319014</v>
      </c>
      <c r="G392" s="3">
        <f t="shared" ca="1" si="76"/>
        <v>-1</v>
      </c>
      <c r="H392" s="36">
        <f t="shared" ca="1" si="85"/>
        <v>68.889304035319014</v>
      </c>
      <c r="I392" s="36">
        <f t="shared" ca="1" si="77"/>
        <v>85.543227686912758</v>
      </c>
      <c r="J392" s="35">
        <f t="shared" ca="1" si="86"/>
        <v>154.43253172223177</v>
      </c>
      <c r="K392" s="19">
        <f t="shared" ca="1" si="81"/>
        <v>154.43253172223177</v>
      </c>
      <c r="L392" s="20">
        <f ca="1" xml:space="preserve"> K392*_Precio_cafe</f>
        <v>231.64879758334766</v>
      </c>
      <c r="M392" s="20">
        <f t="shared" ca="1" si="82"/>
        <v>53808.798414125071</v>
      </c>
      <c r="N392" s="20">
        <f ca="1">IF((N391-K392+Y392)&gt;_Max_Stock_Gramos,_Max_Stock_Gramos,N391-K392+Y392)</f>
        <v>1313.5230261936301</v>
      </c>
      <c r="O392" s="20">
        <f ca="1">N392/_GramosXFrasco</f>
        <v>7.7266060364331182</v>
      </c>
      <c r="P392" s="63">
        <f ca="1">(N392/_Max_Stock_Gramos)</f>
        <v>0.77266060364331179</v>
      </c>
      <c r="Q392" s="63"/>
      <c r="R392" s="10">
        <f ca="1">IF((N391-J392)&lt;0,(N391-J392)*_Costo_Faltante,0)</f>
        <v>0</v>
      </c>
      <c r="S392">
        <f>IF(U392=0,X392*_Costo_Frasco,0)</f>
        <v>0</v>
      </c>
      <c r="T392" s="11">
        <f t="shared" ca="1" si="83"/>
        <v>-34577.89173507681</v>
      </c>
      <c r="U392" s="10">
        <f>IF(U391=0,_Proxima_Compra,U391-1)</f>
        <v>2</v>
      </c>
      <c r="V392" s="3">
        <f t="shared" ca="1" si="78"/>
        <v>-1</v>
      </c>
      <c r="W392" s="3">
        <f ca="1">IF(W391&gt;0,W391-1,IF(V392&gt;0,LOOKUP(V392,$R$3:$R$5,$O$3:$O$5),-1))</f>
        <v>1</v>
      </c>
      <c r="X392" s="25">
        <f t="shared" ca="1" si="79"/>
        <v>0</v>
      </c>
      <c r="Y392" s="28">
        <f ca="1">X392*_GramosXFrasco</f>
        <v>0</v>
      </c>
    </row>
    <row r="393" spans="1:25" x14ac:dyDescent="0.25">
      <c r="A393" s="30">
        <f t="shared" si="80"/>
        <v>377</v>
      </c>
      <c r="B393" s="38">
        <f t="shared" ca="1" si="73"/>
        <v>0.48805139017167631</v>
      </c>
      <c r="C393" s="36">
        <f t="shared" ca="1" si="74"/>
        <v>-1</v>
      </c>
      <c r="D393" s="36">
        <f t="shared" ca="1" si="75"/>
        <v>-1</v>
      </c>
      <c r="E393" s="36">
        <f t="shared" ca="1" si="84"/>
        <v>-1</v>
      </c>
      <c r="F393" s="37">
        <f ca="1">IF(E393&lt;&gt;-1,_Media_M + E393*_Sigma,-1)</f>
        <v>-1</v>
      </c>
      <c r="G393" s="3">
        <f t="shared" ca="1" si="76"/>
        <v>50</v>
      </c>
      <c r="H393" s="36">
        <f t="shared" ca="1" si="85"/>
        <v>50</v>
      </c>
      <c r="I393" s="36">
        <f t="shared" ca="1" si="77"/>
        <v>54.403088155420186</v>
      </c>
      <c r="J393" s="35">
        <f t="shared" ca="1" si="86"/>
        <v>104.40308815542019</v>
      </c>
      <c r="K393" s="19">
        <f t="shared" ca="1" si="81"/>
        <v>104.40308815542019</v>
      </c>
      <c r="L393" s="20">
        <f ca="1" xml:space="preserve"> K393*_Precio_cafe</f>
        <v>156.6046322331303</v>
      </c>
      <c r="M393" s="20">
        <f t="shared" ca="1" si="82"/>
        <v>53965.403046358202</v>
      </c>
      <c r="N393" s="20">
        <f ca="1">IF((N392-K393+Y393)&gt;_Max_Stock_Gramos,_Max_Stock_Gramos,N392-K393+Y393)</f>
        <v>1549.11993803821</v>
      </c>
      <c r="O393" s="20">
        <f ca="1">N393/_GramosXFrasco</f>
        <v>9.1124702237541761</v>
      </c>
      <c r="P393" s="63">
        <f ca="1">(N393/_Max_Stock_Gramos)</f>
        <v>0.91124702237541766</v>
      </c>
      <c r="Q393" s="63"/>
      <c r="R393" s="10">
        <f ca="1">IF((N392-J393)&lt;0,(N392-J393)*_Costo_Faltante,0)</f>
        <v>0</v>
      </c>
      <c r="S393">
        <f>IF(U393=0,X393*_Costo_Frasco,0)</f>
        <v>0</v>
      </c>
      <c r="T393" s="11">
        <f t="shared" ca="1" si="83"/>
        <v>-34577.89173507681</v>
      </c>
      <c r="U393" s="10">
        <f>IF(U392=0,_Proxima_Compra,U392-1)</f>
        <v>1</v>
      </c>
      <c r="V393" s="3">
        <f t="shared" ca="1" si="78"/>
        <v>-1</v>
      </c>
      <c r="W393" s="3">
        <f ca="1">IF(W392&gt;0,W392-1,IF(V393&gt;0,LOOKUP(V393,$R$3:$R$5,$O$3:$O$5),-1))</f>
        <v>0</v>
      </c>
      <c r="X393" s="25">
        <f t="shared" ca="1" si="79"/>
        <v>2</v>
      </c>
      <c r="Y393" s="28">
        <f ca="1">X393*_GramosXFrasco</f>
        <v>340</v>
      </c>
    </row>
    <row r="394" spans="1:25" x14ac:dyDescent="0.25">
      <c r="A394" s="30">
        <f t="shared" si="80"/>
        <v>378</v>
      </c>
      <c r="B394" s="38">
        <f t="shared" ca="1" si="73"/>
        <v>0.90397926338702539</v>
      </c>
      <c r="C394" s="36">
        <f t="shared" ca="1" si="74"/>
        <v>1.2957708993400319E-2</v>
      </c>
      <c r="D394" s="36">
        <f t="shared" ca="1" si="75"/>
        <v>0.95455567434676991</v>
      </c>
      <c r="E394" s="36">
        <f t="shared" ca="1" si="84"/>
        <v>0.1021258705315095</v>
      </c>
      <c r="F394" s="37">
        <f ca="1">IF(E394&lt;&gt;-1,_Media_M + E394*_Sigma,-1)</f>
        <v>76.531888057972637</v>
      </c>
      <c r="G394" s="3">
        <f t="shared" ca="1" si="76"/>
        <v>-1</v>
      </c>
      <c r="H394" s="36">
        <f t="shared" ca="1" si="85"/>
        <v>76.531888057972637</v>
      </c>
      <c r="I394" s="36">
        <f t="shared" ca="1" si="77"/>
        <v>37.027211275615024</v>
      </c>
      <c r="J394" s="35">
        <f t="shared" ca="1" si="86"/>
        <v>113.55909933358765</v>
      </c>
      <c r="K394" s="19">
        <f t="shared" ca="1" si="81"/>
        <v>113.55909933358765</v>
      </c>
      <c r="L394" s="20">
        <f ca="1" xml:space="preserve"> K394*_Precio_cafe</f>
        <v>170.33864900038148</v>
      </c>
      <c r="M394" s="20">
        <f t="shared" ca="1" si="82"/>
        <v>54135.741695358585</v>
      </c>
      <c r="N394" s="20">
        <f ca="1">IF((N393-K394+Y394)&gt;_Max_Stock_Gramos,_Max_Stock_Gramos,N393-K394+Y394)</f>
        <v>1435.5608387046223</v>
      </c>
      <c r="O394" s="20">
        <f ca="1">N394/_GramosXFrasco</f>
        <v>8.4444755217918956</v>
      </c>
      <c r="P394" s="63">
        <f ca="1">(N394/_Max_Stock_Gramos)</f>
        <v>0.84444755217918954</v>
      </c>
      <c r="Q394" s="63"/>
      <c r="R394" s="10">
        <f ca="1">IF((N393-J394)&lt;0,(N393-J394)*_Costo_Faltante,0)</f>
        <v>0</v>
      </c>
      <c r="S394">
        <f ca="1">IF(U394=0,X394*_Costo_Frasco,0)</f>
        <v>0</v>
      </c>
      <c r="T394" s="11">
        <f t="shared" ca="1" si="83"/>
        <v>-34577.89173507681</v>
      </c>
      <c r="U394" s="10">
        <f>IF(U393=0,_Proxima_Compra,U393-1)</f>
        <v>0</v>
      </c>
      <c r="V394" s="3">
        <f t="shared" ca="1" si="78"/>
        <v>0.66055802642929073</v>
      </c>
      <c r="W394" s="3">
        <f ca="1">IF(W393&gt;0,W393-1,IF(V394&gt;0,LOOKUP(V394,$R$3:$R$5,$O$3:$O$5),-1))</f>
        <v>1</v>
      </c>
      <c r="X394" s="25">
        <f t="shared" ca="1" si="79"/>
        <v>0</v>
      </c>
      <c r="Y394" s="28">
        <f ca="1">X394*_GramosXFrasco</f>
        <v>0</v>
      </c>
    </row>
    <row r="395" spans="1:25" x14ac:dyDescent="0.25">
      <c r="A395" s="30">
        <f t="shared" si="80"/>
        <v>379</v>
      </c>
      <c r="B395" s="38">
        <f t="shared" ca="1" si="73"/>
        <v>0.35802590608423301</v>
      </c>
      <c r="C395" s="36">
        <f t="shared" ca="1" si="74"/>
        <v>-1</v>
      </c>
      <c r="D395" s="36">
        <f t="shared" ca="1" si="75"/>
        <v>-1</v>
      </c>
      <c r="E395" s="36">
        <f t="shared" ca="1" si="84"/>
        <v>-1</v>
      </c>
      <c r="F395" s="37">
        <f ca="1">IF(E395&lt;&gt;-1,_Media_M + E395*_Sigma,-1)</f>
        <v>-1</v>
      </c>
      <c r="G395" s="3">
        <f t="shared" ca="1" si="76"/>
        <v>50</v>
      </c>
      <c r="H395" s="36">
        <f t="shared" ca="1" si="85"/>
        <v>50</v>
      </c>
      <c r="I395" s="36">
        <f t="shared" ca="1" si="77"/>
        <v>21.527427499890827</v>
      </c>
      <c r="J395" s="35">
        <f t="shared" ca="1" si="86"/>
        <v>71.52742749989082</v>
      </c>
      <c r="K395" s="19">
        <f t="shared" ca="1" si="81"/>
        <v>71.52742749989082</v>
      </c>
      <c r="L395" s="20">
        <f ca="1" xml:space="preserve"> K395*_Precio_cafe</f>
        <v>107.29114124983623</v>
      </c>
      <c r="M395" s="20">
        <f t="shared" ca="1" si="82"/>
        <v>54243.032836608421</v>
      </c>
      <c r="N395" s="20">
        <f ca="1">IF((N394-K395+Y395)&gt;_Max_Stock_Gramos,_Max_Stock_Gramos,N394-K395+Y395)</f>
        <v>1700</v>
      </c>
      <c r="O395" s="20">
        <f ca="1">N395/_GramosXFrasco</f>
        <v>10</v>
      </c>
      <c r="P395" s="63">
        <f ca="1">(N395/_Max_Stock_Gramos)</f>
        <v>1</v>
      </c>
      <c r="Q395" s="63"/>
      <c r="R395" s="10">
        <f ca="1">IF((N394-J395)&lt;0,(N394-J395)*_Costo_Faltante,0)</f>
        <v>0</v>
      </c>
      <c r="S395">
        <f>IF(U395=0,X395*_Costo_Frasco,0)</f>
        <v>0</v>
      </c>
      <c r="T395" s="11">
        <f t="shared" ca="1" si="83"/>
        <v>-34577.89173507681</v>
      </c>
      <c r="U395" s="10">
        <f>IF(U394=0,_Proxima_Compra,U394-1)</f>
        <v>2</v>
      </c>
      <c r="V395" s="3">
        <f t="shared" ca="1" si="78"/>
        <v>-1</v>
      </c>
      <c r="W395" s="3">
        <f ca="1">IF(W394&gt;0,W394-1,IF(V395&gt;0,LOOKUP(V395,$R$3:$R$5,$O$3:$O$5),-1))</f>
        <v>0</v>
      </c>
      <c r="X395" s="25">
        <f t="shared" ca="1" si="79"/>
        <v>2</v>
      </c>
      <c r="Y395" s="28">
        <f ca="1">X395*_GramosXFrasco</f>
        <v>340</v>
      </c>
    </row>
    <row r="396" spans="1:25" x14ac:dyDescent="0.25">
      <c r="A396" s="30">
        <f t="shared" si="80"/>
        <v>380</v>
      </c>
      <c r="B396" s="38">
        <f t="shared" ca="1" si="73"/>
        <v>5.0298364946117502E-3</v>
      </c>
      <c r="C396" s="36">
        <f t="shared" ca="1" si="74"/>
        <v>-1</v>
      </c>
      <c r="D396" s="36">
        <f t="shared" ca="1" si="75"/>
        <v>-1</v>
      </c>
      <c r="E396" s="36">
        <f t="shared" ca="1" si="84"/>
        <v>-1</v>
      </c>
      <c r="F396" s="37">
        <f ca="1">IF(E396&lt;&gt;-1,_Media_M + E396*_Sigma,-1)</f>
        <v>-1</v>
      </c>
      <c r="G396" s="3">
        <f t="shared" ca="1" si="76"/>
        <v>50</v>
      </c>
      <c r="H396" s="36">
        <f t="shared" ca="1" si="85"/>
        <v>50</v>
      </c>
      <c r="I396" s="36">
        <f t="shared" ca="1" si="77"/>
        <v>15.698771124943409</v>
      </c>
      <c r="J396" s="35">
        <f t="shared" ca="1" si="86"/>
        <v>65.698771124943406</v>
      </c>
      <c r="K396" s="19">
        <f t="shared" ca="1" si="81"/>
        <v>65.698771124943406</v>
      </c>
      <c r="L396" s="20">
        <f ca="1" xml:space="preserve"> K396*_Precio_cafe</f>
        <v>98.548156687415116</v>
      </c>
      <c r="M396" s="20">
        <f t="shared" ca="1" si="82"/>
        <v>54341.580993295836</v>
      </c>
      <c r="N396" s="20">
        <f ca="1">IF((N395-K396+Y396)&gt;_Max_Stock_Gramos,_Max_Stock_Gramos,N395-K396+Y396)</f>
        <v>1634.3012288750565</v>
      </c>
      <c r="O396" s="20">
        <f ca="1">N396/_GramosXFrasco</f>
        <v>9.6135366404415095</v>
      </c>
      <c r="P396" s="63">
        <f ca="1">(N396/_Max_Stock_Gramos)</f>
        <v>0.9613536640441509</v>
      </c>
      <c r="Q396" s="63"/>
      <c r="R396" s="10">
        <f ca="1">IF((N395-J396)&lt;0,(N395-J396)*_Costo_Faltante,0)</f>
        <v>0</v>
      </c>
      <c r="S396">
        <f>IF(U396=0,X396*_Costo_Frasco,0)</f>
        <v>0</v>
      </c>
      <c r="T396" s="11">
        <f t="shared" ca="1" si="83"/>
        <v>-34577.89173507681</v>
      </c>
      <c r="U396" s="10">
        <f>IF(U395=0,_Proxima_Compra,U395-1)</f>
        <v>1</v>
      </c>
      <c r="V396" s="3">
        <f t="shared" ca="1" si="78"/>
        <v>-1</v>
      </c>
      <c r="W396" s="3">
        <f ca="1">IF(W395&gt;0,W395-1,IF(V396&gt;0,LOOKUP(V396,$R$3:$R$5,$O$3:$O$5),-1))</f>
        <v>-1</v>
      </c>
      <c r="X396" s="25">
        <f t="shared" ca="1" si="79"/>
        <v>0</v>
      </c>
      <c r="Y396" s="28">
        <f ca="1">X396*_GramosXFrasco</f>
        <v>0</v>
      </c>
    </row>
    <row r="397" spans="1:25" x14ac:dyDescent="0.25">
      <c r="A397" s="30">
        <f t="shared" si="80"/>
        <v>381</v>
      </c>
      <c r="B397" s="38">
        <f t="shared" ca="1" si="73"/>
        <v>0.490338631709338</v>
      </c>
      <c r="C397" s="36">
        <f t="shared" ca="1" si="74"/>
        <v>-1</v>
      </c>
      <c r="D397" s="36">
        <f t="shared" ca="1" si="75"/>
        <v>-1</v>
      </c>
      <c r="E397" s="36">
        <f t="shared" ca="1" si="84"/>
        <v>-1</v>
      </c>
      <c r="F397" s="37">
        <f ca="1">IF(E397&lt;&gt;-1,_Media_M + E397*_Sigma,-1)</f>
        <v>-1</v>
      </c>
      <c r="G397" s="3">
        <f t="shared" ca="1" si="76"/>
        <v>50</v>
      </c>
      <c r="H397" s="36">
        <f t="shared" ca="1" si="85"/>
        <v>50</v>
      </c>
      <c r="I397" s="36">
        <f t="shared" ca="1" si="77"/>
        <v>9.9724734230567282</v>
      </c>
      <c r="J397" s="35">
        <f t="shared" ca="1" si="86"/>
        <v>59.972473423056726</v>
      </c>
      <c r="K397" s="19">
        <f t="shared" ca="1" si="81"/>
        <v>59.972473423056726</v>
      </c>
      <c r="L397" s="20">
        <f ca="1" xml:space="preserve"> K397*_Precio_cafe</f>
        <v>89.95871013458509</v>
      </c>
      <c r="M397" s="20">
        <f t="shared" ca="1" si="82"/>
        <v>54431.539703430419</v>
      </c>
      <c r="N397" s="20">
        <f ca="1">IF((N396-K397+Y397)&gt;_Max_Stock_Gramos,_Max_Stock_Gramos,N396-K397+Y397)</f>
        <v>1700</v>
      </c>
      <c r="O397" s="20">
        <f ca="1">N397/_GramosXFrasco</f>
        <v>10</v>
      </c>
      <c r="P397" s="63">
        <f ca="1">(N397/_Max_Stock_Gramos)</f>
        <v>1</v>
      </c>
      <c r="Q397" s="63"/>
      <c r="R397" s="10">
        <f ca="1">IF((N396-J397)&lt;0,(N396-J397)*_Costo_Faltante,0)</f>
        <v>0</v>
      </c>
      <c r="S397">
        <f ca="1">IF(U397=0,X397*_Costo_Frasco,0)</f>
        <v>-500</v>
      </c>
      <c r="T397" s="11">
        <f t="shared" ca="1" si="83"/>
        <v>-35077.89173507681</v>
      </c>
      <c r="U397" s="10">
        <f>IF(U396=0,_Proxima_Compra,U396-1)</f>
        <v>0</v>
      </c>
      <c r="V397" s="3">
        <f t="shared" ca="1" si="78"/>
        <v>0.47079655542493482</v>
      </c>
      <c r="W397" s="3">
        <f ca="1">IF(W396&gt;0,W396-1,IF(V397&gt;0,LOOKUP(V397,$R$3:$R$5,$O$3:$O$5),-1))</f>
        <v>0</v>
      </c>
      <c r="X397" s="25">
        <f t="shared" ca="1" si="79"/>
        <v>2</v>
      </c>
      <c r="Y397" s="28">
        <f ca="1">X397*_GramosXFrasco</f>
        <v>340</v>
      </c>
    </row>
    <row r="398" spans="1:25" x14ac:dyDescent="0.25">
      <c r="A398" s="30">
        <f t="shared" si="80"/>
        <v>382</v>
      </c>
      <c r="B398" s="38">
        <f t="shared" ca="1" si="73"/>
        <v>0.3446143211432473</v>
      </c>
      <c r="C398" s="36">
        <f t="shared" ca="1" si="74"/>
        <v>-1</v>
      </c>
      <c r="D398" s="36">
        <f t="shared" ca="1" si="75"/>
        <v>-1</v>
      </c>
      <c r="E398" s="36">
        <f t="shared" ca="1" si="84"/>
        <v>-1</v>
      </c>
      <c r="F398" s="37">
        <f ca="1">IF(E398&lt;&gt;-1,_Media_M + E398*_Sigma,-1)</f>
        <v>-1</v>
      </c>
      <c r="G398" s="3">
        <f t="shared" ca="1" si="76"/>
        <v>50</v>
      </c>
      <c r="H398" s="36">
        <f t="shared" ca="1" si="85"/>
        <v>50</v>
      </c>
      <c r="I398" s="36">
        <f t="shared" ca="1" si="77"/>
        <v>47.542968549952953</v>
      </c>
      <c r="J398" s="35">
        <f t="shared" ca="1" si="86"/>
        <v>97.542968549952946</v>
      </c>
      <c r="K398" s="19">
        <f t="shared" ca="1" si="81"/>
        <v>97.542968549952946</v>
      </c>
      <c r="L398" s="20">
        <f ca="1" xml:space="preserve"> K398*_Precio_cafe</f>
        <v>146.31445282492942</v>
      </c>
      <c r="M398" s="20">
        <f t="shared" ca="1" si="82"/>
        <v>54577.854156255351</v>
      </c>
      <c r="N398" s="20">
        <f ca="1">IF((N397-K398+Y398)&gt;_Max_Stock_Gramos,_Max_Stock_Gramos,N397-K398+Y398)</f>
        <v>1602.457031450047</v>
      </c>
      <c r="O398" s="20">
        <f ca="1">N398/_GramosXFrasco</f>
        <v>9.4262178320591001</v>
      </c>
      <c r="P398" s="63">
        <f ca="1">(N398/_Max_Stock_Gramos)</f>
        <v>0.94262178320590995</v>
      </c>
      <c r="Q398" s="63"/>
      <c r="R398" s="10">
        <f ca="1">IF((N397-J398)&lt;0,(N397-J398)*_Costo_Faltante,0)</f>
        <v>0</v>
      </c>
      <c r="S398">
        <f>IF(U398=0,X398*_Costo_Frasco,0)</f>
        <v>0</v>
      </c>
      <c r="T398" s="11">
        <f t="shared" ca="1" si="83"/>
        <v>-35077.89173507681</v>
      </c>
      <c r="U398" s="10">
        <f>IF(U397=0,_Proxima_Compra,U397-1)</f>
        <v>2</v>
      </c>
      <c r="V398" s="3">
        <f t="shared" ca="1" si="78"/>
        <v>-1</v>
      </c>
      <c r="W398" s="3">
        <f ca="1">IF(W397&gt;0,W397-1,IF(V398&gt;0,LOOKUP(V398,$R$3:$R$5,$O$3:$O$5),-1))</f>
        <v>-1</v>
      </c>
      <c r="X398" s="25">
        <f t="shared" ca="1" si="79"/>
        <v>0</v>
      </c>
      <c r="Y398" s="28">
        <f ca="1">X398*_GramosXFrasco</f>
        <v>0</v>
      </c>
    </row>
    <row r="399" spans="1:25" x14ac:dyDescent="0.25">
      <c r="A399" s="30">
        <f t="shared" si="80"/>
        <v>383</v>
      </c>
      <c r="B399" s="38">
        <f t="shared" ca="1" si="73"/>
        <v>0.74189332528042673</v>
      </c>
      <c r="C399" s="36">
        <f t="shared" ca="1" si="74"/>
        <v>0.97156609410793215</v>
      </c>
      <c r="D399" s="36">
        <f t="shared" ca="1" si="75"/>
        <v>4.482603803336227E-2</v>
      </c>
      <c r="E399" s="36">
        <f t="shared" ca="1" si="84"/>
        <v>1.6892129724276745</v>
      </c>
      <c r="F399" s="37">
        <f ca="1">IF(E399&lt;&gt;-1,_Media_M + E399*_Sigma,-1)</f>
        <v>100.33819458641511</v>
      </c>
      <c r="G399" s="3">
        <f t="shared" ca="1" si="76"/>
        <v>-1</v>
      </c>
      <c r="H399" s="36">
        <f t="shared" ca="1" si="85"/>
        <v>100.33819458641511</v>
      </c>
      <c r="I399" s="36">
        <f t="shared" ca="1" si="77"/>
        <v>30.36516314485932</v>
      </c>
      <c r="J399" s="35">
        <f t="shared" ca="1" si="86"/>
        <v>130.70335773127442</v>
      </c>
      <c r="K399" s="19">
        <f t="shared" ca="1" si="81"/>
        <v>130.70335773127442</v>
      </c>
      <c r="L399" s="20">
        <f ca="1" xml:space="preserve"> K399*_Precio_cafe</f>
        <v>196.05503659691163</v>
      </c>
      <c r="M399" s="20">
        <f t="shared" ca="1" si="82"/>
        <v>54773.909192852261</v>
      </c>
      <c r="N399" s="20">
        <f ca="1">IF((N398-K399+Y399)&gt;_Max_Stock_Gramos,_Max_Stock_Gramos,N398-K399+Y399)</f>
        <v>1471.7536737187725</v>
      </c>
      <c r="O399" s="20">
        <f ca="1">N399/_GramosXFrasco</f>
        <v>8.657374551286896</v>
      </c>
      <c r="P399" s="63">
        <f ca="1">(N399/_Max_Stock_Gramos)</f>
        <v>0.86573745512868971</v>
      </c>
      <c r="Q399" s="63"/>
      <c r="R399" s="10">
        <f ca="1">IF((N398-J399)&lt;0,(N398-J399)*_Costo_Faltante,0)</f>
        <v>0</v>
      </c>
      <c r="S399">
        <f>IF(U399=0,X399*_Costo_Frasco,0)</f>
        <v>0</v>
      </c>
      <c r="T399" s="11">
        <f t="shared" ca="1" si="83"/>
        <v>-35077.89173507681</v>
      </c>
      <c r="U399" s="10">
        <f>IF(U398=0,_Proxima_Compra,U398-1)</f>
        <v>1</v>
      </c>
      <c r="V399" s="3">
        <f t="shared" ca="1" si="78"/>
        <v>-1</v>
      </c>
      <c r="W399" s="3">
        <f ca="1">IF(W398&gt;0,W398-1,IF(V399&gt;0,LOOKUP(V399,$R$3:$R$5,$O$3:$O$5),-1))</f>
        <v>-1</v>
      </c>
      <c r="X399" s="25">
        <f t="shared" ca="1" si="79"/>
        <v>0</v>
      </c>
      <c r="Y399" s="28">
        <f ca="1">X399*_GramosXFrasco</f>
        <v>0</v>
      </c>
    </row>
    <row r="400" spans="1:25" x14ac:dyDescent="0.25">
      <c r="A400" s="30">
        <f t="shared" si="80"/>
        <v>384</v>
      </c>
      <c r="B400" s="38">
        <f t="shared" ca="1" si="73"/>
        <v>0.70817270325028425</v>
      </c>
      <c r="C400" s="36">
        <f t="shared" ca="1" si="74"/>
        <v>0.18168529391793431</v>
      </c>
      <c r="D400" s="36">
        <f t="shared" ca="1" si="75"/>
        <v>0.15973327095344858</v>
      </c>
      <c r="E400" s="36">
        <f t="shared" ca="1" si="84"/>
        <v>0.22420356593284471</v>
      </c>
      <c r="F400" s="37">
        <f ca="1">IF(E400&lt;&gt;-1,_Media_M + E400*_Sigma,-1)</f>
        <v>78.363053488992676</v>
      </c>
      <c r="G400" s="3">
        <f t="shared" ca="1" si="76"/>
        <v>-1</v>
      </c>
      <c r="H400" s="36">
        <f t="shared" ca="1" si="85"/>
        <v>78.363053488992676</v>
      </c>
      <c r="I400" s="36">
        <f t="shared" ca="1" si="77"/>
        <v>10.32795438170057</v>
      </c>
      <c r="J400" s="35">
        <f t="shared" ca="1" si="86"/>
        <v>88.691007870693241</v>
      </c>
      <c r="K400" s="19">
        <f t="shared" ca="1" si="81"/>
        <v>88.691007870693241</v>
      </c>
      <c r="L400" s="20">
        <f ca="1" xml:space="preserve"> K400*_Precio_cafe</f>
        <v>133.03651180603987</v>
      </c>
      <c r="M400" s="20">
        <f t="shared" ca="1" si="82"/>
        <v>54906.945704658297</v>
      </c>
      <c r="N400" s="20">
        <f ca="1">IF((N399-K400+Y400)&gt;_Max_Stock_Gramos,_Max_Stock_Gramos,N399-K400+Y400)</f>
        <v>1383.0626658480792</v>
      </c>
      <c r="O400" s="20">
        <f ca="1">N400/_GramosXFrasco</f>
        <v>8.1356627402828181</v>
      </c>
      <c r="P400" s="63">
        <f ca="1">(N400/_Max_Stock_Gramos)</f>
        <v>0.81356627402828186</v>
      </c>
      <c r="Q400" s="63"/>
      <c r="R400" s="10">
        <f ca="1">IF((N399-J400)&lt;0,(N399-J400)*_Costo_Faltante,0)</f>
        <v>0</v>
      </c>
      <c r="S400">
        <f ca="1">IF(U400=0,X400*_Costo_Frasco,0)</f>
        <v>0</v>
      </c>
      <c r="T400" s="11">
        <f t="shared" ca="1" si="83"/>
        <v>-35077.89173507681</v>
      </c>
      <c r="U400" s="10">
        <f>IF(U399=0,_Proxima_Compra,U399-1)</f>
        <v>0</v>
      </c>
      <c r="V400" s="3">
        <f t="shared" ca="1" si="78"/>
        <v>0.53670564641424345</v>
      </c>
      <c r="W400" s="3">
        <f ca="1">IF(W399&gt;0,W399-1,IF(V400&gt;0,LOOKUP(V400,$R$3:$R$5,$O$3:$O$5),-1))</f>
        <v>1</v>
      </c>
      <c r="X400" s="25">
        <f t="shared" ca="1" si="79"/>
        <v>0</v>
      </c>
      <c r="Y400" s="28">
        <f ca="1">X400*_GramosXFrasco</f>
        <v>0</v>
      </c>
    </row>
    <row r="401" spans="1:25" x14ac:dyDescent="0.25">
      <c r="A401" s="30">
        <f t="shared" si="80"/>
        <v>385</v>
      </c>
      <c r="B401" s="38">
        <f t="shared" ref="B401:B464" ca="1" si="87">RAND()</f>
        <v>0.94909314667457756</v>
      </c>
      <c r="C401" s="36">
        <f t="shared" ref="C401:C464" ca="1" si="88">IF(B401&gt;0.5,RAND(),-1)</f>
        <v>0.22555830880568717</v>
      </c>
      <c r="D401" s="36">
        <f t="shared" ref="D401:D464" ca="1" si="89">IF(B401&gt;0.5,RAND(),-1)</f>
        <v>0.88614386237260034</v>
      </c>
      <c r="E401" s="36">
        <f t="shared" ca="1" si="84"/>
        <v>0.35567724287374342</v>
      </c>
      <c r="F401" s="37">
        <f ca="1">IF(E401&lt;&gt;-1,_Media_M + E401*_Sigma,-1)</f>
        <v>80.335158643106155</v>
      </c>
      <c r="G401" s="3">
        <f t="shared" ref="G401:G464" ca="1" si="90">IF(F401=-1,50,-1)</f>
        <v>-1</v>
      </c>
      <c r="H401" s="36">
        <f t="shared" ca="1" si="85"/>
        <v>80.335158643106155</v>
      </c>
      <c r="I401" s="36">
        <f t="shared" ref="I401:I464" ca="1" si="91">(-1/(1/70)*(LOG(1-RAND())))</f>
        <v>16.05270104369308</v>
      </c>
      <c r="J401" s="35">
        <f t="shared" ca="1" si="86"/>
        <v>96.387859686799231</v>
      </c>
      <c r="K401" s="19">
        <f t="shared" ca="1" si="81"/>
        <v>96.387859686799231</v>
      </c>
      <c r="L401" s="20">
        <f ca="1" xml:space="preserve"> K401*_Precio_cafe</f>
        <v>144.58178953019885</v>
      </c>
      <c r="M401" s="20">
        <f t="shared" ca="1" si="82"/>
        <v>55051.527494188493</v>
      </c>
      <c r="N401" s="20">
        <f ca="1">IF((N400-K401+Y401)&gt;_Max_Stock_Gramos,_Max_Stock_Gramos,N400-K401+Y401)</f>
        <v>1626.67480616128</v>
      </c>
      <c r="O401" s="20">
        <f ca="1">N401/_GramosXFrasco</f>
        <v>9.5686753303604704</v>
      </c>
      <c r="P401" s="63">
        <f ca="1">(N401/_Max_Stock_Gramos)</f>
        <v>0.9568675330360471</v>
      </c>
      <c r="Q401" s="63"/>
      <c r="R401" s="10">
        <f ca="1">IF((N400-J401)&lt;0,(N400-J401)*_Costo_Faltante,0)</f>
        <v>0</v>
      </c>
      <c r="S401">
        <f>IF(U401=0,X401*_Costo_Frasco,0)</f>
        <v>0</v>
      </c>
      <c r="T401" s="11">
        <f t="shared" ca="1" si="83"/>
        <v>-35077.89173507681</v>
      </c>
      <c r="U401" s="10">
        <f>IF(U400=0,_Proxima_Compra,U400-1)</f>
        <v>2</v>
      </c>
      <c r="V401" s="3">
        <f t="shared" ref="V401:V464" ca="1" si="92">IF(U401=0,RAND(),-1)</f>
        <v>-1</v>
      </c>
      <c r="W401" s="3">
        <f ca="1">IF(W400&gt;0,W400-1,IF(V401&gt;0,LOOKUP(V401,$R$3:$R$5,$O$3:$O$5),-1))</f>
        <v>0</v>
      </c>
      <c r="X401" s="25">
        <f t="shared" ref="X401:X464" ca="1" si="93">IF(W401=0,2,)</f>
        <v>2</v>
      </c>
      <c r="Y401" s="28">
        <f ca="1">X401*_GramosXFrasco</f>
        <v>340</v>
      </c>
    </row>
    <row r="402" spans="1:25" x14ac:dyDescent="0.25">
      <c r="A402" s="30">
        <f t="shared" ref="A402:A465" si="94">A401+1</f>
        <v>386</v>
      </c>
      <c r="B402" s="38">
        <f t="shared" ca="1" si="87"/>
        <v>0.14419558946754851</v>
      </c>
      <c r="C402" s="36">
        <f t="shared" ca="1" si="88"/>
        <v>-1</v>
      </c>
      <c r="D402" s="36">
        <f t="shared" ca="1" si="89"/>
        <v>-1</v>
      </c>
      <c r="E402" s="36">
        <f t="shared" ca="1" si="84"/>
        <v>-1</v>
      </c>
      <c r="F402" s="37">
        <f ca="1">IF(E402&lt;&gt;-1,_Media_M + E402*_Sigma,-1)</f>
        <v>-1</v>
      </c>
      <c r="G402" s="3">
        <f t="shared" ca="1" si="90"/>
        <v>50</v>
      </c>
      <c r="H402" s="36">
        <f t="shared" ca="1" si="85"/>
        <v>50</v>
      </c>
      <c r="I402" s="36">
        <f t="shared" ca="1" si="91"/>
        <v>14.692048612283859</v>
      </c>
      <c r="J402" s="35">
        <f t="shared" ca="1" si="86"/>
        <v>64.692048612283855</v>
      </c>
      <c r="K402" s="19">
        <f t="shared" ref="K402:K465" ca="1" si="95">IF(J402&lt;N401,J402,N401)</f>
        <v>64.692048612283855</v>
      </c>
      <c r="L402" s="20">
        <f ca="1" xml:space="preserve"> K402*_Precio_cafe</f>
        <v>97.038072918425783</v>
      </c>
      <c r="M402" s="20">
        <f t="shared" ref="M402:M465" ca="1" si="96">L402+M401</f>
        <v>55148.565567106918</v>
      </c>
      <c r="N402" s="20">
        <f ca="1">IF((N401-K402+Y402)&gt;_Max_Stock_Gramos,_Max_Stock_Gramos,N401-K402+Y402)</f>
        <v>1561.9827575489962</v>
      </c>
      <c r="O402" s="20">
        <f ca="1">N402/_GramosXFrasco</f>
        <v>9.1881338679352726</v>
      </c>
      <c r="P402" s="63">
        <f ca="1">(N402/_Max_Stock_Gramos)</f>
        <v>0.9188133867935272</v>
      </c>
      <c r="Q402" s="63"/>
      <c r="R402" s="10">
        <f ca="1">IF((N401-J402)&lt;0,(N401-J402)*_Costo_Faltante,0)</f>
        <v>0</v>
      </c>
      <c r="S402">
        <f>IF(U402=0,X402*_Costo_Frasco,0)</f>
        <v>0</v>
      </c>
      <c r="T402" s="11">
        <f t="shared" ref="T402:T465" ca="1" si="97">R402+S402+T401</f>
        <v>-35077.89173507681</v>
      </c>
      <c r="U402" s="10">
        <f>IF(U401=0,_Proxima_Compra,U401-1)</f>
        <v>1</v>
      </c>
      <c r="V402" s="3">
        <f t="shared" ca="1" si="92"/>
        <v>-1</v>
      </c>
      <c r="W402" s="3">
        <f ca="1">IF(W401&gt;0,W401-1,IF(V402&gt;0,LOOKUP(V402,$R$3:$R$5,$O$3:$O$5),-1))</f>
        <v>-1</v>
      </c>
      <c r="X402" s="25">
        <f t="shared" ca="1" si="93"/>
        <v>0</v>
      </c>
      <c r="Y402" s="28">
        <f ca="1">X402*_GramosXFrasco</f>
        <v>0</v>
      </c>
    </row>
    <row r="403" spans="1:25" x14ac:dyDescent="0.25">
      <c r="A403" s="30">
        <f t="shared" si="94"/>
        <v>387</v>
      </c>
      <c r="B403" s="38">
        <f t="shared" ca="1" si="87"/>
        <v>0.68260012497265565</v>
      </c>
      <c r="C403" s="36">
        <f t="shared" ca="1" si="88"/>
        <v>0.22030700414465654</v>
      </c>
      <c r="D403" s="36">
        <f t="shared" ca="1" si="89"/>
        <v>0.26574412731182928</v>
      </c>
      <c r="E403" s="36">
        <f t="shared" ca="1" si="84"/>
        <v>-4.5916658556396935E-2</v>
      </c>
      <c r="F403" s="37">
        <f ca="1">IF(E403&lt;&gt;-1,_Media_M + E403*_Sigma,-1)</f>
        <v>74.311250121654041</v>
      </c>
      <c r="G403" s="3">
        <f t="shared" ca="1" si="90"/>
        <v>-1</v>
      </c>
      <c r="H403" s="36">
        <f t="shared" ca="1" si="85"/>
        <v>74.311250121654041</v>
      </c>
      <c r="I403" s="36">
        <f t="shared" ca="1" si="91"/>
        <v>12.011513812243567</v>
      </c>
      <c r="J403" s="35">
        <f t="shared" ca="1" si="86"/>
        <v>86.322763933897605</v>
      </c>
      <c r="K403" s="19">
        <f t="shared" ca="1" si="95"/>
        <v>86.322763933897605</v>
      </c>
      <c r="L403" s="20">
        <f ca="1" xml:space="preserve"> K403*_Precio_cafe</f>
        <v>129.48414590084641</v>
      </c>
      <c r="M403" s="20">
        <f t="shared" ca="1" si="96"/>
        <v>55278.049713007764</v>
      </c>
      <c r="N403" s="20">
        <f ca="1">IF((N402-K403+Y403)&gt;_Max_Stock_Gramos,_Max_Stock_Gramos,N402-K403+Y403)</f>
        <v>1700</v>
      </c>
      <c r="O403" s="20">
        <f ca="1">N403/_GramosXFrasco</f>
        <v>10</v>
      </c>
      <c r="P403" s="63">
        <f ca="1">(N403/_Max_Stock_Gramos)</f>
        <v>1</v>
      </c>
      <c r="Q403" s="63"/>
      <c r="R403" s="10">
        <f ca="1">IF((N402-J403)&lt;0,(N402-J403)*_Costo_Faltante,0)</f>
        <v>0</v>
      </c>
      <c r="S403">
        <f ca="1">IF(U403=0,X403*_Costo_Frasco,0)</f>
        <v>-500</v>
      </c>
      <c r="T403" s="11">
        <f t="shared" ca="1" si="97"/>
        <v>-35577.89173507681</v>
      </c>
      <c r="U403" s="10">
        <f>IF(U402=0,_Proxima_Compra,U402-1)</f>
        <v>0</v>
      </c>
      <c r="V403" s="3">
        <f t="shared" ca="1" si="92"/>
        <v>0.19836287372456785</v>
      </c>
      <c r="W403" s="3">
        <f ca="1">IF(W402&gt;0,W402-1,IF(V403&gt;0,LOOKUP(V403,$R$3:$R$5,$O$3:$O$5),-1))</f>
        <v>0</v>
      </c>
      <c r="X403" s="25">
        <f t="shared" ca="1" si="93"/>
        <v>2</v>
      </c>
      <c r="Y403" s="28">
        <f ca="1">X403*_GramosXFrasco</f>
        <v>340</v>
      </c>
    </row>
    <row r="404" spans="1:25" x14ac:dyDescent="0.25">
      <c r="A404" s="30">
        <f t="shared" si="94"/>
        <v>388</v>
      </c>
      <c r="B404" s="38">
        <f t="shared" ca="1" si="87"/>
        <v>0.11570332239221703</v>
      </c>
      <c r="C404" s="36">
        <f t="shared" ca="1" si="88"/>
        <v>-1</v>
      </c>
      <c r="D404" s="36">
        <f t="shared" ca="1" si="89"/>
        <v>-1</v>
      </c>
      <c r="E404" s="36">
        <f t="shared" ca="1" si="84"/>
        <v>-1</v>
      </c>
      <c r="F404" s="37">
        <f ca="1">IF(E404&lt;&gt;-1,_Media_M + E404*_Sigma,-1)</f>
        <v>-1</v>
      </c>
      <c r="G404" s="3">
        <f t="shared" ca="1" si="90"/>
        <v>50</v>
      </c>
      <c r="H404" s="36">
        <f t="shared" ca="1" si="85"/>
        <v>50</v>
      </c>
      <c r="I404" s="36">
        <f t="shared" ca="1" si="91"/>
        <v>53.845035963784966</v>
      </c>
      <c r="J404" s="35">
        <f t="shared" ca="1" si="86"/>
        <v>103.84503596378497</v>
      </c>
      <c r="K404" s="19">
        <f t="shared" ca="1" si="95"/>
        <v>103.84503596378497</v>
      </c>
      <c r="L404" s="20">
        <f ca="1" xml:space="preserve"> K404*_Precio_cafe</f>
        <v>155.76755394567743</v>
      </c>
      <c r="M404" s="20">
        <f t="shared" ca="1" si="96"/>
        <v>55433.81726695344</v>
      </c>
      <c r="N404" s="20">
        <f ca="1">IF((N403-K404+Y404)&gt;_Max_Stock_Gramos,_Max_Stock_Gramos,N403-K404+Y404)</f>
        <v>1596.154964036215</v>
      </c>
      <c r="O404" s="20">
        <f ca="1">N404/_GramosXFrasco</f>
        <v>9.3891468472718529</v>
      </c>
      <c r="P404" s="63">
        <f ca="1">(N404/_Max_Stock_Gramos)</f>
        <v>0.93891468472718531</v>
      </c>
      <c r="Q404" s="63"/>
      <c r="R404" s="10">
        <f ca="1">IF((N403-J404)&lt;0,(N403-J404)*_Costo_Faltante,0)</f>
        <v>0</v>
      </c>
      <c r="S404">
        <f>IF(U404=0,X404*_Costo_Frasco,0)</f>
        <v>0</v>
      </c>
      <c r="T404" s="11">
        <f t="shared" ca="1" si="97"/>
        <v>-35577.89173507681</v>
      </c>
      <c r="U404" s="10">
        <f>IF(U403=0,_Proxima_Compra,U403-1)</f>
        <v>2</v>
      </c>
      <c r="V404" s="3">
        <f t="shared" ca="1" si="92"/>
        <v>-1</v>
      </c>
      <c r="W404" s="3">
        <f ca="1">IF(W403&gt;0,W403-1,IF(V404&gt;0,LOOKUP(V404,$R$3:$R$5,$O$3:$O$5),-1))</f>
        <v>-1</v>
      </c>
      <c r="X404" s="25">
        <f t="shared" ca="1" si="93"/>
        <v>0</v>
      </c>
      <c r="Y404" s="28">
        <f ca="1">X404*_GramosXFrasco</f>
        <v>0</v>
      </c>
    </row>
    <row r="405" spans="1:25" x14ac:dyDescent="0.25">
      <c r="A405" s="30">
        <f t="shared" si="94"/>
        <v>389</v>
      </c>
      <c r="B405" s="38">
        <f t="shared" ca="1" si="87"/>
        <v>0.23718877424194817</v>
      </c>
      <c r="C405" s="36">
        <f t="shared" ca="1" si="88"/>
        <v>-1</v>
      </c>
      <c r="D405" s="36">
        <f t="shared" ca="1" si="89"/>
        <v>-1</v>
      </c>
      <c r="E405" s="36">
        <f t="shared" ca="1" si="84"/>
        <v>-1</v>
      </c>
      <c r="F405" s="37">
        <f ca="1">IF(E405&lt;&gt;-1,_Media_M + E405*_Sigma,-1)</f>
        <v>-1</v>
      </c>
      <c r="G405" s="3">
        <f t="shared" ca="1" si="90"/>
        <v>50</v>
      </c>
      <c r="H405" s="36">
        <f t="shared" ca="1" si="85"/>
        <v>50</v>
      </c>
      <c r="I405" s="36">
        <f t="shared" ca="1" si="91"/>
        <v>25.709752392869795</v>
      </c>
      <c r="J405" s="35">
        <f t="shared" ca="1" si="86"/>
        <v>75.709752392869802</v>
      </c>
      <c r="K405" s="19">
        <f t="shared" ca="1" si="95"/>
        <v>75.709752392869802</v>
      </c>
      <c r="L405" s="20">
        <f ca="1" xml:space="preserve"> K405*_Precio_cafe</f>
        <v>113.5646285893047</v>
      </c>
      <c r="M405" s="20">
        <f t="shared" ca="1" si="96"/>
        <v>55547.381895542741</v>
      </c>
      <c r="N405" s="20">
        <f ca="1">IF((N404-K405+Y405)&gt;_Max_Stock_Gramos,_Max_Stock_Gramos,N404-K405+Y405)</f>
        <v>1520.4452116433451</v>
      </c>
      <c r="O405" s="20">
        <f ca="1">N405/_GramosXFrasco</f>
        <v>8.9437953626079132</v>
      </c>
      <c r="P405" s="63">
        <f ca="1">(N405/_Max_Stock_Gramos)</f>
        <v>0.89437953626079125</v>
      </c>
      <c r="Q405" s="63"/>
      <c r="R405" s="10">
        <f ca="1">IF((N404-J405)&lt;0,(N404-J405)*_Costo_Faltante,0)</f>
        <v>0</v>
      </c>
      <c r="S405">
        <f>IF(U405=0,X405*_Costo_Frasco,0)</f>
        <v>0</v>
      </c>
      <c r="T405" s="11">
        <f t="shared" ca="1" si="97"/>
        <v>-35577.89173507681</v>
      </c>
      <c r="U405" s="10">
        <f>IF(U404=0,_Proxima_Compra,U404-1)</f>
        <v>1</v>
      </c>
      <c r="V405" s="3">
        <f t="shared" ca="1" si="92"/>
        <v>-1</v>
      </c>
      <c r="W405" s="3">
        <f ca="1">IF(W404&gt;0,W404-1,IF(V405&gt;0,LOOKUP(V405,$R$3:$R$5,$O$3:$O$5),-1))</f>
        <v>-1</v>
      </c>
      <c r="X405" s="25">
        <f t="shared" ca="1" si="93"/>
        <v>0</v>
      </c>
      <c r="Y405" s="28">
        <f ca="1">X405*_GramosXFrasco</f>
        <v>0</v>
      </c>
    </row>
    <row r="406" spans="1:25" x14ac:dyDescent="0.25">
      <c r="A406" s="30">
        <f t="shared" si="94"/>
        <v>390</v>
      </c>
      <c r="B406" s="38">
        <f t="shared" ca="1" si="87"/>
        <v>0.1468104859041226</v>
      </c>
      <c r="C406" s="36">
        <f t="shared" ca="1" si="88"/>
        <v>-1</v>
      </c>
      <c r="D406" s="36">
        <f t="shared" ca="1" si="89"/>
        <v>-1</v>
      </c>
      <c r="E406" s="36">
        <f t="shared" ca="1" si="84"/>
        <v>-1</v>
      </c>
      <c r="F406" s="37">
        <f ca="1">IF(E406&lt;&gt;-1,_Media_M + E406*_Sigma,-1)</f>
        <v>-1</v>
      </c>
      <c r="G406" s="3">
        <f t="shared" ca="1" si="90"/>
        <v>50</v>
      </c>
      <c r="H406" s="36">
        <f t="shared" ca="1" si="85"/>
        <v>50</v>
      </c>
      <c r="I406" s="36">
        <f t="shared" ca="1" si="91"/>
        <v>100.70341232774071</v>
      </c>
      <c r="J406" s="35">
        <f t="shared" ca="1" si="86"/>
        <v>150.70341232774069</v>
      </c>
      <c r="K406" s="19">
        <f t="shared" ca="1" si="95"/>
        <v>150.70341232774069</v>
      </c>
      <c r="L406" s="20">
        <f ca="1" xml:space="preserve"> K406*_Precio_cafe</f>
        <v>226.05511849161104</v>
      </c>
      <c r="M406" s="20">
        <f t="shared" ca="1" si="96"/>
        <v>55773.437014034353</v>
      </c>
      <c r="N406" s="20">
        <f ca="1">IF((N405-K406+Y406)&gt;_Max_Stock_Gramos,_Max_Stock_Gramos,N405-K406+Y406)</f>
        <v>1700</v>
      </c>
      <c r="O406" s="20">
        <f ca="1">N406/_GramosXFrasco</f>
        <v>10</v>
      </c>
      <c r="P406" s="63">
        <f ca="1">(N406/_Max_Stock_Gramos)</f>
        <v>1</v>
      </c>
      <c r="Q406" s="63"/>
      <c r="R406" s="10">
        <f ca="1">IF((N405-J406)&lt;0,(N405-J406)*_Costo_Faltante,0)</f>
        <v>0</v>
      </c>
      <c r="S406">
        <f ca="1">IF(U406=0,X406*_Costo_Frasco,0)</f>
        <v>-500</v>
      </c>
      <c r="T406" s="11">
        <f t="shared" ca="1" si="97"/>
        <v>-36077.89173507681</v>
      </c>
      <c r="U406" s="10">
        <f>IF(U405=0,_Proxima_Compra,U405-1)</f>
        <v>0</v>
      </c>
      <c r="V406" s="3">
        <f t="shared" ca="1" si="92"/>
        <v>0.47994084150014049</v>
      </c>
      <c r="W406" s="3">
        <f ca="1">IF(W405&gt;0,W405-1,IF(V406&gt;0,LOOKUP(V406,$R$3:$R$5,$O$3:$O$5),-1))</f>
        <v>0</v>
      </c>
      <c r="X406" s="25">
        <f t="shared" ca="1" si="93"/>
        <v>2</v>
      </c>
      <c r="Y406" s="28">
        <f ca="1">X406*_GramosXFrasco</f>
        <v>340</v>
      </c>
    </row>
    <row r="407" spans="1:25" x14ac:dyDescent="0.25">
      <c r="A407" s="30">
        <f t="shared" si="94"/>
        <v>391</v>
      </c>
      <c r="B407" s="38">
        <f t="shared" ca="1" si="87"/>
        <v>0.20320009282314866</v>
      </c>
      <c r="C407" s="36">
        <f t="shared" ca="1" si="88"/>
        <v>-1</v>
      </c>
      <c r="D407" s="36">
        <f t="shared" ca="1" si="89"/>
        <v>-1</v>
      </c>
      <c r="E407" s="36">
        <f t="shared" ca="1" si="84"/>
        <v>-1</v>
      </c>
      <c r="F407" s="37">
        <f ca="1">IF(E407&lt;&gt;-1,_Media_M + E407*_Sigma,-1)</f>
        <v>-1</v>
      </c>
      <c r="G407" s="3">
        <f t="shared" ca="1" si="90"/>
        <v>50</v>
      </c>
      <c r="H407" s="36">
        <f t="shared" ca="1" si="85"/>
        <v>50</v>
      </c>
      <c r="I407" s="36">
        <f t="shared" ca="1" si="91"/>
        <v>13.80602963660743</v>
      </c>
      <c r="J407" s="35">
        <f t="shared" ca="1" si="86"/>
        <v>63.806029636607434</v>
      </c>
      <c r="K407" s="19">
        <f t="shared" ca="1" si="95"/>
        <v>63.806029636607434</v>
      </c>
      <c r="L407" s="20">
        <f ca="1" xml:space="preserve"> K407*_Precio_cafe</f>
        <v>95.709044454911151</v>
      </c>
      <c r="M407" s="20">
        <f t="shared" ca="1" si="96"/>
        <v>55869.146058489263</v>
      </c>
      <c r="N407" s="20">
        <f ca="1">IF((N406-K407+Y407)&gt;_Max_Stock_Gramos,_Max_Stock_Gramos,N406-K407+Y407)</f>
        <v>1636.1939703633925</v>
      </c>
      <c r="O407" s="20">
        <f ca="1">N407/_GramosXFrasco</f>
        <v>9.624670413902308</v>
      </c>
      <c r="P407" s="63">
        <f ca="1">(N407/_Max_Stock_Gramos)</f>
        <v>0.96246704139023087</v>
      </c>
      <c r="Q407" s="63"/>
      <c r="R407" s="10">
        <f ca="1">IF((N406-J407)&lt;0,(N406-J407)*_Costo_Faltante,0)</f>
        <v>0</v>
      </c>
      <c r="S407">
        <f>IF(U407=0,X407*_Costo_Frasco,0)</f>
        <v>0</v>
      </c>
      <c r="T407" s="11">
        <f t="shared" ca="1" si="97"/>
        <v>-36077.89173507681</v>
      </c>
      <c r="U407" s="10">
        <f>IF(U406=0,_Proxima_Compra,U406-1)</f>
        <v>2</v>
      </c>
      <c r="V407" s="3">
        <f t="shared" ca="1" si="92"/>
        <v>-1</v>
      </c>
      <c r="W407" s="3">
        <f ca="1">IF(W406&gt;0,W406-1,IF(V407&gt;0,LOOKUP(V407,$R$3:$R$5,$O$3:$O$5),-1))</f>
        <v>-1</v>
      </c>
      <c r="X407" s="25">
        <f t="shared" ca="1" si="93"/>
        <v>0</v>
      </c>
      <c r="Y407" s="28">
        <f ca="1">X407*_GramosXFrasco</f>
        <v>0</v>
      </c>
    </row>
    <row r="408" spans="1:25" x14ac:dyDescent="0.25">
      <c r="A408" s="30">
        <f t="shared" si="94"/>
        <v>392</v>
      </c>
      <c r="B408" s="38">
        <f t="shared" ca="1" si="87"/>
        <v>0.29454387774610236</v>
      </c>
      <c r="C408" s="36">
        <f t="shared" ca="1" si="88"/>
        <v>-1</v>
      </c>
      <c r="D408" s="36">
        <f t="shared" ca="1" si="89"/>
        <v>-1</v>
      </c>
      <c r="E408" s="36">
        <f t="shared" ca="1" si="84"/>
        <v>-1</v>
      </c>
      <c r="F408" s="37">
        <f ca="1">IF(E408&lt;&gt;-1,_Media_M + E408*_Sigma,-1)</f>
        <v>-1</v>
      </c>
      <c r="G408" s="3">
        <f t="shared" ca="1" si="90"/>
        <v>50</v>
      </c>
      <c r="H408" s="36">
        <f t="shared" ca="1" si="85"/>
        <v>50</v>
      </c>
      <c r="I408" s="36">
        <f t="shared" ca="1" si="91"/>
        <v>48.723741165662901</v>
      </c>
      <c r="J408" s="35">
        <f t="shared" ca="1" si="86"/>
        <v>98.723741165662901</v>
      </c>
      <c r="K408" s="19">
        <f t="shared" ca="1" si="95"/>
        <v>98.723741165662901</v>
      </c>
      <c r="L408" s="20">
        <f ca="1" xml:space="preserve"> K408*_Precio_cafe</f>
        <v>148.08561174849436</v>
      </c>
      <c r="M408" s="20">
        <f t="shared" ca="1" si="96"/>
        <v>56017.231670237757</v>
      </c>
      <c r="N408" s="20">
        <f ca="1">IF((N407-K408+Y408)&gt;_Max_Stock_Gramos,_Max_Stock_Gramos,N407-K408+Y408)</f>
        <v>1537.4702291977296</v>
      </c>
      <c r="O408" s="20">
        <f ca="1">N408/_GramosXFrasco</f>
        <v>9.0439425246925271</v>
      </c>
      <c r="P408" s="63">
        <f ca="1">(N408/_Max_Stock_Gramos)</f>
        <v>0.90439425246925276</v>
      </c>
      <c r="Q408" s="63"/>
      <c r="R408" s="10">
        <f ca="1">IF((N407-J408)&lt;0,(N407-J408)*_Costo_Faltante,0)</f>
        <v>0</v>
      </c>
      <c r="S408">
        <f>IF(U408=0,X408*_Costo_Frasco,0)</f>
        <v>0</v>
      </c>
      <c r="T408" s="11">
        <f t="shared" ca="1" si="97"/>
        <v>-36077.89173507681</v>
      </c>
      <c r="U408" s="10">
        <f>IF(U407=0,_Proxima_Compra,U407-1)</f>
        <v>1</v>
      </c>
      <c r="V408" s="3">
        <f t="shared" ca="1" si="92"/>
        <v>-1</v>
      </c>
      <c r="W408" s="3">
        <f ca="1">IF(W407&gt;0,W407-1,IF(V408&gt;0,LOOKUP(V408,$R$3:$R$5,$O$3:$O$5),-1))</f>
        <v>-1</v>
      </c>
      <c r="X408" s="25">
        <f t="shared" ca="1" si="93"/>
        <v>0</v>
      </c>
      <c r="Y408" s="28">
        <f ca="1">X408*_GramosXFrasco</f>
        <v>0</v>
      </c>
    </row>
    <row r="409" spans="1:25" x14ac:dyDescent="0.25">
      <c r="A409" s="30">
        <f t="shared" si="94"/>
        <v>393</v>
      </c>
      <c r="B409" s="38">
        <f t="shared" ca="1" si="87"/>
        <v>0.26078110168362156</v>
      </c>
      <c r="C409" s="36">
        <f t="shared" ca="1" si="88"/>
        <v>-1</v>
      </c>
      <c r="D409" s="36">
        <f t="shared" ca="1" si="89"/>
        <v>-1</v>
      </c>
      <c r="E409" s="36">
        <f t="shared" ca="1" si="84"/>
        <v>-1</v>
      </c>
      <c r="F409" s="37">
        <f ca="1">IF(E409&lt;&gt;-1,_Media_M + E409*_Sigma,-1)</f>
        <v>-1</v>
      </c>
      <c r="G409" s="3">
        <f t="shared" ca="1" si="90"/>
        <v>50</v>
      </c>
      <c r="H409" s="36">
        <f t="shared" ca="1" si="85"/>
        <v>50</v>
      </c>
      <c r="I409" s="36">
        <f t="shared" ca="1" si="91"/>
        <v>67.080442556222465</v>
      </c>
      <c r="J409" s="35">
        <f t="shared" ca="1" si="86"/>
        <v>117.08044255622247</v>
      </c>
      <c r="K409" s="19">
        <f t="shared" ca="1" si="95"/>
        <v>117.08044255622247</v>
      </c>
      <c r="L409" s="20">
        <f ca="1" xml:space="preserve"> K409*_Precio_cafe</f>
        <v>175.6206638343337</v>
      </c>
      <c r="M409" s="20">
        <f t="shared" ca="1" si="96"/>
        <v>56192.852334072093</v>
      </c>
      <c r="N409" s="20">
        <f ca="1">IF((N408-K409+Y409)&gt;_Max_Stock_Gramos,_Max_Stock_Gramos,N408-K409+Y409)</f>
        <v>1700</v>
      </c>
      <c r="O409" s="20">
        <f ca="1">N409/_GramosXFrasco</f>
        <v>10</v>
      </c>
      <c r="P409" s="63">
        <f ca="1">(N409/_Max_Stock_Gramos)</f>
        <v>1</v>
      </c>
      <c r="Q409" s="63"/>
      <c r="R409" s="10">
        <f ca="1">IF((N408-J409)&lt;0,(N408-J409)*_Costo_Faltante,0)</f>
        <v>0</v>
      </c>
      <c r="S409">
        <f ca="1">IF(U409=0,X409*_Costo_Frasco,0)</f>
        <v>-500</v>
      </c>
      <c r="T409" s="11">
        <f t="shared" ca="1" si="97"/>
        <v>-36577.89173507681</v>
      </c>
      <c r="U409" s="10">
        <f>IF(U408=0,_Proxima_Compra,U408-1)</f>
        <v>0</v>
      </c>
      <c r="V409" s="3">
        <f t="shared" ca="1" si="92"/>
        <v>0.19312115309959144</v>
      </c>
      <c r="W409" s="3">
        <f ca="1">IF(W408&gt;0,W408-1,IF(V409&gt;0,LOOKUP(V409,$R$3:$R$5,$O$3:$O$5),-1))</f>
        <v>0</v>
      </c>
      <c r="X409" s="25">
        <f t="shared" ca="1" si="93"/>
        <v>2</v>
      </c>
      <c r="Y409" s="28">
        <f ca="1">X409*_GramosXFrasco</f>
        <v>340</v>
      </c>
    </row>
    <row r="410" spans="1:25" x14ac:dyDescent="0.25">
      <c r="A410" s="30">
        <f t="shared" si="94"/>
        <v>394</v>
      </c>
      <c r="B410" s="38">
        <f t="shared" ca="1" si="87"/>
        <v>0.25096444642370297</v>
      </c>
      <c r="C410" s="36">
        <f t="shared" ca="1" si="88"/>
        <v>-1</v>
      </c>
      <c r="D410" s="36">
        <f t="shared" ca="1" si="89"/>
        <v>-1</v>
      </c>
      <c r="E410" s="36">
        <f t="shared" ca="1" si="84"/>
        <v>-1</v>
      </c>
      <c r="F410" s="37">
        <f ca="1">IF(E410&lt;&gt;-1,_Media_M + E410*_Sigma,-1)</f>
        <v>-1</v>
      </c>
      <c r="G410" s="3">
        <f t="shared" ca="1" si="90"/>
        <v>50</v>
      </c>
      <c r="H410" s="36">
        <f t="shared" ca="1" si="85"/>
        <v>50</v>
      </c>
      <c r="I410" s="36">
        <f t="shared" ca="1" si="91"/>
        <v>58.942158748995496</v>
      </c>
      <c r="J410" s="35">
        <f t="shared" ca="1" si="86"/>
        <v>108.9421587489955</v>
      </c>
      <c r="K410" s="19">
        <f t="shared" ca="1" si="95"/>
        <v>108.9421587489955</v>
      </c>
      <c r="L410" s="20">
        <f ca="1" xml:space="preserve"> K410*_Precio_cafe</f>
        <v>163.41323812349324</v>
      </c>
      <c r="M410" s="20">
        <f t="shared" ca="1" si="96"/>
        <v>56356.265572195589</v>
      </c>
      <c r="N410" s="20">
        <f ca="1">IF((N409-K410+Y410)&gt;_Max_Stock_Gramos,_Max_Stock_Gramos,N409-K410+Y410)</f>
        <v>1591.0578412510044</v>
      </c>
      <c r="O410" s="20">
        <f ca="1">N410/_GramosXFrasco</f>
        <v>9.3591637720647327</v>
      </c>
      <c r="P410" s="63">
        <f ca="1">(N410/_Max_Stock_Gramos)</f>
        <v>0.93591637720647325</v>
      </c>
      <c r="Q410" s="63"/>
      <c r="R410" s="10">
        <f ca="1">IF((N409-J410)&lt;0,(N409-J410)*_Costo_Faltante,0)</f>
        <v>0</v>
      </c>
      <c r="S410">
        <f>IF(U410=0,X410*_Costo_Frasco,0)</f>
        <v>0</v>
      </c>
      <c r="T410" s="11">
        <f t="shared" ca="1" si="97"/>
        <v>-36577.89173507681</v>
      </c>
      <c r="U410" s="10">
        <f>IF(U409=0,_Proxima_Compra,U409-1)</f>
        <v>2</v>
      </c>
      <c r="V410" s="3">
        <f t="shared" ca="1" si="92"/>
        <v>-1</v>
      </c>
      <c r="W410" s="3">
        <f ca="1">IF(W409&gt;0,W409-1,IF(V410&gt;0,LOOKUP(V410,$R$3:$R$5,$O$3:$O$5),-1))</f>
        <v>-1</v>
      </c>
      <c r="X410" s="25">
        <f t="shared" ca="1" si="93"/>
        <v>0</v>
      </c>
      <c r="Y410" s="28">
        <f ca="1">X410*_GramosXFrasco</f>
        <v>0</v>
      </c>
    </row>
    <row r="411" spans="1:25" x14ac:dyDescent="0.25">
      <c r="A411" s="30">
        <f t="shared" si="94"/>
        <v>395</v>
      </c>
      <c r="B411" s="38">
        <f t="shared" ca="1" si="87"/>
        <v>0.93611746441278687</v>
      </c>
      <c r="C411" s="36">
        <f t="shared" ca="1" si="88"/>
        <v>0.83575100409214476</v>
      </c>
      <c r="D411" s="36">
        <f t="shared" ca="1" si="89"/>
        <v>9.8368065026514739E-2</v>
      </c>
      <c r="E411" s="36">
        <f t="shared" ca="1" si="84"/>
        <v>1.0208667353148697</v>
      </c>
      <c r="F411" s="37">
        <f ca="1">IF(E411&lt;&gt;-1,_Media_M + E411*_Sigma,-1)</f>
        <v>90.31300102972304</v>
      </c>
      <c r="G411" s="3">
        <f t="shared" ca="1" si="90"/>
        <v>-1</v>
      </c>
      <c r="H411" s="36">
        <f t="shared" ca="1" si="85"/>
        <v>90.31300102972304</v>
      </c>
      <c r="I411" s="36">
        <f t="shared" ca="1" si="91"/>
        <v>46.465554042574936</v>
      </c>
      <c r="J411" s="35">
        <f t="shared" ca="1" si="86"/>
        <v>136.77855507229799</v>
      </c>
      <c r="K411" s="19">
        <f t="shared" ca="1" si="95"/>
        <v>136.77855507229799</v>
      </c>
      <c r="L411" s="20">
        <f ca="1" xml:space="preserve"> K411*_Precio_cafe</f>
        <v>205.16783260844699</v>
      </c>
      <c r="M411" s="20">
        <f t="shared" ca="1" si="96"/>
        <v>56561.433404804033</v>
      </c>
      <c r="N411" s="20">
        <f ca="1">IF((N410-K411+Y411)&gt;_Max_Stock_Gramos,_Max_Stock_Gramos,N410-K411+Y411)</f>
        <v>1454.2792861787066</v>
      </c>
      <c r="O411" s="20">
        <f ca="1">N411/_GramosXFrasco</f>
        <v>8.5545840363453323</v>
      </c>
      <c r="P411" s="63">
        <f ca="1">(N411/_Max_Stock_Gramos)</f>
        <v>0.85545840363453329</v>
      </c>
      <c r="Q411" s="63"/>
      <c r="R411" s="10">
        <f ca="1">IF((N410-J411)&lt;0,(N410-J411)*_Costo_Faltante,0)</f>
        <v>0</v>
      </c>
      <c r="S411">
        <f>IF(U411=0,X411*_Costo_Frasco,0)</f>
        <v>0</v>
      </c>
      <c r="T411" s="11">
        <f t="shared" ca="1" si="97"/>
        <v>-36577.89173507681</v>
      </c>
      <c r="U411" s="10">
        <f>IF(U410=0,_Proxima_Compra,U410-1)</f>
        <v>1</v>
      </c>
      <c r="V411" s="3">
        <f t="shared" ca="1" si="92"/>
        <v>-1</v>
      </c>
      <c r="W411" s="3">
        <f ca="1">IF(W410&gt;0,W410-1,IF(V411&gt;0,LOOKUP(V411,$R$3:$R$5,$O$3:$O$5),-1))</f>
        <v>-1</v>
      </c>
      <c r="X411" s="25">
        <f t="shared" ca="1" si="93"/>
        <v>0</v>
      </c>
      <c r="Y411" s="28">
        <f ca="1">X411*_GramosXFrasco</f>
        <v>0</v>
      </c>
    </row>
    <row r="412" spans="1:25" x14ac:dyDescent="0.25">
      <c r="A412" s="30">
        <f t="shared" si="94"/>
        <v>396</v>
      </c>
      <c r="B412" s="38">
        <f t="shared" ca="1" si="87"/>
        <v>0.14523213302986704</v>
      </c>
      <c r="C412" s="36">
        <f t="shared" ca="1" si="88"/>
        <v>-1</v>
      </c>
      <c r="D412" s="36">
        <f t="shared" ca="1" si="89"/>
        <v>-1</v>
      </c>
      <c r="E412" s="36">
        <f t="shared" ca="1" si="84"/>
        <v>-1</v>
      </c>
      <c r="F412" s="37">
        <f ca="1">IF(E412&lt;&gt;-1,_Media_M + E412*_Sigma,-1)</f>
        <v>-1</v>
      </c>
      <c r="G412" s="3">
        <f t="shared" ca="1" si="90"/>
        <v>50</v>
      </c>
      <c r="H412" s="36">
        <f t="shared" ca="1" si="85"/>
        <v>50</v>
      </c>
      <c r="I412" s="36">
        <f t="shared" ca="1" si="91"/>
        <v>3.5277084009396384</v>
      </c>
      <c r="J412" s="35">
        <f t="shared" ca="1" si="86"/>
        <v>53.527708400939638</v>
      </c>
      <c r="K412" s="19">
        <f t="shared" ca="1" si="95"/>
        <v>53.527708400939638</v>
      </c>
      <c r="L412" s="20">
        <f ca="1" xml:space="preserve"> K412*_Precio_cafe</f>
        <v>80.291562601409453</v>
      </c>
      <c r="M412" s="20">
        <f t="shared" ca="1" si="96"/>
        <v>56641.72496740544</v>
      </c>
      <c r="N412" s="20">
        <f ca="1">IF((N411-K412+Y412)&gt;_Max_Stock_Gramos,_Max_Stock_Gramos,N411-K412+Y412)</f>
        <v>1700</v>
      </c>
      <c r="O412" s="20">
        <f ca="1">N412/_GramosXFrasco</f>
        <v>10</v>
      </c>
      <c r="P412" s="63">
        <f ca="1">(N412/_Max_Stock_Gramos)</f>
        <v>1</v>
      </c>
      <c r="Q412" s="63"/>
      <c r="R412" s="10">
        <f ca="1">IF((N411-J412)&lt;0,(N411-J412)*_Costo_Faltante,0)</f>
        <v>0</v>
      </c>
      <c r="S412">
        <f ca="1">IF(U412=0,X412*_Costo_Frasco,0)</f>
        <v>-500</v>
      </c>
      <c r="T412" s="11">
        <f t="shared" ca="1" si="97"/>
        <v>-37077.89173507681</v>
      </c>
      <c r="U412" s="10">
        <f>IF(U411=0,_Proxima_Compra,U411-1)</f>
        <v>0</v>
      </c>
      <c r="V412" s="3">
        <f t="shared" ca="1" si="92"/>
        <v>0.24602077289136648</v>
      </c>
      <c r="W412" s="3">
        <f ca="1">IF(W411&gt;0,W411-1,IF(V412&gt;0,LOOKUP(V412,$R$3:$R$5,$O$3:$O$5),-1))</f>
        <v>0</v>
      </c>
      <c r="X412" s="25">
        <f t="shared" ca="1" si="93"/>
        <v>2</v>
      </c>
      <c r="Y412" s="28">
        <f ca="1">X412*_GramosXFrasco</f>
        <v>340</v>
      </c>
    </row>
    <row r="413" spans="1:25" x14ac:dyDescent="0.25">
      <c r="A413" s="30">
        <f t="shared" si="94"/>
        <v>397</v>
      </c>
      <c r="B413" s="38">
        <f t="shared" ca="1" si="87"/>
        <v>0.25074915001953424</v>
      </c>
      <c r="C413" s="36">
        <f t="shared" ca="1" si="88"/>
        <v>-1</v>
      </c>
      <c r="D413" s="36">
        <f t="shared" ca="1" si="89"/>
        <v>-1</v>
      </c>
      <c r="E413" s="36">
        <f t="shared" ca="1" si="84"/>
        <v>-1</v>
      </c>
      <c r="F413" s="37">
        <f ca="1">IF(E413&lt;&gt;-1,_Media_M + E413*_Sigma,-1)</f>
        <v>-1</v>
      </c>
      <c r="G413" s="3">
        <f t="shared" ca="1" si="90"/>
        <v>50</v>
      </c>
      <c r="H413" s="36">
        <f t="shared" ca="1" si="85"/>
        <v>50</v>
      </c>
      <c r="I413" s="36">
        <f t="shared" ca="1" si="91"/>
        <v>27.265711726043492</v>
      </c>
      <c r="J413" s="35">
        <f t="shared" ca="1" si="86"/>
        <v>77.265711726043492</v>
      </c>
      <c r="K413" s="19">
        <f t="shared" ca="1" si="95"/>
        <v>77.265711726043492</v>
      </c>
      <c r="L413" s="20">
        <f ca="1" xml:space="preserve"> K413*_Precio_cafe</f>
        <v>115.89856758906524</v>
      </c>
      <c r="M413" s="20">
        <f t="shared" ca="1" si="96"/>
        <v>56757.623534994505</v>
      </c>
      <c r="N413" s="20">
        <f ca="1">IF((N412-K413+Y413)&gt;_Max_Stock_Gramos,_Max_Stock_Gramos,N412-K413+Y413)</f>
        <v>1622.7342882739565</v>
      </c>
      <c r="O413" s="20">
        <f ca="1">N413/_GramosXFrasco</f>
        <v>9.5454958133762151</v>
      </c>
      <c r="P413" s="63">
        <f ca="1">(N413/_Max_Stock_Gramos)</f>
        <v>0.95454958133762147</v>
      </c>
      <c r="Q413" s="63"/>
      <c r="R413" s="10">
        <f ca="1">IF((N412-J413)&lt;0,(N412-J413)*_Costo_Faltante,0)</f>
        <v>0</v>
      </c>
      <c r="S413">
        <f>IF(U413=0,X413*_Costo_Frasco,0)</f>
        <v>0</v>
      </c>
      <c r="T413" s="11">
        <f t="shared" ca="1" si="97"/>
        <v>-37077.89173507681</v>
      </c>
      <c r="U413" s="10">
        <f>IF(U412=0,_Proxima_Compra,U412-1)</f>
        <v>2</v>
      </c>
      <c r="V413" s="3">
        <f t="shared" ca="1" si="92"/>
        <v>-1</v>
      </c>
      <c r="W413" s="3">
        <f ca="1">IF(W412&gt;0,W412-1,IF(V413&gt;0,LOOKUP(V413,$R$3:$R$5,$O$3:$O$5),-1))</f>
        <v>-1</v>
      </c>
      <c r="X413" s="25">
        <f t="shared" ca="1" si="93"/>
        <v>0</v>
      </c>
      <c r="Y413" s="28">
        <f ca="1">X413*_GramosXFrasco</f>
        <v>0</v>
      </c>
    </row>
    <row r="414" spans="1:25" x14ac:dyDescent="0.25">
      <c r="A414" s="30">
        <f t="shared" si="94"/>
        <v>398</v>
      </c>
      <c r="B414" s="38">
        <f t="shared" ca="1" si="87"/>
        <v>9.6106232436112271E-2</v>
      </c>
      <c r="C414" s="36">
        <f t="shared" ca="1" si="88"/>
        <v>-1</v>
      </c>
      <c r="D414" s="36">
        <f t="shared" ca="1" si="89"/>
        <v>-1</v>
      </c>
      <c r="E414" s="36">
        <f t="shared" ca="1" si="84"/>
        <v>-1</v>
      </c>
      <c r="F414" s="37">
        <f ca="1">IF(E414&lt;&gt;-1,_Media_M + E414*_Sigma,-1)</f>
        <v>-1</v>
      </c>
      <c r="G414" s="3">
        <f t="shared" ca="1" si="90"/>
        <v>50</v>
      </c>
      <c r="H414" s="36">
        <f t="shared" ca="1" si="85"/>
        <v>50</v>
      </c>
      <c r="I414" s="36">
        <f t="shared" ca="1" si="91"/>
        <v>7.3629171859476372</v>
      </c>
      <c r="J414" s="35">
        <f t="shared" ca="1" si="86"/>
        <v>57.362917185947637</v>
      </c>
      <c r="K414" s="19">
        <f t="shared" ca="1" si="95"/>
        <v>57.362917185947637</v>
      </c>
      <c r="L414" s="20">
        <f ca="1" xml:space="preserve"> K414*_Precio_cafe</f>
        <v>86.044375778921449</v>
      </c>
      <c r="M414" s="20">
        <f t="shared" ca="1" si="96"/>
        <v>56843.667910773424</v>
      </c>
      <c r="N414" s="20">
        <f ca="1">IF((N413-K414+Y414)&gt;_Max_Stock_Gramos,_Max_Stock_Gramos,N413-K414+Y414)</f>
        <v>1565.3713710880088</v>
      </c>
      <c r="O414" s="20">
        <f ca="1">N414/_GramosXFrasco</f>
        <v>9.2080668887529935</v>
      </c>
      <c r="P414" s="63">
        <f ca="1">(N414/_Max_Stock_Gramos)</f>
        <v>0.92080668887529926</v>
      </c>
      <c r="Q414" s="63"/>
      <c r="R414" s="10">
        <f ca="1">IF((N413-J414)&lt;0,(N413-J414)*_Costo_Faltante,0)</f>
        <v>0</v>
      </c>
      <c r="S414">
        <f>IF(U414=0,X414*_Costo_Frasco,0)</f>
        <v>0</v>
      </c>
      <c r="T414" s="11">
        <f t="shared" ca="1" si="97"/>
        <v>-37077.89173507681</v>
      </c>
      <c r="U414" s="10">
        <f>IF(U413=0,_Proxima_Compra,U413-1)</f>
        <v>1</v>
      </c>
      <c r="V414" s="3">
        <f t="shared" ca="1" si="92"/>
        <v>-1</v>
      </c>
      <c r="W414" s="3">
        <f ca="1">IF(W413&gt;0,W413-1,IF(V414&gt;0,LOOKUP(V414,$R$3:$R$5,$O$3:$O$5),-1))</f>
        <v>-1</v>
      </c>
      <c r="X414" s="25">
        <f t="shared" ca="1" si="93"/>
        <v>0</v>
      </c>
      <c r="Y414" s="28">
        <f ca="1">X414*_GramosXFrasco</f>
        <v>0</v>
      </c>
    </row>
    <row r="415" spans="1:25" x14ac:dyDescent="0.25">
      <c r="A415" s="30">
        <f t="shared" si="94"/>
        <v>399</v>
      </c>
      <c r="B415" s="38">
        <f t="shared" ca="1" si="87"/>
        <v>0.51183748674940188</v>
      </c>
      <c r="C415" s="36">
        <f t="shared" ca="1" si="88"/>
        <v>0.28081684287032482</v>
      </c>
      <c r="D415" s="36">
        <f t="shared" ca="1" si="89"/>
        <v>0.58144415468610944</v>
      </c>
      <c r="E415" s="36">
        <f t="shared" ca="1" si="84"/>
        <v>-0.46654432404226664</v>
      </c>
      <c r="F415" s="37">
        <f ca="1">IF(E415&lt;&gt;-1,_Media_M + E415*_Sigma,-1)</f>
        <v>68.001835139365994</v>
      </c>
      <c r="G415" s="3">
        <f t="shared" ca="1" si="90"/>
        <v>-1</v>
      </c>
      <c r="H415" s="36">
        <f t="shared" ca="1" si="85"/>
        <v>68.001835139365994</v>
      </c>
      <c r="I415" s="36">
        <f t="shared" ca="1" si="91"/>
        <v>42.908035829985529</v>
      </c>
      <c r="J415" s="35">
        <f t="shared" ca="1" si="86"/>
        <v>110.90987096935152</v>
      </c>
      <c r="K415" s="19">
        <f t="shared" ca="1" si="95"/>
        <v>110.90987096935152</v>
      </c>
      <c r="L415" s="20">
        <f ca="1" xml:space="preserve"> K415*_Precio_cafe</f>
        <v>166.36480645402727</v>
      </c>
      <c r="M415" s="20">
        <f t="shared" ca="1" si="96"/>
        <v>57010.032717227448</v>
      </c>
      <c r="N415" s="20">
        <f ca="1">IF((N414-K415+Y415)&gt;_Max_Stock_Gramos,_Max_Stock_Gramos,N414-K415+Y415)</f>
        <v>1454.4615001186573</v>
      </c>
      <c r="O415" s="20">
        <f ca="1">N415/_GramosXFrasco</f>
        <v>8.5556558830509264</v>
      </c>
      <c r="P415" s="63">
        <f ca="1">(N415/_Max_Stock_Gramos)</f>
        <v>0.85556558830509255</v>
      </c>
      <c r="Q415" s="63"/>
      <c r="R415" s="10">
        <f ca="1">IF((N414-J415)&lt;0,(N414-J415)*_Costo_Faltante,0)</f>
        <v>0</v>
      </c>
      <c r="S415">
        <f ca="1">IF(U415=0,X415*_Costo_Frasco,0)</f>
        <v>0</v>
      </c>
      <c r="T415" s="11">
        <f t="shared" ca="1" si="97"/>
        <v>-37077.89173507681</v>
      </c>
      <c r="U415" s="10">
        <f>IF(U414=0,_Proxima_Compra,U414-1)</f>
        <v>0</v>
      </c>
      <c r="V415" s="3">
        <f t="shared" ca="1" si="92"/>
        <v>0.87112255682430939</v>
      </c>
      <c r="W415" s="3">
        <f ca="1">IF(W414&gt;0,W414-1,IF(V415&gt;0,LOOKUP(V415,$R$3:$R$5,$O$3:$O$5),-1))</f>
        <v>2</v>
      </c>
      <c r="X415" s="25">
        <f t="shared" ca="1" si="93"/>
        <v>0</v>
      </c>
      <c r="Y415" s="28">
        <f ca="1">X415*_GramosXFrasco</f>
        <v>0</v>
      </c>
    </row>
    <row r="416" spans="1:25" x14ac:dyDescent="0.25">
      <c r="A416" s="30">
        <f t="shared" si="94"/>
        <v>400</v>
      </c>
      <c r="B416" s="38">
        <f t="shared" ca="1" si="87"/>
        <v>0.24410357009544081</v>
      </c>
      <c r="C416" s="36">
        <f t="shared" ca="1" si="88"/>
        <v>-1</v>
      </c>
      <c r="D416" s="36">
        <f t="shared" ca="1" si="89"/>
        <v>-1</v>
      </c>
      <c r="E416" s="36">
        <f t="shared" ca="1" si="84"/>
        <v>-1</v>
      </c>
      <c r="F416" s="37">
        <f ca="1">IF(E416&lt;&gt;-1,_Media_M + E416*_Sigma,-1)</f>
        <v>-1</v>
      </c>
      <c r="G416" s="3">
        <f t="shared" ca="1" si="90"/>
        <v>50</v>
      </c>
      <c r="H416" s="36">
        <f t="shared" ca="1" si="85"/>
        <v>50</v>
      </c>
      <c r="I416" s="36">
        <f t="shared" ca="1" si="91"/>
        <v>25.595967537193772</v>
      </c>
      <c r="J416" s="35">
        <f t="shared" ca="1" si="86"/>
        <v>75.595967537193772</v>
      </c>
      <c r="K416" s="19">
        <f t="shared" ca="1" si="95"/>
        <v>75.595967537193772</v>
      </c>
      <c r="L416" s="20">
        <f ca="1" xml:space="preserve"> K416*_Precio_cafe</f>
        <v>113.39395130579067</v>
      </c>
      <c r="M416" s="20">
        <f t="shared" ca="1" si="96"/>
        <v>57123.42666853324</v>
      </c>
      <c r="N416" s="20">
        <f ca="1">IF((N415-K416+Y416)&gt;_Max_Stock_Gramos,_Max_Stock_Gramos,N415-K416+Y416)</f>
        <v>1378.8655325814636</v>
      </c>
      <c r="O416" s="20">
        <f ca="1">N416/_GramosXFrasco</f>
        <v>8.1109737210674329</v>
      </c>
      <c r="P416" s="63">
        <f ca="1">(N416/_Max_Stock_Gramos)</f>
        <v>0.81109737210674326</v>
      </c>
      <c r="Q416" s="63"/>
      <c r="R416" s="10">
        <f ca="1">IF((N415-J416)&lt;0,(N415-J416)*_Costo_Faltante,0)</f>
        <v>0</v>
      </c>
      <c r="S416">
        <f>IF(U416=0,X416*_Costo_Frasco,0)</f>
        <v>0</v>
      </c>
      <c r="T416" s="11">
        <f t="shared" ca="1" si="97"/>
        <v>-37077.89173507681</v>
      </c>
      <c r="U416" s="10">
        <f>IF(U415=0,_Proxima_Compra,U415-1)</f>
        <v>2</v>
      </c>
      <c r="V416" s="3">
        <f t="shared" ca="1" si="92"/>
        <v>-1</v>
      </c>
      <c r="W416" s="3">
        <f ca="1">IF(W415&gt;0,W415-1,IF(V416&gt;0,LOOKUP(V416,$R$3:$R$5,$O$3:$O$5),-1))</f>
        <v>1</v>
      </c>
      <c r="X416" s="25">
        <f t="shared" ca="1" si="93"/>
        <v>0</v>
      </c>
      <c r="Y416" s="28">
        <f ca="1">X416*_GramosXFrasco</f>
        <v>0</v>
      </c>
    </row>
    <row r="417" spans="1:25" x14ac:dyDescent="0.25">
      <c r="A417" s="30">
        <f t="shared" si="94"/>
        <v>401</v>
      </c>
      <c r="B417" s="38">
        <f t="shared" ca="1" si="87"/>
        <v>0.58008916529232479</v>
      </c>
      <c r="C417" s="36">
        <f t="shared" ca="1" si="88"/>
        <v>0.47970161622443031</v>
      </c>
      <c r="D417" s="36">
        <f t="shared" ca="1" si="89"/>
        <v>0.2962432678335285</v>
      </c>
      <c r="E417" s="36">
        <f t="shared" ca="1" si="84"/>
        <v>-0.21581491199534864</v>
      </c>
      <c r="F417" s="37">
        <f ca="1">IF(E417&lt;&gt;-1,_Media_M + E417*_Sigma,-1)</f>
        <v>71.762776320069776</v>
      </c>
      <c r="G417" s="3">
        <f t="shared" ca="1" si="90"/>
        <v>-1</v>
      </c>
      <c r="H417" s="36">
        <f t="shared" ca="1" si="85"/>
        <v>71.762776320069776</v>
      </c>
      <c r="I417" s="36">
        <f t="shared" ca="1" si="91"/>
        <v>3.1061856658183533</v>
      </c>
      <c r="J417" s="35">
        <f t="shared" ca="1" si="86"/>
        <v>74.868961985888134</v>
      </c>
      <c r="K417" s="19">
        <f t="shared" ca="1" si="95"/>
        <v>74.868961985888134</v>
      </c>
      <c r="L417" s="20">
        <f ca="1" xml:space="preserve"> K417*_Precio_cafe</f>
        <v>112.30344297883221</v>
      </c>
      <c r="M417" s="20">
        <f t="shared" ca="1" si="96"/>
        <v>57235.730111512072</v>
      </c>
      <c r="N417" s="20">
        <f ca="1">IF((N416-K417+Y417)&gt;_Max_Stock_Gramos,_Max_Stock_Gramos,N416-K417+Y417)</f>
        <v>1643.9965705955756</v>
      </c>
      <c r="O417" s="20">
        <f ca="1">N417/_GramosXFrasco</f>
        <v>9.6705680623269146</v>
      </c>
      <c r="P417" s="63">
        <f ca="1">(N417/_Max_Stock_Gramos)</f>
        <v>0.96705680623269152</v>
      </c>
      <c r="Q417" s="63"/>
      <c r="R417" s="10">
        <f ca="1">IF((N416-J417)&lt;0,(N416-J417)*_Costo_Faltante,0)</f>
        <v>0</v>
      </c>
      <c r="S417">
        <f>IF(U417=0,X417*_Costo_Frasco,0)</f>
        <v>0</v>
      </c>
      <c r="T417" s="11">
        <f t="shared" ca="1" si="97"/>
        <v>-37077.89173507681</v>
      </c>
      <c r="U417" s="10">
        <f>IF(U416=0,_Proxima_Compra,U416-1)</f>
        <v>1</v>
      </c>
      <c r="V417" s="3">
        <f t="shared" ca="1" si="92"/>
        <v>-1</v>
      </c>
      <c r="W417" s="3">
        <f ca="1">IF(W416&gt;0,W416-1,IF(V417&gt;0,LOOKUP(V417,$R$3:$R$5,$O$3:$O$5),-1))</f>
        <v>0</v>
      </c>
      <c r="X417" s="25">
        <f t="shared" ca="1" si="93"/>
        <v>2</v>
      </c>
      <c r="Y417" s="28">
        <f ca="1">X417*_GramosXFrasco</f>
        <v>340</v>
      </c>
    </row>
    <row r="418" spans="1:25" x14ac:dyDescent="0.25">
      <c r="A418" s="30">
        <f t="shared" si="94"/>
        <v>402</v>
      </c>
      <c r="B418" s="38">
        <f t="shared" ca="1" si="87"/>
        <v>0.19957436015765706</v>
      </c>
      <c r="C418" s="36">
        <f t="shared" ca="1" si="88"/>
        <v>-1</v>
      </c>
      <c r="D418" s="36">
        <f t="shared" ca="1" si="89"/>
        <v>-1</v>
      </c>
      <c r="E418" s="36">
        <f t="shared" ca="1" si="84"/>
        <v>-1</v>
      </c>
      <c r="F418" s="37">
        <f ca="1">IF(E418&lt;&gt;-1,_Media_M + E418*_Sigma,-1)</f>
        <v>-1</v>
      </c>
      <c r="G418" s="3">
        <f t="shared" ca="1" si="90"/>
        <v>50</v>
      </c>
      <c r="H418" s="36">
        <f t="shared" ca="1" si="85"/>
        <v>50</v>
      </c>
      <c r="I418" s="36">
        <f t="shared" ca="1" si="91"/>
        <v>68.41459128412157</v>
      </c>
      <c r="J418" s="35">
        <f t="shared" ca="1" si="86"/>
        <v>118.41459128412157</v>
      </c>
      <c r="K418" s="19">
        <f t="shared" ca="1" si="95"/>
        <v>118.41459128412157</v>
      </c>
      <c r="L418" s="20">
        <f ca="1" xml:space="preserve"> K418*_Precio_cafe</f>
        <v>177.62188692618236</v>
      </c>
      <c r="M418" s="20">
        <f t="shared" ca="1" si="96"/>
        <v>57413.351998438251</v>
      </c>
      <c r="N418" s="20">
        <f ca="1">IF((N417-K418+Y418)&gt;_Max_Stock_Gramos,_Max_Stock_Gramos,N417-K418+Y418)</f>
        <v>1525.581979311454</v>
      </c>
      <c r="O418" s="20">
        <f ca="1">N418/_GramosXFrasco</f>
        <v>8.9740116430085521</v>
      </c>
      <c r="P418" s="63">
        <f ca="1">(N418/_Max_Stock_Gramos)</f>
        <v>0.89740116430085526</v>
      </c>
      <c r="Q418" s="63"/>
      <c r="R418" s="10">
        <f ca="1">IF((N417-J418)&lt;0,(N417-J418)*_Costo_Faltante,0)</f>
        <v>0</v>
      </c>
      <c r="S418">
        <f ca="1">IF(U418=0,X418*_Costo_Frasco,0)</f>
        <v>0</v>
      </c>
      <c r="T418" s="11">
        <f t="shared" ca="1" si="97"/>
        <v>-37077.89173507681</v>
      </c>
      <c r="U418" s="10">
        <f>IF(U417=0,_Proxima_Compra,U417-1)</f>
        <v>0</v>
      </c>
      <c r="V418" s="3">
        <f t="shared" ca="1" si="92"/>
        <v>0.72091194865964603</v>
      </c>
      <c r="W418" s="3">
        <f ca="1">IF(W417&gt;0,W417-1,IF(V418&gt;0,LOOKUP(V418,$R$3:$R$5,$O$3:$O$5),-1))</f>
        <v>1</v>
      </c>
      <c r="X418" s="25">
        <f t="shared" ca="1" si="93"/>
        <v>0</v>
      </c>
      <c r="Y418" s="28">
        <f ca="1">X418*_GramosXFrasco</f>
        <v>0</v>
      </c>
    </row>
    <row r="419" spans="1:25" x14ac:dyDescent="0.25">
      <c r="A419" s="30">
        <f t="shared" si="94"/>
        <v>403</v>
      </c>
      <c r="B419" s="38">
        <f t="shared" ca="1" si="87"/>
        <v>0.22701136875284789</v>
      </c>
      <c r="C419" s="36">
        <f t="shared" ca="1" si="88"/>
        <v>-1</v>
      </c>
      <c r="D419" s="36">
        <f t="shared" ca="1" si="89"/>
        <v>-1</v>
      </c>
      <c r="E419" s="36">
        <f t="shared" ca="1" si="84"/>
        <v>-1</v>
      </c>
      <c r="F419" s="37">
        <f ca="1">IF(E419&lt;&gt;-1,_Media_M + E419*_Sigma,-1)</f>
        <v>-1</v>
      </c>
      <c r="G419" s="3">
        <f t="shared" ca="1" si="90"/>
        <v>50</v>
      </c>
      <c r="H419" s="36">
        <f t="shared" ca="1" si="85"/>
        <v>50</v>
      </c>
      <c r="I419" s="36">
        <f t="shared" ca="1" si="91"/>
        <v>34.539715725130471</v>
      </c>
      <c r="J419" s="35">
        <f t="shared" ca="1" si="86"/>
        <v>84.539715725130463</v>
      </c>
      <c r="K419" s="19">
        <f t="shared" ca="1" si="95"/>
        <v>84.539715725130463</v>
      </c>
      <c r="L419" s="20">
        <f ca="1" xml:space="preserve"> K419*_Precio_cafe</f>
        <v>126.8095735876957</v>
      </c>
      <c r="M419" s="20">
        <f t="shared" ca="1" si="96"/>
        <v>57540.161572025943</v>
      </c>
      <c r="N419" s="20">
        <f ca="1">IF((N418-K419+Y419)&gt;_Max_Stock_Gramos,_Max_Stock_Gramos,N418-K419+Y419)</f>
        <v>1700</v>
      </c>
      <c r="O419" s="20">
        <f ca="1">N419/_GramosXFrasco</f>
        <v>10</v>
      </c>
      <c r="P419" s="63">
        <f ca="1">(N419/_Max_Stock_Gramos)</f>
        <v>1</v>
      </c>
      <c r="Q419" s="63"/>
      <c r="R419" s="10">
        <f ca="1">IF((N418-J419)&lt;0,(N418-J419)*_Costo_Faltante,0)</f>
        <v>0</v>
      </c>
      <c r="S419">
        <f>IF(U419=0,X419*_Costo_Frasco,0)</f>
        <v>0</v>
      </c>
      <c r="T419" s="11">
        <f t="shared" ca="1" si="97"/>
        <v>-37077.89173507681</v>
      </c>
      <c r="U419" s="10">
        <f>IF(U418=0,_Proxima_Compra,U418-1)</f>
        <v>2</v>
      </c>
      <c r="V419" s="3">
        <f t="shared" ca="1" si="92"/>
        <v>-1</v>
      </c>
      <c r="W419" s="3">
        <f ca="1">IF(W418&gt;0,W418-1,IF(V419&gt;0,LOOKUP(V419,$R$3:$R$5,$O$3:$O$5),-1))</f>
        <v>0</v>
      </c>
      <c r="X419" s="25">
        <f t="shared" ca="1" si="93"/>
        <v>2</v>
      </c>
      <c r="Y419" s="28">
        <f ca="1">X419*_GramosXFrasco</f>
        <v>340</v>
      </c>
    </row>
    <row r="420" spans="1:25" x14ac:dyDescent="0.25">
      <c r="A420" s="30">
        <f t="shared" si="94"/>
        <v>404</v>
      </c>
      <c r="B420" s="38">
        <f t="shared" ca="1" si="87"/>
        <v>0.79654436114600047</v>
      </c>
      <c r="C420" s="36">
        <f t="shared" ca="1" si="88"/>
        <v>0.89420027065976615</v>
      </c>
      <c r="D420" s="36">
        <f t="shared" ca="1" si="89"/>
        <v>0.10520762379248239</v>
      </c>
      <c r="E420" s="36">
        <f t="shared" ref="E420:E483" ca="1" si="98">IF(D420&gt;0,SQRT(-2*LOG(1-C420)) * COS(2*PI()*D420),-1)</f>
        <v>1.1025652871817466</v>
      </c>
      <c r="F420" s="37">
        <f ca="1">IF(E420&lt;&gt;-1,_Media_M + E420*_Sigma,-1)</f>
        <v>91.538479307726192</v>
      </c>
      <c r="G420" s="3">
        <f t="shared" ca="1" si="90"/>
        <v>-1</v>
      </c>
      <c r="H420" s="36">
        <f t="shared" ref="H420:H483" ca="1" si="99">IF(F420=-1,G420,F420)</f>
        <v>91.538479307726192</v>
      </c>
      <c r="I420" s="36">
        <f t="shared" ca="1" si="91"/>
        <v>39.155305532656506</v>
      </c>
      <c r="J420" s="35">
        <f t="shared" ref="J420:J483" ca="1" si="100">H420+I420</f>
        <v>130.6937848403827</v>
      </c>
      <c r="K420" s="19">
        <f t="shared" ca="1" si="95"/>
        <v>130.6937848403827</v>
      </c>
      <c r="L420" s="20">
        <f ca="1" xml:space="preserve"> K420*_Precio_cafe</f>
        <v>196.04067726057406</v>
      </c>
      <c r="M420" s="20">
        <f t="shared" ca="1" si="96"/>
        <v>57736.202249286514</v>
      </c>
      <c r="N420" s="20">
        <f ca="1">IF((N419-K420+Y420)&gt;_Max_Stock_Gramos,_Max_Stock_Gramos,N419-K420+Y420)</f>
        <v>1569.3062151596173</v>
      </c>
      <c r="O420" s="20">
        <f ca="1">N420/_GramosXFrasco</f>
        <v>9.2312130303506894</v>
      </c>
      <c r="P420" s="63">
        <f ca="1">(N420/_Max_Stock_Gramos)</f>
        <v>0.92312130303506901</v>
      </c>
      <c r="Q420" s="63"/>
      <c r="R420" s="10">
        <f ca="1">IF((N419-J420)&lt;0,(N419-J420)*_Costo_Faltante,0)</f>
        <v>0</v>
      </c>
      <c r="S420">
        <f>IF(U420=0,X420*_Costo_Frasco,0)</f>
        <v>0</v>
      </c>
      <c r="T420" s="11">
        <f t="shared" ca="1" si="97"/>
        <v>-37077.89173507681</v>
      </c>
      <c r="U420" s="10">
        <f>IF(U419=0,_Proxima_Compra,U419-1)</f>
        <v>1</v>
      </c>
      <c r="V420" s="3">
        <f t="shared" ca="1" si="92"/>
        <v>-1</v>
      </c>
      <c r="W420" s="3">
        <f ca="1">IF(W419&gt;0,W419-1,IF(V420&gt;0,LOOKUP(V420,$R$3:$R$5,$O$3:$O$5),-1))</f>
        <v>-1</v>
      </c>
      <c r="X420" s="25">
        <f t="shared" ca="1" si="93"/>
        <v>0</v>
      </c>
      <c r="Y420" s="28">
        <f ca="1">X420*_GramosXFrasco</f>
        <v>0</v>
      </c>
    </row>
    <row r="421" spans="1:25" x14ac:dyDescent="0.25">
      <c r="A421" s="30">
        <f t="shared" si="94"/>
        <v>405</v>
      </c>
      <c r="B421" s="38">
        <f t="shared" ca="1" si="87"/>
        <v>0.38030550080343739</v>
      </c>
      <c r="C421" s="36">
        <f t="shared" ca="1" si="88"/>
        <v>-1</v>
      </c>
      <c r="D421" s="36">
        <f t="shared" ca="1" si="89"/>
        <v>-1</v>
      </c>
      <c r="E421" s="36">
        <f t="shared" ca="1" si="98"/>
        <v>-1</v>
      </c>
      <c r="F421" s="37">
        <f ca="1">IF(E421&lt;&gt;-1,_Media_M + E421*_Sigma,-1)</f>
        <v>-1</v>
      </c>
      <c r="G421" s="3">
        <f t="shared" ca="1" si="90"/>
        <v>50</v>
      </c>
      <c r="H421" s="36">
        <f t="shared" ca="1" si="99"/>
        <v>50</v>
      </c>
      <c r="I421" s="36">
        <f t="shared" ca="1" si="91"/>
        <v>17.223628924899703</v>
      </c>
      <c r="J421" s="35">
        <f t="shared" ca="1" si="100"/>
        <v>67.2236289248997</v>
      </c>
      <c r="K421" s="19">
        <f t="shared" ca="1" si="95"/>
        <v>67.2236289248997</v>
      </c>
      <c r="L421" s="20">
        <f ca="1" xml:space="preserve"> K421*_Precio_cafe</f>
        <v>100.83544338734956</v>
      </c>
      <c r="M421" s="20">
        <f t="shared" ca="1" si="96"/>
        <v>57837.037692673861</v>
      </c>
      <c r="N421" s="20">
        <f ca="1">IF((N420-K421+Y421)&gt;_Max_Stock_Gramos,_Max_Stock_Gramos,N420-K421+Y421)</f>
        <v>1700</v>
      </c>
      <c r="O421" s="20">
        <f ca="1">N421/_GramosXFrasco</f>
        <v>10</v>
      </c>
      <c r="P421" s="63">
        <f ca="1">(N421/_Max_Stock_Gramos)</f>
        <v>1</v>
      </c>
      <c r="Q421" s="63"/>
      <c r="R421" s="10">
        <f ca="1">IF((N420-J421)&lt;0,(N420-J421)*_Costo_Faltante,0)</f>
        <v>0</v>
      </c>
      <c r="S421">
        <f ca="1">IF(U421=0,X421*_Costo_Frasco,0)</f>
        <v>-500</v>
      </c>
      <c r="T421" s="11">
        <f t="shared" ca="1" si="97"/>
        <v>-37577.89173507681</v>
      </c>
      <c r="U421" s="10">
        <f>IF(U420=0,_Proxima_Compra,U420-1)</f>
        <v>0</v>
      </c>
      <c r="V421" s="3">
        <f t="shared" ca="1" si="92"/>
        <v>0.38477279435953804</v>
      </c>
      <c r="W421" s="3">
        <f ca="1">IF(W420&gt;0,W420-1,IF(V421&gt;0,LOOKUP(V421,$R$3:$R$5,$O$3:$O$5),-1))</f>
        <v>0</v>
      </c>
      <c r="X421" s="25">
        <f t="shared" ca="1" si="93"/>
        <v>2</v>
      </c>
      <c r="Y421" s="28">
        <f ca="1">X421*_GramosXFrasco</f>
        <v>340</v>
      </c>
    </row>
    <row r="422" spans="1:25" x14ac:dyDescent="0.25">
      <c r="A422" s="30">
        <f t="shared" si="94"/>
        <v>406</v>
      </c>
      <c r="B422" s="38">
        <f t="shared" ca="1" si="87"/>
        <v>0.31302443253562739</v>
      </c>
      <c r="C422" s="36">
        <f t="shared" ca="1" si="88"/>
        <v>-1</v>
      </c>
      <c r="D422" s="36">
        <f t="shared" ca="1" si="89"/>
        <v>-1</v>
      </c>
      <c r="E422" s="36">
        <f t="shared" ca="1" si="98"/>
        <v>-1</v>
      </c>
      <c r="F422" s="37">
        <f ca="1">IF(E422&lt;&gt;-1,_Media_M + E422*_Sigma,-1)</f>
        <v>-1</v>
      </c>
      <c r="G422" s="3">
        <f t="shared" ca="1" si="90"/>
        <v>50</v>
      </c>
      <c r="H422" s="36">
        <f t="shared" ca="1" si="99"/>
        <v>50</v>
      </c>
      <c r="I422" s="36">
        <f t="shared" ca="1" si="91"/>
        <v>3.9605928830005404</v>
      </c>
      <c r="J422" s="35">
        <f t="shared" ca="1" si="100"/>
        <v>53.960592883000544</v>
      </c>
      <c r="K422" s="19">
        <f t="shared" ca="1" si="95"/>
        <v>53.960592883000544</v>
      </c>
      <c r="L422" s="20">
        <f ca="1" xml:space="preserve"> K422*_Precio_cafe</f>
        <v>80.940889324500816</v>
      </c>
      <c r="M422" s="20">
        <f t="shared" ca="1" si="96"/>
        <v>57917.978581998359</v>
      </c>
      <c r="N422" s="20">
        <f ca="1">IF((N421-K422+Y422)&gt;_Max_Stock_Gramos,_Max_Stock_Gramos,N421-K422+Y422)</f>
        <v>1646.0394071169994</v>
      </c>
      <c r="O422" s="20">
        <f ca="1">N422/_GramosXFrasco</f>
        <v>9.6825847477470557</v>
      </c>
      <c r="P422" s="63">
        <f ca="1">(N422/_Max_Stock_Gramos)</f>
        <v>0.9682584747747055</v>
      </c>
      <c r="Q422" s="63"/>
      <c r="R422" s="10">
        <f ca="1">IF((N421-J422)&lt;0,(N421-J422)*_Costo_Faltante,0)</f>
        <v>0</v>
      </c>
      <c r="S422">
        <f>IF(U422=0,X422*_Costo_Frasco,0)</f>
        <v>0</v>
      </c>
      <c r="T422" s="11">
        <f t="shared" ca="1" si="97"/>
        <v>-37577.89173507681</v>
      </c>
      <c r="U422" s="10">
        <f>IF(U421=0,_Proxima_Compra,U421-1)</f>
        <v>2</v>
      </c>
      <c r="V422" s="3">
        <f t="shared" ca="1" si="92"/>
        <v>-1</v>
      </c>
      <c r="W422" s="3">
        <f ca="1">IF(W421&gt;0,W421-1,IF(V422&gt;0,LOOKUP(V422,$R$3:$R$5,$O$3:$O$5),-1))</f>
        <v>-1</v>
      </c>
      <c r="X422" s="25">
        <f t="shared" ca="1" si="93"/>
        <v>0</v>
      </c>
      <c r="Y422" s="28">
        <f ca="1">X422*_GramosXFrasco</f>
        <v>0</v>
      </c>
    </row>
    <row r="423" spans="1:25" x14ac:dyDescent="0.25">
      <c r="A423" s="30">
        <f t="shared" si="94"/>
        <v>407</v>
      </c>
      <c r="B423" s="38">
        <f t="shared" ca="1" si="87"/>
        <v>0.67366218901915409</v>
      </c>
      <c r="C423" s="36">
        <f t="shared" ca="1" si="88"/>
        <v>0.96558869455424523</v>
      </c>
      <c r="D423" s="36">
        <f t="shared" ca="1" si="89"/>
        <v>0.79512578112756538</v>
      </c>
      <c r="E423" s="36">
        <f t="shared" ca="1" si="98"/>
        <v>0.47857666970931412</v>
      </c>
      <c r="F423" s="37">
        <f ca="1">IF(E423&lt;&gt;-1,_Media_M + E423*_Sigma,-1)</f>
        <v>82.178650045639714</v>
      </c>
      <c r="G423" s="3">
        <f t="shared" ca="1" si="90"/>
        <v>-1</v>
      </c>
      <c r="H423" s="36">
        <f t="shared" ca="1" si="99"/>
        <v>82.178650045639714</v>
      </c>
      <c r="I423" s="36">
        <f t="shared" ca="1" si="91"/>
        <v>0.33033678403244759</v>
      </c>
      <c r="J423" s="35">
        <f t="shared" ca="1" si="100"/>
        <v>82.508986829672168</v>
      </c>
      <c r="K423" s="19">
        <f t="shared" ca="1" si="95"/>
        <v>82.508986829672168</v>
      </c>
      <c r="L423" s="20">
        <f ca="1" xml:space="preserve"> K423*_Precio_cafe</f>
        <v>123.76348024450826</v>
      </c>
      <c r="M423" s="20">
        <f t="shared" ca="1" si="96"/>
        <v>58041.742062242869</v>
      </c>
      <c r="N423" s="20">
        <f ca="1">IF((N422-K423+Y423)&gt;_Max_Stock_Gramos,_Max_Stock_Gramos,N422-K423+Y423)</f>
        <v>1563.5304202873272</v>
      </c>
      <c r="O423" s="20">
        <f ca="1">N423/_GramosXFrasco</f>
        <v>9.197237766396043</v>
      </c>
      <c r="P423" s="63">
        <f ca="1">(N423/_Max_Stock_Gramos)</f>
        <v>0.91972377663960425</v>
      </c>
      <c r="Q423" s="63"/>
      <c r="R423" s="10">
        <f ca="1">IF((N422-J423)&lt;0,(N422-J423)*_Costo_Faltante,0)</f>
        <v>0</v>
      </c>
      <c r="S423">
        <f>IF(U423=0,X423*_Costo_Frasco,0)</f>
        <v>0</v>
      </c>
      <c r="T423" s="11">
        <f t="shared" ca="1" si="97"/>
        <v>-37577.89173507681</v>
      </c>
      <c r="U423" s="10">
        <f>IF(U422=0,_Proxima_Compra,U422-1)</f>
        <v>1</v>
      </c>
      <c r="V423" s="3">
        <f t="shared" ca="1" si="92"/>
        <v>-1</v>
      </c>
      <c r="W423" s="3">
        <f ca="1">IF(W422&gt;0,W422-1,IF(V423&gt;0,LOOKUP(V423,$R$3:$R$5,$O$3:$O$5),-1))</f>
        <v>-1</v>
      </c>
      <c r="X423" s="25">
        <f t="shared" ca="1" si="93"/>
        <v>0</v>
      </c>
      <c r="Y423" s="28">
        <f ca="1">X423*_GramosXFrasco</f>
        <v>0</v>
      </c>
    </row>
    <row r="424" spans="1:25" x14ac:dyDescent="0.25">
      <c r="A424" s="30">
        <f t="shared" si="94"/>
        <v>408</v>
      </c>
      <c r="B424" s="38">
        <f t="shared" ca="1" si="87"/>
        <v>0.7933507520736649</v>
      </c>
      <c r="C424" s="36">
        <f t="shared" ca="1" si="88"/>
        <v>0.32528060438875006</v>
      </c>
      <c r="D424" s="36">
        <f t="shared" ca="1" si="89"/>
        <v>0.71180715733088284</v>
      </c>
      <c r="E424" s="36">
        <f t="shared" ca="1" si="98"/>
        <v>-0.13894473619087255</v>
      </c>
      <c r="F424" s="37">
        <f ca="1">IF(E424&lt;&gt;-1,_Media_M + E424*_Sigma,-1)</f>
        <v>72.91582895713691</v>
      </c>
      <c r="G424" s="3">
        <f t="shared" ca="1" si="90"/>
        <v>-1</v>
      </c>
      <c r="H424" s="36">
        <f t="shared" ca="1" si="99"/>
        <v>72.91582895713691</v>
      </c>
      <c r="I424" s="36">
        <f t="shared" ca="1" si="91"/>
        <v>22.106747537058169</v>
      </c>
      <c r="J424" s="35">
        <f t="shared" ca="1" si="100"/>
        <v>95.022576494195079</v>
      </c>
      <c r="K424" s="19">
        <f t="shared" ca="1" si="95"/>
        <v>95.022576494195079</v>
      </c>
      <c r="L424" s="20">
        <f ca="1" xml:space="preserve"> K424*_Precio_cafe</f>
        <v>142.53386474129263</v>
      </c>
      <c r="M424" s="20">
        <f t="shared" ca="1" si="96"/>
        <v>58184.275926984163</v>
      </c>
      <c r="N424" s="20">
        <f ca="1">IF((N423-K424+Y424)&gt;_Max_Stock_Gramos,_Max_Stock_Gramos,N423-K424+Y424)</f>
        <v>1700</v>
      </c>
      <c r="O424" s="20">
        <f ca="1">N424/_GramosXFrasco</f>
        <v>10</v>
      </c>
      <c r="P424" s="63">
        <f ca="1">(N424/_Max_Stock_Gramos)</f>
        <v>1</v>
      </c>
      <c r="Q424" s="63"/>
      <c r="R424" s="10">
        <f ca="1">IF((N423-J424)&lt;0,(N423-J424)*_Costo_Faltante,0)</f>
        <v>0</v>
      </c>
      <c r="S424">
        <f ca="1">IF(U424=0,X424*_Costo_Frasco,0)</f>
        <v>-500</v>
      </c>
      <c r="T424" s="11">
        <f t="shared" ca="1" si="97"/>
        <v>-38077.89173507681</v>
      </c>
      <c r="U424" s="10">
        <f>IF(U423=0,_Proxima_Compra,U423-1)</f>
        <v>0</v>
      </c>
      <c r="V424" s="3">
        <f t="shared" ca="1" si="92"/>
        <v>0.10874485355779584</v>
      </c>
      <c r="W424" s="3">
        <f ca="1">IF(W423&gt;0,W423-1,IF(V424&gt;0,LOOKUP(V424,$R$3:$R$5,$O$3:$O$5),-1))</f>
        <v>0</v>
      </c>
      <c r="X424" s="25">
        <f t="shared" ca="1" si="93"/>
        <v>2</v>
      </c>
      <c r="Y424" s="28">
        <f ca="1">X424*_GramosXFrasco</f>
        <v>340</v>
      </c>
    </row>
    <row r="425" spans="1:25" x14ac:dyDescent="0.25">
      <c r="A425" s="30">
        <f t="shared" si="94"/>
        <v>409</v>
      </c>
      <c r="B425" s="38">
        <f t="shared" ca="1" si="87"/>
        <v>0.86559199187097968</v>
      </c>
      <c r="C425" s="36">
        <f t="shared" ca="1" si="88"/>
        <v>0.65090135407877991</v>
      </c>
      <c r="D425" s="36">
        <f t="shared" ca="1" si="89"/>
        <v>0.40067360750330838</v>
      </c>
      <c r="E425" s="36">
        <f t="shared" ca="1" si="98"/>
        <v>-0.77586275479419053</v>
      </c>
      <c r="F425" s="37">
        <f ca="1">IF(E425&lt;&gt;-1,_Media_M + E425*_Sigma,-1)</f>
        <v>63.362058678087138</v>
      </c>
      <c r="G425" s="3">
        <f t="shared" ca="1" si="90"/>
        <v>-1</v>
      </c>
      <c r="H425" s="36">
        <f t="shared" ca="1" si="99"/>
        <v>63.362058678087138</v>
      </c>
      <c r="I425" s="36">
        <f t="shared" ca="1" si="91"/>
        <v>13.584198027683717</v>
      </c>
      <c r="J425" s="35">
        <f t="shared" ca="1" si="100"/>
        <v>76.94625670577085</v>
      </c>
      <c r="K425" s="19">
        <f t="shared" ca="1" si="95"/>
        <v>76.94625670577085</v>
      </c>
      <c r="L425" s="20">
        <f ca="1" xml:space="preserve"> K425*_Precio_cafe</f>
        <v>115.41938505865627</v>
      </c>
      <c r="M425" s="20">
        <f t="shared" ca="1" si="96"/>
        <v>58299.695312042822</v>
      </c>
      <c r="N425" s="20">
        <f ca="1">IF((N424-K425+Y425)&gt;_Max_Stock_Gramos,_Max_Stock_Gramos,N424-K425+Y425)</f>
        <v>1623.0537432942292</v>
      </c>
      <c r="O425" s="20">
        <f ca="1">N425/_GramosXFrasco</f>
        <v>9.5473749605542899</v>
      </c>
      <c r="P425" s="63">
        <f ca="1">(N425/_Max_Stock_Gramos)</f>
        <v>0.9547374960554289</v>
      </c>
      <c r="Q425" s="63"/>
      <c r="R425" s="10">
        <f ca="1">IF((N424-J425)&lt;0,(N424-J425)*_Costo_Faltante,0)</f>
        <v>0</v>
      </c>
      <c r="S425">
        <f>IF(U425=0,X425*_Costo_Frasco,0)</f>
        <v>0</v>
      </c>
      <c r="T425" s="11">
        <f t="shared" ca="1" si="97"/>
        <v>-38077.89173507681</v>
      </c>
      <c r="U425" s="10">
        <f>IF(U424=0,_Proxima_Compra,U424-1)</f>
        <v>2</v>
      </c>
      <c r="V425" s="3">
        <f t="shared" ca="1" si="92"/>
        <v>-1</v>
      </c>
      <c r="W425" s="3">
        <f ca="1">IF(W424&gt;0,W424-1,IF(V425&gt;0,LOOKUP(V425,$R$3:$R$5,$O$3:$O$5),-1))</f>
        <v>-1</v>
      </c>
      <c r="X425" s="25">
        <f t="shared" ca="1" si="93"/>
        <v>0</v>
      </c>
      <c r="Y425" s="28">
        <f ca="1">X425*_GramosXFrasco</f>
        <v>0</v>
      </c>
    </row>
    <row r="426" spans="1:25" x14ac:dyDescent="0.25">
      <c r="A426" s="30">
        <f t="shared" si="94"/>
        <v>410</v>
      </c>
      <c r="B426" s="38">
        <f t="shared" ca="1" si="87"/>
        <v>0.78174973285502336</v>
      </c>
      <c r="C426" s="36">
        <f t="shared" ca="1" si="88"/>
        <v>0.91554898344226321</v>
      </c>
      <c r="D426" s="36">
        <f t="shared" ca="1" si="89"/>
        <v>0.25455650798741902</v>
      </c>
      <c r="E426" s="36">
        <f t="shared" ca="1" si="98"/>
        <v>-4.1941840154771669E-2</v>
      </c>
      <c r="F426" s="37">
        <f ca="1">IF(E426&lt;&gt;-1,_Media_M + E426*_Sigma,-1)</f>
        <v>74.370872397678426</v>
      </c>
      <c r="G426" s="3">
        <f t="shared" ca="1" si="90"/>
        <v>-1</v>
      </c>
      <c r="H426" s="36">
        <f t="shared" ca="1" si="99"/>
        <v>74.370872397678426</v>
      </c>
      <c r="I426" s="36">
        <f t="shared" ca="1" si="91"/>
        <v>5.9922911903515157</v>
      </c>
      <c r="J426" s="35">
        <f t="shared" ca="1" si="100"/>
        <v>80.363163588029948</v>
      </c>
      <c r="K426" s="19">
        <f t="shared" ca="1" si="95"/>
        <v>80.363163588029948</v>
      </c>
      <c r="L426" s="20">
        <f ca="1" xml:space="preserve"> K426*_Precio_cafe</f>
        <v>120.54474538204492</v>
      </c>
      <c r="M426" s="20">
        <f t="shared" ca="1" si="96"/>
        <v>58420.240057424868</v>
      </c>
      <c r="N426" s="20">
        <f ca="1">IF((N425-K426+Y426)&gt;_Max_Stock_Gramos,_Max_Stock_Gramos,N425-K426+Y426)</f>
        <v>1542.6905797061993</v>
      </c>
      <c r="O426" s="20">
        <f ca="1">N426/_GramosXFrasco</f>
        <v>9.0746504688599963</v>
      </c>
      <c r="P426" s="63">
        <f ca="1">(N426/_Max_Stock_Gramos)</f>
        <v>0.9074650468859996</v>
      </c>
      <c r="Q426" s="63"/>
      <c r="R426" s="10">
        <f ca="1">IF((N425-J426)&lt;0,(N425-J426)*_Costo_Faltante,0)</f>
        <v>0</v>
      </c>
      <c r="S426">
        <f>IF(U426=0,X426*_Costo_Frasco,0)</f>
        <v>0</v>
      </c>
      <c r="T426" s="11">
        <f t="shared" ca="1" si="97"/>
        <v>-38077.89173507681</v>
      </c>
      <c r="U426" s="10">
        <f>IF(U425=0,_Proxima_Compra,U425-1)</f>
        <v>1</v>
      </c>
      <c r="V426" s="3">
        <f t="shared" ca="1" si="92"/>
        <v>-1</v>
      </c>
      <c r="W426" s="3">
        <f ca="1">IF(W425&gt;0,W425-1,IF(V426&gt;0,LOOKUP(V426,$R$3:$R$5,$O$3:$O$5),-1))</f>
        <v>-1</v>
      </c>
      <c r="X426" s="25">
        <f t="shared" ca="1" si="93"/>
        <v>0</v>
      </c>
      <c r="Y426" s="28">
        <f ca="1">X426*_GramosXFrasco</f>
        <v>0</v>
      </c>
    </row>
    <row r="427" spans="1:25" x14ac:dyDescent="0.25">
      <c r="A427" s="30">
        <f t="shared" si="94"/>
        <v>411</v>
      </c>
      <c r="B427" s="38">
        <f t="shared" ca="1" si="87"/>
        <v>0.51442648979096384</v>
      </c>
      <c r="C427" s="36">
        <f t="shared" ca="1" si="88"/>
        <v>2.5037260295504016E-2</v>
      </c>
      <c r="D427" s="36">
        <f t="shared" ca="1" si="89"/>
        <v>0.50205192434478407</v>
      </c>
      <c r="E427" s="36">
        <f t="shared" ca="1" si="98"/>
        <v>-0.14839239316311251</v>
      </c>
      <c r="F427" s="37">
        <f ca="1">IF(E427&lt;&gt;-1,_Media_M + E427*_Sigma,-1)</f>
        <v>72.774114102553312</v>
      </c>
      <c r="G427" s="3">
        <f t="shared" ca="1" si="90"/>
        <v>-1</v>
      </c>
      <c r="H427" s="36">
        <f t="shared" ca="1" si="99"/>
        <v>72.774114102553312</v>
      </c>
      <c r="I427" s="36">
        <f t="shared" ca="1" si="91"/>
        <v>8.0187451802657961</v>
      </c>
      <c r="J427" s="35">
        <f t="shared" ca="1" si="100"/>
        <v>80.792859282819109</v>
      </c>
      <c r="K427" s="19">
        <f t="shared" ca="1" si="95"/>
        <v>80.792859282819109</v>
      </c>
      <c r="L427" s="20">
        <f ca="1" xml:space="preserve"> K427*_Precio_cafe</f>
        <v>121.18928892422866</v>
      </c>
      <c r="M427" s="20">
        <f t="shared" ca="1" si="96"/>
        <v>58541.429346349098</v>
      </c>
      <c r="N427" s="20">
        <f ca="1">IF((N426-K427+Y427)&gt;_Max_Stock_Gramos,_Max_Stock_Gramos,N426-K427+Y427)</f>
        <v>1461.8977204233802</v>
      </c>
      <c r="O427" s="20">
        <f ca="1">N427/_GramosXFrasco</f>
        <v>8.5993983554316475</v>
      </c>
      <c r="P427" s="63">
        <f ca="1">(N427/_Max_Stock_Gramos)</f>
        <v>0.85993983554316478</v>
      </c>
      <c r="Q427" s="63"/>
      <c r="R427" s="10">
        <f ca="1">IF((N426-J427)&lt;0,(N426-J427)*_Costo_Faltante,0)</f>
        <v>0</v>
      </c>
      <c r="S427">
        <f ca="1">IF(U427=0,X427*_Costo_Frasco,0)</f>
        <v>0</v>
      </c>
      <c r="T427" s="11">
        <f t="shared" ca="1" si="97"/>
        <v>-38077.89173507681</v>
      </c>
      <c r="U427" s="10">
        <f>IF(U426=0,_Proxima_Compra,U426-1)</f>
        <v>0</v>
      </c>
      <c r="V427" s="3">
        <f t="shared" ca="1" si="92"/>
        <v>0.92939649564684013</v>
      </c>
      <c r="W427" s="3">
        <f ca="1">IF(W426&gt;0,W426-1,IF(V427&gt;0,LOOKUP(V427,$R$3:$R$5,$O$3:$O$5),-1))</f>
        <v>2</v>
      </c>
      <c r="X427" s="25">
        <f t="shared" ca="1" si="93"/>
        <v>0</v>
      </c>
      <c r="Y427" s="28">
        <f ca="1">X427*_GramosXFrasco</f>
        <v>0</v>
      </c>
    </row>
    <row r="428" spans="1:25" x14ac:dyDescent="0.25">
      <c r="A428" s="30">
        <f t="shared" si="94"/>
        <v>412</v>
      </c>
      <c r="B428" s="38">
        <f t="shared" ca="1" si="87"/>
        <v>0.38330434350810405</v>
      </c>
      <c r="C428" s="36">
        <f t="shared" ca="1" si="88"/>
        <v>-1</v>
      </c>
      <c r="D428" s="36">
        <f t="shared" ca="1" si="89"/>
        <v>-1</v>
      </c>
      <c r="E428" s="36">
        <f t="shared" ca="1" si="98"/>
        <v>-1</v>
      </c>
      <c r="F428" s="37">
        <f ca="1">IF(E428&lt;&gt;-1,_Media_M + E428*_Sigma,-1)</f>
        <v>-1</v>
      </c>
      <c r="G428" s="3">
        <f t="shared" ca="1" si="90"/>
        <v>50</v>
      </c>
      <c r="H428" s="36">
        <f t="shared" ca="1" si="99"/>
        <v>50</v>
      </c>
      <c r="I428" s="36">
        <f t="shared" ca="1" si="91"/>
        <v>24.143208598718164</v>
      </c>
      <c r="J428" s="35">
        <f t="shared" ca="1" si="100"/>
        <v>74.143208598718161</v>
      </c>
      <c r="K428" s="19">
        <f t="shared" ca="1" si="95"/>
        <v>74.143208598718161</v>
      </c>
      <c r="L428" s="20">
        <f ca="1" xml:space="preserve"> K428*_Precio_cafe</f>
        <v>111.21481289807724</v>
      </c>
      <c r="M428" s="20">
        <f t="shared" ca="1" si="96"/>
        <v>58652.644159247175</v>
      </c>
      <c r="N428" s="20">
        <f ca="1">IF((N427-K428+Y428)&gt;_Max_Stock_Gramos,_Max_Stock_Gramos,N427-K428+Y428)</f>
        <v>1387.7545118246621</v>
      </c>
      <c r="O428" s="20">
        <f ca="1">N428/_GramosXFrasco</f>
        <v>8.1632618342627179</v>
      </c>
      <c r="P428" s="63">
        <f ca="1">(N428/_Max_Stock_Gramos)</f>
        <v>0.81632618342627183</v>
      </c>
      <c r="Q428" s="63"/>
      <c r="R428" s="10">
        <f ca="1">IF((N427-J428)&lt;0,(N427-J428)*_Costo_Faltante,0)</f>
        <v>0</v>
      </c>
      <c r="S428">
        <f>IF(U428=0,X428*_Costo_Frasco,0)</f>
        <v>0</v>
      </c>
      <c r="T428" s="11">
        <f t="shared" ca="1" si="97"/>
        <v>-38077.89173507681</v>
      </c>
      <c r="U428" s="10">
        <f>IF(U427=0,_Proxima_Compra,U427-1)</f>
        <v>2</v>
      </c>
      <c r="V428" s="3">
        <f t="shared" ca="1" si="92"/>
        <v>-1</v>
      </c>
      <c r="W428" s="3">
        <f ca="1">IF(W427&gt;0,W427-1,IF(V428&gt;0,LOOKUP(V428,$R$3:$R$5,$O$3:$O$5),-1))</f>
        <v>1</v>
      </c>
      <c r="X428" s="25">
        <f t="shared" ca="1" si="93"/>
        <v>0</v>
      </c>
      <c r="Y428" s="28">
        <f ca="1">X428*_GramosXFrasco</f>
        <v>0</v>
      </c>
    </row>
    <row r="429" spans="1:25" x14ac:dyDescent="0.25">
      <c r="A429" s="30">
        <f t="shared" si="94"/>
        <v>413</v>
      </c>
      <c r="B429" s="38">
        <f t="shared" ca="1" si="87"/>
        <v>0.55327663041178343</v>
      </c>
      <c r="C429" s="36">
        <f t="shared" ca="1" si="88"/>
        <v>0.55842350405713959</v>
      </c>
      <c r="D429" s="36">
        <f t="shared" ca="1" si="89"/>
        <v>4.8573203036684554E-2</v>
      </c>
      <c r="E429" s="36">
        <f t="shared" ca="1" si="98"/>
        <v>0.8036697809627682</v>
      </c>
      <c r="F429" s="37">
        <f ca="1">IF(E429&lt;&gt;-1,_Media_M + E429*_Sigma,-1)</f>
        <v>87.055046714441517</v>
      </c>
      <c r="G429" s="3">
        <f t="shared" ca="1" si="90"/>
        <v>-1</v>
      </c>
      <c r="H429" s="36">
        <f t="shared" ca="1" si="99"/>
        <v>87.055046714441517</v>
      </c>
      <c r="I429" s="36">
        <f t="shared" ca="1" si="91"/>
        <v>5.8754389771207016</v>
      </c>
      <c r="J429" s="35">
        <f t="shared" ca="1" si="100"/>
        <v>92.930485691562211</v>
      </c>
      <c r="K429" s="19">
        <f t="shared" ca="1" si="95"/>
        <v>92.930485691562211</v>
      </c>
      <c r="L429" s="20">
        <f ca="1" xml:space="preserve"> K429*_Precio_cafe</f>
        <v>139.3957285373433</v>
      </c>
      <c r="M429" s="20">
        <f t="shared" ca="1" si="96"/>
        <v>58792.039887784515</v>
      </c>
      <c r="N429" s="20">
        <f ca="1">IF((N428-K429+Y429)&gt;_Max_Stock_Gramos,_Max_Stock_Gramos,N428-K429+Y429)</f>
        <v>1634.8240261331</v>
      </c>
      <c r="O429" s="20">
        <f ca="1">N429/_GramosXFrasco</f>
        <v>9.6166119184299994</v>
      </c>
      <c r="P429" s="63">
        <f ca="1">(N429/_Max_Stock_Gramos)</f>
        <v>0.96166119184300003</v>
      </c>
      <c r="Q429" s="63"/>
      <c r="R429" s="10">
        <f ca="1">IF((N428-J429)&lt;0,(N428-J429)*_Costo_Faltante,0)</f>
        <v>0</v>
      </c>
      <c r="S429">
        <f>IF(U429=0,X429*_Costo_Frasco,0)</f>
        <v>0</v>
      </c>
      <c r="T429" s="11">
        <f t="shared" ca="1" si="97"/>
        <v>-38077.89173507681</v>
      </c>
      <c r="U429" s="10">
        <f>IF(U428=0,_Proxima_Compra,U428-1)</f>
        <v>1</v>
      </c>
      <c r="V429" s="3">
        <f t="shared" ca="1" si="92"/>
        <v>-1</v>
      </c>
      <c r="W429" s="3">
        <f ca="1">IF(W428&gt;0,W428-1,IF(V429&gt;0,LOOKUP(V429,$R$3:$R$5,$O$3:$O$5),-1))</f>
        <v>0</v>
      </c>
      <c r="X429" s="25">
        <f t="shared" ca="1" si="93"/>
        <v>2</v>
      </c>
      <c r="Y429" s="28">
        <f ca="1">X429*_GramosXFrasco</f>
        <v>340</v>
      </c>
    </row>
    <row r="430" spans="1:25" x14ac:dyDescent="0.25">
      <c r="A430" s="30">
        <f t="shared" si="94"/>
        <v>414</v>
      </c>
      <c r="B430" s="38">
        <f t="shared" ca="1" si="87"/>
        <v>0.44363813954894604</v>
      </c>
      <c r="C430" s="36">
        <f t="shared" ca="1" si="88"/>
        <v>-1</v>
      </c>
      <c r="D430" s="36">
        <f t="shared" ca="1" si="89"/>
        <v>-1</v>
      </c>
      <c r="E430" s="36">
        <f t="shared" ca="1" si="98"/>
        <v>-1</v>
      </c>
      <c r="F430" s="37">
        <f ca="1">IF(E430&lt;&gt;-1,_Media_M + E430*_Sigma,-1)</f>
        <v>-1</v>
      </c>
      <c r="G430" s="3">
        <f t="shared" ca="1" si="90"/>
        <v>50</v>
      </c>
      <c r="H430" s="36">
        <f t="shared" ca="1" si="99"/>
        <v>50</v>
      </c>
      <c r="I430" s="36">
        <f t="shared" ca="1" si="91"/>
        <v>37.330147558062222</v>
      </c>
      <c r="J430" s="35">
        <f t="shared" ca="1" si="100"/>
        <v>87.330147558062222</v>
      </c>
      <c r="K430" s="19">
        <f t="shared" ca="1" si="95"/>
        <v>87.330147558062222</v>
      </c>
      <c r="L430" s="20">
        <f ca="1" xml:space="preserve"> K430*_Precio_cafe</f>
        <v>130.99522133709334</v>
      </c>
      <c r="M430" s="20">
        <f t="shared" ca="1" si="96"/>
        <v>58923.035109121607</v>
      </c>
      <c r="N430" s="20">
        <f ca="1">IF((N429-K430+Y430)&gt;_Max_Stock_Gramos,_Max_Stock_Gramos,N429-K430+Y430)</f>
        <v>1700</v>
      </c>
      <c r="O430" s="20">
        <f ca="1">N430/_GramosXFrasco</f>
        <v>10</v>
      </c>
      <c r="P430" s="63">
        <f ca="1">(N430/_Max_Stock_Gramos)</f>
        <v>1</v>
      </c>
      <c r="Q430" s="63"/>
      <c r="R430" s="10">
        <f ca="1">IF((N429-J430)&lt;0,(N429-J430)*_Costo_Faltante,0)</f>
        <v>0</v>
      </c>
      <c r="S430">
        <f ca="1">IF(U430=0,X430*_Costo_Frasco,0)</f>
        <v>-500</v>
      </c>
      <c r="T430" s="11">
        <f t="shared" ca="1" si="97"/>
        <v>-38577.89173507681</v>
      </c>
      <c r="U430" s="10">
        <f>IF(U429=0,_Proxima_Compra,U429-1)</f>
        <v>0</v>
      </c>
      <c r="V430" s="3">
        <f t="shared" ca="1" si="92"/>
        <v>0.13544809124979984</v>
      </c>
      <c r="W430" s="3">
        <f ca="1">IF(W429&gt;0,W429-1,IF(V430&gt;0,LOOKUP(V430,$R$3:$R$5,$O$3:$O$5),-1))</f>
        <v>0</v>
      </c>
      <c r="X430" s="25">
        <f t="shared" ca="1" si="93"/>
        <v>2</v>
      </c>
      <c r="Y430" s="28">
        <f ca="1">X430*_GramosXFrasco</f>
        <v>340</v>
      </c>
    </row>
    <row r="431" spans="1:25" x14ac:dyDescent="0.25">
      <c r="A431" s="30">
        <f t="shared" si="94"/>
        <v>415</v>
      </c>
      <c r="B431" s="38">
        <f t="shared" ca="1" si="87"/>
        <v>0.25943893281544739</v>
      </c>
      <c r="C431" s="36">
        <f t="shared" ca="1" si="88"/>
        <v>-1</v>
      </c>
      <c r="D431" s="36">
        <f t="shared" ca="1" si="89"/>
        <v>-1</v>
      </c>
      <c r="E431" s="36">
        <f t="shared" ca="1" si="98"/>
        <v>-1</v>
      </c>
      <c r="F431" s="37">
        <f ca="1">IF(E431&lt;&gt;-1,_Media_M + E431*_Sigma,-1)</f>
        <v>-1</v>
      </c>
      <c r="G431" s="3">
        <f t="shared" ca="1" si="90"/>
        <v>50</v>
      </c>
      <c r="H431" s="36">
        <f t="shared" ca="1" si="99"/>
        <v>50</v>
      </c>
      <c r="I431" s="36">
        <f t="shared" ca="1" si="91"/>
        <v>69.060397840183455</v>
      </c>
      <c r="J431" s="35">
        <f t="shared" ca="1" si="100"/>
        <v>119.06039784018346</v>
      </c>
      <c r="K431" s="19">
        <f t="shared" ca="1" si="95"/>
        <v>119.06039784018346</v>
      </c>
      <c r="L431" s="20">
        <f ca="1" xml:space="preserve"> K431*_Precio_cafe</f>
        <v>178.59059676027519</v>
      </c>
      <c r="M431" s="20">
        <f t="shared" ca="1" si="96"/>
        <v>59101.625705881881</v>
      </c>
      <c r="N431" s="20">
        <f ca="1">IF((N430-K431+Y431)&gt;_Max_Stock_Gramos,_Max_Stock_Gramos,N430-K431+Y431)</f>
        <v>1580.9396021598166</v>
      </c>
      <c r="O431" s="20">
        <f ca="1">N431/_GramosXFrasco</f>
        <v>9.2996447185871567</v>
      </c>
      <c r="P431" s="63">
        <f ca="1">(N431/_Max_Stock_Gramos)</f>
        <v>0.92996447185871567</v>
      </c>
      <c r="Q431" s="63"/>
      <c r="R431" s="10">
        <f ca="1">IF((N430-J431)&lt;0,(N430-J431)*_Costo_Faltante,0)</f>
        <v>0</v>
      </c>
      <c r="S431">
        <f>IF(U431=0,X431*_Costo_Frasco,0)</f>
        <v>0</v>
      </c>
      <c r="T431" s="11">
        <f t="shared" ca="1" si="97"/>
        <v>-38577.89173507681</v>
      </c>
      <c r="U431" s="10">
        <f>IF(U430=0,_Proxima_Compra,U430-1)</f>
        <v>2</v>
      </c>
      <c r="V431" s="3">
        <f t="shared" ca="1" si="92"/>
        <v>-1</v>
      </c>
      <c r="W431" s="3">
        <f ca="1">IF(W430&gt;0,W430-1,IF(V431&gt;0,LOOKUP(V431,$R$3:$R$5,$O$3:$O$5),-1))</f>
        <v>-1</v>
      </c>
      <c r="X431" s="25">
        <f t="shared" ca="1" si="93"/>
        <v>0</v>
      </c>
      <c r="Y431" s="28">
        <f ca="1">X431*_GramosXFrasco</f>
        <v>0</v>
      </c>
    </row>
    <row r="432" spans="1:25" x14ac:dyDescent="0.25">
      <c r="A432" s="30">
        <f t="shared" si="94"/>
        <v>416</v>
      </c>
      <c r="B432" s="38">
        <f t="shared" ca="1" si="87"/>
        <v>0.59819206735297936</v>
      </c>
      <c r="C432" s="36">
        <f t="shared" ca="1" si="88"/>
        <v>0.71315728356529595</v>
      </c>
      <c r="D432" s="36">
        <f t="shared" ca="1" si="89"/>
        <v>0.23052550958734286</v>
      </c>
      <c r="E432" s="36">
        <f t="shared" ca="1" si="98"/>
        <v>0.12712149196043915</v>
      </c>
      <c r="F432" s="37">
        <f ca="1">IF(E432&lt;&gt;-1,_Media_M + E432*_Sigma,-1)</f>
        <v>76.906822379406591</v>
      </c>
      <c r="G432" s="3">
        <f t="shared" ca="1" si="90"/>
        <v>-1</v>
      </c>
      <c r="H432" s="36">
        <f t="shared" ca="1" si="99"/>
        <v>76.906822379406591</v>
      </c>
      <c r="I432" s="36">
        <f t="shared" ca="1" si="91"/>
        <v>42.67425236319103</v>
      </c>
      <c r="J432" s="35">
        <f t="shared" ca="1" si="100"/>
        <v>119.58107474259762</v>
      </c>
      <c r="K432" s="19">
        <f t="shared" ca="1" si="95"/>
        <v>119.58107474259762</v>
      </c>
      <c r="L432" s="20">
        <f ca="1" xml:space="preserve"> K432*_Precio_cafe</f>
        <v>179.37161211389645</v>
      </c>
      <c r="M432" s="20">
        <f t="shared" ca="1" si="96"/>
        <v>59280.997317995774</v>
      </c>
      <c r="N432" s="20">
        <f ca="1">IF((N431-K432+Y432)&gt;_Max_Stock_Gramos,_Max_Stock_Gramos,N431-K432+Y432)</f>
        <v>1461.358527417219</v>
      </c>
      <c r="O432" s="20">
        <f ca="1">N432/_GramosXFrasco</f>
        <v>8.5962266318659939</v>
      </c>
      <c r="P432" s="63">
        <f ca="1">(N432/_Max_Stock_Gramos)</f>
        <v>0.85962266318659941</v>
      </c>
      <c r="Q432" s="63"/>
      <c r="R432" s="10">
        <f ca="1">IF((N431-J432)&lt;0,(N431-J432)*_Costo_Faltante,0)</f>
        <v>0</v>
      </c>
      <c r="S432">
        <f>IF(U432=0,X432*_Costo_Frasco,0)</f>
        <v>0</v>
      </c>
      <c r="T432" s="11">
        <f t="shared" ca="1" si="97"/>
        <v>-38577.89173507681</v>
      </c>
      <c r="U432" s="10">
        <f>IF(U431=0,_Proxima_Compra,U431-1)</f>
        <v>1</v>
      </c>
      <c r="V432" s="3">
        <f t="shared" ca="1" si="92"/>
        <v>-1</v>
      </c>
      <c r="W432" s="3">
        <f ca="1">IF(W431&gt;0,W431-1,IF(V432&gt;0,LOOKUP(V432,$R$3:$R$5,$O$3:$O$5),-1))</f>
        <v>-1</v>
      </c>
      <c r="X432" s="25">
        <f t="shared" ca="1" si="93"/>
        <v>0</v>
      </c>
      <c r="Y432" s="28">
        <f ca="1">X432*_GramosXFrasco</f>
        <v>0</v>
      </c>
    </row>
    <row r="433" spans="1:25" x14ac:dyDescent="0.25">
      <c r="A433" s="30">
        <f t="shared" si="94"/>
        <v>417</v>
      </c>
      <c r="B433" s="38">
        <f t="shared" ca="1" si="87"/>
        <v>0.84836156182743316</v>
      </c>
      <c r="C433" s="36">
        <f t="shared" ca="1" si="88"/>
        <v>1.3244614606325089E-2</v>
      </c>
      <c r="D433" s="36">
        <f t="shared" ca="1" si="89"/>
        <v>0.11483426491519455</v>
      </c>
      <c r="E433" s="36">
        <f t="shared" ca="1" si="98"/>
        <v>8.0797272405948986E-2</v>
      </c>
      <c r="F433" s="37">
        <f ca="1">IF(E433&lt;&gt;-1,_Media_M + E433*_Sigma,-1)</f>
        <v>76.211959086089237</v>
      </c>
      <c r="G433" s="3">
        <f t="shared" ca="1" si="90"/>
        <v>-1</v>
      </c>
      <c r="H433" s="36">
        <f t="shared" ca="1" si="99"/>
        <v>76.211959086089237</v>
      </c>
      <c r="I433" s="36">
        <f t="shared" ca="1" si="91"/>
        <v>6.2875875709805671</v>
      </c>
      <c r="J433" s="35">
        <f t="shared" ca="1" si="100"/>
        <v>82.4995466570698</v>
      </c>
      <c r="K433" s="19">
        <f t="shared" ca="1" si="95"/>
        <v>82.4995466570698</v>
      </c>
      <c r="L433" s="20">
        <f ca="1" xml:space="preserve"> K433*_Precio_cafe</f>
        <v>123.7493199856047</v>
      </c>
      <c r="M433" s="20">
        <f t="shared" ca="1" si="96"/>
        <v>59404.746637981378</v>
      </c>
      <c r="N433" s="20">
        <f ca="1">IF((N432-K433+Y433)&gt;_Max_Stock_Gramos,_Max_Stock_Gramos,N432-K433+Y433)</f>
        <v>1700</v>
      </c>
      <c r="O433" s="20">
        <f ca="1">N433/_GramosXFrasco</f>
        <v>10</v>
      </c>
      <c r="P433" s="63">
        <f ca="1">(N433/_Max_Stock_Gramos)</f>
        <v>1</v>
      </c>
      <c r="Q433" s="63"/>
      <c r="R433" s="10">
        <f ca="1">IF((N432-J433)&lt;0,(N432-J433)*_Costo_Faltante,0)</f>
        <v>0</v>
      </c>
      <c r="S433">
        <f ca="1">IF(U433=0,X433*_Costo_Frasco,0)</f>
        <v>-500</v>
      </c>
      <c r="T433" s="11">
        <f t="shared" ca="1" si="97"/>
        <v>-39077.89173507681</v>
      </c>
      <c r="U433" s="10">
        <f>IF(U432=0,_Proxima_Compra,U432-1)</f>
        <v>0</v>
      </c>
      <c r="V433" s="3">
        <f t="shared" ca="1" si="92"/>
        <v>0.27243419996421647</v>
      </c>
      <c r="W433" s="3">
        <f ca="1">IF(W432&gt;0,W432-1,IF(V433&gt;0,LOOKUP(V433,$R$3:$R$5,$O$3:$O$5),-1))</f>
        <v>0</v>
      </c>
      <c r="X433" s="25">
        <f t="shared" ca="1" si="93"/>
        <v>2</v>
      </c>
      <c r="Y433" s="28">
        <f ca="1">X433*_GramosXFrasco</f>
        <v>340</v>
      </c>
    </row>
    <row r="434" spans="1:25" x14ac:dyDescent="0.25">
      <c r="A434" s="30">
        <f t="shared" si="94"/>
        <v>418</v>
      </c>
      <c r="B434" s="38">
        <f t="shared" ca="1" si="87"/>
        <v>0.91074322014425246</v>
      </c>
      <c r="C434" s="36">
        <f t="shared" ca="1" si="88"/>
        <v>6.6712857449468532E-2</v>
      </c>
      <c r="D434" s="36">
        <f t="shared" ca="1" si="89"/>
        <v>0.856398218069783</v>
      </c>
      <c r="E434" s="36">
        <f t="shared" ca="1" si="98"/>
        <v>0.1517868288929998</v>
      </c>
      <c r="F434" s="37">
        <f ca="1">IF(E434&lt;&gt;-1,_Media_M + E434*_Sigma,-1)</f>
        <v>77.276802433394991</v>
      </c>
      <c r="G434" s="3">
        <f t="shared" ca="1" si="90"/>
        <v>-1</v>
      </c>
      <c r="H434" s="36">
        <f t="shared" ca="1" si="99"/>
        <v>77.276802433394991</v>
      </c>
      <c r="I434" s="36">
        <f t="shared" ca="1" si="91"/>
        <v>0.59018467393066243</v>
      </c>
      <c r="J434" s="35">
        <f t="shared" ca="1" si="100"/>
        <v>77.866987107325656</v>
      </c>
      <c r="K434" s="19">
        <f t="shared" ca="1" si="95"/>
        <v>77.866987107325656</v>
      </c>
      <c r="L434" s="20">
        <f ca="1" xml:space="preserve"> K434*_Precio_cafe</f>
        <v>116.80048066098848</v>
      </c>
      <c r="M434" s="20">
        <f t="shared" ca="1" si="96"/>
        <v>59521.547118642367</v>
      </c>
      <c r="N434" s="20">
        <f ca="1">IF((N433-K434+Y434)&gt;_Max_Stock_Gramos,_Max_Stock_Gramos,N433-K434+Y434)</f>
        <v>1622.1330128926743</v>
      </c>
      <c r="O434" s="20">
        <f ca="1">N434/_GramosXFrasco</f>
        <v>9.541958899368673</v>
      </c>
      <c r="P434" s="63">
        <f ca="1">(N434/_Max_Stock_Gramos)</f>
        <v>0.95419588993686721</v>
      </c>
      <c r="Q434" s="63"/>
      <c r="R434" s="10">
        <f ca="1">IF((N433-J434)&lt;0,(N433-J434)*_Costo_Faltante,0)</f>
        <v>0</v>
      </c>
      <c r="S434">
        <f>IF(U434=0,X434*_Costo_Frasco,0)</f>
        <v>0</v>
      </c>
      <c r="T434" s="11">
        <f t="shared" ca="1" si="97"/>
        <v>-39077.89173507681</v>
      </c>
      <c r="U434" s="10">
        <f>IF(U433=0,_Proxima_Compra,U433-1)</f>
        <v>2</v>
      </c>
      <c r="V434" s="3">
        <f t="shared" ca="1" si="92"/>
        <v>-1</v>
      </c>
      <c r="W434" s="3">
        <f ca="1">IF(W433&gt;0,W433-1,IF(V434&gt;0,LOOKUP(V434,$R$3:$R$5,$O$3:$O$5),-1))</f>
        <v>-1</v>
      </c>
      <c r="X434" s="25">
        <f t="shared" ca="1" si="93"/>
        <v>0</v>
      </c>
      <c r="Y434" s="28">
        <f ca="1">X434*_GramosXFrasco</f>
        <v>0</v>
      </c>
    </row>
    <row r="435" spans="1:25" x14ac:dyDescent="0.25">
      <c r="A435" s="30">
        <f t="shared" si="94"/>
        <v>419</v>
      </c>
      <c r="B435" s="38">
        <f t="shared" ca="1" si="87"/>
        <v>0.80936154783375869</v>
      </c>
      <c r="C435" s="36">
        <f t="shared" ca="1" si="88"/>
        <v>0.6072182649989134</v>
      </c>
      <c r="D435" s="36">
        <f t="shared" ca="1" si="89"/>
        <v>0.62335621890786419</v>
      </c>
      <c r="E435" s="36">
        <f t="shared" ca="1" si="98"/>
        <v>-0.6436081710336371</v>
      </c>
      <c r="F435" s="37">
        <f ca="1">IF(E435&lt;&gt;-1,_Media_M + E435*_Sigma,-1)</f>
        <v>65.345877434495449</v>
      </c>
      <c r="G435" s="3">
        <f t="shared" ca="1" si="90"/>
        <v>-1</v>
      </c>
      <c r="H435" s="36">
        <f t="shared" ca="1" si="99"/>
        <v>65.345877434495449</v>
      </c>
      <c r="I435" s="36">
        <f t="shared" ca="1" si="91"/>
        <v>29.175619140741752</v>
      </c>
      <c r="J435" s="35">
        <f t="shared" ca="1" si="100"/>
        <v>94.521496575237194</v>
      </c>
      <c r="K435" s="19">
        <f t="shared" ca="1" si="95"/>
        <v>94.521496575237194</v>
      </c>
      <c r="L435" s="20">
        <f ca="1" xml:space="preserve"> K435*_Precio_cafe</f>
        <v>141.7822448628558</v>
      </c>
      <c r="M435" s="20">
        <f t="shared" ca="1" si="96"/>
        <v>59663.329363505225</v>
      </c>
      <c r="N435" s="20">
        <f ca="1">IF((N434-K435+Y435)&gt;_Max_Stock_Gramos,_Max_Stock_Gramos,N434-K435+Y435)</f>
        <v>1527.611516317437</v>
      </c>
      <c r="O435" s="20">
        <f ca="1">N435/_GramosXFrasco</f>
        <v>8.9859500959849239</v>
      </c>
      <c r="P435" s="63">
        <f ca="1">(N435/_Max_Stock_Gramos)</f>
        <v>0.89859500959849237</v>
      </c>
      <c r="Q435" s="63"/>
      <c r="R435" s="10">
        <f ca="1">IF((N434-J435)&lt;0,(N434-J435)*_Costo_Faltante,0)</f>
        <v>0</v>
      </c>
      <c r="S435">
        <f>IF(U435=0,X435*_Costo_Frasco,0)</f>
        <v>0</v>
      </c>
      <c r="T435" s="11">
        <f t="shared" ca="1" si="97"/>
        <v>-39077.89173507681</v>
      </c>
      <c r="U435" s="10">
        <f>IF(U434=0,_Proxima_Compra,U434-1)</f>
        <v>1</v>
      </c>
      <c r="V435" s="3">
        <f t="shared" ca="1" si="92"/>
        <v>-1</v>
      </c>
      <c r="W435" s="3">
        <f ca="1">IF(W434&gt;0,W434-1,IF(V435&gt;0,LOOKUP(V435,$R$3:$R$5,$O$3:$O$5),-1))</f>
        <v>-1</v>
      </c>
      <c r="X435" s="25">
        <f t="shared" ca="1" si="93"/>
        <v>0</v>
      </c>
      <c r="Y435" s="28">
        <f ca="1">X435*_GramosXFrasco</f>
        <v>0</v>
      </c>
    </row>
    <row r="436" spans="1:25" x14ac:dyDescent="0.25">
      <c r="A436" s="30">
        <f t="shared" si="94"/>
        <v>420</v>
      </c>
      <c r="B436" s="38">
        <f t="shared" ca="1" si="87"/>
        <v>0.15399822623610593</v>
      </c>
      <c r="C436" s="36">
        <f t="shared" ca="1" si="88"/>
        <v>-1</v>
      </c>
      <c r="D436" s="36">
        <f t="shared" ca="1" si="89"/>
        <v>-1</v>
      </c>
      <c r="E436" s="36">
        <f t="shared" ca="1" si="98"/>
        <v>-1</v>
      </c>
      <c r="F436" s="37">
        <f ca="1">IF(E436&lt;&gt;-1,_Media_M + E436*_Sigma,-1)</f>
        <v>-1</v>
      </c>
      <c r="G436" s="3">
        <f t="shared" ca="1" si="90"/>
        <v>50</v>
      </c>
      <c r="H436" s="36">
        <f t="shared" ca="1" si="99"/>
        <v>50</v>
      </c>
      <c r="I436" s="36">
        <f t="shared" ca="1" si="91"/>
        <v>116.0556098965768</v>
      </c>
      <c r="J436" s="35">
        <f t="shared" ca="1" si="100"/>
        <v>166.05560989657681</v>
      </c>
      <c r="K436" s="19">
        <f t="shared" ca="1" si="95"/>
        <v>166.05560989657681</v>
      </c>
      <c r="L436" s="20">
        <f ca="1" xml:space="preserve"> K436*_Precio_cafe</f>
        <v>249.08341484486522</v>
      </c>
      <c r="M436" s="20">
        <f t="shared" ca="1" si="96"/>
        <v>59912.412778350088</v>
      </c>
      <c r="N436" s="20">
        <f ca="1">IF((N435-K436+Y436)&gt;_Max_Stock_Gramos,_Max_Stock_Gramos,N435-K436+Y436)</f>
        <v>1700</v>
      </c>
      <c r="O436" s="20">
        <f ca="1">N436/_GramosXFrasco</f>
        <v>10</v>
      </c>
      <c r="P436" s="63">
        <f ca="1">(N436/_Max_Stock_Gramos)</f>
        <v>1</v>
      </c>
      <c r="Q436" s="63"/>
      <c r="R436" s="10">
        <f ca="1">IF((N435-J436)&lt;0,(N435-J436)*_Costo_Faltante,0)</f>
        <v>0</v>
      </c>
      <c r="S436">
        <f ca="1">IF(U436=0,X436*_Costo_Frasco,0)</f>
        <v>-500</v>
      </c>
      <c r="T436" s="11">
        <f t="shared" ca="1" si="97"/>
        <v>-39577.89173507681</v>
      </c>
      <c r="U436" s="10">
        <f>IF(U435=0,_Proxima_Compra,U435-1)</f>
        <v>0</v>
      </c>
      <c r="V436" s="3">
        <f t="shared" ca="1" si="92"/>
        <v>0.34158332768825161</v>
      </c>
      <c r="W436" s="3">
        <f ca="1">IF(W435&gt;0,W435-1,IF(V436&gt;0,LOOKUP(V436,$R$3:$R$5,$O$3:$O$5),-1))</f>
        <v>0</v>
      </c>
      <c r="X436" s="25">
        <f t="shared" ca="1" si="93"/>
        <v>2</v>
      </c>
      <c r="Y436" s="28">
        <f ca="1">X436*_GramosXFrasco</f>
        <v>340</v>
      </c>
    </row>
    <row r="437" spans="1:25" x14ac:dyDescent="0.25">
      <c r="A437" s="30">
        <f t="shared" si="94"/>
        <v>421</v>
      </c>
      <c r="B437" s="38">
        <f t="shared" ca="1" si="87"/>
        <v>0.97774100240597694</v>
      </c>
      <c r="C437" s="36">
        <f t="shared" ca="1" si="88"/>
        <v>0.6799004153967062</v>
      </c>
      <c r="D437" s="36">
        <f t="shared" ca="1" si="89"/>
        <v>0.82676736793421413</v>
      </c>
      <c r="E437" s="36">
        <f t="shared" ca="1" si="98"/>
        <v>0.46139861872210541</v>
      </c>
      <c r="F437" s="37">
        <f ca="1">IF(E437&lt;&gt;-1,_Media_M + E437*_Sigma,-1)</f>
        <v>81.920979280831574</v>
      </c>
      <c r="G437" s="3">
        <f t="shared" ca="1" si="90"/>
        <v>-1</v>
      </c>
      <c r="H437" s="36">
        <f t="shared" ca="1" si="99"/>
        <v>81.920979280831574</v>
      </c>
      <c r="I437" s="36">
        <f t="shared" ca="1" si="91"/>
        <v>4.0326834985546428E-2</v>
      </c>
      <c r="J437" s="35">
        <f t="shared" ca="1" si="100"/>
        <v>81.961306115817123</v>
      </c>
      <c r="K437" s="19">
        <f t="shared" ca="1" si="95"/>
        <v>81.961306115817123</v>
      </c>
      <c r="L437" s="20">
        <f ca="1" xml:space="preserve"> K437*_Precio_cafe</f>
        <v>122.94195917372568</v>
      </c>
      <c r="M437" s="20">
        <f t="shared" ca="1" si="96"/>
        <v>60035.354737523812</v>
      </c>
      <c r="N437" s="20">
        <f ca="1">IF((N436-K437+Y437)&gt;_Max_Stock_Gramos,_Max_Stock_Gramos,N436-K437+Y437)</f>
        <v>1618.038693884183</v>
      </c>
      <c r="O437" s="20">
        <f ca="1">N437/_GramosXFrasco</f>
        <v>9.5178746699069592</v>
      </c>
      <c r="P437" s="63">
        <f ca="1">(N437/_Max_Stock_Gramos)</f>
        <v>0.95178746699069583</v>
      </c>
      <c r="Q437" s="63"/>
      <c r="R437" s="10">
        <f ca="1">IF((N436-J437)&lt;0,(N436-J437)*_Costo_Faltante,0)</f>
        <v>0</v>
      </c>
      <c r="S437">
        <f>IF(U437=0,X437*_Costo_Frasco,0)</f>
        <v>0</v>
      </c>
      <c r="T437" s="11">
        <f t="shared" ca="1" si="97"/>
        <v>-39577.89173507681</v>
      </c>
      <c r="U437" s="10">
        <f>IF(U436=0,_Proxima_Compra,U436-1)</f>
        <v>2</v>
      </c>
      <c r="V437" s="3">
        <f t="shared" ca="1" si="92"/>
        <v>-1</v>
      </c>
      <c r="W437" s="3">
        <f ca="1">IF(W436&gt;0,W436-1,IF(V437&gt;0,LOOKUP(V437,$R$3:$R$5,$O$3:$O$5),-1))</f>
        <v>-1</v>
      </c>
      <c r="X437" s="25">
        <f t="shared" ca="1" si="93"/>
        <v>0</v>
      </c>
      <c r="Y437" s="28">
        <f ca="1">X437*_GramosXFrasco</f>
        <v>0</v>
      </c>
    </row>
    <row r="438" spans="1:25" x14ac:dyDescent="0.25">
      <c r="A438" s="30">
        <f t="shared" si="94"/>
        <v>422</v>
      </c>
      <c r="B438" s="38">
        <f t="shared" ca="1" si="87"/>
        <v>0.55744282930838718</v>
      </c>
      <c r="C438" s="36">
        <f t="shared" ca="1" si="88"/>
        <v>0.64244865049724464</v>
      </c>
      <c r="D438" s="36">
        <f t="shared" ca="1" si="89"/>
        <v>0.28976761426865594</v>
      </c>
      <c r="E438" s="36">
        <f t="shared" ca="1" si="98"/>
        <v>-0.23371423258031679</v>
      </c>
      <c r="F438" s="37">
        <f ca="1">IF(E438&lt;&gt;-1,_Media_M + E438*_Sigma,-1)</f>
        <v>71.494286511295243</v>
      </c>
      <c r="G438" s="3">
        <f t="shared" ca="1" si="90"/>
        <v>-1</v>
      </c>
      <c r="H438" s="36">
        <f t="shared" ca="1" si="99"/>
        <v>71.494286511295243</v>
      </c>
      <c r="I438" s="36">
        <f t="shared" ca="1" si="91"/>
        <v>57.48414148596158</v>
      </c>
      <c r="J438" s="35">
        <f t="shared" ca="1" si="100"/>
        <v>128.97842799725683</v>
      </c>
      <c r="K438" s="19">
        <f t="shared" ca="1" si="95"/>
        <v>128.97842799725683</v>
      </c>
      <c r="L438" s="20">
        <f ca="1" xml:space="preserve"> K438*_Precio_cafe</f>
        <v>193.46764199588523</v>
      </c>
      <c r="M438" s="20">
        <f t="shared" ca="1" si="96"/>
        <v>60228.822379519697</v>
      </c>
      <c r="N438" s="20">
        <f ca="1">IF((N437-K438+Y438)&gt;_Max_Stock_Gramos,_Max_Stock_Gramos,N437-K438+Y438)</f>
        <v>1489.0602658869261</v>
      </c>
      <c r="O438" s="20">
        <f ca="1">N438/_GramosXFrasco</f>
        <v>8.7591780346289774</v>
      </c>
      <c r="P438" s="63">
        <f ca="1">(N438/_Max_Stock_Gramos)</f>
        <v>0.87591780346289771</v>
      </c>
      <c r="Q438" s="63"/>
      <c r="R438" s="10">
        <f ca="1">IF((N437-J438)&lt;0,(N437-J438)*_Costo_Faltante,0)</f>
        <v>0</v>
      </c>
      <c r="S438">
        <f>IF(U438=0,X438*_Costo_Frasco,0)</f>
        <v>0</v>
      </c>
      <c r="T438" s="11">
        <f t="shared" ca="1" si="97"/>
        <v>-39577.89173507681</v>
      </c>
      <c r="U438" s="10">
        <f>IF(U437=0,_Proxima_Compra,U437-1)</f>
        <v>1</v>
      </c>
      <c r="V438" s="3">
        <f t="shared" ca="1" si="92"/>
        <v>-1</v>
      </c>
      <c r="W438" s="3">
        <f ca="1">IF(W437&gt;0,W437-1,IF(V438&gt;0,LOOKUP(V438,$R$3:$R$5,$O$3:$O$5),-1))</f>
        <v>-1</v>
      </c>
      <c r="X438" s="25">
        <f t="shared" ca="1" si="93"/>
        <v>0</v>
      </c>
      <c r="Y438" s="28">
        <f ca="1">X438*_GramosXFrasco</f>
        <v>0</v>
      </c>
    </row>
    <row r="439" spans="1:25" x14ac:dyDescent="0.25">
      <c r="A439" s="30">
        <f t="shared" si="94"/>
        <v>423</v>
      </c>
      <c r="B439" s="38">
        <f t="shared" ca="1" si="87"/>
        <v>0.21877832901569705</v>
      </c>
      <c r="C439" s="36">
        <f t="shared" ca="1" si="88"/>
        <v>-1</v>
      </c>
      <c r="D439" s="36">
        <f t="shared" ca="1" si="89"/>
        <v>-1</v>
      </c>
      <c r="E439" s="36">
        <f t="shared" ca="1" si="98"/>
        <v>-1</v>
      </c>
      <c r="F439" s="37">
        <f ca="1">IF(E439&lt;&gt;-1,_Media_M + E439*_Sigma,-1)</f>
        <v>-1</v>
      </c>
      <c r="G439" s="3">
        <f t="shared" ca="1" si="90"/>
        <v>50</v>
      </c>
      <c r="H439" s="36">
        <f t="shared" ca="1" si="99"/>
        <v>50</v>
      </c>
      <c r="I439" s="36">
        <f t="shared" ca="1" si="91"/>
        <v>123.50919156389638</v>
      </c>
      <c r="J439" s="35">
        <f t="shared" ca="1" si="100"/>
        <v>173.50919156389637</v>
      </c>
      <c r="K439" s="19">
        <f t="shared" ca="1" si="95"/>
        <v>173.50919156389637</v>
      </c>
      <c r="L439" s="20">
        <f ca="1" xml:space="preserve"> K439*_Precio_cafe</f>
        <v>260.26378734584455</v>
      </c>
      <c r="M439" s="20">
        <f t="shared" ca="1" si="96"/>
        <v>60489.086166865542</v>
      </c>
      <c r="N439" s="20">
        <f ca="1">IF((N438-K439+Y439)&gt;_Max_Stock_Gramos,_Max_Stock_Gramos,N438-K439+Y439)</f>
        <v>1655.5510743230298</v>
      </c>
      <c r="O439" s="20">
        <f ca="1">N439/_GramosXFrasco</f>
        <v>9.7385357313119396</v>
      </c>
      <c r="P439" s="63">
        <f ca="1">(N439/_Max_Stock_Gramos)</f>
        <v>0.97385357313119392</v>
      </c>
      <c r="Q439" s="63"/>
      <c r="R439" s="10">
        <f ca="1">IF((N438-J439)&lt;0,(N438-J439)*_Costo_Faltante,0)</f>
        <v>0</v>
      </c>
      <c r="S439">
        <f ca="1">IF(U439=0,X439*_Costo_Frasco,0)</f>
        <v>-500</v>
      </c>
      <c r="T439" s="11">
        <f t="shared" ca="1" si="97"/>
        <v>-40077.89173507681</v>
      </c>
      <c r="U439" s="10">
        <f>IF(U438=0,_Proxima_Compra,U438-1)</f>
        <v>0</v>
      </c>
      <c r="V439" s="3">
        <f t="shared" ca="1" si="92"/>
        <v>0.32789398629015776</v>
      </c>
      <c r="W439" s="3">
        <f ca="1">IF(W438&gt;0,W438-1,IF(V439&gt;0,LOOKUP(V439,$R$3:$R$5,$O$3:$O$5),-1))</f>
        <v>0</v>
      </c>
      <c r="X439" s="25">
        <f t="shared" ca="1" si="93"/>
        <v>2</v>
      </c>
      <c r="Y439" s="28">
        <f ca="1">X439*_GramosXFrasco</f>
        <v>340</v>
      </c>
    </row>
    <row r="440" spans="1:25" x14ac:dyDescent="0.25">
      <c r="A440" s="30">
        <f t="shared" si="94"/>
        <v>424</v>
      </c>
      <c r="B440" s="38">
        <f t="shared" ca="1" si="87"/>
        <v>0.69706435279731271</v>
      </c>
      <c r="C440" s="36">
        <f t="shared" ca="1" si="88"/>
        <v>0.5448757713188247</v>
      </c>
      <c r="D440" s="36">
        <f t="shared" ca="1" si="89"/>
        <v>0.12678376191195428</v>
      </c>
      <c r="E440" s="36">
        <f t="shared" ca="1" si="98"/>
        <v>0.57810684779015931</v>
      </c>
      <c r="F440" s="37">
        <f ca="1">IF(E440&lt;&gt;-1,_Media_M + E440*_Sigma,-1)</f>
        <v>83.671602716852391</v>
      </c>
      <c r="G440" s="3">
        <f t="shared" ca="1" si="90"/>
        <v>-1</v>
      </c>
      <c r="H440" s="36">
        <f t="shared" ca="1" si="99"/>
        <v>83.671602716852391</v>
      </c>
      <c r="I440" s="36">
        <f t="shared" ca="1" si="91"/>
        <v>57.773577418806852</v>
      </c>
      <c r="J440" s="35">
        <f t="shared" ca="1" si="100"/>
        <v>141.44518013565926</v>
      </c>
      <c r="K440" s="19">
        <f t="shared" ca="1" si="95"/>
        <v>141.44518013565926</v>
      </c>
      <c r="L440" s="20">
        <f ca="1" xml:space="preserve"> K440*_Precio_cafe</f>
        <v>212.16777020348889</v>
      </c>
      <c r="M440" s="20">
        <f t="shared" ca="1" si="96"/>
        <v>60701.253937069028</v>
      </c>
      <c r="N440" s="20">
        <f ca="1">IF((N439-K440+Y440)&gt;_Max_Stock_Gramos,_Max_Stock_Gramos,N439-K440+Y440)</f>
        <v>1514.1058941873705</v>
      </c>
      <c r="O440" s="20">
        <f ca="1">N440/_GramosXFrasco</f>
        <v>8.9065052599257086</v>
      </c>
      <c r="P440" s="63">
        <f ca="1">(N440/_Max_Stock_Gramos)</f>
        <v>0.89065052599257089</v>
      </c>
      <c r="Q440" s="63"/>
      <c r="R440" s="10">
        <f ca="1">IF((N439-J440)&lt;0,(N439-J440)*_Costo_Faltante,0)</f>
        <v>0</v>
      </c>
      <c r="S440">
        <f>IF(U440=0,X440*_Costo_Frasco,0)</f>
        <v>0</v>
      </c>
      <c r="T440" s="11">
        <f t="shared" ca="1" si="97"/>
        <v>-40077.89173507681</v>
      </c>
      <c r="U440" s="10">
        <f>IF(U439=0,_Proxima_Compra,U439-1)</f>
        <v>2</v>
      </c>
      <c r="V440" s="3">
        <f t="shared" ca="1" si="92"/>
        <v>-1</v>
      </c>
      <c r="W440" s="3">
        <f ca="1">IF(W439&gt;0,W439-1,IF(V440&gt;0,LOOKUP(V440,$R$3:$R$5,$O$3:$O$5),-1))</f>
        <v>-1</v>
      </c>
      <c r="X440" s="25">
        <f t="shared" ca="1" si="93"/>
        <v>0</v>
      </c>
      <c r="Y440" s="28">
        <f ca="1">X440*_GramosXFrasco</f>
        <v>0</v>
      </c>
    </row>
    <row r="441" spans="1:25" x14ac:dyDescent="0.25">
      <c r="A441" s="30">
        <f t="shared" si="94"/>
        <v>425</v>
      </c>
      <c r="B441" s="38">
        <f t="shared" ca="1" si="87"/>
        <v>0.2923880012222454</v>
      </c>
      <c r="C441" s="36">
        <f t="shared" ca="1" si="88"/>
        <v>-1</v>
      </c>
      <c r="D441" s="36">
        <f t="shared" ca="1" si="89"/>
        <v>-1</v>
      </c>
      <c r="E441" s="36">
        <f t="shared" ca="1" si="98"/>
        <v>-1</v>
      </c>
      <c r="F441" s="37">
        <f ca="1">IF(E441&lt;&gt;-1,_Media_M + E441*_Sigma,-1)</f>
        <v>-1</v>
      </c>
      <c r="G441" s="3">
        <f t="shared" ca="1" si="90"/>
        <v>50</v>
      </c>
      <c r="H441" s="36">
        <f t="shared" ca="1" si="99"/>
        <v>50</v>
      </c>
      <c r="I441" s="36">
        <f t="shared" ca="1" si="91"/>
        <v>25.8273192934398</v>
      </c>
      <c r="J441" s="35">
        <f t="shared" ca="1" si="100"/>
        <v>75.8273192934398</v>
      </c>
      <c r="K441" s="19">
        <f t="shared" ca="1" si="95"/>
        <v>75.8273192934398</v>
      </c>
      <c r="L441" s="20">
        <f ca="1" xml:space="preserve"> K441*_Precio_cafe</f>
        <v>113.74097894015969</v>
      </c>
      <c r="M441" s="20">
        <f t="shared" ca="1" si="96"/>
        <v>60814.994916009186</v>
      </c>
      <c r="N441" s="20">
        <f ca="1">IF((N440-K441+Y441)&gt;_Max_Stock_Gramos,_Max_Stock_Gramos,N440-K441+Y441)</f>
        <v>1438.2785748939307</v>
      </c>
      <c r="O441" s="20">
        <f ca="1">N441/_GramosXFrasco</f>
        <v>8.4604622052584162</v>
      </c>
      <c r="P441" s="63">
        <f ca="1">(N441/_Max_Stock_Gramos)</f>
        <v>0.84604622052584155</v>
      </c>
      <c r="Q441" s="63"/>
      <c r="R441" s="10">
        <f ca="1">IF((N440-J441)&lt;0,(N440-J441)*_Costo_Faltante,0)</f>
        <v>0</v>
      </c>
      <c r="S441">
        <f>IF(U441=0,X441*_Costo_Frasco,0)</f>
        <v>0</v>
      </c>
      <c r="T441" s="11">
        <f t="shared" ca="1" si="97"/>
        <v>-40077.89173507681</v>
      </c>
      <c r="U441" s="10">
        <f>IF(U440=0,_Proxima_Compra,U440-1)</f>
        <v>1</v>
      </c>
      <c r="V441" s="3">
        <f t="shared" ca="1" si="92"/>
        <v>-1</v>
      </c>
      <c r="W441" s="3">
        <f ca="1">IF(W440&gt;0,W440-1,IF(V441&gt;0,LOOKUP(V441,$R$3:$R$5,$O$3:$O$5),-1))</f>
        <v>-1</v>
      </c>
      <c r="X441" s="25">
        <f t="shared" ca="1" si="93"/>
        <v>0</v>
      </c>
      <c r="Y441" s="28">
        <f ca="1">X441*_GramosXFrasco</f>
        <v>0</v>
      </c>
    </row>
    <row r="442" spans="1:25" x14ac:dyDescent="0.25">
      <c r="A442" s="30">
        <f t="shared" si="94"/>
        <v>426</v>
      </c>
      <c r="B442" s="38">
        <f t="shared" ca="1" si="87"/>
        <v>0.6529947056710631</v>
      </c>
      <c r="C442" s="36">
        <f t="shared" ca="1" si="88"/>
        <v>0.30335216888830396</v>
      </c>
      <c r="D442" s="36">
        <f t="shared" ca="1" si="89"/>
        <v>0.93792428308520903</v>
      </c>
      <c r="E442" s="36">
        <f t="shared" ca="1" si="98"/>
        <v>0.5182502775672917</v>
      </c>
      <c r="F442" s="37">
        <f ca="1">IF(E442&lt;&gt;-1,_Media_M + E442*_Sigma,-1)</f>
        <v>82.773754163509381</v>
      </c>
      <c r="G442" s="3">
        <f t="shared" ca="1" si="90"/>
        <v>-1</v>
      </c>
      <c r="H442" s="36">
        <f t="shared" ca="1" si="99"/>
        <v>82.773754163509381</v>
      </c>
      <c r="I442" s="36">
        <f t="shared" ca="1" si="91"/>
        <v>28.937515555255661</v>
      </c>
      <c r="J442" s="35">
        <f t="shared" ca="1" si="100"/>
        <v>111.71126971876504</v>
      </c>
      <c r="K442" s="19">
        <f t="shared" ca="1" si="95"/>
        <v>111.71126971876504</v>
      </c>
      <c r="L442" s="20">
        <f ca="1" xml:space="preserve"> K442*_Precio_cafe</f>
        <v>167.56690457814756</v>
      </c>
      <c r="M442" s="20">
        <f t="shared" ca="1" si="96"/>
        <v>60982.561820587332</v>
      </c>
      <c r="N442" s="20">
        <f ca="1">IF((N441-K442+Y442)&gt;_Max_Stock_Gramos,_Max_Stock_Gramos,N441-K442+Y442)</f>
        <v>1326.5673051751655</v>
      </c>
      <c r="O442" s="20">
        <f ca="1">N442/_GramosXFrasco</f>
        <v>7.8033370892656793</v>
      </c>
      <c r="P442" s="63">
        <f ca="1">(N442/_Max_Stock_Gramos)</f>
        <v>0.78033370892656795</v>
      </c>
      <c r="Q442" s="63"/>
      <c r="R442" s="10">
        <f ca="1">IF((N441-J442)&lt;0,(N441-J442)*_Costo_Faltante,0)</f>
        <v>0</v>
      </c>
      <c r="S442">
        <f ca="1">IF(U442=0,X442*_Costo_Frasco,0)</f>
        <v>0</v>
      </c>
      <c r="T442" s="11">
        <f t="shared" ca="1" si="97"/>
        <v>-40077.89173507681</v>
      </c>
      <c r="U442" s="10">
        <f>IF(U441=0,_Proxima_Compra,U441-1)</f>
        <v>0</v>
      </c>
      <c r="V442" s="3">
        <f t="shared" ca="1" si="92"/>
        <v>0.7142137909591495</v>
      </c>
      <c r="W442" s="3">
        <f ca="1">IF(W441&gt;0,W441-1,IF(V442&gt;0,LOOKUP(V442,$R$3:$R$5,$O$3:$O$5),-1))</f>
        <v>1</v>
      </c>
      <c r="X442" s="25">
        <f t="shared" ca="1" si="93"/>
        <v>0</v>
      </c>
      <c r="Y442" s="28">
        <f ca="1">X442*_GramosXFrasco</f>
        <v>0</v>
      </c>
    </row>
    <row r="443" spans="1:25" x14ac:dyDescent="0.25">
      <c r="A443" s="30">
        <f t="shared" si="94"/>
        <v>427</v>
      </c>
      <c r="B443" s="38">
        <f t="shared" ca="1" si="87"/>
        <v>0.13257296891984371</v>
      </c>
      <c r="C443" s="36">
        <f t="shared" ca="1" si="88"/>
        <v>-1</v>
      </c>
      <c r="D443" s="36">
        <f t="shared" ca="1" si="89"/>
        <v>-1</v>
      </c>
      <c r="E443" s="36">
        <f t="shared" ca="1" si="98"/>
        <v>-1</v>
      </c>
      <c r="F443" s="37">
        <f ca="1">IF(E443&lt;&gt;-1,_Media_M + E443*_Sigma,-1)</f>
        <v>-1</v>
      </c>
      <c r="G443" s="3">
        <f t="shared" ca="1" si="90"/>
        <v>50</v>
      </c>
      <c r="H443" s="36">
        <f t="shared" ca="1" si="99"/>
        <v>50</v>
      </c>
      <c r="I443" s="36">
        <f t="shared" ca="1" si="91"/>
        <v>0.41902284299871451</v>
      </c>
      <c r="J443" s="35">
        <f t="shared" ca="1" si="100"/>
        <v>50.419022842998714</v>
      </c>
      <c r="K443" s="19">
        <f t="shared" ca="1" si="95"/>
        <v>50.419022842998714</v>
      </c>
      <c r="L443" s="20">
        <f ca="1" xml:space="preserve"> K443*_Precio_cafe</f>
        <v>75.628534264498072</v>
      </c>
      <c r="M443" s="20">
        <f t="shared" ca="1" si="96"/>
        <v>61058.190354851831</v>
      </c>
      <c r="N443" s="20">
        <f ca="1">IF((N442-K443+Y443)&gt;_Max_Stock_Gramos,_Max_Stock_Gramos,N442-K443+Y443)</f>
        <v>1616.1482823321669</v>
      </c>
      <c r="O443" s="20">
        <f ca="1">N443/_GramosXFrasco</f>
        <v>9.5067546019539222</v>
      </c>
      <c r="P443" s="63">
        <f ca="1">(N443/_Max_Stock_Gramos)</f>
        <v>0.95067546019539229</v>
      </c>
      <c r="Q443" s="63"/>
      <c r="R443" s="10">
        <f ca="1">IF((N442-J443)&lt;0,(N442-J443)*_Costo_Faltante,0)</f>
        <v>0</v>
      </c>
      <c r="S443">
        <f>IF(U443=0,X443*_Costo_Frasco,0)</f>
        <v>0</v>
      </c>
      <c r="T443" s="11">
        <f t="shared" ca="1" si="97"/>
        <v>-40077.89173507681</v>
      </c>
      <c r="U443" s="10">
        <f>IF(U442=0,_Proxima_Compra,U442-1)</f>
        <v>2</v>
      </c>
      <c r="V443" s="3">
        <f t="shared" ca="1" si="92"/>
        <v>-1</v>
      </c>
      <c r="W443" s="3">
        <f ca="1">IF(W442&gt;0,W442-1,IF(V443&gt;0,LOOKUP(V443,$R$3:$R$5,$O$3:$O$5),-1))</f>
        <v>0</v>
      </c>
      <c r="X443" s="25">
        <f t="shared" ca="1" si="93"/>
        <v>2</v>
      </c>
      <c r="Y443" s="28">
        <f ca="1">X443*_GramosXFrasco</f>
        <v>340</v>
      </c>
    </row>
    <row r="444" spans="1:25" x14ac:dyDescent="0.25">
      <c r="A444" s="30">
        <f t="shared" si="94"/>
        <v>428</v>
      </c>
      <c r="B444" s="38">
        <f t="shared" ca="1" si="87"/>
        <v>0.28361636358131559</v>
      </c>
      <c r="C444" s="36">
        <f t="shared" ca="1" si="88"/>
        <v>-1</v>
      </c>
      <c r="D444" s="36">
        <f t="shared" ca="1" si="89"/>
        <v>-1</v>
      </c>
      <c r="E444" s="36">
        <f t="shared" ca="1" si="98"/>
        <v>-1</v>
      </c>
      <c r="F444" s="37">
        <f ca="1">IF(E444&lt;&gt;-1,_Media_M + E444*_Sigma,-1)</f>
        <v>-1</v>
      </c>
      <c r="G444" s="3">
        <f t="shared" ca="1" si="90"/>
        <v>50</v>
      </c>
      <c r="H444" s="36">
        <f t="shared" ca="1" si="99"/>
        <v>50</v>
      </c>
      <c r="I444" s="36">
        <f t="shared" ca="1" si="91"/>
        <v>12.922541337884462</v>
      </c>
      <c r="J444" s="35">
        <f t="shared" ca="1" si="100"/>
        <v>62.922541337884461</v>
      </c>
      <c r="K444" s="19">
        <f t="shared" ca="1" si="95"/>
        <v>62.922541337884461</v>
      </c>
      <c r="L444" s="20">
        <f ca="1" xml:space="preserve"> K444*_Precio_cafe</f>
        <v>94.383812006826687</v>
      </c>
      <c r="M444" s="20">
        <f t="shared" ca="1" si="96"/>
        <v>61152.574166858656</v>
      </c>
      <c r="N444" s="20">
        <f ca="1">IF((N443-K444+Y444)&gt;_Max_Stock_Gramos,_Max_Stock_Gramos,N443-K444+Y444)</f>
        <v>1553.2257409942824</v>
      </c>
      <c r="O444" s="20">
        <f ca="1">N444/_GramosXFrasco</f>
        <v>9.1366220058487198</v>
      </c>
      <c r="P444" s="63">
        <f ca="1">(N444/_Max_Stock_Gramos)</f>
        <v>0.91366220058487202</v>
      </c>
      <c r="Q444" s="63"/>
      <c r="R444" s="10">
        <f ca="1">IF((N443-J444)&lt;0,(N443-J444)*_Costo_Faltante,0)</f>
        <v>0</v>
      </c>
      <c r="S444">
        <f>IF(U444=0,X444*_Costo_Frasco,0)</f>
        <v>0</v>
      </c>
      <c r="T444" s="11">
        <f t="shared" ca="1" si="97"/>
        <v>-40077.89173507681</v>
      </c>
      <c r="U444" s="10">
        <f>IF(U443=0,_Proxima_Compra,U443-1)</f>
        <v>1</v>
      </c>
      <c r="V444" s="3">
        <f t="shared" ca="1" si="92"/>
        <v>-1</v>
      </c>
      <c r="W444" s="3">
        <f ca="1">IF(W443&gt;0,W443-1,IF(V444&gt;0,LOOKUP(V444,$R$3:$R$5,$O$3:$O$5),-1))</f>
        <v>-1</v>
      </c>
      <c r="X444" s="25">
        <f t="shared" ca="1" si="93"/>
        <v>0</v>
      </c>
      <c r="Y444" s="28">
        <f ca="1">X444*_GramosXFrasco</f>
        <v>0</v>
      </c>
    </row>
    <row r="445" spans="1:25" x14ac:dyDescent="0.25">
      <c r="A445" s="30">
        <f t="shared" si="94"/>
        <v>429</v>
      </c>
      <c r="B445" s="38">
        <f t="shared" ca="1" si="87"/>
        <v>0.25141184244250836</v>
      </c>
      <c r="C445" s="36">
        <f t="shared" ca="1" si="88"/>
        <v>-1</v>
      </c>
      <c r="D445" s="36">
        <f t="shared" ca="1" si="89"/>
        <v>-1</v>
      </c>
      <c r="E445" s="36">
        <f t="shared" ca="1" si="98"/>
        <v>-1</v>
      </c>
      <c r="F445" s="37">
        <f ca="1">IF(E445&lt;&gt;-1,_Media_M + E445*_Sigma,-1)</f>
        <v>-1</v>
      </c>
      <c r="G445" s="3">
        <f t="shared" ca="1" si="90"/>
        <v>50</v>
      </c>
      <c r="H445" s="36">
        <f t="shared" ca="1" si="99"/>
        <v>50</v>
      </c>
      <c r="I445" s="36">
        <f t="shared" ca="1" si="91"/>
        <v>2.0423002791606524</v>
      </c>
      <c r="J445" s="35">
        <f t="shared" ca="1" si="100"/>
        <v>52.042300279160649</v>
      </c>
      <c r="K445" s="19">
        <f t="shared" ca="1" si="95"/>
        <v>52.042300279160649</v>
      </c>
      <c r="L445" s="20">
        <f ca="1" xml:space="preserve"> K445*_Precio_cafe</f>
        <v>78.06345041874097</v>
      </c>
      <c r="M445" s="20">
        <f t="shared" ca="1" si="96"/>
        <v>61230.637617277396</v>
      </c>
      <c r="N445" s="20">
        <f ca="1">IF((N444-K445+Y445)&gt;_Max_Stock_Gramos,_Max_Stock_Gramos,N444-K445+Y445)</f>
        <v>1501.1834407151218</v>
      </c>
      <c r="O445" s="20">
        <f ca="1">N445/_GramosXFrasco</f>
        <v>8.8304908277360106</v>
      </c>
      <c r="P445" s="63">
        <f ca="1">(N445/_Max_Stock_Gramos)</f>
        <v>0.88304908277360106</v>
      </c>
      <c r="Q445" s="63"/>
      <c r="R445" s="10">
        <f ca="1">IF((N444-J445)&lt;0,(N444-J445)*_Costo_Faltante,0)</f>
        <v>0</v>
      </c>
      <c r="S445">
        <f ca="1">IF(U445=0,X445*_Costo_Frasco,0)</f>
        <v>0</v>
      </c>
      <c r="T445" s="11">
        <f t="shared" ca="1" si="97"/>
        <v>-40077.89173507681</v>
      </c>
      <c r="U445" s="10">
        <f>IF(U444=0,_Proxima_Compra,U444-1)</f>
        <v>0</v>
      </c>
      <c r="V445" s="3">
        <f t="shared" ca="1" si="92"/>
        <v>0.76459039480415314</v>
      </c>
      <c r="W445" s="3">
        <f ca="1">IF(W444&gt;0,W444-1,IF(V445&gt;0,LOOKUP(V445,$R$3:$R$5,$O$3:$O$5),-1))</f>
        <v>2</v>
      </c>
      <c r="X445" s="25">
        <f t="shared" ca="1" si="93"/>
        <v>0</v>
      </c>
      <c r="Y445" s="28">
        <f ca="1">X445*_GramosXFrasco</f>
        <v>0</v>
      </c>
    </row>
    <row r="446" spans="1:25" x14ac:dyDescent="0.25">
      <c r="A446" s="30">
        <f t="shared" si="94"/>
        <v>430</v>
      </c>
      <c r="B446" s="38">
        <f t="shared" ca="1" si="87"/>
        <v>0.88434533140739757</v>
      </c>
      <c r="C446" s="36">
        <f t="shared" ca="1" si="88"/>
        <v>0.32606277967238562</v>
      </c>
      <c r="D446" s="36">
        <f t="shared" ca="1" si="89"/>
        <v>0.91982561130837703</v>
      </c>
      <c r="E446" s="36">
        <f t="shared" ca="1" si="98"/>
        <v>0.51273143941945387</v>
      </c>
      <c r="F446" s="37">
        <f ca="1">IF(E446&lt;&gt;-1,_Media_M + E446*_Sigma,-1)</f>
        <v>82.690971591291813</v>
      </c>
      <c r="G446" s="3">
        <f t="shared" ca="1" si="90"/>
        <v>-1</v>
      </c>
      <c r="H446" s="36">
        <f t="shared" ca="1" si="99"/>
        <v>82.690971591291813</v>
      </c>
      <c r="I446" s="36">
        <f t="shared" ca="1" si="91"/>
        <v>29.24776957585091</v>
      </c>
      <c r="J446" s="35">
        <f t="shared" ca="1" si="100"/>
        <v>111.93874116714272</v>
      </c>
      <c r="K446" s="19">
        <f t="shared" ca="1" si="95"/>
        <v>111.93874116714272</v>
      </c>
      <c r="L446" s="20">
        <f ca="1" xml:space="preserve"> K446*_Precio_cafe</f>
        <v>167.90811175071408</v>
      </c>
      <c r="M446" s="20">
        <f t="shared" ca="1" si="96"/>
        <v>61398.545729028112</v>
      </c>
      <c r="N446" s="20">
        <f ca="1">IF((N445-K446+Y446)&gt;_Max_Stock_Gramos,_Max_Stock_Gramos,N445-K446+Y446)</f>
        <v>1389.2446995479791</v>
      </c>
      <c r="O446" s="20">
        <f ca="1">N446/_GramosXFrasco</f>
        <v>8.1720276443998774</v>
      </c>
      <c r="P446" s="63">
        <f ca="1">(N446/_Max_Stock_Gramos)</f>
        <v>0.81720276443998763</v>
      </c>
      <c r="Q446" s="63"/>
      <c r="R446" s="10">
        <f ca="1">IF((N445-J446)&lt;0,(N445-J446)*_Costo_Faltante,0)</f>
        <v>0</v>
      </c>
      <c r="S446">
        <f>IF(U446=0,X446*_Costo_Frasco,0)</f>
        <v>0</v>
      </c>
      <c r="T446" s="11">
        <f t="shared" ca="1" si="97"/>
        <v>-40077.89173507681</v>
      </c>
      <c r="U446" s="10">
        <f>IF(U445=0,_Proxima_Compra,U445-1)</f>
        <v>2</v>
      </c>
      <c r="V446" s="3">
        <f t="shared" ca="1" si="92"/>
        <v>-1</v>
      </c>
      <c r="W446" s="3">
        <f ca="1">IF(W445&gt;0,W445-1,IF(V446&gt;0,LOOKUP(V446,$R$3:$R$5,$O$3:$O$5),-1))</f>
        <v>1</v>
      </c>
      <c r="X446" s="25">
        <f t="shared" ca="1" si="93"/>
        <v>0</v>
      </c>
      <c r="Y446" s="28">
        <f ca="1">X446*_GramosXFrasco</f>
        <v>0</v>
      </c>
    </row>
    <row r="447" spans="1:25" x14ac:dyDescent="0.25">
      <c r="A447" s="30">
        <f t="shared" si="94"/>
        <v>431</v>
      </c>
      <c r="B447" s="38">
        <f t="shared" ca="1" si="87"/>
        <v>0.18424146272382946</v>
      </c>
      <c r="C447" s="36">
        <f t="shared" ca="1" si="88"/>
        <v>-1</v>
      </c>
      <c r="D447" s="36">
        <f t="shared" ca="1" si="89"/>
        <v>-1</v>
      </c>
      <c r="E447" s="36">
        <f t="shared" ca="1" si="98"/>
        <v>-1</v>
      </c>
      <c r="F447" s="37">
        <f ca="1">IF(E447&lt;&gt;-1,_Media_M + E447*_Sigma,-1)</f>
        <v>-1</v>
      </c>
      <c r="G447" s="3">
        <f t="shared" ca="1" si="90"/>
        <v>50</v>
      </c>
      <c r="H447" s="36">
        <f t="shared" ca="1" si="99"/>
        <v>50</v>
      </c>
      <c r="I447" s="36">
        <f t="shared" ca="1" si="91"/>
        <v>2.1790651735346995</v>
      </c>
      <c r="J447" s="35">
        <f t="shared" ca="1" si="100"/>
        <v>52.179065173534703</v>
      </c>
      <c r="K447" s="19">
        <f t="shared" ca="1" si="95"/>
        <v>52.179065173534703</v>
      </c>
      <c r="L447" s="20">
        <f ca="1" xml:space="preserve"> K447*_Precio_cafe</f>
        <v>78.268597760302058</v>
      </c>
      <c r="M447" s="20">
        <f t="shared" ca="1" si="96"/>
        <v>61476.814326788415</v>
      </c>
      <c r="N447" s="20">
        <f ca="1">IF((N446-K447+Y447)&gt;_Max_Stock_Gramos,_Max_Stock_Gramos,N446-K447+Y447)</f>
        <v>1677.0656343744442</v>
      </c>
      <c r="O447" s="20">
        <f ca="1">N447/_GramosXFrasco</f>
        <v>9.865091966908496</v>
      </c>
      <c r="P447" s="63">
        <f ca="1">(N447/_Max_Stock_Gramos)</f>
        <v>0.98650919669084958</v>
      </c>
      <c r="Q447" s="63"/>
      <c r="R447" s="10">
        <f ca="1">IF((N446-J447)&lt;0,(N446-J447)*_Costo_Faltante,0)</f>
        <v>0</v>
      </c>
      <c r="S447">
        <f>IF(U447=0,X447*_Costo_Frasco,0)</f>
        <v>0</v>
      </c>
      <c r="T447" s="11">
        <f t="shared" ca="1" si="97"/>
        <v>-40077.89173507681</v>
      </c>
      <c r="U447" s="10">
        <f>IF(U446=0,_Proxima_Compra,U446-1)</f>
        <v>1</v>
      </c>
      <c r="V447" s="3">
        <f t="shared" ca="1" si="92"/>
        <v>-1</v>
      </c>
      <c r="W447" s="3">
        <f ca="1">IF(W446&gt;0,W446-1,IF(V447&gt;0,LOOKUP(V447,$R$3:$R$5,$O$3:$O$5),-1))</f>
        <v>0</v>
      </c>
      <c r="X447" s="25">
        <f t="shared" ca="1" si="93"/>
        <v>2</v>
      </c>
      <c r="Y447" s="28">
        <f ca="1">X447*_GramosXFrasco</f>
        <v>340</v>
      </c>
    </row>
    <row r="448" spans="1:25" x14ac:dyDescent="0.25">
      <c r="A448" s="30">
        <f t="shared" si="94"/>
        <v>432</v>
      </c>
      <c r="B448" s="38">
        <f t="shared" ca="1" si="87"/>
        <v>0.92716927262045268</v>
      </c>
      <c r="C448" s="36">
        <f t="shared" ca="1" si="88"/>
        <v>6.8448814311228623E-2</v>
      </c>
      <c r="D448" s="36">
        <f t="shared" ca="1" si="89"/>
        <v>0.55593466762256971</v>
      </c>
      <c r="E448" s="36">
        <f t="shared" ca="1" si="98"/>
        <v>-0.23299727645695828</v>
      </c>
      <c r="F448" s="37">
        <f ca="1">IF(E448&lt;&gt;-1,_Media_M + E448*_Sigma,-1)</f>
        <v>71.50504085314563</v>
      </c>
      <c r="G448" s="3">
        <f t="shared" ca="1" si="90"/>
        <v>-1</v>
      </c>
      <c r="H448" s="36">
        <f t="shared" ca="1" si="99"/>
        <v>71.50504085314563</v>
      </c>
      <c r="I448" s="36">
        <f t="shared" ca="1" si="91"/>
        <v>38.519769906684687</v>
      </c>
      <c r="J448" s="35">
        <f t="shared" ca="1" si="100"/>
        <v>110.02481075983032</v>
      </c>
      <c r="K448" s="19">
        <f t="shared" ca="1" si="95"/>
        <v>110.02481075983032</v>
      </c>
      <c r="L448" s="20">
        <f ca="1" xml:space="preserve"> K448*_Precio_cafe</f>
        <v>165.03721613974548</v>
      </c>
      <c r="M448" s="20">
        <f t="shared" ca="1" si="96"/>
        <v>61641.851542928162</v>
      </c>
      <c r="N448" s="20">
        <f ca="1">IF((N447-K448+Y448)&gt;_Max_Stock_Gramos,_Max_Stock_Gramos,N447-K448+Y448)</f>
        <v>1700</v>
      </c>
      <c r="O448" s="20">
        <f ca="1">N448/_GramosXFrasco</f>
        <v>10</v>
      </c>
      <c r="P448" s="63">
        <f ca="1">(N448/_Max_Stock_Gramos)</f>
        <v>1</v>
      </c>
      <c r="Q448" s="63"/>
      <c r="R448" s="10">
        <f ca="1">IF((N447-J448)&lt;0,(N447-J448)*_Costo_Faltante,0)</f>
        <v>0</v>
      </c>
      <c r="S448">
        <f ca="1">IF(U448=0,X448*_Costo_Frasco,0)</f>
        <v>-500</v>
      </c>
      <c r="T448" s="11">
        <f t="shared" ca="1" si="97"/>
        <v>-40577.89173507681</v>
      </c>
      <c r="U448" s="10">
        <f>IF(U447=0,_Proxima_Compra,U447-1)</f>
        <v>0</v>
      </c>
      <c r="V448" s="3">
        <f t="shared" ca="1" si="92"/>
        <v>3.0551487510044217E-2</v>
      </c>
      <c r="W448" s="3">
        <f ca="1">IF(W447&gt;0,W447-1,IF(V448&gt;0,LOOKUP(V448,$R$3:$R$5,$O$3:$O$5),-1))</f>
        <v>0</v>
      </c>
      <c r="X448" s="25">
        <f t="shared" ca="1" si="93"/>
        <v>2</v>
      </c>
      <c r="Y448" s="28">
        <f ca="1">X448*_GramosXFrasco</f>
        <v>340</v>
      </c>
    </row>
    <row r="449" spans="1:25" x14ac:dyDescent="0.25">
      <c r="A449" s="30">
        <f t="shared" si="94"/>
        <v>433</v>
      </c>
      <c r="B449" s="38">
        <f t="shared" ca="1" si="87"/>
        <v>0.50551031032281601</v>
      </c>
      <c r="C449" s="36">
        <f t="shared" ca="1" si="88"/>
        <v>0.1635233987246113</v>
      </c>
      <c r="D449" s="36">
        <f t="shared" ca="1" si="89"/>
        <v>0.76830222244240565</v>
      </c>
      <c r="E449" s="36">
        <f t="shared" ca="1" si="98"/>
        <v>4.5187815530081145E-2</v>
      </c>
      <c r="F449" s="37">
        <f ca="1">IF(E449&lt;&gt;-1,_Media_M + E449*_Sigma,-1)</f>
        <v>75.677817232951213</v>
      </c>
      <c r="G449" s="3">
        <f t="shared" ca="1" si="90"/>
        <v>-1</v>
      </c>
      <c r="H449" s="36">
        <f t="shared" ca="1" si="99"/>
        <v>75.677817232951213</v>
      </c>
      <c r="I449" s="36">
        <f t="shared" ca="1" si="91"/>
        <v>33.917491261736018</v>
      </c>
      <c r="J449" s="35">
        <f t="shared" ca="1" si="100"/>
        <v>109.59530849468723</v>
      </c>
      <c r="K449" s="19">
        <f t="shared" ca="1" si="95"/>
        <v>109.59530849468723</v>
      </c>
      <c r="L449" s="20">
        <f ca="1" xml:space="preserve"> K449*_Precio_cafe</f>
        <v>164.39296274203085</v>
      </c>
      <c r="M449" s="20">
        <f t="shared" ca="1" si="96"/>
        <v>61806.244505670191</v>
      </c>
      <c r="N449" s="20">
        <f ca="1">IF((N448-K449+Y449)&gt;_Max_Stock_Gramos,_Max_Stock_Gramos,N448-K449+Y449)</f>
        <v>1590.4046915053127</v>
      </c>
      <c r="O449" s="20">
        <f ca="1">N449/_GramosXFrasco</f>
        <v>9.3553217147371335</v>
      </c>
      <c r="P449" s="63">
        <f ca="1">(N449/_Max_Stock_Gramos)</f>
        <v>0.93553217147371337</v>
      </c>
      <c r="Q449" s="63"/>
      <c r="R449" s="10">
        <f ca="1">IF((N448-J449)&lt;0,(N448-J449)*_Costo_Faltante,0)</f>
        <v>0</v>
      </c>
      <c r="S449">
        <f>IF(U449=0,X449*_Costo_Frasco,0)</f>
        <v>0</v>
      </c>
      <c r="T449" s="11">
        <f t="shared" ca="1" si="97"/>
        <v>-40577.89173507681</v>
      </c>
      <c r="U449" s="10">
        <f>IF(U448=0,_Proxima_Compra,U448-1)</f>
        <v>2</v>
      </c>
      <c r="V449" s="3">
        <f t="shared" ca="1" si="92"/>
        <v>-1</v>
      </c>
      <c r="W449" s="3">
        <f ca="1">IF(W448&gt;0,W448-1,IF(V449&gt;0,LOOKUP(V449,$R$3:$R$5,$O$3:$O$5),-1))</f>
        <v>-1</v>
      </c>
      <c r="X449" s="25">
        <f t="shared" ca="1" si="93"/>
        <v>0</v>
      </c>
      <c r="Y449" s="28">
        <f ca="1">X449*_GramosXFrasco</f>
        <v>0</v>
      </c>
    </row>
    <row r="450" spans="1:25" x14ac:dyDescent="0.25">
      <c r="A450" s="30">
        <f t="shared" si="94"/>
        <v>434</v>
      </c>
      <c r="B450" s="38">
        <f t="shared" ca="1" si="87"/>
        <v>0.57001606269214922</v>
      </c>
      <c r="C450" s="36">
        <f t="shared" ca="1" si="88"/>
        <v>0.90834639774288473</v>
      </c>
      <c r="D450" s="36">
        <f t="shared" ca="1" si="89"/>
        <v>0.94948983392820152</v>
      </c>
      <c r="E450" s="36">
        <f t="shared" ca="1" si="98"/>
        <v>1.3687808482852533</v>
      </c>
      <c r="F450" s="37">
        <f ca="1">IF(E450&lt;&gt;-1,_Media_M + E450*_Sigma,-1)</f>
        <v>95.531712724278805</v>
      </c>
      <c r="G450" s="3">
        <f t="shared" ca="1" si="90"/>
        <v>-1</v>
      </c>
      <c r="H450" s="36">
        <f t="shared" ca="1" si="99"/>
        <v>95.531712724278805</v>
      </c>
      <c r="I450" s="36">
        <f t="shared" ca="1" si="91"/>
        <v>37.834143852425697</v>
      </c>
      <c r="J450" s="35">
        <f t="shared" ca="1" si="100"/>
        <v>133.36585657670452</v>
      </c>
      <c r="K450" s="19">
        <f t="shared" ca="1" si="95"/>
        <v>133.36585657670452</v>
      </c>
      <c r="L450" s="20">
        <f ca="1" xml:space="preserve"> K450*_Precio_cafe</f>
        <v>200.04878486505677</v>
      </c>
      <c r="M450" s="20">
        <f t="shared" ca="1" si="96"/>
        <v>62006.29329053525</v>
      </c>
      <c r="N450" s="20">
        <f ca="1">IF((N449-K450+Y450)&gt;_Max_Stock_Gramos,_Max_Stock_Gramos,N449-K450+Y450)</f>
        <v>1457.0388349286081</v>
      </c>
      <c r="O450" s="20">
        <f ca="1">N450/_GramosXFrasco</f>
        <v>8.5708166760506366</v>
      </c>
      <c r="P450" s="63">
        <f ca="1">(N450/_Max_Stock_Gramos)</f>
        <v>0.85708166760506366</v>
      </c>
      <c r="Q450" s="63"/>
      <c r="R450" s="10">
        <f ca="1">IF((N449-J450)&lt;0,(N449-J450)*_Costo_Faltante,0)</f>
        <v>0</v>
      </c>
      <c r="S450">
        <f>IF(U450=0,X450*_Costo_Frasco,0)</f>
        <v>0</v>
      </c>
      <c r="T450" s="11">
        <f t="shared" ca="1" si="97"/>
        <v>-40577.89173507681</v>
      </c>
      <c r="U450" s="10">
        <f>IF(U449=0,_Proxima_Compra,U449-1)</f>
        <v>1</v>
      </c>
      <c r="V450" s="3">
        <f t="shared" ca="1" si="92"/>
        <v>-1</v>
      </c>
      <c r="W450" s="3">
        <f ca="1">IF(W449&gt;0,W449-1,IF(V450&gt;0,LOOKUP(V450,$R$3:$R$5,$O$3:$O$5),-1))</f>
        <v>-1</v>
      </c>
      <c r="X450" s="25">
        <f t="shared" ca="1" si="93"/>
        <v>0</v>
      </c>
      <c r="Y450" s="28">
        <f ca="1">X450*_GramosXFrasco</f>
        <v>0</v>
      </c>
    </row>
    <row r="451" spans="1:25" x14ac:dyDescent="0.25">
      <c r="A451" s="30">
        <f t="shared" si="94"/>
        <v>435</v>
      </c>
      <c r="B451" s="38">
        <f t="shared" ca="1" si="87"/>
        <v>0.192648789628174</v>
      </c>
      <c r="C451" s="36">
        <f t="shared" ca="1" si="88"/>
        <v>-1</v>
      </c>
      <c r="D451" s="36">
        <f t="shared" ca="1" si="89"/>
        <v>-1</v>
      </c>
      <c r="E451" s="36">
        <f t="shared" ca="1" si="98"/>
        <v>-1</v>
      </c>
      <c r="F451" s="37">
        <f ca="1">IF(E451&lt;&gt;-1,_Media_M + E451*_Sigma,-1)</f>
        <v>-1</v>
      </c>
      <c r="G451" s="3">
        <f t="shared" ca="1" si="90"/>
        <v>50</v>
      </c>
      <c r="H451" s="36">
        <f t="shared" ca="1" si="99"/>
        <v>50</v>
      </c>
      <c r="I451" s="36">
        <f t="shared" ca="1" si="91"/>
        <v>83.799121052848079</v>
      </c>
      <c r="J451" s="35">
        <f t="shared" ca="1" si="100"/>
        <v>133.79912105284808</v>
      </c>
      <c r="K451" s="19">
        <f t="shared" ca="1" si="95"/>
        <v>133.79912105284808</v>
      </c>
      <c r="L451" s="20">
        <f ca="1" xml:space="preserve"> K451*_Precio_cafe</f>
        <v>200.69868157927212</v>
      </c>
      <c r="M451" s="20">
        <f t="shared" ca="1" si="96"/>
        <v>62206.99197211452</v>
      </c>
      <c r="N451" s="20">
        <f ca="1">IF((N450-K451+Y451)&gt;_Max_Stock_Gramos,_Max_Stock_Gramos,N450-K451+Y451)</f>
        <v>1663.2397138757601</v>
      </c>
      <c r="O451" s="20">
        <f ca="1">N451/_GramosXFrasco</f>
        <v>9.7837630227985883</v>
      </c>
      <c r="P451" s="63">
        <f ca="1">(N451/_Max_Stock_Gramos)</f>
        <v>0.97837630227985894</v>
      </c>
      <c r="Q451" s="63"/>
      <c r="R451" s="10">
        <f ca="1">IF((N450-J451)&lt;0,(N450-J451)*_Costo_Faltante,0)</f>
        <v>0</v>
      </c>
      <c r="S451">
        <f ca="1">IF(U451=0,X451*_Costo_Frasco,0)</f>
        <v>-500</v>
      </c>
      <c r="T451" s="11">
        <f t="shared" ca="1" si="97"/>
        <v>-41077.89173507681</v>
      </c>
      <c r="U451" s="10">
        <f>IF(U450=0,_Proxima_Compra,U450-1)</f>
        <v>0</v>
      </c>
      <c r="V451" s="3">
        <f t="shared" ca="1" si="92"/>
        <v>0.35739904906360431</v>
      </c>
      <c r="W451" s="3">
        <f ca="1">IF(W450&gt;0,W450-1,IF(V451&gt;0,LOOKUP(V451,$R$3:$R$5,$O$3:$O$5),-1))</f>
        <v>0</v>
      </c>
      <c r="X451" s="25">
        <f t="shared" ca="1" si="93"/>
        <v>2</v>
      </c>
      <c r="Y451" s="28">
        <f ca="1">X451*_GramosXFrasco</f>
        <v>340</v>
      </c>
    </row>
    <row r="452" spans="1:25" x14ac:dyDescent="0.25">
      <c r="A452" s="30">
        <f t="shared" si="94"/>
        <v>436</v>
      </c>
      <c r="B452" s="38">
        <f t="shared" ca="1" si="87"/>
        <v>0.95461585804412907</v>
      </c>
      <c r="C452" s="36">
        <f t="shared" ca="1" si="88"/>
        <v>0.3175200989685002</v>
      </c>
      <c r="D452" s="36">
        <f t="shared" ca="1" si="89"/>
        <v>0.82355595509743551</v>
      </c>
      <c r="E452" s="36">
        <f t="shared" ca="1" si="98"/>
        <v>0.25684841536924291</v>
      </c>
      <c r="F452" s="37">
        <f ca="1">IF(E452&lt;&gt;-1,_Media_M + E452*_Sigma,-1)</f>
        <v>78.85272623053865</v>
      </c>
      <c r="G452" s="3">
        <f t="shared" ca="1" si="90"/>
        <v>-1</v>
      </c>
      <c r="H452" s="36">
        <f t="shared" ca="1" si="99"/>
        <v>78.85272623053865</v>
      </c>
      <c r="I452" s="36">
        <f t="shared" ca="1" si="91"/>
        <v>12.044094618466044</v>
      </c>
      <c r="J452" s="35">
        <f t="shared" ca="1" si="100"/>
        <v>90.896820849004698</v>
      </c>
      <c r="K452" s="19">
        <f t="shared" ca="1" si="95"/>
        <v>90.896820849004698</v>
      </c>
      <c r="L452" s="20">
        <f ca="1" xml:space="preserve"> K452*_Precio_cafe</f>
        <v>136.34523127350704</v>
      </c>
      <c r="M452" s="20">
        <f t="shared" ca="1" si="96"/>
        <v>62343.33720338803</v>
      </c>
      <c r="N452" s="20">
        <f ca="1">IF((N451-K452+Y452)&gt;_Max_Stock_Gramos,_Max_Stock_Gramos,N451-K452+Y452)</f>
        <v>1572.3428930267555</v>
      </c>
      <c r="O452" s="20">
        <f ca="1">N452/_GramosXFrasco</f>
        <v>9.2490758413338554</v>
      </c>
      <c r="P452" s="63">
        <f ca="1">(N452/_Max_Stock_Gramos)</f>
        <v>0.92490758413338559</v>
      </c>
      <c r="Q452" s="63"/>
      <c r="R452" s="10">
        <f ca="1">IF((N451-J452)&lt;0,(N451-J452)*_Costo_Faltante,0)</f>
        <v>0</v>
      </c>
      <c r="S452">
        <f>IF(U452=0,X452*_Costo_Frasco,0)</f>
        <v>0</v>
      </c>
      <c r="T452" s="11">
        <f t="shared" ca="1" si="97"/>
        <v>-41077.89173507681</v>
      </c>
      <c r="U452" s="10">
        <f>IF(U451=0,_Proxima_Compra,U451-1)</f>
        <v>2</v>
      </c>
      <c r="V452" s="3">
        <f t="shared" ca="1" si="92"/>
        <v>-1</v>
      </c>
      <c r="W452" s="3">
        <f ca="1">IF(W451&gt;0,W451-1,IF(V452&gt;0,LOOKUP(V452,$R$3:$R$5,$O$3:$O$5),-1))</f>
        <v>-1</v>
      </c>
      <c r="X452" s="25">
        <f t="shared" ca="1" si="93"/>
        <v>0</v>
      </c>
      <c r="Y452" s="28">
        <f ca="1">X452*_GramosXFrasco</f>
        <v>0</v>
      </c>
    </row>
    <row r="453" spans="1:25" x14ac:dyDescent="0.25">
      <c r="A453" s="30">
        <f t="shared" si="94"/>
        <v>437</v>
      </c>
      <c r="B453" s="38">
        <f t="shared" ca="1" si="87"/>
        <v>0.58860594863737536</v>
      </c>
      <c r="C453" s="36">
        <f t="shared" ca="1" si="88"/>
        <v>0.21263143674832519</v>
      </c>
      <c r="D453" s="36">
        <f t="shared" ca="1" si="89"/>
        <v>0.37653393033843841</v>
      </c>
      <c r="E453" s="36">
        <f t="shared" ca="1" si="98"/>
        <v>-0.3253045804112959</v>
      </c>
      <c r="F453" s="37">
        <f ca="1">IF(E453&lt;&gt;-1,_Media_M + E453*_Sigma,-1)</f>
        <v>70.120431293830563</v>
      </c>
      <c r="G453" s="3">
        <f t="shared" ca="1" si="90"/>
        <v>-1</v>
      </c>
      <c r="H453" s="36">
        <f t="shared" ca="1" si="99"/>
        <v>70.120431293830563</v>
      </c>
      <c r="I453" s="36">
        <f t="shared" ca="1" si="91"/>
        <v>2.9653655434069837</v>
      </c>
      <c r="J453" s="35">
        <f t="shared" ca="1" si="100"/>
        <v>73.085796837237552</v>
      </c>
      <c r="K453" s="19">
        <f t="shared" ca="1" si="95"/>
        <v>73.085796837237552</v>
      </c>
      <c r="L453" s="20">
        <f ca="1" xml:space="preserve"> K453*_Precio_cafe</f>
        <v>109.62869525585633</v>
      </c>
      <c r="M453" s="20">
        <f t="shared" ca="1" si="96"/>
        <v>62452.965898643888</v>
      </c>
      <c r="N453" s="20">
        <f ca="1">IF((N452-K453+Y453)&gt;_Max_Stock_Gramos,_Max_Stock_Gramos,N452-K453+Y453)</f>
        <v>1499.2570961895181</v>
      </c>
      <c r="O453" s="20">
        <f ca="1">N453/_GramosXFrasco</f>
        <v>8.8191593893501068</v>
      </c>
      <c r="P453" s="63">
        <f ca="1">(N453/_Max_Stock_Gramos)</f>
        <v>0.88191593893501063</v>
      </c>
      <c r="Q453" s="63"/>
      <c r="R453" s="10">
        <f ca="1">IF((N452-J453)&lt;0,(N452-J453)*_Costo_Faltante,0)</f>
        <v>0</v>
      </c>
      <c r="S453">
        <f>IF(U453=0,X453*_Costo_Frasco,0)</f>
        <v>0</v>
      </c>
      <c r="T453" s="11">
        <f t="shared" ca="1" si="97"/>
        <v>-41077.89173507681</v>
      </c>
      <c r="U453" s="10">
        <f>IF(U452=0,_Proxima_Compra,U452-1)</f>
        <v>1</v>
      </c>
      <c r="V453" s="3">
        <f t="shared" ca="1" si="92"/>
        <v>-1</v>
      </c>
      <c r="W453" s="3">
        <f ca="1">IF(W452&gt;0,W452-1,IF(V453&gt;0,LOOKUP(V453,$R$3:$R$5,$O$3:$O$5),-1))</f>
        <v>-1</v>
      </c>
      <c r="X453" s="25">
        <f t="shared" ca="1" si="93"/>
        <v>0</v>
      </c>
      <c r="Y453" s="28">
        <f ca="1">X453*_GramosXFrasco</f>
        <v>0</v>
      </c>
    </row>
    <row r="454" spans="1:25" x14ac:dyDescent="0.25">
      <c r="A454" s="30">
        <f t="shared" si="94"/>
        <v>438</v>
      </c>
      <c r="B454" s="38">
        <f t="shared" ca="1" si="87"/>
        <v>0.63991265580524193</v>
      </c>
      <c r="C454" s="36">
        <f t="shared" ca="1" si="88"/>
        <v>0.14587618674454561</v>
      </c>
      <c r="D454" s="36">
        <f t="shared" ca="1" si="89"/>
        <v>0.60577742023062342</v>
      </c>
      <c r="E454" s="36">
        <f t="shared" ca="1" si="98"/>
        <v>-0.29130819599669849</v>
      </c>
      <c r="F454" s="37">
        <f ca="1">IF(E454&lt;&gt;-1,_Media_M + E454*_Sigma,-1)</f>
        <v>70.630377060049526</v>
      </c>
      <c r="G454" s="3">
        <f t="shared" ca="1" si="90"/>
        <v>-1</v>
      </c>
      <c r="H454" s="36">
        <f t="shared" ca="1" si="99"/>
        <v>70.630377060049526</v>
      </c>
      <c r="I454" s="36">
        <f t="shared" ca="1" si="91"/>
        <v>41.298388954911005</v>
      </c>
      <c r="J454" s="35">
        <f t="shared" ca="1" si="100"/>
        <v>111.92876601496053</v>
      </c>
      <c r="K454" s="19">
        <f t="shared" ca="1" si="95"/>
        <v>111.92876601496053</v>
      </c>
      <c r="L454" s="20">
        <f ca="1" xml:space="preserve"> K454*_Precio_cafe</f>
        <v>167.89314902244081</v>
      </c>
      <c r="M454" s="20">
        <f t="shared" ca="1" si="96"/>
        <v>62620.85904766633</v>
      </c>
      <c r="N454" s="20">
        <f ca="1">IF((N453-K454+Y454)&gt;_Max_Stock_Gramos,_Max_Stock_Gramos,N453-K454+Y454)</f>
        <v>1700</v>
      </c>
      <c r="O454" s="20">
        <f ca="1">N454/_GramosXFrasco</f>
        <v>10</v>
      </c>
      <c r="P454" s="63">
        <f ca="1">(N454/_Max_Stock_Gramos)</f>
        <v>1</v>
      </c>
      <c r="Q454" s="63"/>
      <c r="R454" s="10">
        <f ca="1">IF((N453-J454)&lt;0,(N453-J454)*_Costo_Faltante,0)</f>
        <v>0</v>
      </c>
      <c r="S454">
        <f ca="1">IF(U454=0,X454*_Costo_Frasco,0)</f>
        <v>-500</v>
      </c>
      <c r="T454" s="11">
        <f t="shared" ca="1" si="97"/>
        <v>-41577.89173507681</v>
      </c>
      <c r="U454" s="10">
        <f>IF(U453=0,_Proxima_Compra,U453-1)</f>
        <v>0</v>
      </c>
      <c r="V454" s="3">
        <f t="shared" ca="1" si="92"/>
        <v>2.7465733528921898E-3</v>
      </c>
      <c r="W454" s="3">
        <f ca="1">IF(W453&gt;0,W453-1,IF(V454&gt;0,LOOKUP(V454,$R$3:$R$5,$O$3:$O$5),-1))</f>
        <v>0</v>
      </c>
      <c r="X454" s="25">
        <f t="shared" ca="1" si="93"/>
        <v>2</v>
      </c>
      <c r="Y454" s="28">
        <f ca="1">X454*_GramosXFrasco</f>
        <v>340</v>
      </c>
    </row>
    <row r="455" spans="1:25" x14ac:dyDescent="0.25">
      <c r="A455" s="30">
        <f t="shared" si="94"/>
        <v>439</v>
      </c>
      <c r="B455" s="38">
        <f t="shared" ca="1" si="87"/>
        <v>0.82713171959701315</v>
      </c>
      <c r="C455" s="36">
        <f t="shared" ca="1" si="88"/>
        <v>0.42333342494625825</v>
      </c>
      <c r="D455" s="36">
        <f t="shared" ca="1" si="89"/>
        <v>0.85979006514106793</v>
      </c>
      <c r="E455" s="36">
        <f t="shared" ca="1" si="98"/>
        <v>0.44006546186453016</v>
      </c>
      <c r="F455" s="37">
        <f ca="1">IF(E455&lt;&gt;-1,_Media_M + E455*_Sigma,-1)</f>
        <v>81.60098192796795</v>
      </c>
      <c r="G455" s="3">
        <f t="shared" ca="1" si="90"/>
        <v>-1</v>
      </c>
      <c r="H455" s="36">
        <f t="shared" ca="1" si="99"/>
        <v>81.60098192796795</v>
      </c>
      <c r="I455" s="36">
        <f t="shared" ca="1" si="91"/>
        <v>37.395535172057585</v>
      </c>
      <c r="J455" s="35">
        <f t="shared" ca="1" si="100"/>
        <v>118.99651710002553</v>
      </c>
      <c r="K455" s="19">
        <f t="shared" ca="1" si="95"/>
        <v>118.99651710002553</v>
      </c>
      <c r="L455" s="20">
        <f ca="1" xml:space="preserve"> K455*_Precio_cafe</f>
        <v>178.49477565003829</v>
      </c>
      <c r="M455" s="20">
        <f t="shared" ca="1" si="96"/>
        <v>62799.353823316371</v>
      </c>
      <c r="N455" s="20">
        <f ca="1">IF((N454-K455+Y455)&gt;_Max_Stock_Gramos,_Max_Stock_Gramos,N454-K455+Y455)</f>
        <v>1581.0034828999744</v>
      </c>
      <c r="O455" s="20">
        <f ca="1">N455/_GramosXFrasco</f>
        <v>9.3000204876469077</v>
      </c>
      <c r="P455" s="63">
        <f ca="1">(N455/_Max_Stock_Gramos)</f>
        <v>0.93000204876469084</v>
      </c>
      <c r="Q455" s="63"/>
      <c r="R455" s="10">
        <f ca="1">IF((N454-J455)&lt;0,(N454-J455)*_Costo_Faltante,0)</f>
        <v>0</v>
      </c>
      <c r="S455">
        <f>IF(U455=0,X455*_Costo_Frasco,0)</f>
        <v>0</v>
      </c>
      <c r="T455" s="11">
        <f t="shared" ca="1" si="97"/>
        <v>-41577.89173507681</v>
      </c>
      <c r="U455" s="10">
        <f>IF(U454=0,_Proxima_Compra,U454-1)</f>
        <v>2</v>
      </c>
      <c r="V455" s="3">
        <f t="shared" ca="1" si="92"/>
        <v>-1</v>
      </c>
      <c r="W455" s="3">
        <f ca="1">IF(W454&gt;0,W454-1,IF(V455&gt;0,LOOKUP(V455,$R$3:$R$5,$O$3:$O$5),-1))</f>
        <v>-1</v>
      </c>
      <c r="X455" s="25">
        <f t="shared" ca="1" si="93"/>
        <v>0</v>
      </c>
      <c r="Y455" s="28">
        <f ca="1">X455*_GramosXFrasco</f>
        <v>0</v>
      </c>
    </row>
    <row r="456" spans="1:25" x14ac:dyDescent="0.25">
      <c r="A456" s="30">
        <f t="shared" si="94"/>
        <v>440</v>
      </c>
      <c r="B456" s="38">
        <f t="shared" ca="1" si="87"/>
        <v>0.33063931616872266</v>
      </c>
      <c r="C456" s="36">
        <f t="shared" ca="1" si="88"/>
        <v>-1</v>
      </c>
      <c r="D456" s="36">
        <f t="shared" ca="1" si="89"/>
        <v>-1</v>
      </c>
      <c r="E456" s="36">
        <f t="shared" ca="1" si="98"/>
        <v>-1</v>
      </c>
      <c r="F456" s="37">
        <f ca="1">IF(E456&lt;&gt;-1,_Media_M + E456*_Sigma,-1)</f>
        <v>-1</v>
      </c>
      <c r="G456" s="3">
        <f t="shared" ca="1" si="90"/>
        <v>50</v>
      </c>
      <c r="H456" s="36">
        <f t="shared" ca="1" si="99"/>
        <v>50</v>
      </c>
      <c r="I456" s="36">
        <f t="shared" ca="1" si="91"/>
        <v>7.6088879732924077</v>
      </c>
      <c r="J456" s="35">
        <f t="shared" ca="1" si="100"/>
        <v>57.608887973292411</v>
      </c>
      <c r="K456" s="19">
        <f t="shared" ca="1" si="95"/>
        <v>57.608887973292411</v>
      </c>
      <c r="L456" s="20">
        <f ca="1" xml:space="preserve"> K456*_Precio_cafe</f>
        <v>86.413331959938617</v>
      </c>
      <c r="M456" s="20">
        <f t="shared" ca="1" si="96"/>
        <v>62885.767155276306</v>
      </c>
      <c r="N456" s="20">
        <f ca="1">IF((N455-K456+Y456)&gt;_Max_Stock_Gramos,_Max_Stock_Gramos,N455-K456+Y456)</f>
        <v>1523.394594926682</v>
      </c>
      <c r="O456" s="20">
        <f ca="1">N456/_GramosXFrasco</f>
        <v>8.9611446760393054</v>
      </c>
      <c r="P456" s="63">
        <f ca="1">(N456/_Max_Stock_Gramos)</f>
        <v>0.89611446760393054</v>
      </c>
      <c r="Q456" s="63"/>
      <c r="R456" s="10">
        <f ca="1">IF((N455-J456)&lt;0,(N455-J456)*_Costo_Faltante,0)</f>
        <v>0</v>
      </c>
      <c r="S456">
        <f>IF(U456=0,X456*_Costo_Frasco,0)</f>
        <v>0</v>
      </c>
      <c r="T456" s="11">
        <f t="shared" ca="1" si="97"/>
        <v>-41577.89173507681</v>
      </c>
      <c r="U456" s="10">
        <f>IF(U455=0,_Proxima_Compra,U455-1)</f>
        <v>1</v>
      </c>
      <c r="V456" s="3">
        <f t="shared" ca="1" si="92"/>
        <v>-1</v>
      </c>
      <c r="W456" s="3">
        <f ca="1">IF(W455&gt;0,W455-1,IF(V456&gt;0,LOOKUP(V456,$R$3:$R$5,$O$3:$O$5),-1))</f>
        <v>-1</v>
      </c>
      <c r="X456" s="25">
        <f t="shared" ca="1" si="93"/>
        <v>0</v>
      </c>
      <c r="Y456" s="28">
        <f ca="1">X456*_GramosXFrasco</f>
        <v>0</v>
      </c>
    </row>
    <row r="457" spans="1:25" x14ac:dyDescent="0.25">
      <c r="A457" s="30">
        <f t="shared" si="94"/>
        <v>441</v>
      </c>
      <c r="B457" s="38">
        <f t="shared" ca="1" si="87"/>
        <v>5.9813182822442856E-2</v>
      </c>
      <c r="C457" s="36">
        <f t="shared" ca="1" si="88"/>
        <v>-1</v>
      </c>
      <c r="D457" s="36">
        <f t="shared" ca="1" si="89"/>
        <v>-1</v>
      </c>
      <c r="E457" s="36">
        <f t="shared" ca="1" si="98"/>
        <v>-1</v>
      </c>
      <c r="F457" s="37">
        <f ca="1">IF(E457&lt;&gt;-1,_Media_M + E457*_Sigma,-1)</f>
        <v>-1</v>
      </c>
      <c r="G457" s="3">
        <f t="shared" ca="1" si="90"/>
        <v>50</v>
      </c>
      <c r="H457" s="36">
        <f t="shared" ca="1" si="99"/>
        <v>50</v>
      </c>
      <c r="I457" s="36">
        <f t="shared" ca="1" si="91"/>
        <v>64.898903269475497</v>
      </c>
      <c r="J457" s="35">
        <f t="shared" ca="1" si="100"/>
        <v>114.8989032694755</v>
      </c>
      <c r="K457" s="19">
        <f t="shared" ca="1" si="95"/>
        <v>114.8989032694755</v>
      </c>
      <c r="L457" s="20">
        <f ca="1" xml:space="preserve"> K457*_Precio_cafe</f>
        <v>172.34835490421324</v>
      </c>
      <c r="M457" s="20">
        <f t="shared" ca="1" si="96"/>
        <v>63058.11551018052</v>
      </c>
      <c r="N457" s="20">
        <f ca="1">IF((N456-K457+Y457)&gt;_Max_Stock_Gramos,_Max_Stock_Gramos,N456-K457+Y457)</f>
        <v>1700</v>
      </c>
      <c r="O457" s="20">
        <f ca="1">N457/_GramosXFrasco</f>
        <v>10</v>
      </c>
      <c r="P457" s="63">
        <f ca="1">(N457/_Max_Stock_Gramos)</f>
        <v>1</v>
      </c>
      <c r="Q457" s="63"/>
      <c r="R457" s="10">
        <f ca="1">IF((N456-J457)&lt;0,(N456-J457)*_Costo_Faltante,0)</f>
        <v>0</v>
      </c>
      <c r="S457">
        <f ca="1">IF(U457=0,X457*_Costo_Frasco,0)</f>
        <v>-500</v>
      </c>
      <c r="T457" s="11">
        <f t="shared" ca="1" si="97"/>
        <v>-42077.89173507681</v>
      </c>
      <c r="U457" s="10">
        <f>IF(U456=0,_Proxima_Compra,U456-1)</f>
        <v>0</v>
      </c>
      <c r="V457" s="3">
        <f t="shared" ca="1" si="92"/>
        <v>0.37548350690912391</v>
      </c>
      <c r="W457" s="3">
        <f ca="1">IF(W456&gt;0,W456-1,IF(V457&gt;0,LOOKUP(V457,$R$3:$R$5,$O$3:$O$5),-1))</f>
        <v>0</v>
      </c>
      <c r="X457" s="25">
        <f t="shared" ca="1" si="93"/>
        <v>2</v>
      </c>
      <c r="Y457" s="28">
        <f ca="1">X457*_GramosXFrasco</f>
        <v>340</v>
      </c>
    </row>
    <row r="458" spans="1:25" x14ac:dyDescent="0.25">
      <c r="A458" s="30">
        <f t="shared" si="94"/>
        <v>442</v>
      </c>
      <c r="B458" s="38">
        <f t="shared" ca="1" si="87"/>
        <v>0.88008810591817377</v>
      </c>
      <c r="C458" s="36">
        <f t="shared" ca="1" si="88"/>
        <v>0.91823366544203688</v>
      </c>
      <c r="D458" s="36">
        <f t="shared" ca="1" si="89"/>
        <v>0.39331532279560644</v>
      </c>
      <c r="E458" s="36">
        <f t="shared" ca="1" si="98"/>
        <v>-1.1556385270636844</v>
      </c>
      <c r="F458" s="37">
        <f ca="1">IF(E458&lt;&gt;-1,_Media_M + E458*_Sigma,-1)</f>
        <v>57.665422094044729</v>
      </c>
      <c r="G458" s="3">
        <f t="shared" ca="1" si="90"/>
        <v>-1</v>
      </c>
      <c r="H458" s="36">
        <f t="shared" ca="1" si="99"/>
        <v>57.665422094044729</v>
      </c>
      <c r="I458" s="36">
        <f t="shared" ca="1" si="91"/>
        <v>4.4941990163885359</v>
      </c>
      <c r="J458" s="35">
        <f t="shared" ca="1" si="100"/>
        <v>62.159621110433264</v>
      </c>
      <c r="K458" s="19">
        <f t="shared" ca="1" si="95"/>
        <v>62.159621110433264</v>
      </c>
      <c r="L458" s="20">
        <f ca="1" xml:space="preserve"> K458*_Precio_cafe</f>
        <v>93.239431665649903</v>
      </c>
      <c r="M458" s="20">
        <f t="shared" ca="1" si="96"/>
        <v>63151.35494184617</v>
      </c>
      <c r="N458" s="20">
        <f ca="1">IF((N457-K458+Y458)&gt;_Max_Stock_Gramos,_Max_Stock_Gramos,N457-K458+Y458)</f>
        <v>1637.8403788895666</v>
      </c>
      <c r="O458" s="20">
        <f ca="1">N458/_GramosXFrasco</f>
        <v>9.6343551699386278</v>
      </c>
      <c r="P458" s="63">
        <f ca="1">(N458/_Max_Stock_Gramos)</f>
        <v>0.96343551699386276</v>
      </c>
      <c r="Q458" s="63"/>
      <c r="R458" s="10">
        <f ca="1">IF((N457-J458)&lt;0,(N457-J458)*_Costo_Faltante,0)</f>
        <v>0</v>
      </c>
      <c r="S458">
        <f>IF(U458=0,X458*_Costo_Frasco,0)</f>
        <v>0</v>
      </c>
      <c r="T458" s="11">
        <f t="shared" ca="1" si="97"/>
        <v>-42077.89173507681</v>
      </c>
      <c r="U458" s="10">
        <f>IF(U457=0,_Proxima_Compra,U457-1)</f>
        <v>2</v>
      </c>
      <c r="V458" s="3">
        <f t="shared" ca="1" si="92"/>
        <v>-1</v>
      </c>
      <c r="W458" s="3">
        <f ca="1">IF(W457&gt;0,W457-1,IF(V458&gt;0,LOOKUP(V458,$R$3:$R$5,$O$3:$O$5),-1))</f>
        <v>-1</v>
      </c>
      <c r="X458" s="25">
        <f t="shared" ca="1" si="93"/>
        <v>0</v>
      </c>
      <c r="Y458" s="28">
        <f ca="1">X458*_GramosXFrasco</f>
        <v>0</v>
      </c>
    </row>
    <row r="459" spans="1:25" x14ac:dyDescent="0.25">
      <c r="A459" s="30">
        <f t="shared" si="94"/>
        <v>443</v>
      </c>
      <c r="B459" s="38">
        <f t="shared" ca="1" si="87"/>
        <v>2.8718727456675697E-2</v>
      </c>
      <c r="C459" s="36">
        <f t="shared" ca="1" si="88"/>
        <v>-1</v>
      </c>
      <c r="D459" s="36">
        <f t="shared" ca="1" si="89"/>
        <v>-1</v>
      </c>
      <c r="E459" s="36">
        <f t="shared" ca="1" si="98"/>
        <v>-1</v>
      </c>
      <c r="F459" s="37">
        <f ca="1">IF(E459&lt;&gt;-1,_Media_M + E459*_Sigma,-1)</f>
        <v>-1</v>
      </c>
      <c r="G459" s="3">
        <f t="shared" ca="1" si="90"/>
        <v>50</v>
      </c>
      <c r="H459" s="36">
        <f t="shared" ca="1" si="99"/>
        <v>50</v>
      </c>
      <c r="I459" s="36">
        <f t="shared" ca="1" si="91"/>
        <v>84.987267276943797</v>
      </c>
      <c r="J459" s="35">
        <f t="shared" ca="1" si="100"/>
        <v>134.98726727694378</v>
      </c>
      <c r="K459" s="19">
        <f t="shared" ca="1" si="95"/>
        <v>134.98726727694378</v>
      </c>
      <c r="L459" s="20">
        <f ca="1" xml:space="preserve"> K459*_Precio_cafe</f>
        <v>202.48090091541567</v>
      </c>
      <c r="M459" s="20">
        <f t="shared" ca="1" si="96"/>
        <v>63353.835842761582</v>
      </c>
      <c r="N459" s="20">
        <f ca="1">IF((N458-K459+Y459)&gt;_Max_Stock_Gramos,_Max_Stock_Gramos,N458-K459+Y459)</f>
        <v>1502.8531116126228</v>
      </c>
      <c r="O459" s="20">
        <f ca="1">N459/_GramosXFrasco</f>
        <v>8.8403124212507223</v>
      </c>
      <c r="P459" s="63">
        <f ca="1">(N459/_Max_Stock_Gramos)</f>
        <v>0.88403124212507223</v>
      </c>
      <c r="Q459" s="63"/>
      <c r="R459" s="10">
        <f ca="1">IF((N458-J459)&lt;0,(N458-J459)*_Costo_Faltante,0)</f>
        <v>0</v>
      </c>
      <c r="S459">
        <f>IF(U459=0,X459*_Costo_Frasco,0)</f>
        <v>0</v>
      </c>
      <c r="T459" s="11">
        <f t="shared" ca="1" si="97"/>
        <v>-42077.89173507681</v>
      </c>
      <c r="U459" s="10">
        <f>IF(U458=0,_Proxima_Compra,U458-1)</f>
        <v>1</v>
      </c>
      <c r="V459" s="3">
        <f t="shared" ca="1" si="92"/>
        <v>-1</v>
      </c>
      <c r="W459" s="3">
        <f ca="1">IF(W458&gt;0,W458-1,IF(V459&gt;0,LOOKUP(V459,$R$3:$R$5,$O$3:$O$5),-1))</f>
        <v>-1</v>
      </c>
      <c r="X459" s="25">
        <f t="shared" ca="1" si="93"/>
        <v>0</v>
      </c>
      <c r="Y459" s="28">
        <f ca="1">X459*_GramosXFrasco</f>
        <v>0</v>
      </c>
    </row>
    <row r="460" spans="1:25" x14ac:dyDescent="0.25">
      <c r="A460" s="30">
        <f t="shared" si="94"/>
        <v>444</v>
      </c>
      <c r="B460" s="38">
        <f t="shared" ca="1" si="87"/>
        <v>0.89214353122726708</v>
      </c>
      <c r="C460" s="36">
        <f t="shared" ca="1" si="88"/>
        <v>0.16886860881363241</v>
      </c>
      <c r="D460" s="36">
        <f t="shared" ca="1" si="89"/>
        <v>0.12950102769544414</v>
      </c>
      <c r="E460" s="36">
        <f t="shared" ca="1" si="98"/>
        <v>0.27529825101233307</v>
      </c>
      <c r="F460" s="37">
        <f ca="1">IF(E460&lt;&gt;-1,_Media_M + E460*_Sigma,-1)</f>
        <v>79.129473765184997</v>
      </c>
      <c r="G460" s="3">
        <f t="shared" ca="1" si="90"/>
        <v>-1</v>
      </c>
      <c r="H460" s="36">
        <f t="shared" ca="1" si="99"/>
        <v>79.129473765184997</v>
      </c>
      <c r="I460" s="36">
        <f t="shared" ca="1" si="91"/>
        <v>4.4270883292772263</v>
      </c>
      <c r="J460" s="35">
        <f t="shared" ca="1" si="100"/>
        <v>83.556562094462222</v>
      </c>
      <c r="K460" s="19">
        <f t="shared" ca="1" si="95"/>
        <v>83.556562094462222</v>
      </c>
      <c r="L460" s="20">
        <f ca="1" xml:space="preserve"> K460*_Precio_cafe</f>
        <v>125.33484314169334</v>
      </c>
      <c r="M460" s="20">
        <f t="shared" ca="1" si="96"/>
        <v>63479.170685903278</v>
      </c>
      <c r="N460" s="20">
        <f ca="1">IF((N459-K460+Y460)&gt;_Max_Stock_Gramos,_Max_Stock_Gramos,N459-K460+Y460)</f>
        <v>1419.2965495181606</v>
      </c>
      <c r="O460" s="20">
        <f ca="1">N460/_GramosXFrasco</f>
        <v>8.348803232459769</v>
      </c>
      <c r="P460" s="63">
        <f ca="1">(N460/_Max_Stock_Gramos)</f>
        <v>0.83488032324597683</v>
      </c>
      <c r="Q460" s="63"/>
      <c r="R460" s="10">
        <f ca="1">IF((N459-J460)&lt;0,(N459-J460)*_Costo_Faltante,0)</f>
        <v>0</v>
      </c>
      <c r="S460">
        <f ca="1">IF(U460=0,X460*_Costo_Frasco,0)</f>
        <v>0</v>
      </c>
      <c r="T460" s="11">
        <f t="shared" ca="1" si="97"/>
        <v>-42077.89173507681</v>
      </c>
      <c r="U460" s="10">
        <f>IF(U459=0,_Proxima_Compra,U459-1)</f>
        <v>0</v>
      </c>
      <c r="V460" s="3">
        <f t="shared" ca="1" si="92"/>
        <v>0.91338679102269626</v>
      </c>
      <c r="W460" s="3">
        <f ca="1">IF(W459&gt;0,W459-1,IF(V460&gt;0,LOOKUP(V460,$R$3:$R$5,$O$3:$O$5),-1))</f>
        <v>2</v>
      </c>
      <c r="X460" s="25">
        <f t="shared" ca="1" si="93"/>
        <v>0</v>
      </c>
      <c r="Y460" s="28">
        <f ca="1">X460*_GramosXFrasco</f>
        <v>0</v>
      </c>
    </row>
    <row r="461" spans="1:25" x14ac:dyDescent="0.25">
      <c r="A461" s="30">
        <f t="shared" si="94"/>
        <v>445</v>
      </c>
      <c r="B461" s="38">
        <f t="shared" ca="1" si="87"/>
        <v>0.72216491324889853</v>
      </c>
      <c r="C461" s="36">
        <f t="shared" ca="1" si="88"/>
        <v>0.14425959675437805</v>
      </c>
      <c r="D461" s="36">
        <f t="shared" ca="1" si="89"/>
        <v>0.63476402268258181</v>
      </c>
      <c r="E461" s="36">
        <f t="shared" ca="1" si="98"/>
        <v>-0.24367449142978931</v>
      </c>
      <c r="F461" s="37">
        <f ca="1">IF(E461&lt;&gt;-1,_Media_M + E461*_Sigma,-1)</f>
        <v>71.344882628553165</v>
      </c>
      <c r="G461" s="3">
        <f t="shared" ca="1" si="90"/>
        <v>-1</v>
      </c>
      <c r="H461" s="36">
        <f t="shared" ca="1" si="99"/>
        <v>71.344882628553165</v>
      </c>
      <c r="I461" s="36">
        <f t="shared" ca="1" si="91"/>
        <v>6.1183370679783398</v>
      </c>
      <c r="J461" s="35">
        <f t="shared" ca="1" si="100"/>
        <v>77.46321969653151</v>
      </c>
      <c r="K461" s="19">
        <f t="shared" ca="1" si="95"/>
        <v>77.46321969653151</v>
      </c>
      <c r="L461" s="20">
        <f ca="1" xml:space="preserve"> K461*_Precio_cafe</f>
        <v>116.19482954479727</v>
      </c>
      <c r="M461" s="20">
        <f t="shared" ca="1" si="96"/>
        <v>63595.365515448073</v>
      </c>
      <c r="N461" s="20">
        <f ca="1">IF((N460-K461+Y461)&gt;_Max_Stock_Gramos,_Max_Stock_Gramos,N460-K461+Y461)</f>
        <v>1341.8333298216291</v>
      </c>
      <c r="O461" s="20">
        <f ca="1">N461/_GramosXFrasco</f>
        <v>7.8931372342448771</v>
      </c>
      <c r="P461" s="63">
        <f ca="1">(N461/_Max_Stock_Gramos)</f>
        <v>0.78931372342448769</v>
      </c>
      <c r="Q461" s="63"/>
      <c r="R461" s="10">
        <f ca="1">IF((N460-J461)&lt;0,(N460-J461)*_Costo_Faltante,0)</f>
        <v>0</v>
      </c>
      <c r="S461">
        <f>IF(U461=0,X461*_Costo_Frasco,0)</f>
        <v>0</v>
      </c>
      <c r="T461" s="11">
        <f t="shared" ca="1" si="97"/>
        <v>-42077.89173507681</v>
      </c>
      <c r="U461" s="10">
        <f>IF(U460=0,_Proxima_Compra,U460-1)</f>
        <v>2</v>
      </c>
      <c r="V461" s="3">
        <f t="shared" ca="1" si="92"/>
        <v>-1</v>
      </c>
      <c r="W461" s="3">
        <f ca="1">IF(W460&gt;0,W460-1,IF(V461&gt;0,LOOKUP(V461,$R$3:$R$5,$O$3:$O$5),-1))</f>
        <v>1</v>
      </c>
      <c r="X461" s="25">
        <f t="shared" ca="1" si="93"/>
        <v>0</v>
      </c>
      <c r="Y461" s="28">
        <f ca="1">X461*_GramosXFrasco</f>
        <v>0</v>
      </c>
    </row>
    <row r="462" spans="1:25" x14ac:dyDescent="0.25">
      <c r="A462" s="30">
        <f t="shared" si="94"/>
        <v>446</v>
      </c>
      <c r="B462" s="38">
        <f t="shared" ca="1" si="87"/>
        <v>0.16855783766844901</v>
      </c>
      <c r="C462" s="36">
        <f t="shared" ca="1" si="88"/>
        <v>-1</v>
      </c>
      <c r="D462" s="36">
        <f t="shared" ca="1" si="89"/>
        <v>-1</v>
      </c>
      <c r="E462" s="36">
        <f t="shared" ca="1" si="98"/>
        <v>-1</v>
      </c>
      <c r="F462" s="37">
        <f ca="1">IF(E462&lt;&gt;-1,_Media_M + E462*_Sigma,-1)</f>
        <v>-1</v>
      </c>
      <c r="G462" s="3">
        <f t="shared" ca="1" si="90"/>
        <v>50</v>
      </c>
      <c r="H462" s="36">
        <f t="shared" ca="1" si="99"/>
        <v>50</v>
      </c>
      <c r="I462" s="36">
        <f t="shared" ca="1" si="91"/>
        <v>88.58611586341307</v>
      </c>
      <c r="J462" s="35">
        <f t="shared" ca="1" si="100"/>
        <v>138.58611586341306</v>
      </c>
      <c r="K462" s="19">
        <f t="shared" ca="1" si="95"/>
        <v>138.58611586341306</v>
      </c>
      <c r="L462" s="20">
        <f ca="1" xml:space="preserve"> K462*_Precio_cafe</f>
        <v>207.87917379511958</v>
      </c>
      <c r="M462" s="20">
        <f t="shared" ca="1" si="96"/>
        <v>63803.244689243191</v>
      </c>
      <c r="N462" s="20">
        <f ca="1">IF((N461-K462+Y462)&gt;_Max_Stock_Gramos,_Max_Stock_Gramos,N461-K462+Y462)</f>
        <v>1543.247213958216</v>
      </c>
      <c r="O462" s="20">
        <f ca="1">N462/_GramosXFrasco</f>
        <v>9.077924787989506</v>
      </c>
      <c r="P462" s="63">
        <f ca="1">(N462/_Max_Stock_Gramos)</f>
        <v>0.90779247879895053</v>
      </c>
      <c r="Q462" s="63"/>
      <c r="R462" s="10">
        <f ca="1">IF((N461-J462)&lt;0,(N461-J462)*_Costo_Faltante,0)</f>
        <v>0</v>
      </c>
      <c r="S462">
        <f>IF(U462=0,X462*_Costo_Frasco,0)</f>
        <v>0</v>
      </c>
      <c r="T462" s="11">
        <f t="shared" ca="1" si="97"/>
        <v>-42077.89173507681</v>
      </c>
      <c r="U462" s="10">
        <f>IF(U461=0,_Proxima_Compra,U461-1)</f>
        <v>1</v>
      </c>
      <c r="V462" s="3">
        <f t="shared" ca="1" si="92"/>
        <v>-1</v>
      </c>
      <c r="W462" s="3">
        <f ca="1">IF(W461&gt;0,W461-1,IF(V462&gt;0,LOOKUP(V462,$R$3:$R$5,$O$3:$O$5),-1))</f>
        <v>0</v>
      </c>
      <c r="X462" s="25">
        <f t="shared" ca="1" si="93"/>
        <v>2</v>
      </c>
      <c r="Y462" s="28">
        <f ca="1">X462*_GramosXFrasco</f>
        <v>340</v>
      </c>
    </row>
    <row r="463" spans="1:25" x14ac:dyDescent="0.25">
      <c r="A463" s="30">
        <f t="shared" si="94"/>
        <v>447</v>
      </c>
      <c r="B463" s="38">
        <f t="shared" ca="1" si="87"/>
        <v>0.33183768499975697</v>
      </c>
      <c r="C463" s="36">
        <f t="shared" ca="1" si="88"/>
        <v>-1</v>
      </c>
      <c r="D463" s="36">
        <f t="shared" ca="1" si="89"/>
        <v>-1</v>
      </c>
      <c r="E463" s="36">
        <f t="shared" ca="1" si="98"/>
        <v>-1</v>
      </c>
      <c r="F463" s="37">
        <f ca="1">IF(E463&lt;&gt;-1,_Media_M + E463*_Sigma,-1)</f>
        <v>-1</v>
      </c>
      <c r="G463" s="3">
        <f t="shared" ca="1" si="90"/>
        <v>50</v>
      </c>
      <c r="H463" s="36">
        <f t="shared" ca="1" si="99"/>
        <v>50</v>
      </c>
      <c r="I463" s="36">
        <f t="shared" ca="1" si="91"/>
        <v>10.882144427363471</v>
      </c>
      <c r="J463" s="35">
        <f t="shared" ca="1" si="100"/>
        <v>60.882144427363471</v>
      </c>
      <c r="K463" s="19">
        <f t="shared" ca="1" si="95"/>
        <v>60.882144427363471</v>
      </c>
      <c r="L463" s="20">
        <f ca="1" xml:space="preserve"> K463*_Precio_cafe</f>
        <v>91.323216641045207</v>
      </c>
      <c r="M463" s="20">
        <f t="shared" ca="1" si="96"/>
        <v>63894.567905884236</v>
      </c>
      <c r="N463" s="20">
        <f ca="1">IF((N462-K463+Y463)&gt;_Max_Stock_Gramos,_Max_Stock_Gramos,N462-K463+Y463)</f>
        <v>1700</v>
      </c>
      <c r="O463" s="20">
        <f ca="1">N463/_GramosXFrasco</f>
        <v>10</v>
      </c>
      <c r="P463" s="63">
        <f ca="1">(N463/_Max_Stock_Gramos)</f>
        <v>1</v>
      </c>
      <c r="Q463" s="63"/>
      <c r="R463" s="10">
        <f ca="1">IF((N462-J463)&lt;0,(N462-J463)*_Costo_Faltante,0)</f>
        <v>0</v>
      </c>
      <c r="S463">
        <f ca="1">IF(U463=0,X463*_Costo_Frasco,0)</f>
        <v>-500</v>
      </c>
      <c r="T463" s="11">
        <f t="shared" ca="1" si="97"/>
        <v>-42577.89173507681</v>
      </c>
      <c r="U463" s="10">
        <f>IF(U462=0,_Proxima_Compra,U462-1)</f>
        <v>0</v>
      </c>
      <c r="V463" s="3">
        <f t="shared" ca="1" si="92"/>
        <v>0.29555310873872842</v>
      </c>
      <c r="W463" s="3">
        <f ca="1">IF(W462&gt;0,W462-1,IF(V463&gt;0,LOOKUP(V463,$R$3:$R$5,$O$3:$O$5),-1))</f>
        <v>0</v>
      </c>
      <c r="X463" s="25">
        <f t="shared" ca="1" si="93"/>
        <v>2</v>
      </c>
      <c r="Y463" s="28">
        <f ca="1">X463*_GramosXFrasco</f>
        <v>340</v>
      </c>
    </row>
    <row r="464" spans="1:25" x14ac:dyDescent="0.25">
      <c r="A464" s="30">
        <f t="shared" si="94"/>
        <v>448</v>
      </c>
      <c r="B464" s="38">
        <f t="shared" ca="1" si="87"/>
        <v>0.76552941607693636</v>
      </c>
      <c r="C464" s="36">
        <f t="shared" ca="1" si="88"/>
        <v>0.882649882611373</v>
      </c>
      <c r="D464" s="36">
        <f t="shared" ca="1" si="89"/>
        <v>0.45449104140814067</v>
      </c>
      <c r="E464" s="36">
        <f t="shared" ca="1" si="98"/>
        <v>-1.3088057790248646</v>
      </c>
      <c r="F464" s="37">
        <f ca="1">IF(E464&lt;&gt;-1,_Media_M + E464*_Sigma,-1)</f>
        <v>55.367913314627032</v>
      </c>
      <c r="G464" s="3">
        <f t="shared" ca="1" si="90"/>
        <v>-1</v>
      </c>
      <c r="H464" s="36">
        <f t="shared" ca="1" si="99"/>
        <v>55.367913314627032</v>
      </c>
      <c r="I464" s="36">
        <f t="shared" ca="1" si="91"/>
        <v>9.5660599225926415</v>
      </c>
      <c r="J464" s="35">
        <f t="shared" ca="1" si="100"/>
        <v>64.933973237219675</v>
      </c>
      <c r="K464" s="19">
        <f t="shared" ca="1" si="95"/>
        <v>64.933973237219675</v>
      </c>
      <c r="L464" s="20">
        <f ca="1" xml:space="preserve"> K464*_Precio_cafe</f>
        <v>97.400959855829512</v>
      </c>
      <c r="M464" s="20">
        <f t="shared" ca="1" si="96"/>
        <v>63991.968865740062</v>
      </c>
      <c r="N464" s="20">
        <f ca="1">IF((N463-K464+Y464)&gt;_Max_Stock_Gramos,_Max_Stock_Gramos,N463-K464+Y464)</f>
        <v>1635.0660267627804</v>
      </c>
      <c r="O464" s="20">
        <f ca="1">N464/_GramosXFrasco</f>
        <v>9.6180354515457669</v>
      </c>
      <c r="P464" s="63">
        <f ca="1">(N464/_Max_Stock_Gramos)</f>
        <v>0.96180354515457678</v>
      </c>
      <c r="Q464" s="63"/>
      <c r="R464" s="10">
        <f ca="1">IF((N463-J464)&lt;0,(N463-J464)*_Costo_Faltante,0)</f>
        <v>0</v>
      </c>
      <c r="S464">
        <f>IF(U464=0,X464*_Costo_Frasco,0)</f>
        <v>0</v>
      </c>
      <c r="T464" s="11">
        <f t="shared" ca="1" si="97"/>
        <v>-42577.89173507681</v>
      </c>
      <c r="U464" s="10">
        <f>IF(U463=0,_Proxima_Compra,U463-1)</f>
        <v>2</v>
      </c>
      <c r="V464" s="3">
        <f t="shared" ca="1" si="92"/>
        <v>-1</v>
      </c>
      <c r="W464" s="3">
        <f ca="1">IF(W463&gt;0,W463-1,IF(V464&gt;0,LOOKUP(V464,$R$3:$R$5,$O$3:$O$5),-1))</f>
        <v>-1</v>
      </c>
      <c r="X464" s="25">
        <f t="shared" ca="1" si="93"/>
        <v>0</v>
      </c>
      <c r="Y464" s="28">
        <f ca="1">X464*_GramosXFrasco</f>
        <v>0</v>
      </c>
    </row>
    <row r="465" spans="1:25" x14ac:dyDescent="0.25">
      <c r="A465" s="30">
        <f t="shared" si="94"/>
        <v>449</v>
      </c>
      <c r="B465" s="38">
        <f t="shared" ref="B465:B516" ca="1" si="101">RAND()</f>
        <v>0.53523890620243508</v>
      </c>
      <c r="C465" s="36">
        <f t="shared" ref="C465:C516" ca="1" si="102">IF(B465&gt;0.5,RAND(),-1)</f>
        <v>0.48194425241199879</v>
      </c>
      <c r="D465" s="36">
        <f t="shared" ref="D465:D516" ca="1" si="103">IF(B465&gt;0.5,RAND(),-1)</f>
        <v>3.5287953522957771E-2</v>
      </c>
      <c r="E465" s="36">
        <f t="shared" ca="1" si="98"/>
        <v>0.73730700980671038</v>
      </c>
      <c r="F465" s="37">
        <f ca="1">IF(E465&lt;&gt;-1,_Media_M + E465*_Sigma,-1)</f>
        <v>86.059605147100655</v>
      </c>
      <c r="G465" s="3">
        <f t="shared" ref="G465:G516" ca="1" si="104">IF(F465=-1,50,-1)</f>
        <v>-1</v>
      </c>
      <c r="H465" s="36">
        <f t="shared" ca="1" si="99"/>
        <v>86.059605147100655</v>
      </c>
      <c r="I465" s="36">
        <f t="shared" ref="I465:I516" ca="1" si="105">(-1/(1/70)*(LOG(1-RAND())))</f>
        <v>37.547246488357793</v>
      </c>
      <c r="J465" s="35">
        <f t="shared" ca="1" si="100"/>
        <v>123.60685163545844</v>
      </c>
      <c r="K465" s="19">
        <f t="shared" ca="1" si="95"/>
        <v>123.60685163545844</v>
      </c>
      <c r="L465" s="20">
        <f ca="1" xml:space="preserve"> K465*_Precio_cafe</f>
        <v>185.41027745318766</v>
      </c>
      <c r="M465" s="20">
        <f t="shared" ca="1" si="96"/>
        <v>64177.379143193248</v>
      </c>
      <c r="N465" s="20">
        <f ca="1">IF((N464-K465+Y465)&gt;_Max_Stock_Gramos,_Max_Stock_Gramos,N464-K465+Y465)</f>
        <v>1511.4591751273219</v>
      </c>
      <c r="O465" s="20">
        <f ca="1">N465/_GramosXFrasco</f>
        <v>8.8909363242783641</v>
      </c>
      <c r="P465" s="63">
        <f ca="1">(N465/_Max_Stock_Gramos)</f>
        <v>0.88909363242783646</v>
      </c>
      <c r="Q465" s="63"/>
      <c r="R465" s="10">
        <f ca="1">IF((N464-J465)&lt;0,(N464-J465)*_Costo_Faltante,0)</f>
        <v>0</v>
      </c>
      <c r="S465">
        <f>IF(U465=0,X465*_Costo_Frasco,0)</f>
        <v>0</v>
      </c>
      <c r="T465" s="11">
        <f t="shared" ca="1" si="97"/>
        <v>-42577.89173507681</v>
      </c>
      <c r="U465" s="10">
        <f>IF(U464=0,_Proxima_Compra,U464-1)</f>
        <v>1</v>
      </c>
      <c r="V465" s="3">
        <f t="shared" ref="V465:V516" ca="1" si="106">IF(U465=0,RAND(),-1)</f>
        <v>-1</v>
      </c>
      <c r="W465" s="3">
        <f ca="1">IF(W464&gt;0,W464-1,IF(V465&gt;0,LOOKUP(V465,$R$3:$R$5,$O$3:$O$5),-1))</f>
        <v>-1</v>
      </c>
      <c r="X465" s="25">
        <f t="shared" ref="X465:X516" ca="1" si="107">IF(W465=0,2,)</f>
        <v>0</v>
      </c>
      <c r="Y465" s="28">
        <f ca="1">X465*_GramosXFrasco</f>
        <v>0</v>
      </c>
    </row>
    <row r="466" spans="1:25" x14ac:dyDescent="0.25">
      <c r="A466" s="30">
        <f t="shared" ref="A466:A516" si="108">A465+1</f>
        <v>450</v>
      </c>
      <c r="B466" s="38">
        <f t="shared" ca="1" si="101"/>
        <v>0.66751008554731583</v>
      </c>
      <c r="C466" s="36">
        <f t="shared" ca="1" si="102"/>
        <v>0.80058925942993797</v>
      </c>
      <c r="D466" s="36">
        <f t="shared" ca="1" si="103"/>
        <v>0.18141651441072293</v>
      </c>
      <c r="E466" s="36">
        <f t="shared" ca="1" si="98"/>
        <v>0.49432915664549204</v>
      </c>
      <c r="F466" s="37">
        <f ca="1">IF(E466&lt;&gt;-1,_Media_M + E466*_Sigma,-1)</f>
        <v>82.414937349682376</v>
      </c>
      <c r="G466" s="3">
        <f t="shared" ca="1" si="104"/>
        <v>-1</v>
      </c>
      <c r="H466" s="36">
        <f t="shared" ca="1" si="99"/>
        <v>82.414937349682376</v>
      </c>
      <c r="I466" s="36">
        <f t="shared" ca="1" si="105"/>
        <v>37.289676263229886</v>
      </c>
      <c r="J466" s="35">
        <f t="shared" ca="1" si="100"/>
        <v>119.70461361291225</v>
      </c>
      <c r="K466" s="19">
        <f t="shared" ref="K466:K516" ca="1" si="109">IF(J466&lt;N465,J466,N465)</f>
        <v>119.70461361291225</v>
      </c>
      <c r="L466" s="20">
        <f ca="1" xml:space="preserve"> K466*_Precio_cafe</f>
        <v>179.5569204193684</v>
      </c>
      <c r="M466" s="20">
        <f t="shared" ref="M466:M516" ca="1" si="110">L466+M465</f>
        <v>64356.936063612615</v>
      </c>
      <c r="N466" s="20">
        <f ca="1">IF((N465-K466+Y466)&gt;_Max_Stock_Gramos,_Max_Stock_Gramos,N465-K466+Y466)</f>
        <v>1700</v>
      </c>
      <c r="O466" s="20">
        <f ca="1">N466/_GramosXFrasco</f>
        <v>10</v>
      </c>
      <c r="P466" s="63">
        <f ca="1">(N466/_Max_Stock_Gramos)</f>
        <v>1</v>
      </c>
      <c r="Q466" s="63"/>
      <c r="R466" s="10">
        <f ca="1">IF((N465-J466)&lt;0,(N465-J466)*_Costo_Faltante,0)</f>
        <v>0</v>
      </c>
      <c r="S466">
        <f ca="1">IF(U466=0,X466*_Costo_Frasco,0)</f>
        <v>-500</v>
      </c>
      <c r="T466" s="11">
        <f t="shared" ref="T466:T516" ca="1" si="111">R466+S466+T465</f>
        <v>-43077.89173507681</v>
      </c>
      <c r="U466" s="10">
        <f>IF(U465=0,_Proxima_Compra,U465-1)</f>
        <v>0</v>
      </c>
      <c r="V466" s="3">
        <f t="shared" ca="1" si="106"/>
        <v>0.38320770265229775</v>
      </c>
      <c r="W466" s="3">
        <f ca="1">IF(W465&gt;0,W465-1,IF(V466&gt;0,LOOKUP(V466,$R$3:$R$5,$O$3:$O$5),-1))</f>
        <v>0</v>
      </c>
      <c r="X466" s="25">
        <f t="shared" ca="1" si="107"/>
        <v>2</v>
      </c>
      <c r="Y466" s="28">
        <f ca="1">X466*_GramosXFrasco</f>
        <v>340</v>
      </c>
    </row>
    <row r="467" spans="1:25" x14ac:dyDescent="0.25">
      <c r="A467" s="30">
        <f t="shared" si="108"/>
        <v>451</v>
      </c>
      <c r="B467" s="38">
        <f t="shared" ca="1" si="101"/>
        <v>0.22457459423071069</v>
      </c>
      <c r="C467" s="36">
        <f t="shared" ca="1" si="102"/>
        <v>-1</v>
      </c>
      <c r="D467" s="36">
        <f t="shared" ca="1" si="103"/>
        <v>-1</v>
      </c>
      <c r="E467" s="36">
        <f t="shared" ca="1" si="98"/>
        <v>-1</v>
      </c>
      <c r="F467" s="37">
        <f ca="1">IF(E467&lt;&gt;-1,_Media_M + E467*_Sigma,-1)</f>
        <v>-1</v>
      </c>
      <c r="G467" s="3">
        <f t="shared" ca="1" si="104"/>
        <v>50</v>
      </c>
      <c r="H467" s="36">
        <f t="shared" ca="1" si="99"/>
        <v>50</v>
      </c>
      <c r="I467" s="36">
        <f t="shared" ca="1" si="105"/>
        <v>23.8995839774114</v>
      </c>
      <c r="J467" s="35">
        <f t="shared" ca="1" si="100"/>
        <v>73.899583977411396</v>
      </c>
      <c r="K467" s="19">
        <f t="shared" ca="1" si="109"/>
        <v>73.899583977411396</v>
      </c>
      <c r="L467" s="20">
        <f ca="1" xml:space="preserve"> K467*_Precio_cafe</f>
        <v>110.84937596611709</v>
      </c>
      <c r="M467" s="20">
        <f t="shared" ca="1" si="110"/>
        <v>64467.785439578729</v>
      </c>
      <c r="N467" s="20">
        <f ca="1">IF((N466-K467+Y467)&gt;_Max_Stock_Gramos,_Max_Stock_Gramos,N466-K467+Y467)</f>
        <v>1626.1004160225887</v>
      </c>
      <c r="O467" s="20">
        <f ca="1">N467/_GramosXFrasco</f>
        <v>9.5652965648387571</v>
      </c>
      <c r="P467" s="63">
        <f ca="1">(N467/_Max_Stock_Gramos)</f>
        <v>0.95652965648387567</v>
      </c>
      <c r="Q467" s="63"/>
      <c r="R467" s="10">
        <f ca="1">IF((N466-J467)&lt;0,(N466-J467)*_Costo_Faltante,0)</f>
        <v>0</v>
      </c>
      <c r="S467">
        <f>IF(U467=0,X467*_Costo_Frasco,0)</f>
        <v>0</v>
      </c>
      <c r="T467" s="11">
        <f t="shared" ca="1" si="111"/>
        <v>-43077.89173507681</v>
      </c>
      <c r="U467" s="10">
        <f>IF(U466=0,_Proxima_Compra,U466-1)</f>
        <v>2</v>
      </c>
      <c r="V467" s="3">
        <f t="shared" ca="1" si="106"/>
        <v>-1</v>
      </c>
      <c r="W467" s="3">
        <f ca="1">IF(W466&gt;0,W466-1,IF(V467&gt;0,LOOKUP(V467,$R$3:$R$5,$O$3:$O$5),-1))</f>
        <v>-1</v>
      </c>
      <c r="X467" s="25">
        <f t="shared" ca="1" si="107"/>
        <v>0</v>
      </c>
      <c r="Y467" s="28">
        <f ca="1">X467*_GramosXFrasco</f>
        <v>0</v>
      </c>
    </row>
    <row r="468" spans="1:25" x14ac:dyDescent="0.25">
      <c r="A468" s="30">
        <f t="shared" si="108"/>
        <v>452</v>
      </c>
      <c r="B468" s="38">
        <f t="shared" ca="1" si="101"/>
        <v>0.68160311810634755</v>
      </c>
      <c r="C468" s="36">
        <f t="shared" ca="1" si="102"/>
        <v>0.88160562625661776</v>
      </c>
      <c r="D468" s="36">
        <f t="shared" ca="1" si="103"/>
        <v>1.1690294658391887E-3</v>
      </c>
      <c r="E468" s="36">
        <f t="shared" ca="1" si="98"/>
        <v>1.3613367990824963</v>
      </c>
      <c r="F468" s="37">
        <f ca="1">IF(E468&lt;&gt;-1,_Media_M + E468*_Sigma,-1)</f>
        <v>95.420051986237439</v>
      </c>
      <c r="G468" s="3">
        <f t="shared" ca="1" si="104"/>
        <v>-1</v>
      </c>
      <c r="H468" s="36">
        <f t="shared" ca="1" si="99"/>
        <v>95.420051986237439</v>
      </c>
      <c r="I468" s="36">
        <f t="shared" ca="1" si="105"/>
        <v>22.321964175902689</v>
      </c>
      <c r="J468" s="35">
        <f t="shared" ca="1" si="100"/>
        <v>117.74201616214013</v>
      </c>
      <c r="K468" s="19">
        <f t="shared" ca="1" si="109"/>
        <v>117.74201616214013</v>
      </c>
      <c r="L468" s="20">
        <f ca="1" xml:space="preserve"> K468*_Precio_cafe</f>
        <v>176.61302424321019</v>
      </c>
      <c r="M468" s="20">
        <f t="shared" ca="1" si="110"/>
        <v>64644.398463821941</v>
      </c>
      <c r="N468" s="20">
        <f ca="1">IF((N467-K468+Y468)&gt;_Max_Stock_Gramos,_Max_Stock_Gramos,N467-K468+Y468)</f>
        <v>1508.3583998604486</v>
      </c>
      <c r="O468" s="20">
        <f ca="1">N468/_GramosXFrasco</f>
        <v>8.8726964697673445</v>
      </c>
      <c r="P468" s="63">
        <f ca="1">(N468/_Max_Stock_Gramos)</f>
        <v>0.88726964697673449</v>
      </c>
      <c r="Q468" s="63"/>
      <c r="R468" s="10">
        <f ca="1">IF((N467-J468)&lt;0,(N467-J468)*_Costo_Faltante,0)</f>
        <v>0</v>
      </c>
      <c r="S468">
        <f>IF(U468=0,X468*_Costo_Frasco,0)</f>
        <v>0</v>
      </c>
      <c r="T468" s="11">
        <f t="shared" ca="1" si="111"/>
        <v>-43077.89173507681</v>
      </c>
      <c r="U468" s="10">
        <f>IF(U467=0,_Proxima_Compra,U467-1)</f>
        <v>1</v>
      </c>
      <c r="V468" s="3">
        <f t="shared" ca="1" si="106"/>
        <v>-1</v>
      </c>
      <c r="W468" s="3">
        <f ca="1">IF(W467&gt;0,W467-1,IF(V468&gt;0,LOOKUP(V468,$R$3:$R$5,$O$3:$O$5),-1))</f>
        <v>-1</v>
      </c>
      <c r="X468" s="25">
        <f t="shared" ca="1" si="107"/>
        <v>0</v>
      </c>
      <c r="Y468" s="28">
        <f ca="1">X468*_GramosXFrasco</f>
        <v>0</v>
      </c>
    </row>
    <row r="469" spans="1:25" x14ac:dyDescent="0.25">
      <c r="A469" s="30">
        <f t="shared" si="108"/>
        <v>453</v>
      </c>
      <c r="B469" s="38">
        <f t="shared" ca="1" si="101"/>
        <v>0.44601095393777579</v>
      </c>
      <c r="C469" s="36">
        <f t="shared" ca="1" si="102"/>
        <v>-1</v>
      </c>
      <c r="D469" s="36">
        <f t="shared" ca="1" si="103"/>
        <v>-1</v>
      </c>
      <c r="E469" s="36">
        <f t="shared" ca="1" si="98"/>
        <v>-1</v>
      </c>
      <c r="F469" s="37">
        <f ca="1">IF(E469&lt;&gt;-1,_Media_M + E469*_Sigma,-1)</f>
        <v>-1</v>
      </c>
      <c r="G469" s="3">
        <f t="shared" ca="1" si="104"/>
        <v>50</v>
      </c>
      <c r="H469" s="36">
        <f t="shared" ca="1" si="99"/>
        <v>50</v>
      </c>
      <c r="I469" s="36">
        <f t="shared" ca="1" si="105"/>
        <v>37.033625198276802</v>
      </c>
      <c r="J469" s="35">
        <f t="shared" ca="1" si="100"/>
        <v>87.033625198276809</v>
      </c>
      <c r="K469" s="19">
        <f t="shared" ca="1" si="109"/>
        <v>87.033625198276809</v>
      </c>
      <c r="L469" s="20">
        <f ca="1" xml:space="preserve"> K469*_Precio_cafe</f>
        <v>130.55043779741521</v>
      </c>
      <c r="M469" s="20">
        <f t="shared" ca="1" si="110"/>
        <v>64774.948901619355</v>
      </c>
      <c r="N469" s="20">
        <f ca="1">IF((N468-K469+Y469)&gt;_Max_Stock_Gramos,_Max_Stock_Gramos,N468-K469+Y469)</f>
        <v>1700</v>
      </c>
      <c r="O469" s="20">
        <f ca="1">N469/_GramosXFrasco</f>
        <v>10</v>
      </c>
      <c r="P469" s="63">
        <f ca="1">(N469/_Max_Stock_Gramos)</f>
        <v>1</v>
      </c>
      <c r="Q469" s="63"/>
      <c r="R469" s="10">
        <f ca="1">IF((N468-J469)&lt;0,(N468-J469)*_Costo_Faltante,0)</f>
        <v>0</v>
      </c>
      <c r="S469">
        <f ca="1">IF(U469=0,X469*_Costo_Frasco,0)</f>
        <v>-500</v>
      </c>
      <c r="T469" s="11">
        <f t="shared" ca="1" si="111"/>
        <v>-43577.89173507681</v>
      </c>
      <c r="U469" s="10">
        <f>IF(U468=0,_Proxima_Compra,U468-1)</f>
        <v>0</v>
      </c>
      <c r="V469" s="3">
        <f t="shared" ca="1" si="106"/>
        <v>7.7904412533399192E-2</v>
      </c>
      <c r="W469" s="3">
        <f ca="1">IF(W468&gt;0,W468-1,IF(V469&gt;0,LOOKUP(V469,$R$3:$R$5,$O$3:$O$5),-1))</f>
        <v>0</v>
      </c>
      <c r="X469" s="25">
        <f t="shared" ca="1" si="107"/>
        <v>2</v>
      </c>
      <c r="Y469" s="28">
        <f ca="1">X469*_GramosXFrasco</f>
        <v>340</v>
      </c>
    </row>
    <row r="470" spans="1:25" x14ac:dyDescent="0.25">
      <c r="A470" s="30">
        <f t="shared" si="108"/>
        <v>454</v>
      </c>
      <c r="B470" s="38">
        <f t="shared" ca="1" si="101"/>
        <v>0.43728912848604851</v>
      </c>
      <c r="C470" s="36">
        <f t="shared" ca="1" si="102"/>
        <v>-1</v>
      </c>
      <c r="D470" s="36">
        <f t="shared" ca="1" si="103"/>
        <v>-1</v>
      </c>
      <c r="E470" s="36">
        <f t="shared" ca="1" si="98"/>
        <v>-1</v>
      </c>
      <c r="F470" s="37">
        <f ca="1">IF(E470&lt;&gt;-1,_Media_M + E470*_Sigma,-1)</f>
        <v>-1</v>
      </c>
      <c r="G470" s="3">
        <f t="shared" ca="1" si="104"/>
        <v>50</v>
      </c>
      <c r="H470" s="36">
        <f t="shared" ca="1" si="99"/>
        <v>50</v>
      </c>
      <c r="I470" s="36">
        <f t="shared" ca="1" si="105"/>
        <v>2.5445800154185614</v>
      </c>
      <c r="J470" s="35">
        <f t="shared" ca="1" si="100"/>
        <v>52.54458001541856</v>
      </c>
      <c r="K470" s="19">
        <f t="shared" ca="1" si="109"/>
        <v>52.54458001541856</v>
      </c>
      <c r="L470" s="20">
        <f ca="1" xml:space="preserve"> K470*_Precio_cafe</f>
        <v>78.816870023127848</v>
      </c>
      <c r="M470" s="20">
        <f t="shared" ca="1" si="110"/>
        <v>64853.76577164248</v>
      </c>
      <c r="N470" s="20">
        <f ca="1">IF((N469-K470+Y470)&gt;_Max_Stock_Gramos,_Max_Stock_Gramos,N469-K470+Y470)</f>
        <v>1647.4554199845813</v>
      </c>
      <c r="O470" s="20">
        <f ca="1">N470/_GramosXFrasco</f>
        <v>9.6909142352034188</v>
      </c>
      <c r="P470" s="63">
        <f ca="1">(N470/_Max_Stock_Gramos)</f>
        <v>0.96909142352034194</v>
      </c>
      <c r="Q470" s="63"/>
      <c r="R470" s="10">
        <f ca="1">IF((N469-J470)&lt;0,(N469-J470)*_Costo_Faltante,0)</f>
        <v>0</v>
      </c>
      <c r="S470">
        <f>IF(U470=0,X470*_Costo_Frasco,0)</f>
        <v>0</v>
      </c>
      <c r="T470" s="11">
        <f t="shared" ca="1" si="111"/>
        <v>-43577.89173507681</v>
      </c>
      <c r="U470" s="10">
        <f>IF(U469=0,_Proxima_Compra,U469-1)</f>
        <v>2</v>
      </c>
      <c r="V470" s="3">
        <f t="shared" ca="1" si="106"/>
        <v>-1</v>
      </c>
      <c r="W470" s="3">
        <f ca="1">IF(W469&gt;0,W469-1,IF(V470&gt;0,LOOKUP(V470,$R$3:$R$5,$O$3:$O$5),-1))</f>
        <v>-1</v>
      </c>
      <c r="X470" s="25">
        <f t="shared" ca="1" si="107"/>
        <v>0</v>
      </c>
      <c r="Y470" s="28">
        <f ca="1">X470*_GramosXFrasco</f>
        <v>0</v>
      </c>
    </row>
    <row r="471" spans="1:25" x14ac:dyDescent="0.25">
      <c r="A471" s="30">
        <f t="shared" si="108"/>
        <v>455</v>
      </c>
      <c r="B471" s="38">
        <f t="shared" ca="1" si="101"/>
        <v>0.26544990201410401</v>
      </c>
      <c r="C471" s="36">
        <f t="shared" ca="1" si="102"/>
        <v>-1</v>
      </c>
      <c r="D471" s="36">
        <f t="shared" ca="1" si="103"/>
        <v>-1</v>
      </c>
      <c r="E471" s="36">
        <f t="shared" ca="1" si="98"/>
        <v>-1</v>
      </c>
      <c r="F471" s="37">
        <f ca="1">IF(E471&lt;&gt;-1,_Media_M + E471*_Sigma,-1)</f>
        <v>-1</v>
      </c>
      <c r="G471" s="3">
        <f t="shared" ca="1" si="104"/>
        <v>50</v>
      </c>
      <c r="H471" s="36">
        <f t="shared" ca="1" si="99"/>
        <v>50</v>
      </c>
      <c r="I471" s="36">
        <f t="shared" ca="1" si="105"/>
        <v>44.109469949716384</v>
      </c>
      <c r="J471" s="35">
        <f t="shared" ca="1" si="100"/>
        <v>94.109469949716384</v>
      </c>
      <c r="K471" s="19">
        <f t="shared" ca="1" si="109"/>
        <v>94.109469949716384</v>
      </c>
      <c r="L471" s="20">
        <f ca="1" xml:space="preserve"> K471*_Precio_cafe</f>
        <v>141.16420492457456</v>
      </c>
      <c r="M471" s="20">
        <f t="shared" ca="1" si="110"/>
        <v>64994.929976567051</v>
      </c>
      <c r="N471" s="20">
        <f ca="1">IF((N470-K471+Y471)&gt;_Max_Stock_Gramos,_Max_Stock_Gramos,N470-K471+Y471)</f>
        <v>1553.3459500348649</v>
      </c>
      <c r="O471" s="20">
        <f ca="1">N471/_GramosXFrasco</f>
        <v>9.137329117852147</v>
      </c>
      <c r="P471" s="63">
        <f ca="1">(N471/_Max_Stock_Gramos)</f>
        <v>0.91373291178521465</v>
      </c>
      <c r="Q471" s="63"/>
      <c r="R471" s="10">
        <f ca="1">IF((N470-J471)&lt;0,(N470-J471)*_Costo_Faltante,0)</f>
        <v>0</v>
      </c>
      <c r="S471">
        <f>IF(U471=0,X471*_Costo_Frasco,0)</f>
        <v>0</v>
      </c>
      <c r="T471" s="11">
        <f t="shared" ca="1" si="111"/>
        <v>-43577.89173507681</v>
      </c>
      <c r="U471" s="10">
        <f>IF(U470=0,_Proxima_Compra,U470-1)</f>
        <v>1</v>
      </c>
      <c r="V471" s="3">
        <f t="shared" ca="1" si="106"/>
        <v>-1</v>
      </c>
      <c r="W471" s="3">
        <f ca="1">IF(W470&gt;0,W470-1,IF(V471&gt;0,LOOKUP(V471,$R$3:$R$5,$O$3:$O$5),-1))</f>
        <v>-1</v>
      </c>
      <c r="X471" s="25">
        <f t="shared" ca="1" si="107"/>
        <v>0</v>
      </c>
      <c r="Y471" s="28">
        <f ca="1">X471*_GramosXFrasco</f>
        <v>0</v>
      </c>
    </row>
    <row r="472" spans="1:25" x14ac:dyDescent="0.25">
      <c r="A472" s="30">
        <f t="shared" si="108"/>
        <v>456</v>
      </c>
      <c r="B472" s="38">
        <f t="shared" ca="1" si="101"/>
        <v>0.12948726690743761</v>
      </c>
      <c r="C472" s="36">
        <f t="shared" ca="1" si="102"/>
        <v>-1</v>
      </c>
      <c r="D472" s="36">
        <f t="shared" ca="1" si="103"/>
        <v>-1</v>
      </c>
      <c r="E472" s="36">
        <f t="shared" ca="1" si="98"/>
        <v>-1</v>
      </c>
      <c r="F472" s="37">
        <f ca="1">IF(E472&lt;&gt;-1,_Media_M + E472*_Sigma,-1)</f>
        <v>-1</v>
      </c>
      <c r="G472" s="3">
        <f t="shared" ca="1" si="104"/>
        <v>50</v>
      </c>
      <c r="H472" s="36">
        <f t="shared" ca="1" si="99"/>
        <v>50</v>
      </c>
      <c r="I472" s="36">
        <f t="shared" ca="1" si="105"/>
        <v>61.49112618894376</v>
      </c>
      <c r="J472" s="35">
        <f t="shared" ca="1" si="100"/>
        <v>111.49112618894375</v>
      </c>
      <c r="K472" s="19">
        <f t="shared" ca="1" si="109"/>
        <v>111.49112618894375</v>
      </c>
      <c r="L472" s="20">
        <f ca="1" xml:space="preserve"> K472*_Precio_cafe</f>
        <v>167.23668928341561</v>
      </c>
      <c r="M472" s="20">
        <f t="shared" ca="1" si="110"/>
        <v>65162.166665850469</v>
      </c>
      <c r="N472" s="20">
        <f ca="1">IF((N471-K472+Y472)&gt;_Max_Stock_Gramos,_Max_Stock_Gramos,N471-K472+Y472)</f>
        <v>1441.8548238459211</v>
      </c>
      <c r="O472" s="20">
        <f ca="1">N472/_GramosXFrasco</f>
        <v>8.4814989637995364</v>
      </c>
      <c r="P472" s="63">
        <f ca="1">(N472/_Max_Stock_Gramos)</f>
        <v>0.84814989637995364</v>
      </c>
      <c r="Q472" s="63"/>
      <c r="R472" s="10">
        <f ca="1">IF((N471-J472)&lt;0,(N471-J472)*_Costo_Faltante,0)</f>
        <v>0</v>
      </c>
      <c r="S472">
        <f ca="1">IF(U472=0,X472*_Costo_Frasco,0)</f>
        <v>0</v>
      </c>
      <c r="T472" s="11">
        <f t="shared" ca="1" si="111"/>
        <v>-43577.89173507681</v>
      </c>
      <c r="U472" s="10">
        <f>IF(U471=0,_Proxima_Compra,U471-1)</f>
        <v>0</v>
      </c>
      <c r="V472" s="3">
        <f t="shared" ca="1" si="106"/>
        <v>0.62084373949076677</v>
      </c>
      <c r="W472" s="3">
        <f ca="1">IF(W471&gt;0,W471-1,IF(V472&gt;0,LOOKUP(V472,$R$3:$R$5,$O$3:$O$5),-1))</f>
        <v>1</v>
      </c>
      <c r="X472" s="25">
        <f t="shared" ca="1" si="107"/>
        <v>0</v>
      </c>
      <c r="Y472" s="28">
        <f ca="1">X472*_GramosXFrasco</f>
        <v>0</v>
      </c>
    </row>
    <row r="473" spans="1:25" x14ac:dyDescent="0.25">
      <c r="A473" s="30">
        <f t="shared" si="108"/>
        <v>457</v>
      </c>
      <c r="B473" s="38">
        <f t="shared" ca="1" si="101"/>
        <v>0.63918697494797183</v>
      </c>
      <c r="C473" s="36">
        <f t="shared" ca="1" si="102"/>
        <v>0.62743029325320354</v>
      </c>
      <c r="D473" s="36">
        <f t="shared" ca="1" si="103"/>
        <v>0.51476238404926733</v>
      </c>
      <c r="E473" s="36">
        <f t="shared" ca="1" si="98"/>
        <v>-0.92207801432013414</v>
      </c>
      <c r="F473" s="37">
        <f ca="1">IF(E473&lt;&gt;-1,_Media_M + E473*_Sigma,-1)</f>
        <v>61.168829785197985</v>
      </c>
      <c r="G473" s="3">
        <f t="shared" ca="1" si="104"/>
        <v>-1</v>
      </c>
      <c r="H473" s="36">
        <f t="shared" ca="1" si="99"/>
        <v>61.168829785197985</v>
      </c>
      <c r="I473" s="36">
        <f t="shared" ca="1" si="105"/>
        <v>15.629458987146169</v>
      </c>
      <c r="J473" s="35">
        <f t="shared" ca="1" si="100"/>
        <v>76.798288772344151</v>
      </c>
      <c r="K473" s="19">
        <f t="shared" ca="1" si="109"/>
        <v>76.798288772344151</v>
      </c>
      <c r="L473" s="20">
        <f ca="1" xml:space="preserve"> K473*_Precio_cafe</f>
        <v>115.19743315851622</v>
      </c>
      <c r="M473" s="20">
        <f t="shared" ca="1" si="110"/>
        <v>65277.364099008984</v>
      </c>
      <c r="N473" s="20">
        <f ca="1">IF((N472-K473+Y473)&gt;_Max_Stock_Gramos,_Max_Stock_Gramos,N472-K473+Y473)</f>
        <v>1700</v>
      </c>
      <c r="O473" s="20">
        <f ca="1">N473/_GramosXFrasco</f>
        <v>10</v>
      </c>
      <c r="P473" s="63">
        <f ca="1">(N473/_Max_Stock_Gramos)</f>
        <v>1</v>
      </c>
      <c r="Q473" s="63"/>
      <c r="R473" s="10">
        <f ca="1">IF((N472-J473)&lt;0,(N472-J473)*_Costo_Faltante,0)</f>
        <v>0</v>
      </c>
      <c r="S473">
        <f>IF(U473=0,X473*_Costo_Frasco,0)</f>
        <v>0</v>
      </c>
      <c r="T473" s="11">
        <f t="shared" ca="1" si="111"/>
        <v>-43577.89173507681</v>
      </c>
      <c r="U473" s="10">
        <f>IF(U472=0,_Proxima_Compra,U472-1)</f>
        <v>2</v>
      </c>
      <c r="V473" s="3">
        <f t="shared" ca="1" si="106"/>
        <v>-1</v>
      </c>
      <c r="W473" s="3">
        <f ca="1">IF(W472&gt;0,W472-1,IF(V473&gt;0,LOOKUP(V473,$R$3:$R$5,$O$3:$O$5),-1))</f>
        <v>0</v>
      </c>
      <c r="X473" s="25">
        <f t="shared" ca="1" si="107"/>
        <v>2</v>
      </c>
      <c r="Y473" s="28">
        <f ca="1">X473*_GramosXFrasco</f>
        <v>340</v>
      </c>
    </row>
    <row r="474" spans="1:25" x14ac:dyDescent="0.25">
      <c r="A474" s="30">
        <f t="shared" si="108"/>
        <v>458</v>
      </c>
      <c r="B474" s="38">
        <f t="shared" ca="1" si="101"/>
        <v>0.81392571907645339</v>
      </c>
      <c r="C474" s="36">
        <f t="shared" ca="1" si="102"/>
        <v>0.93424982149822888</v>
      </c>
      <c r="D474" s="36">
        <f t="shared" ca="1" si="103"/>
        <v>0.34818647085378274</v>
      </c>
      <c r="E474" s="36">
        <f t="shared" ca="1" si="98"/>
        <v>-0.88954437796887853</v>
      </c>
      <c r="F474" s="37">
        <f ca="1">IF(E474&lt;&gt;-1,_Media_M + E474*_Sigma,-1)</f>
        <v>61.656834330466822</v>
      </c>
      <c r="G474" s="3">
        <f t="shared" ca="1" si="104"/>
        <v>-1</v>
      </c>
      <c r="H474" s="36">
        <f t="shared" ca="1" si="99"/>
        <v>61.656834330466822</v>
      </c>
      <c r="I474" s="36">
        <f t="shared" ca="1" si="105"/>
        <v>11.647227128576766</v>
      </c>
      <c r="J474" s="35">
        <f t="shared" ca="1" si="100"/>
        <v>73.304061459043595</v>
      </c>
      <c r="K474" s="19">
        <f t="shared" ca="1" si="109"/>
        <v>73.304061459043595</v>
      </c>
      <c r="L474" s="20">
        <f ca="1" xml:space="preserve"> K474*_Precio_cafe</f>
        <v>109.95609218856539</v>
      </c>
      <c r="M474" s="20">
        <f t="shared" ca="1" si="110"/>
        <v>65387.320191197548</v>
      </c>
      <c r="N474" s="20">
        <f ca="1">IF((N473-K474+Y474)&gt;_Max_Stock_Gramos,_Max_Stock_Gramos,N473-K474+Y474)</f>
        <v>1626.6959385409564</v>
      </c>
      <c r="O474" s="20">
        <f ca="1">N474/_GramosXFrasco</f>
        <v>9.5687996384762144</v>
      </c>
      <c r="P474" s="63">
        <f ca="1">(N474/_Max_Stock_Gramos)</f>
        <v>0.95687996384762142</v>
      </c>
      <c r="Q474" s="63"/>
      <c r="R474" s="10">
        <f ca="1">IF((N473-J474)&lt;0,(N473-J474)*_Costo_Faltante,0)</f>
        <v>0</v>
      </c>
      <c r="S474">
        <f>IF(U474=0,X474*_Costo_Frasco,0)</f>
        <v>0</v>
      </c>
      <c r="T474" s="11">
        <f t="shared" ca="1" si="111"/>
        <v>-43577.89173507681</v>
      </c>
      <c r="U474" s="10">
        <f>IF(U473=0,_Proxima_Compra,U473-1)</f>
        <v>1</v>
      </c>
      <c r="V474" s="3">
        <f t="shared" ca="1" si="106"/>
        <v>-1</v>
      </c>
      <c r="W474" s="3">
        <f ca="1">IF(W473&gt;0,W473-1,IF(V474&gt;0,LOOKUP(V474,$R$3:$R$5,$O$3:$O$5),-1))</f>
        <v>-1</v>
      </c>
      <c r="X474" s="25">
        <f t="shared" ca="1" si="107"/>
        <v>0</v>
      </c>
      <c r="Y474" s="28">
        <f ca="1">X474*_GramosXFrasco</f>
        <v>0</v>
      </c>
    </row>
    <row r="475" spans="1:25" x14ac:dyDescent="0.25">
      <c r="A475" s="30">
        <f t="shared" si="108"/>
        <v>459</v>
      </c>
      <c r="B475" s="38">
        <f t="shared" ca="1" si="101"/>
        <v>0.8003871797839377</v>
      </c>
      <c r="C475" s="36">
        <f t="shared" ca="1" si="102"/>
        <v>0.37913712902948771</v>
      </c>
      <c r="D475" s="36">
        <f t="shared" ca="1" si="103"/>
        <v>0.12058927418786769</v>
      </c>
      <c r="E475" s="36">
        <f t="shared" ca="1" si="98"/>
        <v>0.46740991331876197</v>
      </c>
      <c r="F475" s="37">
        <f ca="1">IF(E475&lt;&gt;-1,_Media_M + E475*_Sigma,-1)</f>
        <v>82.01114869978143</v>
      </c>
      <c r="G475" s="3">
        <f t="shared" ca="1" si="104"/>
        <v>-1</v>
      </c>
      <c r="H475" s="36">
        <f t="shared" ca="1" si="99"/>
        <v>82.01114869978143</v>
      </c>
      <c r="I475" s="36">
        <f t="shared" ca="1" si="105"/>
        <v>32.595177825320704</v>
      </c>
      <c r="J475" s="35">
        <f t="shared" ca="1" si="100"/>
        <v>114.60632652510213</v>
      </c>
      <c r="K475" s="19">
        <f t="shared" ca="1" si="109"/>
        <v>114.60632652510213</v>
      </c>
      <c r="L475" s="20">
        <f ca="1" xml:space="preserve"> K475*_Precio_cafe</f>
        <v>171.9094897876532</v>
      </c>
      <c r="M475" s="20">
        <f t="shared" ca="1" si="110"/>
        <v>65559.229680985198</v>
      </c>
      <c r="N475" s="20">
        <f ca="1">IF((N474-K475+Y475)&gt;_Max_Stock_Gramos,_Max_Stock_Gramos,N474-K475+Y475)</f>
        <v>1700</v>
      </c>
      <c r="O475" s="20">
        <f ca="1">N475/_GramosXFrasco</f>
        <v>10</v>
      </c>
      <c r="P475" s="63">
        <f ca="1">(N475/_Max_Stock_Gramos)</f>
        <v>1</v>
      </c>
      <c r="Q475" s="63"/>
      <c r="R475" s="10">
        <f ca="1">IF((N474-J475)&lt;0,(N474-J475)*_Costo_Faltante,0)</f>
        <v>0</v>
      </c>
      <c r="S475">
        <f ca="1">IF(U475=0,X475*_Costo_Frasco,0)</f>
        <v>-500</v>
      </c>
      <c r="T475" s="11">
        <f t="shared" ca="1" si="111"/>
        <v>-44077.89173507681</v>
      </c>
      <c r="U475" s="10">
        <f>IF(U474=0,_Proxima_Compra,U474-1)</f>
        <v>0</v>
      </c>
      <c r="V475" s="3">
        <f t="shared" ca="1" si="106"/>
        <v>0.37098717320864605</v>
      </c>
      <c r="W475" s="3">
        <f ca="1">IF(W474&gt;0,W474-1,IF(V475&gt;0,LOOKUP(V475,$R$3:$R$5,$O$3:$O$5),-1))</f>
        <v>0</v>
      </c>
      <c r="X475" s="25">
        <f t="shared" ca="1" si="107"/>
        <v>2</v>
      </c>
      <c r="Y475" s="28">
        <f ca="1">X475*_GramosXFrasco</f>
        <v>340</v>
      </c>
    </row>
    <row r="476" spans="1:25" x14ac:dyDescent="0.25">
      <c r="A476" s="30">
        <f t="shared" si="108"/>
        <v>460</v>
      </c>
      <c r="B476" s="38">
        <f t="shared" ca="1" si="101"/>
        <v>0.92698815480698304</v>
      </c>
      <c r="C476" s="36">
        <f t="shared" ca="1" si="102"/>
        <v>0.54304389391507524</v>
      </c>
      <c r="D476" s="36">
        <f t="shared" ca="1" si="103"/>
        <v>0.35244425646746158</v>
      </c>
      <c r="E476" s="36">
        <f t="shared" ca="1" si="98"/>
        <v>-0.49497954413926371</v>
      </c>
      <c r="F476" s="37">
        <f ca="1">IF(E476&lt;&gt;-1,_Media_M + E476*_Sigma,-1)</f>
        <v>67.575306837911043</v>
      </c>
      <c r="G476" s="3">
        <f t="shared" ca="1" si="104"/>
        <v>-1</v>
      </c>
      <c r="H476" s="36">
        <f t="shared" ca="1" si="99"/>
        <v>67.575306837911043</v>
      </c>
      <c r="I476" s="36">
        <f t="shared" ca="1" si="105"/>
        <v>3.3549427723461771</v>
      </c>
      <c r="J476" s="35">
        <f t="shared" ca="1" si="100"/>
        <v>70.930249610257221</v>
      </c>
      <c r="K476" s="19">
        <f t="shared" ca="1" si="109"/>
        <v>70.930249610257221</v>
      </c>
      <c r="L476" s="20">
        <f ca="1" xml:space="preserve"> K476*_Precio_cafe</f>
        <v>106.39537441538583</v>
      </c>
      <c r="M476" s="20">
        <f t="shared" ca="1" si="110"/>
        <v>65665.625055400582</v>
      </c>
      <c r="N476" s="20">
        <f ca="1">IF((N475-K476+Y476)&gt;_Max_Stock_Gramos,_Max_Stock_Gramos,N475-K476+Y476)</f>
        <v>1629.0697503897427</v>
      </c>
      <c r="O476" s="20">
        <f ca="1">N476/_GramosXFrasco</f>
        <v>9.5827632375867218</v>
      </c>
      <c r="P476" s="63">
        <f ca="1">(N476/_Max_Stock_Gramos)</f>
        <v>0.95827632375867222</v>
      </c>
      <c r="Q476" s="63"/>
      <c r="R476" s="10">
        <f ca="1">IF((N475-J476)&lt;0,(N475-J476)*_Costo_Faltante,0)</f>
        <v>0</v>
      </c>
      <c r="S476">
        <f>IF(U476=0,X476*_Costo_Frasco,0)</f>
        <v>0</v>
      </c>
      <c r="T476" s="11">
        <f t="shared" ca="1" si="111"/>
        <v>-44077.89173507681</v>
      </c>
      <c r="U476" s="10">
        <f>IF(U475=0,_Proxima_Compra,U475-1)</f>
        <v>2</v>
      </c>
      <c r="V476" s="3">
        <f t="shared" ca="1" si="106"/>
        <v>-1</v>
      </c>
      <c r="W476" s="3">
        <f ca="1">IF(W475&gt;0,W475-1,IF(V476&gt;0,LOOKUP(V476,$R$3:$R$5,$O$3:$O$5),-1))</f>
        <v>-1</v>
      </c>
      <c r="X476" s="25">
        <f t="shared" ca="1" si="107"/>
        <v>0</v>
      </c>
      <c r="Y476" s="28">
        <f ca="1">X476*_GramosXFrasco</f>
        <v>0</v>
      </c>
    </row>
    <row r="477" spans="1:25" x14ac:dyDescent="0.25">
      <c r="A477" s="30">
        <f t="shared" si="108"/>
        <v>461</v>
      </c>
      <c r="B477" s="38">
        <f t="shared" ca="1" si="101"/>
        <v>0.54441801657601185</v>
      </c>
      <c r="C477" s="36">
        <f t="shared" ca="1" si="102"/>
        <v>0.27690039056376359</v>
      </c>
      <c r="D477" s="36">
        <f t="shared" ca="1" si="103"/>
        <v>0.55173892803842461</v>
      </c>
      <c r="E477" s="36">
        <f t="shared" ca="1" si="98"/>
        <v>-0.50286919668334518</v>
      </c>
      <c r="F477" s="37">
        <f ca="1">IF(E477&lt;&gt;-1,_Media_M + E477*_Sigma,-1)</f>
        <v>67.456962049749819</v>
      </c>
      <c r="G477" s="3">
        <f t="shared" ca="1" si="104"/>
        <v>-1</v>
      </c>
      <c r="H477" s="36">
        <f t="shared" ca="1" si="99"/>
        <v>67.456962049749819</v>
      </c>
      <c r="I477" s="36">
        <f t="shared" ca="1" si="105"/>
        <v>5.4755205105248539</v>
      </c>
      <c r="J477" s="35">
        <f t="shared" ca="1" si="100"/>
        <v>72.932482560274678</v>
      </c>
      <c r="K477" s="19">
        <f t="shared" ca="1" si="109"/>
        <v>72.932482560274678</v>
      </c>
      <c r="L477" s="20">
        <f ca="1" xml:space="preserve"> K477*_Precio_cafe</f>
        <v>109.39872384041202</v>
      </c>
      <c r="M477" s="20">
        <f t="shared" ca="1" si="110"/>
        <v>65775.02377924099</v>
      </c>
      <c r="N477" s="20">
        <f ca="1">IF((N476-K477+Y477)&gt;_Max_Stock_Gramos,_Max_Stock_Gramos,N476-K477+Y477)</f>
        <v>1556.1372678294681</v>
      </c>
      <c r="O477" s="20">
        <f ca="1">N477/_GramosXFrasco</f>
        <v>9.153748634290988</v>
      </c>
      <c r="P477" s="63">
        <f ca="1">(N477/_Max_Stock_Gramos)</f>
        <v>0.91537486342909891</v>
      </c>
      <c r="Q477" s="63"/>
      <c r="R477" s="10">
        <f ca="1">IF((N476-J477)&lt;0,(N476-J477)*_Costo_Faltante,0)</f>
        <v>0</v>
      </c>
      <c r="S477">
        <f>IF(U477=0,X477*_Costo_Frasco,0)</f>
        <v>0</v>
      </c>
      <c r="T477" s="11">
        <f t="shared" ca="1" si="111"/>
        <v>-44077.89173507681</v>
      </c>
      <c r="U477" s="10">
        <f>IF(U476=0,_Proxima_Compra,U476-1)</f>
        <v>1</v>
      </c>
      <c r="V477" s="3">
        <f t="shared" ca="1" si="106"/>
        <v>-1</v>
      </c>
      <c r="W477" s="3">
        <f ca="1">IF(W476&gt;0,W476-1,IF(V477&gt;0,LOOKUP(V477,$R$3:$R$5,$O$3:$O$5),-1))</f>
        <v>-1</v>
      </c>
      <c r="X477" s="25">
        <f t="shared" ca="1" si="107"/>
        <v>0</v>
      </c>
      <c r="Y477" s="28">
        <f ca="1">X477*_GramosXFrasco</f>
        <v>0</v>
      </c>
    </row>
    <row r="478" spans="1:25" x14ac:dyDescent="0.25">
      <c r="A478" s="30">
        <f t="shared" si="108"/>
        <v>462</v>
      </c>
      <c r="B478" s="38">
        <f t="shared" ca="1" si="101"/>
        <v>0.62317707412425083</v>
      </c>
      <c r="C478" s="36">
        <f t="shared" ca="1" si="102"/>
        <v>0.36260010773373719</v>
      </c>
      <c r="D478" s="36">
        <f t="shared" ca="1" si="103"/>
        <v>0.16990705560135977</v>
      </c>
      <c r="E478" s="36">
        <f t="shared" ca="1" si="98"/>
        <v>0.30162835835700813</v>
      </c>
      <c r="F478" s="37">
        <f ca="1">IF(E478&lt;&gt;-1,_Media_M + E478*_Sigma,-1)</f>
        <v>79.524425375355122</v>
      </c>
      <c r="G478" s="3">
        <f t="shared" ca="1" si="104"/>
        <v>-1</v>
      </c>
      <c r="H478" s="36">
        <f t="shared" ca="1" si="99"/>
        <v>79.524425375355122</v>
      </c>
      <c r="I478" s="36">
        <f t="shared" ca="1" si="105"/>
        <v>7.1345144815025252</v>
      </c>
      <c r="J478" s="35">
        <f t="shared" ca="1" si="100"/>
        <v>86.658939856857643</v>
      </c>
      <c r="K478" s="19">
        <f t="shared" ca="1" si="109"/>
        <v>86.658939856857643</v>
      </c>
      <c r="L478" s="20">
        <f ca="1" xml:space="preserve"> K478*_Precio_cafe</f>
        <v>129.98840978528648</v>
      </c>
      <c r="M478" s="20">
        <f t="shared" ca="1" si="110"/>
        <v>65905.012189026282</v>
      </c>
      <c r="N478" s="20">
        <f ca="1">IF((N477-K478+Y478)&gt;_Max_Stock_Gramos,_Max_Stock_Gramos,N477-K478+Y478)</f>
        <v>1700</v>
      </c>
      <c r="O478" s="20">
        <f ca="1">N478/_GramosXFrasco</f>
        <v>10</v>
      </c>
      <c r="P478" s="63">
        <f ca="1">(N478/_Max_Stock_Gramos)</f>
        <v>1</v>
      </c>
      <c r="Q478" s="63"/>
      <c r="R478" s="10">
        <f ca="1">IF((N477-J478)&lt;0,(N477-J478)*_Costo_Faltante,0)</f>
        <v>0</v>
      </c>
      <c r="S478">
        <f ca="1">IF(U478=0,X478*_Costo_Frasco,0)</f>
        <v>-500</v>
      </c>
      <c r="T478" s="11">
        <f t="shared" ca="1" si="111"/>
        <v>-44577.89173507681</v>
      </c>
      <c r="U478" s="10">
        <f>IF(U477=0,_Proxima_Compra,U477-1)</f>
        <v>0</v>
      </c>
      <c r="V478" s="3">
        <f t="shared" ca="1" si="106"/>
        <v>9.4710849849642398E-2</v>
      </c>
      <c r="W478" s="3">
        <f ca="1">IF(W477&gt;0,W477-1,IF(V478&gt;0,LOOKUP(V478,$R$3:$R$5,$O$3:$O$5),-1))</f>
        <v>0</v>
      </c>
      <c r="X478" s="25">
        <f t="shared" ca="1" si="107"/>
        <v>2</v>
      </c>
      <c r="Y478" s="28">
        <f ca="1">X478*_GramosXFrasco</f>
        <v>340</v>
      </c>
    </row>
    <row r="479" spans="1:25" x14ac:dyDescent="0.25">
      <c r="A479" s="30">
        <f t="shared" si="108"/>
        <v>463</v>
      </c>
      <c r="B479" s="38">
        <f t="shared" ca="1" si="101"/>
        <v>0.82960942346739419</v>
      </c>
      <c r="C479" s="36">
        <f t="shared" ca="1" si="102"/>
        <v>0.11095541954701627</v>
      </c>
      <c r="D479" s="36">
        <f t="shared" ca="1" si="103"/>
        <v>0.51344923640103657</v>
      </c>
      <c r="E479" s="36">
        <f t="shared" ca="1" si="98"/>
        <v>-0.31847321664947026</v>
      </c>
      <c r="F479" s="37">
        <f ca="1">IF(E479&lt;&gt;-1,_Media_M + E479*_Sigma,-1)</f>
        <v>70.222901750257947</v>
      </c>
      <c r="G479" s="3">
        <f t="shared" ca="1" si="104"/>
        <v>-1</v>
      </c>
      <c r="H479" s="36">
        <f t="shared" ca="1" si="99"/>
        <v>70.222901750257947</v>
      </c>
      <c r="I479" s="36">
        <f t="shared" ca="1" si="105"/>
        <v>11.062407664905859</v>
      </c>
      <c r="J479" s="35">
        <f t="shared" ca="1" si="100"/>
        <v>81.285309415163809</v>
      </c>
      <c r="K479" s="19">
        <f t="shared" ca="1" si="109"/>
        <v>81.285309415163809</v>
      </c>
      <c r="L479" s="20">
        <f ca="1" xml:space="preserve"> K479*_Precio_cafe</f>
        <v>121.92796412274572</v>
      </c>
      <c r="M479" s="20">
        <f t="shared" ca="1" si="110"/>
        <v>66026.940153149029</v>
      </c>
      <c r="N479" s="20">
        <f ca="1">IF((N478-K479+Y479)&gt;_Max_Stock_Gramos,_Max_Stock_Gramos,N478-K479+Y479)</f>
        <v>1618.7146905848363</v>
      </c>
      <c r="O479" s="20">
        <f ca="1">N479/_GramosXFrasco</f>
        <v>9.5218511210872716</v>
      </c>
      <c r="P479" s="63">
        <f ca="1">(N479/_Max_Stock_Gramos)</f>
        <v>0.95218511210872725</v>
      </c>
      <c r="Q479" s="63"/>
      <c r="R479" s="10">
        <f ca="1">IF((N478-J479)&lt;0,(N478-J479)*_Costo_Faltante,0)</f>
        <v>0</v>
      </c>
      <c r="S479">
        <f>IF(U479=0,X479*_Costo_Frasco,0)</f>
        <v>0</v>
      </c>
      <c r="T479" s="11">
        <f t="shared" ca="1" si="111"/>
        <v>-44577.89173507681</v>
      </c>
      <c r="U479" s="10">
        <f>IF(U478=0,_Proxima_Compra,U478-1)</f>
        <v>2</v>
      </c>
      <c r="V479" s="3">
        <f t="shared" ca="1" si="106"/>
        <v>-1</v>
      </c>
      <c r="W479" s="3">
        <f ca="1">IF(W478&gt;0,W478-1,IF(V479&gt;0,LOOKUP(V479,$R$3:$R$5,$O$3:$O$5),-1))</f>
        <v>-1</v>
      </c>
      <c r="X479" s="25">
        <f t="shared" ca="1" si="107"/>
        <v>0</v>
      </c>
      <c r="Y479" s="28">
        <f ca="1">X479*_GramosXFrasco</f>
        <v>0</v>
      </c>
    </row>
    <row r="480" spans="1:25" x14ac:dyDescent="0.25">
      <c r="A480" s="30">
        <f t="shared" si="108"/>
        <v>464</v>
      </c>
      <c r="B480" s="38">
        <f t="shared" ca="1" si="101"/>
        <v>0.44414670834701542</v>
      </c>
      <c r="C480" s="36">
        <f t="shared" ca="1" si="102"/>
        <v>-1</v>
      </c>
      <c r="D480" s="36">
        <f t="shared" ca="1" si="103"/>
        <v>-1</v>
      </c>
      <c r="E480" s="36">
        <f t="shared" ca="1" si="98"/>
        <v>-1</v>
      </c>
      <c r="F480" s="37">
        <f ca="1">IF(E480&lt;&gt;-1,_Media_M + E480*_Sigma,-1)</f>
        <v>-1</v>
      </c>
      <c r="G480" s="3">
        <f t="shared" ca="1" si="104"/>
        <v>50</v>
      </c>
      <c r="H480" s="36">
        <f t="shared" ca="1" si="99"/>
        <v>50</v>
      </c>
      <c r="I480" s="36">
        <f t="shared" ca="1" si="105"/>
        <v>6.86967600355222</v>
      </c>
      <c r="J480" s="35">
        <f t="shared" ca="1" si="100"/>
        <v>56.869676003552222</v>
      </c>
      <c r="K480" s="19">
        <f t="shared" ca="1" si="109"/>
        <v>56.869676003552222</v>
      </c>
      <c r="L480" s="20">
        <f ca="1" xml:space="preserve"> K480*_Precio_cafe</f>
        <v>85.304514005328329</v>
      </c>
      <c r="M480" s="20">
        <f t="shared" ca="1" si="110"/>
        <v>66112.244667154358</v>
      </c>
      <c r="N480" s="20">
        <f ca="1">IF((N479-K480+Y480)&gt;_Max_Stock_Gramos,_Max_Stock_Gramos,N479-K480+Y480)</f>
        <v>1561.845014581284</v>
      </c>
      <c r="O480" s="20">
        <f ca="1">N480/_GramosXFrasco</f>
        <v>9.1873236151840239</v>
      </c>
      <c r="P480" s="63">
        <f ca="1">(N480/_Max_Stock_Gramos)</f>
        <v>0.91873236151840232</v>
      </c>
      <c r="Q480" s="63"/>
      <c r="R480" s="10">
        <f ca="1">IF((N479-J480)&lt;0,(N479-J480)*_Costo_Faltante,0)</f>
        <v>0</v>
      </c>
      <c r="S480">
        <f>IF(U480=0,X480*_Costo_Frasco,0)</f>
        <v>0</v>
      </c>
      <c r="T480" s="11">
        <f t="shared" ca="1" si="111"/>
        <v>-44577.89173507681</v>
      </c>
      <c r="U480" s="10">
        <f>IF(U479=0,_Proxima_Compra,U479-1)</f>
        <v>1</v>
      </c>
      <c r="V480" s="3">
        <f t="shared" ca="1" si="106"/>
        <v>-1</v>
      </c>
      <c r="W480" s="3">
        <f ca="1">IF(W479&gt;0,W479-1,IF(V480&gt;0,LOOKUP(V480,$R$3:$R$5,$O$3:$O$5),-1))</f>
        <v>-1</v>
      </c>
      <c r="X480" s="25">
        <f t="shared" ca="1" si="107"/>
        <v>0</v>
      </c>
      <c r="Y480" s="28">
        <f ca="1">X480*_GramosXFrasco</f>
        <v>0</v>
      </c>
    </row>
    <row r="481" spans="1:25" x14ac:dyDescent="0.25">
      <c r="A481" s="30">
        <f t="shared" si="108"/>
        <v>465</v>
      </c>
      <c r="B481" s="38">
        <f t="shared" ca="1" si="101"/>
        <v>5.7379676388099599E-2</v>
      </c>
      <c r="C481" s="36">
        <f t="shared" ca="1" si="102"/>
        <v>-1</v>
      </c>
      <c r="D481" s="36">
        <f t="shared" ca="1" si="103"/>
        <v>-1</v>
      </c>
      <c r="E481" s="36">
        <f t="shared" ca="1" si="98"/>
        <v>-1</v>
      </c>
      <c r="F481" s="37">
        <f ca="1">IF(E481&lt;&gt;-1,_Media_M + E481*_Sigma,-1)</f>
        <v>-1</v>
      </c>
      <c r="G481" s="3">
        <f t="shared" ca="1" si="104"/>
        <v>50</v>
      </c>
      <c r="H481" s="36">
        <f t="shared" ca="1" si="99"/>
        <v>50</v>
      </c>
      <c r="I481" s="36">
        <f t="shared" ca="1" si="105"/>
        <v>51.885080257116208</v>
      </c>
      <c r="J481" s="35">
        <f t="shared" ca="1" si="100"/>
        <v>101.88508025711621</v>
      </c>
      <c r="K481" s="19">
        <f t="shared" ca="1" si="109"/>
        <v>101.88508025711621</v>
      </c>
      <c r="L481" s="20">
        <f ca="1" xml:space="preserve"> K481*_Precio_cafe</f>
        <v>152.82762038567432</v>
      </c>
      <c r="M481" s="20">
        <f t="shared" ca="1" si="110"/>
        <v>66265.072287540039</v>
      </c>
      <c r="N481" s="20">
        <f ca="1">IF((N480-K481+Y481)&gt;_Max_Stock_Gramos,_Max_Stock_Gramos,N480-K481+Y481)</f>
        <v>1700</v>
      </c>
      <c r="O481" s="20">
        <f ca="1">N481/_GramosXFrasco</f>
        <v>10</v>
      </c>
      <c r="P481" s="63">
        <f ca="1">(N481/_Max_Stock_Gramos)</f>
        <v>1</v>
      </c>
      <c r="Q481" s="63"/>
      <c r="R481" s="10">
        <f ca="1">IF((N480-J481)&lt;0,(N480-J481)*_Costo_Faltante,0)</f>
        <v>0</v>
      </c>
      <c r="S481">
        <f ca="1">IF(U481=0,X481*_Costo_Frasco,0)</f>
        <v>-500</v>
      </c>
      <c r="T481" s="11">
        <f t="shared" ca="1" si="111"/>
        <v>-45077.89173507681</v>
      </c>
      <c r="U481" s="10">
        <f>IF(U480=0,_Proxima_Compra,U480-1)</f>
        <v>0</v>
      </c>
      <c r="V481" s="3">
        <f t="shared" ca="1" si="106"/>
        <v>1.631538600307203E-2</v>
      </c>
      <c r="W481" s="3">
        <f ca="1">IF(W480&gt;0,W480-1,IF(V481&gt;0,LOOKUP(V481,$R$3:$R$5,$O$3:$O$5),-1))</f>
        <v>0</v>
      </c>
      <c r="X481" s="25">
        <f t="shared" ca="1" si="107"/>
        <v>2</v>
      </c>
      <c r="Y481" s="28">
        <f ca="1">X481*_GramosXFrasco</f>
        <v>340</v>
      </c>
    </row>
    <row r="482" spans="1:25" x14ac:dyDescent="0.25">
      <c r="A482" s="30">
        <f t="shared" si="108"/>
        <v>466</v>
      </c>
      <c r="B482" s="38">
        <f t="shared" ca="1" si="101"/>
        <v>0.32315148434928109</v>
      </c>
      <c r="C482" s="36">
        <f t="shared" ca="1" si="102"/>
        <v>-1</v>
      </c>
      <c r="D482" s="36">
        <f t="shared" ca="1" si="103"/>
        <v>-1</v>
      </c>
      <c r="E482" s="36">
        <f t="shared" ca="1" si="98"/>
        <v>-1</v>
      </c>
      <c r="F482" s="37">
        <f ca="1">IF(E482&lt;&gt;-1,_Media_M + E482*_Sigma,-1)</f>
        <v>-1</v>
      </c>
      <c r="G482" s="3">
        <f t="shared" ca="1" si="104"/>
        <v>50</v>
      </c>
      <c r="H482" s="36">
        <f t="shared" ca="1" si="99"/>
        <v>50</v>
      </c>
      <c r="I482" s="36">
        <f t="shared" ca="1" si="105"/>
        <v>43.177335752296344</v>
      </c>
      <c r="J482" s="35">
        <f t="shared" ca="1" si="100"/>
        <v>93.177335752296344</v>
      </c>
      <c r="K482" s="19">
        <f t="shared" ca="1" si="109"/>
        <v>93.177335752296344</v>
      </c>
      <c r="L482" s="20">
        <f ca="1" xml:space="preserve"> K482*_Precio_cafe</f>
        <v>139.76600362844451</v>
      </c>
      <c r="M482" s="20">
        <f t="shared" ca="1" si="110"/>
        <v>66404.838291168489</v>
      </c>
      <c r="N482" s="20">
        <f ca="1">IF((N481-K482+Y482)&gt;_Max_Stock_Gramos,_Max_Stock_Gramos,N481-K482+Y482)</f>
        <v>1606.8226642477036</v>
      </c>
      <c r="O482" s="20">
        <f ca="1">N482/_GramosXFrasco</f>
        <v>9.4518980249864928</v>
      </c>
      <c r="P482" s="63">
        <f ca="1">(N482/_Max_Stock_Gramos)</f>
        <v>0.94518980249864926</v>
      </c>
      <c r="Q482" s="63"/>
      <c r="R482" s="10">
        <f ca="1">IF((N481-J482)&lt;0,(N481-J482)*_Costo_Faltante,0)</f>
        <v>0</v>
      </c>
      <c r="S482">
        <f>IF(U482=0,X482*_Costo_Frasco,0)</f>
        <v>0</v>
      </c>
      <c r="T482" s="11">
        <f t="shared" ca="1" si="111"/>
        <v>-45077.89173507681</v>
      </c>
      <c r="U482" s="10">
        <f>IF(U481=0,_Proxima_Compra,U481-1)</f>
        <v>2</v>
      </c>
      <c r="V482" s="3">
        <f t="shared" ca="1" si="106"/>
        <v>-1</v>
      </c>
      <c r="W482" s="3">
        <f ca="1">IF(W481&gt;0,W481-1,IF(V482&gt;0,LOOKUP(V482,$R$3:$R$5,$O$3:$O$5),-1))</f>
        <v>-1</v>
      </c>
      <c r="X482" s="25">
        <f t="shared" ca="1" si="107"/>
        <v>0</v>
      </c>
      <c r="Y482" s="28">
        <f ca="1">X482*_GramosXFrasco</f>
        <v>0</v>
      </c>
    </row>
    <row r="483" spans="1:25" x14ac:dyDescent="0.25">
      <c r="A483" s="30">
        <f t="shared" si="108"/>
        <v>467</v>
      </c>
      <c r="B483" s="38">
        <f t="shared" ca="1" si="101"/>
        <v>0.72260268845940723</v>
      </c>
      <c r="C483" s="36">
        <f t="shared" ca="1" si="102"/>
        <v>0.74949268458036988</v>
      </c>
      <c r="D483" s="36">
        <f t="shared" ca="1" si="103"/>
        <v>0.29764687530653156</v>
      </c>
      <c r="E483" s="36">
        <f t="shared" ca="1" si="98"/>
        <v>-0.32338855594428317</v>
      </c>
      <c r="F483" s="37">
        <f ca="1">IF(E483&lt;&gt;-1,_Media_M + E483*_Sigma,-1)</f>
        <v>70.149171660835748</v>
      </c>
      <c r="G483" s="3">
        <f t="shared" ca="1" si="104"/>
        <v>-1</v>
      </c>
      <c r="H483" s="36">
        <f t="shared" ca="1" si="99"/>
        <v>70.149171660835748</v>
      </c>
      <c r="I483" s="36">
        <f t="shared" ca="1" si="105"/>
        <v>15.388545389279056</v>
      </c>
      <c r="J483" s="35">
        <f t="shared" ca="1" si="100"/>
        <v>85.537717050114807</v>
      </c>
      <c r="K483" s="19">
        <f t="shared" ca="1" si="109"/>
        <v>85.537717050114807</v>
      </c>
      <c r="L483" s="20">
        <f ca="1" xml:space="preserve"> K483*_Precio_cafe</f>
        <v>128.30657557517222</v>
      </c>
      <c r="M483" s="20">
        <f t="shared" ca="1" si="110"/>
        <v>66533.144866743663</v>
      </c>
      <c r="N483" s="20">
        <f ca="1">IF((N482-K483+Y483)&gt;_Max_Stock_Gramos,_Max_Stock_Gramos,N482-K483+Y483)</f>
        <v>1521.2849471975887</v>
      </c>
      <c r="O483" s="20">
        <f ca="1">N483/_GramosXFrasco</f>
        <v>8.9487349835152283</v>
      </c>
      <c r="P483" s="63">
        <f ca="1">(N483/_Max_Stock_Gramos)</f>
        <v>0.89487349835152274</v>
      </c>
      <c r="Q483" s="63"/>
      <c r="R483" s="10">
        <f ca="1">IF((N482-J483)&lt;0,(N482-J483)*_Costo_Faltante,0)</f>
        <v>0</v>
      </c>
      <c r="S483">
        <f>IF(U483=0,X483*_Costo_Frasco,0)</f>
        <v>0</v>
      </c>
      <c r="T483" s="11">
        <f t="shared" ca="1" si="111"/>
        <v>-45077.89173507681</v>
      </c>
      <c r="U483" s="10">
        <f>IF(U482=0,_Proxima_Compra,U482-1)</f>
        <v>1</v>
      </c>
      <c r="V483" s="3">
        <f t="shared" ca="1" si="106"/>
        <v>-1</v>
      </c>
      <c r="W483" s="3">
        <f ca="1">IF(W482&gt;0,W482-1,IF(V483&gt;0,LOOKUP(V483,$R$3:$R$5,$O$3:$O$5),-1))</f>
        <v>-1</v>
      </c>
      <c r="X483" s="25">
        <f t="shared" ca="1" si="107"/>
        <v>0</v>
      </c>
      <c r="Y483" s="28">
        <f ca="1">X483*_GramosXFrasco</f>
        <v>0</v>
      </c>
    </row>
    <row r="484" spans="1:25" x14ac:dyDescent="0.25">
      <c r="A484" s="30">
        <f t="shared" si="108"/>
        <v>468</v>
      </c>
      <c r="B484" s="38">
        <f t="shared" ca="1" si="101"/>
        <v>1.326332182470058E-2</v>
      </c>
      <c r="C484" s="36">
        <f t="shared" ca="1" si="102"/>
        <v>-1</v>
      </c>
      <c r="D484" s="36">
        <f t="shared" ca="1" si="103"/>
        <v>-1</v>
      </c>
      <c r="E484" s="36">
        <f t="shared" ref="E484:E516" ca="1" si="112">IF(D484&gt;0,SQRT(-2*LOG(1-C484)) * COS(2*PI()*D484),-1)</f>
        <v>-1</v>
      </c>
      <c r="F484" s="37">
        <f ca="1">IF(E484&lt;&gt;-1,_Media_M + E484*_Sigma,-1)</f>
        <v>-1</v>
      </c>
      <c r="G484" s="3">
        <f t="shared" ca="1" si="104"/>
        <v>50</v>
      </c>
      <c r="H484" s="36">
        <f t="shared" ref="H484:H516" ca="1" si="113">IF(F484=-1,G484,F484)</f>
        <v>50</v>
      </c>
      <c r="I484" s="36">
        <f t="shared" ca="1" si="105"/>
        <v>11.02934843234927</v>
      </c>
      <c r="J484" s="35">
        <f t="shared" ref="J484:J516" ca="1" si="114">H484+I484</f>
        <v>61.029348432349266</v>
      </c>
      <c r="K484" s="19">
        <f t="shared" ca="1" si="109"/>
        <v>61.029348432349266</v>
      </c>
      <c r="L484" s="20">
        <f ca="1" xml:space="preserve"> K484*_Precio_cafe</f>
        <v>91.544022648523907</v>
      </c>
      <c r="M484" s="20">
        <f t="shared" ca="1" si="110"/>
        <v>66624.688889392186</v>
      </c>
      <c r="N484" s="20">
        <f ca="1">IF((N483-K484+Y484)&gt;_Max_Stock_Gramos,_Max_Stock_Gramos,N483-K484+Y484)</f>
        <v>1700</v>
      </c>
      <c r="O484" s="20">
        <f ca="1">N484/_GramosXFrasco</f>
        <v>10</v>
      </c>
      <c r="P484" s="63">
        <f ca="1">(N484/_Max_Stock_Gramos)</f>
        <v>1</v>
      </c>
      <c r="Q484" s="63"/>
      <c r="R484" s="10">
        <f ca="1">IF((N483-J484)&lt;0,(N483-J484)*_Costo_Faltante,0)</f>
        <v>0</v>
      </c>
      <c r="S484">
        <f ca="1">IF(U484=0,X484*_Costo_Frasco,0)</f>
        <v>-500</v>
      </c>
      <c r="T484" s="11">
        <f t="shared" ca="1" si="111"/>
        <v>-45577.89173507681</v>
      </c>
      <c r="U484" s="10">
        <f>IF(U483=0,_Proxima_Compra,U483-1)</f>
        <v>0</v>
      </c>
      <c r="V484" s="3">
        <f t="shared" ca="1" si="106"/>
        <v>0.13055761022002854</v>
      </c>
      <c r="W484" s="3">
        <f ca="1">IF(W483&gt;0,W483-1,IF(V484&gt;0,LOOKUP(V484,$R$3:$R$5,$O$3:$O$5),-1))</f>
        <v>0</v>
      </c>
      <c r="X484" s="25">
        <f t="shared" ca="1" si="107"/>
        <v>2</v>
      </c>
      <c r="Y484" s="28">
        <f ca="1">X484*_GramosXFrasco</f>
        <v>340</v>
      </c>
    </row>
    <row r="485" spans="1:25" x14ac:dyDescent="0.25">
      <c r="A485" s="30">
        <f t="shared" si="108"/>
        <v>469</v>
      </c>
      <c r="B485" s="38">
        <f t="shared" ca="1" si="101"/>
        <v>0.63761006115402097</v>
      </c>
      <c r="C485" s="36">
        <f t="shared" ca="1" si="102"/>
        <v>0.92659113643059721</v>
      </c>
      <c r="D485" s="36">
        <f t="shared" ca="1" si="103"/>
        <v>0.84425060386990347</v>
      </c>
      <c r="E485" s="36">
        <f t="shared" ca="1" si="112"/>
        <v>0.84070979723332218</v>
      </c>
      <c r="F485" s="37">
        <f ca="1">IF(E485&lt;&gt;-1,_Media_M + E485*_Sigma,-1)</f>
        <v>87.610646958499828</v>
      </c>
      <c r="G485" s="3">
        <f t="shared" ca="1" si="104"/>
        <v>-1</v>
      </c>
      <c r="H485" s="36">
        <f t="shared" ca="1" si="113"/>
        <v>87.610646958499828</v>
      </c>
      <c r="I485" s="36">
        <f t="shared" ca="1" si="105"/>
        <v>21.469136420528308</v>
      </c>
      <c r="J485" s="35">
        <f t="shared" ca="1" si="114"/>
        <v>109.07978337902813</v>
      </c>
      <c r="K485" s="19">
        <f t="shared" ca="1" si="109"/>
        <v>109.07978337902813</v>
      </c>
      <c r="L485" s="20">
        <f ca="1" xml:space="preserve"> K485*_Precio_cafe</f>
        <v>163.61967506854219</v>
      </c>
      <c r="M485" s="20">
        <f t="shared" ca="1" si="110"/>
        <v>66788.308564460734</v>
      </c>
      <c r="N485" s="20">
        <f ca="1">IF((N484-K485+Y485)&gt;_Max_Stock_Gramos,_Max_Stock_Gramos,N484-K485+Y485)</f>
        <v>1590.9202166209718</v>
      </c>
      <c r="O485" s="20">
        <f ca="1">N485/_GramosXFrasco</f>
        <v>9.3583542154174815</v>
      </c>
      <c r="P485" s="63">
        <f ca="1">(N485/_Max_Stock_Gramos)</f>
        <v>0.93583542154174815</v>
      </c>
      <c r="Q485" s="63"/>
      <c r="R485" s="10">
        <f ca="1">IF((N484-J485)&lt;0,(N484-J485)*_Costo_Faltante,0)</f>
        <v>0</v>
      </c>
      <c r="S485">
        <f>IF(U485=0,X485*_Costo_Frasco,0)</f>
        <v>0</v>
      </c>
      <c r="T485" s="11">
        <f t="shared" ca="1" si="111"/>
        <v>-45577.89173507681</v>
      </c>
      <c r="U485" s="10">
        <f>IF(U484=0,_Proxima_Compra,U484-1)</f>
        <v>2</v>
      </c>
      <c r="V485" s="3">
        <f t="shared" ca="1" si="106"/>
        <v>-1</v>
      </c>
      <c r="W485" s="3">
        <f ca="1">IF(W484&gt;0,W484-1,IF(V485&gt;0,LOOKUP(V485,$R$3:$R$5,$O$3:$O$5),-1))</f>
        <v>-1</v>
      </c>
      <c r="X485" s="25">
        <f t="shared" ca="1" si="107"/>
        <v>0</v>
      </c>
      <c r="Y485" s="28">
        <f ca="1">X485*_GramosXFrasco</f>
        <v>0</v>
      </c>
    </row>
    <row r="486" spans="1:25" x14ac:dyDescent="0.25">
      <c r="A486" s="30">
        <f t="shared" si="108"/>
        <v>470</v>
      </c>
      <c r="B486" s="38">
        <f t="shared" ca="1" si="101"/>
        <v>0.43523947471367552</v>
      </c>
      <c r="C486" s="36">
        <f t="shared" ca="1" si="102"/>
        <v>-1</v>
      </c>
      <c r="D486" s="36">
        <f t="shared" ca="1" si="103"/>
        <v>-1</v>
      </c>
      <c r="E486" s="36">
        <f t="shared" ca="1" si="112"/>
        <v>-1</v>
      </c>
      <c r="F486" s="37">
        <f ca="1">IF(E486&lt;&gt;-1,_Media_M + E486*_Sigma,-1)</f>
        <v>-1</v>
      </c>
      <c r="G486" s="3">
        <f t="shared" ca="1" si="104"/>
        <v>50</v>
      </c>
      <c r="H486" s="36">
        <f t="shared" ca="1" si="113"/>
        <v>50</v>
      </c>
      <c r="I486" s="36">
        <f t="shared" ca="1" si="105"/>
        <v>24.893138997446659</v>
      </c>
      <c r="J486" s="35">
        <f t="shared" ca="1" si="114"/>
        <v>74.893138997446655</v>
      </c>
      <c r="K486" s="19">
        <f t="shared" ca="1" si="109"/>
        <v>74.893138997446655</v>
      </c>
      <c r="L486" s="20">
        <f ca="1" xml:space="preserve"> K486*_Precio_cafe</f>
        <v>112.33970849616998</v>
      </c>
      <c r="M486" s="20">
        <f t="shared" ca="1" si="110"/>
        <v>66900.648272956911</v>
      </c>
      <c r="N486" s="20">
        <f ca="1">IF((N485-K486+Y486)&gt;_Max_Stock_Gramos,_Max_Stock_Gramos,N485-K486+Y486)</f>
        <v>1516.0270776235252</v>
      </c>
      <c r="O486" s="20">
        <f ca="1">N486/_GramosXFrasco</f>
        <v>8.9178063389619133</v>
      </c>
      <c r="P486" s="63">
        <f ca="1">(N486/_Max_Stock_Gramos)</f>
        <v>0.89178063389619133</v>
      </c>
      <c r="Q486" s="63"/>
      <c r="R486" s="10">
        <f ca="1">IF((N485-J486)&lt;0,(N485-J486)*_Costo_Faltante,0)</f>
        <v>0</v>
      </c>
      <c r="S486">
        <f>IF(U486=0,X486*_Costo_Frasco,0)</f>
        <v>0</v>
      </c>
      <c r="T486" s="11">
        <f t="shared" ca="1" si="111"/>
        <v>-45577.89173507681</v>
      </c>
      <c r="U486" s="10">
        <f>IF(U485=0,_Proxima_Compra,U485-1)</f>
        <v>1</v>
      </c>
      <c r="V486" s="3">
        <f t="shared" ca="1" si="106"/>
        <v>-1</v>
      </c>
      <c r="W486" s="3">
        <f ca="1">IF(W485&gt;0,W485-1,IF(V486&gt;0,LOOKUP(V486,$R$3:$R$5,$O$3:$O$5),-1))</f>
        <v>-1</v>
      </c>
      <c r="X486" s="25">
        <f t="shared" ca="1" si="107"/>
        <v>0</v>
      </c>
      <c r="Y486" s="28">
        <f ca="1">X486*_GramosXFrasco</f>
        <v>0</v>
      </c>
    </row>
    <row r="487" spans="1:25" x14ac:dyDescent="0.25">
      <c r="A487" s="30">
        <f t="shared" si="108"/>
        <v>471</v>
      </c>
      <c r="B487" s="38">
        <f t="shared" ca="1" si="101"/>
        <v>0.44796563170390724</v>
      </c>
      <c r="C487" s="36">
        <f t="shared" ca="1" si="102"/>
        <v>-1</v>
      </c>
      <c r="D487" s="36">
        <f t="shared" ca="1" si="103"/>
        <v>-1</v>
      </c>
      <c r="E487" s="36">
        <f t="shared" ca="1" si="112"/>
        <v>-1</v>
      </c>
      <c r="F487" s="37">
        <f ca="1">IF(E487&lt;&gt;-1,_Media_M + E487*_Sigma,-1)</f>
        <v>-1</v>
      </c>
      <c r="G487" s="3">
        <f t="shared" ca="1" si="104"/>
        <v>50</v>
      </c>
      <c r="H487" s="36">
        <f t="shared" ca="1" si="113"/>
        <v>50</v>
      </c>
      <c r="I487" s="36">
        <f t="shared" ca="1" si="105"/>
        <v>22.927540341890342</v>
      </c>
      <c r="J487" s="35">
        <f t="shared" ca="1" si="114"/>
        <v>72.927540341890335</v>
      </c>
      <c r="K487" s="19">
        <f t="shared" ca="1" si="109"/>
        <v>72.927540341890335</v>
      </c>
      <c r="L487" s="20">
        <f ca="1" xml:space="preserve"> K487*_Precio_cafe</f>
        <v>109.3913105128355</v>
      </c>
      <c r="M487" s="20">
        <f t="shared" ca="1" si="110"/>
        <v>67010.039583469741</v>
      </c>
      <c r="N487" s="20">
        <f ca="1">IF((N486-K487+Y487)&gt;_Max_Stock_Gramos,_Max_Stock_Gramos,N486-K487+Y487)</f>
        <v>1443.0995372816349</v>
      </c>
      <c r="O487" s="20">
        <f ca="1">N487/_GramosXFrasco</f>
        <v>8.4888208075390281</v>
      </c>
      <c r="P487" s="63">
        <f ca="1">(N487/_Max_Stock_Gramos)</f>
        <v>0.84888208075390281</v>
      </c>
      <c r="Q487" s="63"/>
      <c r="R487" s="10">
        <f ca="1">IF((N486-J487)&lt;0,(N486-J487)*_Costo_Faltante,0)</f>
        <v>0</v>
      </c>
      <c r="S487">
        <f ca="1">IF(U487=0,X487*_Costo_Frasco,0)</f>
        <v>0</v>
      </c>
      <c r="T487" s="11">
        <f t="shared" ca="1" si="111"/>
        <v>-45577.89173507681</v>
      </c>
      <c r="U487" s="10">
        <f>IF(U486=0,_Proxima_Compra,U486-1)</f>
        <v>0</v>
      </c>
      <c r="V487" s="3">
        <f t="shared" ca="1" si="106"/>
        <v>0.51929431254022607</v>
      </c>
      <c r="W487" s="3">
        <f ca="1">IF(W486&gt;0,W486-1,IF(V487&gt;0,LOOKUP(V487,$R$3:$R$5,$O$3:$O$5),-1))</f>
        <v>1</v>
      </c>
      <c r="X487" s="25">
        <f t="shared" ca="1" si="107"/>
        <v>0</v>
      </c>
      <c r="Y487" s="28">
        <f ca="1">X487*_GramosXFrasco</f>
        <v>0</v>
      </c>
    </row>
    <row r="488" spans="1:25" x14ac:dyDescent="0.25">
      <c r="A488" s="30">
        <f t="shared" si="108"/>
        <v>472</v>
      </c>
      <c r="B488" s="38">
        <f t="shared" ca="1" si="101"/>
        <v>0.15206487492114218</v>
      </c>
      <c r="C488" s="36">
        <f t="shared" ca="1" si="102"/>
        <v>-1</v>
      </c>
      <c r="D488" s="36">
        <f t="shared" ca="1" si="103"/>
        <v>-1</v>
      </c>
      <c r="E488" s="36">
        <f t="shared" ca="1" si="112"/>
        <v>-1</v>
      </c>
      <c r="F488" s="37">
        <f ca="1">IF(E488&lt;&gt;-1,_Media_M + E488*_Sigma,-1)</f>
        <v>-1</v>
      </c>
      <c r="G488" s="3">
        <f t="shared" ca="1" si="104"/>
        <v>50</v>
      </c>
      <c r="H488" s="36">
        <f t="shared" ca="1" si="113"/>
        <v>50</v>
      </c>
      <c r="I488" s="36">
        <f t="shared" ca="1" si="105"/>
        <v>162.97840739149635</v>
      </c>
      <c r="J488" s="35">
        <f t="shared" ca="1" si="114"/>
        <v>212.97840739149635</v>
      </c>
      <c r="K488" s="19">
        <f t="shared" ca="1" si="109"/>
        <v>212.97840739149635</v>
      </c>
      <c r="L488" s="20">
        <f ca="1" xml:space="preserve"> K488*_Precio_cafe</f>
        <v>319.46761108724451</v>
      </c>
      <c r="M488" s="20">
        <f t="shared" ca="1" si="110"/>
        <v>67329.50719455698</v>
      </c>
      <c r="N488" s="20">
        <f ca="1">IF((N487-K488+Y488)&gt;_Max_Stock_Gramos,_Max_Stock_Gramos,N487-K488+Y488)</f>
        <v>1570.1211298901385</v>
      </c>
      <c r="O488" s="20">
        <f ca="1">N488/_GramosXFrasco</f>
        <v>9.2360066464125801</v>
      </c>
      <c r="P488" s="63">
        <f ca="1">(N488/_Max_Stock_Gramos)</f>
        <v>0.9236006646412579</v>
      </c>
      <c r="Q488" s="63"/>
      <c r="R488" s="10">
        <f ca="1">IF((N487-J488)&lt;0,(N487-J488)*_Costo_Faltante,0)</f>
        <v>0</v>
      </c>
      <c r="S488">
        <f>IF(U488=0,X488*_Costo_Frasco,0)</f>
        <v>0</v>
      </c>
      <c r="T488" s="11">
        <f t="shared" ca="1" si="111"/>
        <v>-45577.89173507681</v>
      </c>
      <c r="U488" s="10">
        <f>IF(U487=0,_Proxima_Compra,U487-1)</f>
        <v>2</v>
      </c>
      <c r="V488" s="3">
        <f t="shared" ca="1" si="106"/>
        <v>-1</v>
      </c>
      <c r="W488" s="3">
        <f ca="1">IF(W487&gt;0,W487-1,IF(V488&gt;0,LOOKUP(V488,$R$3:$R$5,$O$3:$O$5),-1))</f>
        <v>0</v>
      </c>
      <c r="X488" s="25">
        <f t="shared" ca="1" si="107"/>
        <v>2</v>
      </c>
      <c r="Y488" s="28">
        <f ca="1">X488*_GramosXFrasco</f>
        <v>340</v>
      </c>
    </row>
    <row r="489" spans="1:25" x14ac:dyDescent="0.25">
      <c r="A489" s="30">
        <f t="shared" si="108"/>
        <v>473</v>
      </c>
      <c r="B489" s="38">
        <f t="shared" ca="1" si="101"/>
        <v>0.24469037050589981</v>
      </c>
      <c r="C489" s="36">
        <f t="shared" ca="1" si="102"/>
        <v>-1</v>
      </c>
      <c r="D489" s="36">
        <f t="shared" ca="1" si="103"/>
        <v>-1</v>
      </c>
      <c r="E489" s="36">
        <f t="shared" ca="1" si="112"/>
        <v>-1</v>
      </c>
      <c r="F489" s="37">
        <f ca="1">IF(E489&lt;&gt;-1,_Media_M + E489*_Sigma,-1)</f>
        <v>-1</v>
      </c>
      <c r="G489" s="3">
        <f t="shared" ca="1" si="104"/>
        <v>50</v>
      </c>
      <c r="H489" s="36">
        <f t="shared" ca="1" si="113"/>
        <v>50</v>
      </c>
      <c r="I489" s="36">
        <f t="shared" ca="1" si="105"/>
        <v>9.5471383946689681</v>
      </c>
      <c r="J489" s="35">
        <f t="shared" ca="1" si="114"/>
        <v>59.54713839466897</v>
      </c>
      <c r="K489" s="19">
        <f t="shared" ca="1" si="109"/>
        <v>59.54713839466897</v>
      </c>
      <c r="L489" s="20">
        <f ca="1" xml:space="preserve"> K489*_Precio_cafe</f>
        <v>89.320707592003458</v>
      </c>
      <c r="M489" s="20">
        <f t="shared" ca="1" si="110"/>
        <v>67418.827902148987</v>
      </c>
      <c r="N489" s="20">
        <f ca="1">IF((N488-K489+Y489)&gt;_Max_Stock_Gramos,_Max_Stock_Gramos,N488-K489+Y489)</f>
        <v>1510.5739914954695</v>
      </c>
      <c r="O489" s="20">
        <f ca="1">N489/_GramosXFrasco</f>
        <v>8.8857293617380559</v>
      </c>
      <c r="P489" s="63">
        <f ca="1">(N489/_Max_Stock_Gramos)</f>
        <v>0.88857293617380562</v>
      </c>
      <c r="Q489" s="63"/>
      <c r="R489" s="10">
        <f ca="1">IF((N488-J489)&lt;0,(N488-J489)*_Costo_Faltante,0)</f>
        <v>0</v>
      </c>
      <c r="S489">
        <f>IF(U489=0,X489*_Costo_Frasco,0)</f>
        <v>0</v>
      </c>
      <c r="T489" s="11">
        <f t="shared" ca="1" si="111"/>
        <v>-45577.89173507681</v>
      </c>
      <c r="U489" s="10">
        <f>IF(U488=0,_Proxima_Compra,U488-1)</f>
        <v>1</v>
      </c>
      <c r="V489" s="3">
        <f t="shared" ca="1" si="106"/>
        <v>-1</v>
      </c>
      <c r="W489" s="3">
        <f ca="1">IF(W488&gt;0,W488-1,IF(V489&gt;0,LOOKUP(V489,$R$3:$R$5,$O$3:$O$5),-1))</f>
        <v>-1</v>
      </c>
      <c r="X489" s="25">
        <f t="shared" ca="1" si="107"/>
        <v>0</v>
      </c>
      <c r="Y489" s="28">
        <f ca="1">X489*_GramosXFrasco</f>
        <v>0</v>
      </c>
    </row>
    <row r="490" spans="1:25" x14ac:dyDescent="0.25">
      <c r="A490" s="30">
        <f t="shared" si="108"/>
        <v>474</v>
      </c>
      <c r="B490" s="38">
        <f t="shared" ca="1" si="101"/>
        <v>0.93311911633343492</v>
      </c>
      <c r="C490" s="36">
        <f t="shared" ca="1" si="102"/>
        <v>4.4774206890186075E-2</v>
      </c>
      <c r="D490" s="36">
        <f t="shared" ca="1" si="103"/>
        <v>0.8569840393279079</v>
      </c>
      <c r="E490" s="36">
        <f t="shared" ca="1" si="112"/>
        <v>0.12421126143721906</v>
      </c>
      <c r="F490" s="37">
        <f ca="1">IF(E490&lt;&gt;-1,_Media_M + E490*_Sigma,-1)</f>
        <v>76.863168921558284</v>
      </c>
      <c r="G490" s="3">
        <f t="shared" ca="1" si="104"/>
        <v>-1</v>
      </c>
      <c r="H490" s="36">
        <f t="shared" ca="1" si="113"/>
        <v>76.863168921558284</v>
      </c>
      <c r="I490" s="36">
        <f t="shared" ca="1" si="105"/>
        <v>4.7813792467083029</v>
      </c>
      <c r="J490" s="35">
        <f t="shared" ca="1" si="114"/>
        <v>81.644548168266581</v>
      </c>
      <c r="K490" s="19">
        <f t="shared" ca="1" si="109"/>
        <v>81.644548168266581</v>
      </c>
      <c r="L490" s="20">
        <f ca="1" xml:space="preserve"> K490*_Precio_cafe</f>
        <v>122.46682225239988</v>
      </c>
      <c r="M490" s="20">
        <f t="shared" ca="1" si="110"/>
        <v>67541.294724401392</v>
      </c>
      <c r="N490" s="20">
        <f ca="1">IF((N489-K490+Y490)&gt;_Max_Stock_Gramos,_Max_Stock_Gramos,N489-K490+Y490)</f>
        <v>1428.929443327203</v>
      </c>
      <c r="O490" s="20">
        <f ca="1">N490/_GramosXFrasco</f>
        <v>8.4054673136894298</v>
      </c>
      <c r="P490" s="63">
        <f ca="1">(N490/_Max_Stock_Gramos)</f>
        <v>0.84054673136894298</v>
      </c>
      <c r="Q490" s="63"/>
      <c r="R490" s="10">
        <f ca="1">IF((N489-J490)&lt;0,(N489-J490)*_Costo_Faltante,0)</f>
        <v>0</v>
      </c>
      <c r="S490">
        <f ca="1">IF(U490=0,X490*_Costo_Frasco,0)</f>
        <v>0</v>
      </c>
      <c r="T490" s="11">
        <f t="shared" ca="1" si="111"/>
        <v>-45577.89173507681</v>
      </c>
      <c r="U490" s="10">
        <f>IF(U489=0,_Proxima_Compra,U489-1)</f>
        <v>0</v>
      </c>
      <c r="V490" s="3">
        <f t="shared" ca="1" si="106"/>
        <v>0.89481207359633863</v>
      </c>
      <c r="W490" s="3">
        <f ca="1">IF(W489&gt;0,W489-1,IF(V490&gt;0,LOOKUP(V490,$R$3:$R$5,$O$3:$O$5),-1))</f>
        <v>2</v>
      </c>
      <c r="X490" s="25">
        <f t="shared" ca="1" si="107"/>
        <v>0</v>
      </c>
      <c r="Y490" s="28">
        <f ca="1">X490*_GramosXFrasco</f>
        <v>0</v>
      </c>
    </row>
    <row r="491" spans="1:25" x14ac:dyDescent="0.25">
      <c r="A491" s="30">
        <f t="shared" si="108"/>
        <v>475</v>
      </c>
      <c r="B491" s="38">
        <f t="shared" ca="1" si="101"/>
        <v>0.1774535165897525</v>
      </c>
      <c r="C491" s="36">
        <f t="shared" ca="1" si="102"/>
        <v>-1</v>
      </c>
      <c r="D491" s="36">
        <f t="shared" ca="1" si="103"/>
        <v>-1</v>
      </c>
      <c r="E491" s="36">
        <f t="shared" ca="1" si="112"/>
        <v>-1</v>
      </c>
      <c r="F491" s="37">
        <f ca="1">IF(E491&lt;&gt;-1,_Media_M + E491*_Sigma,-1)</f>
        <v>-1</v>
      </c>
      <c r="G491" s="3">
        <f t="shared" ca="1" si="104"/>
        <v>50</v>
      </c>
      <c r="H491" s="36">
        <f t="shared" ca="1" si="113"/>
        <v>50</v>
      </c>
      <c r="I491" s="36">
        <f t="shared" ca="1" si="105"/>
        <v>20.953770402595673</v>
      </c>
      <c r="J491" s="35">
        <f t="shared" ca="1" si="114"/>
        <v>70.953770402595666</v>
      </c>
      <c r="K491" s="19">
        <f t="shared" ca="1" si="109"/>
        <v>70.953770402595666</v>
      </c>
      <c r="L491" s="20">
        <f ca="1" xml:space="preserve"> K491*_Precio_cafe</f>
        <v>106.4306556038935</v>
      </c>
      <c r="M491" s="20">
        <f t="shared" ca="1" si="110"/>
        <v>67647.725380005286</v>
      </c>
      <c r="N491" s="20">
        <f ca="1">IF((N490-K491+Y491)&gt;_Max_Stock_Gramos,_Max_Stock_Gramos,N490-K491+Y491)</f>
        <v>1357.9756729246074</v>
      </c>
      <c r="O491" s="20">
        <f ca="1">N491/_GramosXFrasco</f>
        <v>7.9880921936741611</v>
      </c>
      <c r="P491" s="63">
        <f ca="1">(N491/_Max_Stock_Gramos)</f>
        <v>0.79880921936741611</v>
      </c>
      <c r="Q491" s="63"/>
      <c r="R491" s="10">
        <f ca="1">IF((N490-J491)&lt;0,(N490-J491)*_Costo_Faltante,0)</f>
        <v>0</v>
      </c>
      <c r="S491">
        <f>IF(U491=0,X491*_Costo_Frasco,0)</f>
        <v>0</v>
      </c>
      <c r="T491" s="11">
        <f t="shared" ca="1" si="111"/>
        <v>-45577.89173507681</v>
      </c>
      <c r="U491" s="10">
        <f>IF(U490=0,_Proxima_Compra,U490-1)</f>
        <v>2</v>
      </c>
      <c r="V491" s="3">
        <f t="shared" ca="1" si="106"/>
        <v>-1</v>
      </c>
      <c r="W491" s="3">
        <f ca="1">IF(W490&gt;0,W490-1,IF(V491&gt;0,LOOKUP(V491,$R$3:$R$5,$O$3:$O$5),-1))</f>
        <v>1</v>
      </c>
      <c r="X491" s="25">
        <f t="shared" ca="1" si="107"/>
        <v>0</v>
      </c>
      <c r="Y491" s="28">
        <f ca="1">X491*_GramosXFrasco</f>
        <v>0</v>
      </c>
    </row>
    <row r="492" spans="1:25" x14ac:dyDescent="0.25">
      <c r="A492" s="30">
        <f t="shared" si="108"/>
        <v>476</v>
      </c>
      <c r="B492" s="38">
        <f t="shared" ca="1" si="101"/>
        <v>0.38272597569354594</v>
      </c>
      <c r="C492" s="36">
        <f t="shared" ca="1" si="102"/>
        <v>-1</v>
      </c>
      <c r="D492" s="36">
        <f t="shared" ca="1" si="103"/>
        <v>-1</v>
      </c>
      <c r="E492" s="36">
        <f t="shared" ca="1" si="112"/>
        <v>-1</v>
      </c>
      <c r="F492" s="37">
        <f ca="1">IF(E492&lt;&gt;-1,_Media_M + E492*_Sigma,-1)</f>
        <v>-1</v>
      </c>
      <c r="G492" s="3">
        <f t="shared" ca="1" si="104"/>
        <v>50</v>
      </c>
      <c r="H492" s="36">
        <f t="shared" ca="1" si="113"/>
        <v>50</v>
      </c>
      <c r="I492" s="36">
        <f t="shared" ca="1" si="105"/>
        <v>10.229999451555326</v>
      </c>
      <c r="J492" s="35">
        <f t="shared" ca="1" si="114"/>
        <v>60.229999451555329</v>
      </c>
      <c r="K492" s="19">
        <f t="shared" ca="1" si="109"/>
        <v>60.229999451555329</v>
      </c>
      <c r="L492" s="20">
        <f ca="1" xml:space="preserve"> K492*_Precio_cafe</f>
        <v>90.344999177332994</v>
      </c>
      <c r="M492" s="20">
        <f t="shared" ca="1" si="110"/>
        <v>67738.070379182624</v>
      </c>
      <c r="N492" s="20">
        <f ca="1">IF((N491-K492+Y492)&gt;_Max_Stock_Gramos,_Max_Stock_Gramos,N491-K492+Y492)</f>
        <v>1637.745673473052</v>
      </c>
      <c r="O492" s="20">
        <f ca="1">N492/_GramosXFrasco</f>
        <v>9.6337980792532463</v>
      </c>
      <c r="P492" s="63">
        <f ca="1">(N492/_Max_Stock_Gramos)</f>
        <v>0.96337980792532474</v>
      </c>
      <c r="Q492" s="63"/>
      <c r="R492" s="10">
        <f ca="1">IF((N491-J492)&lt;0,(N491-J492)*_Costo_Faltante,0)</f>
        <v>0</v>
      </c>
      <c r="S492">
        <f>IF(U492=0,X492*_Costo_Frasco,0)</f>
        <v>0</v>
      </c>
      <c r="T492" s="11">
        <f t="shared" ca="1" si="111"/>
        <v>-45577.89173507681</v>
      </c>
      <c r="U492" s="10">
        <f>IF(U491=0,_Proxima_Compra,U491-1)</f>
        <v>1</v>
      </c>
      <c r="V492" s="3">
        <f t="shared" ca="1" si="106"/>
        <v>-1</v>
      </c>
      <c r="W492" s="3">
        <f ca="1">IF(W491&gt;0,W491-1,IF(V492&gt;0,LOOKUP(V492,$R$3:$R$5,$O$3:$O$5),-1))</f>
        <v>0</v>
      </c>
      <c r="X492" s="25">
        <f t="shared" ca="1" si="107"/>
        <v>2</v>
      </c>
      <c r="Y492" s="28">
        <f ca="1">X492*_GramosXFrasco</f>
        <v>340</v>
      </c>
    </row>
    <row r="493" spans="1:25" x14ac:dyDescent="0.25">
      <c r="A493" s="30">
        <f t="shared" si="108"/>
        <v>477</v>
      </c>
      <c r="B493" s="38">
        <f t="shared" ca="1" si="101"/>
        <v>0.28226619802475694</v>
      </c>
      <c r="C493" s="36">
        <f t="shared" ca="1" si="102"/>
        <v>-1</v>
      </c>
      <c r="D493" s="36">
        <f t="shared" ca="1" si="103"/>
        <v>-1</v>
      </c>
      <c r="E493" s="36">
        <f t="shared" ca="1" si="112"/>
        <v>-1</v>
      </c>
      <c r="F493" s="37">
        <f ca="1">IF(E493&lt;&gt;-1,_Media_M + E493*_Sigma,-1)</f>
        <v>-1</v>
      </c>
      <c r="G493" s="3">
        <f t="shared" ca="1" si="104"/>
        <v>50</v>
      </c>
      <c r="H493" s="36">
        <f t="shared" ca="1" si="113"/>
        <v>50</v>
      </c>
      <c r="I493" s="36">
        <f t="shared" ca="1" si="105"/>
        <v>5.5141374154574159</v>
      </c>
      <c r="J493" s="35">
        <f t="shared" ca="1" si="114"/>
        <v>55.514137415457412</v>
      </c>
      <c r="K493" s="19">
        <f t="shared" ca="1" si="109"/>
        <v>55.514137415457412</v>
      </c>
      <c r="L493" s="20">
        <f ca="1" xml:space="preserve"> K493*_Precio_cafe</f>
        <v>83.271206123186118</v>
      </c>
      <c r="M493" s="20">
        <f t="shared" ca="1" si="110"/>
        <v>67821.34158530581</v>
      </c>
      <c r="N493" s="20">
        <f ca="1">IF((N492-K493+Y493)&gt;_Max_Stock_Gramos,_Max_Stock_Gramos,N492-K493+Y493)</f>
        <v>1700</v>
      </c>
      <c r="O493" s="20">
        <f ca="1">N493/_GramosXFrasco</f>
        <v>10</v>
      </c>
      <c r="P493" s="63">
        <f ca="1">(N493/_Max_Stock_Gramos)</f>
        <v>1</v>
      </c>
      <c r="Q493" s="63"/>
      <c r="R493" s="10">
        <f ca="1">IF((N492-J493)&lt;0,(N492-J493)*_Costo_Faltante,0)</f>
        <v>0</v>
      </c>
      <c r="S493">
        <f ca="1">IF(U493=0,X493*_Costo_Frasco,0)</f>
        <v>-500</v>
      </c>
      <c r="T493" s="11">
        <f t="shared" ca="1" si="111"/>
        <v>-46077.89173507681</v>
      </c>
      <c r="U493" s="10">
        <f>IF(U492=0,_Proxima_Compra,U492-1)</f>
        <v>0</v>
      </c>
      <c r="V493" s="3">
        <f t="shared" ca="1" si="106"/>
        <v>7.497132478045021E-2</v>
      </c>
      <c r="W493" s="3">
        <f ca="1">IF(W492&gt;0,W492-1,IF(V493&gt;0,LOOKUP(V493,$R$3:$R$5,$O$3:$O$5),-1))</f>
        <v>0</v>
      </c>
      <c r="X493" s="25">
        <f t="shared" ca="1" si="107"/>
        <v>2</v>
      </c>
      <c r="Y493" s="28">
        <f ca="1">X493*_GramosXFrasco</f>
        <v>340</v>
      </c>
    </row>
    <row r="494" spans="1:25" x14ac:dyDescent="0.25">
      <c r="A494" s="30">
        <f t="shared" si="108"/>
        <v>478</v>
      </c>
      <c r="B494" s="38">
        <f t="shared" ca="1" si="101"/>
        <v>0.89669835543874199</v>
      </c>
      <c r="C494" s="36">
        <f t="shared" ca="1" si="102"/>
        <v>0.64502947876137218</v>
      </c>
      <c r="D494" s="36">
        <f t="shared" ca="1" si="103"/>
        <v>0.19359440106827108</v>
      </c>
      <c r="E494" s="36">
        <f t="shared" ca="1" si="112"/>
        <v>0.32915512649273876</v>
      </c>
      <c r="F494" s="37">
        <f ca="1">IF(E494&lt;&gt;-1,_Media_M + E494*_Sigma,-1)</f>
        <v>79.937326897391074</v>
      </c>
      <c r="G494" s="3">
        <f t="shared" ca="1" si="104"/>
        <v>-1</v>
      </c>
      <c r="H494" s="36">
        <f t="shared" ca="1" si="113"/>
        <v>79.937326897391074</v>
      </c>
      <c r="I494" s="36">
        <f t="shared" ca="1" si="105"/>
        <v>24.363026474287828</v>
      </c>
      <c r="J494" s="35">
        <f t="shared" ca="1" si="114"/>
        <v>104.30035337167891</v>
      </c>
      <c r="K494" s="19">
        <f t="shared" ca="1" si="109"/>
        <v>104.30035337167891</v>
      </c>
      <c r="L494" s="20">
        <f ca="1" xml:space="preserve"> K494*_Precio_cafe</f>
        <v>156.45053005751836</v>
      </c>
      <c r="M494" s="20">
        <f t="shared" ca="1" si="110"/>
        <v>67977.792115363336</v>
      </c>
      <c r="N494" s="20">
        <f ca="1">IF((N493-K494+Y494)&gt;_Max_Stock_Gramos,_Max_Stock_Gramos,N493-K494+Y494)</f>
        <v>1595.699646628321</v>
      </c>
      <c r="O494" s="20">
        <f ca="1">N494/_GramosXFrasco</f>
        <v>9.3864685095783589</v>
      </c>
      <c r="P494" s="63">
        <f ca="1">(N494/_Max_Stock_Gramos)</f>
        <v>0.93864685095783595</v>
      </c>
      <c r="Q494" s="63"/>
      <c r="R494" s="10">
        <f ca="1">IF((N493-J494)&lt;0,(N493-J494)*_Costo_Faltante,0)</f>
        <v>0</v>
      </c>
      <c r="S494">
        <f>IF(U494=0,X494*_Costo_Frasco,0)</f>
        <v>0</v>
      </c>
      <c r="T494" s="11">
        <f t="shared" ca="1" si="111"/>
        <v>-46077.89173507681</v>
      </c>
      <c r="U494" s="10">
        <f>IF(U493=0,_Proxima_Compra,U493-1)</f>
        <v>2</v>
      </c>
      <c r="V494" s="3">
        <f t="shared" ca="1" si="106"/>
        <v>-1</v>
      </c>
      <c r="W494" s="3">
        <f ca="1">IF(W493&gt;0,W493-1,IF(V494&gt;0,LOOKUP(V494,$R$3:$R$5,$O$3:$O$5),-1))</f>
        <v>-1</v>
      </c>
      <c r="X494" s="25">
        <f t="shared" ca="1" si="107"/>
        <v>0</v>
      </c>
      <c r="Y494" s="28">
        <f ca="1">X494*_GramosXFrasco</f>
        <v>0</v>
      </c>
    </row>
    <row r="495" spans="1:25" x14ac:dyDescent="0.25">
      <c r="A495" s="30">
        <f t="shared" si="108"/>
        <v>479</v>
      </c>
      <c r="B495" s="38">
        <f t="shared" ca="1" si="101"/>
        <v>0.5881747539542479</v>
      </c>
      <c r="C495" s="36">
        <f t="shared" ca="1" si="102"/>
        <v>0.52301910737457535</v>
      </c>
      <c r="D495" s="36">
        <f t="shared" ca="1" si="103"/>
        <v>0.99239567915569005</v>
      </c>
      <c r="E495" s="36">
        <f t="shared" ca="1" si="112"/>
        <v>0.80095647428857175</v>
      </c>
      <c r="F495" s="37">
        <f ca="1">IF(E495&lt;&gt;-1,_Media_M + E495*_Sigma,-1)</f>
        <v>87.014347114328572</v>
      </c>
      <c r="G495" s="3">
        <f t="shared" ca="1" si="104"/>
        <v>-1</v>
      </c>
      <c r="H495" s="36">
        <f t="shared" ca="1" si="113"/>
        <v>87.014347114328572</v>
      </c>
      <c r="I495" s="36">
        <f t="shared" ca="1" si="105"/>
        <v>44.84969193696481</v>
      </c>
      <c r="J495" s="35">
        <f t="shared" ca="1" si="114"/>
        <v>131.86403905129339</v>
      </c>
      <c r="K495" s="19">
        <f t="shared" ca="1" si="109"/>
        <v>131.86403905129339</v>
      </c>
      <c r="L495" s="20">
        <f ca="1" xml:space="preserve"> K495*_Precio_cafe</f>
        <v>197.79605857694008</v>
      </c>
      <c r="M495" s="20">
        <f t="shared" ca="1" si="110"/>
        <v>68175.588173940283</v>
      </c>
      <c r="N495" s="20">
        <f ca="1">IF((N494-K495+Y495)&gt;_Max_Stock_Gramos,_Max_Stock_Gramos,N494-K495+Y495)</f>
        <v>1463.8356075770275</v>
      </c>
      <c r="O495" s="20">
        <f ca="1">N495/_GramosXFrasco</f>
        <v>8.610797691629573</v>
      </c>
      <c r="P495" s="63">
        <f ca="1">(N495/_Max_Stock_Gramos)</f>
        <v>0.86107976916295736</v>
      </c>
      <c r="Q495" s="63"/>
      <c r="R495" s="10">
        <f ca="1">IF((N494-J495)&lt;0,(N494-J495)*_Costo_Faltante,0)</f>
        <v>0</v>
      </c>
      <c r="S495">
        <f>IF(U495=0,X495*_Costo_Frasco,0)</f>
        <v>0</v>
      </c>
      <c r="T495" s="11">
        <f t="shared" ca="1" si="111"/>
        <v>-46077.89173507681</v>
      </c>
      <c r="U495" s="10">
        <f>IF(U494=0,_Proxima_Compra,U494-1)</f>
        <v>1</v>
      </c>
      <c r="V495" s="3">
        <f t="shared" ca="1" si="106"/>
        <v>-1</v>
      </c>
      <c r="W495" s="3">
        <f ca="1">IF(W494&gt;0,W494-1,IF(V495&gt;0,LOOKUP(V495,$R$3:$R$5,$O$3:$O$5),-1))</f>
        <v>-1</v>
      </c>
      <c r="X495" s="25">
        <f t="shared" ca="1" si="107"/>
        <v>0</v>
      </c>
      <c r="Y495" s="28">
        <f ca="1">X495*_GramosXFrasco</f>
        <v>0</v>
      </c>
    </row>
    <row r="496" spans="1:25" x14ac:dyDescent="0.25">
      <c r="A496" s="30">
        <f t="shared" si="108"/>
        <v>480</v>
      </c>
      <c r="B496" s="38">
        <f t="shared" ca="1" si="101"/>
        <v>0.30581889888310809</v>
      </c>
      <c r="C496" s="36">
        <f t="shared" ca="1" si="102"/>
        <v>-1</v>
      </c>
      <c r="D496" s="36">
        <f t="shared" ca="1" si="103"/>
        <v>-1</v>
      </c>
      <c r="E496" s="36">
        <f t="shared" ca="1" si="112"/>
        <v>-1</v>
      </c>
      <c r="F496" s="37">
        <f ca="1">IF(E496&lt;&gt;-1,_Media_M + E496*_Sigma,-1)</f>
        <v>-1</v>
      </c>
      <c r="G496" s="3">
        <f t="shared" ca="1" si="104"/>
        <v>50</v>
      </c>
      <c r="H496" s="36">
        <f t="shared" ca="1" si="113"/>
        <v>50</v>
      </c>
      <c r="I496" s="36">
        <f t="shared" ca="1" si="105"/>
        <v>29.542241238575237</v>
      </c>
      <c r="J496" s="35">
        <f t="shared" ca="1" si="114"/>
        <v>79.54224123857523</v>
      </c>
      <c r="K496" s="19">
        <f t="shared" ca="1" si="109"/>
        <v>79.54224123857523</v>
      </c>
      <c r="L496" s="20">
        <f ca="1" xml:space="preserve"> K496*_Precio_cafe</f>
        <v>119.31336185786284</v>
      </c>
      <c r="M496" s="20">
        <f t="shared" ca="1" si="110"/>
        <v>68294.901535798141</v>
      </c>
      <c r="N496" s="20">
        <f ca="1">IF((N495-K496+Y496)&gt;_Max_Stock_Gramos,_Max_Stock_Gramos,N495-K496+Y496)</f>
        <v>1700</v>
      </c>
      <c r="O496" s="20">
        <f ca="1">N496/_GramosXFrasco</f>
        <v>10</v>
      </c>
      <c r="P496" s="63">
        <f ca="1">(N496/_Max_Stock_Gramos)</f>
        <v>1</v>
      </c>
      <c r="Q496" s="63"/>
      <c r="R496" s="10">
        <f ca="1">IF((N495-J496)&lt;0,(N495-J496)*_Costo_Faltante,0)</f>
        <v>0</v>
      </c>
      <c r="S496">
        <f ca="1">IF(U496=0,X496*_Costo_Frasco,0)</f>
        <v>-500</v>
      </c>
      <c r="T496" s="11">
        <f t="shared" ca="1" si="111"/>
        <v>-46577.89173507681</v>
      </c>
      <c r="U496" s="10">
        <f>IF(U495=0,_Proxima_Compra,U495-1)</f>
        <v>0</v>
      </c>
      <c r="V496" s="3">
        <f t="shared" ca="1" si="106"/>
        <v>2.1056097171048505E-2</v>
      </c>
      <c r="W496" s="3">
        <f ca="1">IF(W495&gt;0,W495-1,IF(V496&gt;0,LOOKUP(V496,$R$3:$R$5,$O$3:$O$5),-1))</f>
        <v>0</v>
      </c>
      <c r="X496" s="25">
        <f t="shared" ca="1" si="107"/>
        <v>2</v>
      </c>
      <c r="Y496" s="28">
        <f ca="1">X496*_GramosXFrasco</f>
        <v>340</v>
      </c>
    </row>
    <row r="497" spans="1:25" x14ac:dyDescent="0.25">
      <c r="A497" s="30">
        <f t="shared" si="108"/>
        <v>481</v>
      </c>
      <c r="B497" s="38">
        <f t="shared" ca="1" si="101"/>
        <v>0.9542442697143847</v>
      </c>
      <c r="C497" s="36">
        <f t="shared" ca="1" si="102"/>
        <v>0.86449786106799631</v>
      </c>
      <c r="D497" s="36">
        <f t="shared" ca="1" si="103"/>
        <v>0.82583997235517281</v>
      </c>
      <c r="E497" s="36">
        <f t="shared" ca="1" si="112"/>
        <v>0.60437209681762583</v>
      </c>
      <c r="F497" s="37">
        <f ca="1">IF(E497&lt;&gt;-1,_Media_M + E497*_Sigma,-1)</f>
        <v>84.065581452264382</v>
      </c>
      <c r="G497" s="3">
        <f t="shared" ca="1" si="104"/>
        <v>-1</v>
      </c>
      <c r="H497" s="36">
        <f t="shared" ca="1" si="113"/>
        <v>84.065581452264382</v>
      </c>
      <c r="I497" s="36">
        <f t="shared" ca="1" si="105"/>
        <v>69.318480268010418</v>
      </c>
      <c r="J497" s="35">
        <f t="shared" ca="1" si="114"/>
        <v>153.38406172027481</v>
      </c>
      <c r="K497" s="19">
        <f t="shared" ca="1" si="109"/>
        <v>153.38406172027481</v>
      </c>
      <c r="L497" s="20">
        <f ca="1" xml:space="preserve"> K497*_Precio_cafe</f>
        <v>230.07609258041222</v>
      </c>
      <c r="M497" s="20">
        <f t="shared" ca="1" si="110"/>
        <v>68524.977628378547</v>
      </c>
      <c r="N497" s="20">
        <f ca="1">IF((N496-K497+Y497)&gt;_Max_Stock_Gramos,_Max_Stock_Gramos,N496-K497+Y497)</f>
        <v>1546.6159382797252</v>
      </c>
      <c r="O497" s="20">
        <f ca="1">N497/_GramosXFrasco</f>
        <v>9.0977408134101481</v>
      </c>
      <c r="P497" s="63">
        <f ca="1">(N497/_Max_Stock_Gramos)</f>
        <v>0.9097740813410149</v>
      </c>
      <c r="Q497" s="63"/>
      <c r="R497" s="10">
        <f ca="1">IF((N496-J497)&lt;0,(N496-J497)*_Costo_Faltante,0)</f>
        <v>0</v>
      </c>
      <c r="S497">
        <f>IF(U497=0,X497*_Costo_Frasco,0)</f>
        <v>0</v>
      </c>
      <c r="T497" s="11">
        <f t="shared" ca="1" si="111"/>
        <v>-46577.89173507681</v>
      </c>
      <c r="U497" s="10">
        <f>IF(U496=0,_Proxima_Compra,U496-1)</f>
        <v>2</v>
      </c>
      <c r="V497" s="3">
        <f t="shared" ca="1" si="106"/>
        <v>-1</v>
      </c>
      <c r="W497" s="3">
        <f ca="1">IF(W496&gt;0,W496-1,IF(V497&gt;0,LOOKUP(V497,$R$3:$R$5,$O$3:$O$5),-1))</f>
        <v>-1</v>
      </c>
      <c r="X497" s="25">
        <f t="shared" ca="1" si="107"/>
        <v>0</v>
      </c>
      <c r="Y497" s="28">
        <f ca="1">X497*_GramosXFrasco</f>
        <v>0</v>
      </c>
    </row>
    <row r="498" spans="1:25" x14ac:dyDescent="0.25">
      <c r="A498" s="30">
        <f t="shared" si="108"/>
        <v>482</v>
      </c>
      <c r="B498" s="38">
        <f t="shared" ca="1" si="101"/>
        <v>0.12894211476942374</v>
      </c>
      <c r="C498" s="36">
        <f t="shared" ca="1" si="102"/>
        <v>-1</v>
      </c>
      <c r="D498" s="36">
        <f t="shared" ca="1" si="103"/>
        <v>-1</v>
      </c>
      <c r="E498" s="36">
        <f t="shared" ca="1" si="112"/>
        <v>-1</v>
      </c>
      <c r="F498" s="37">
        <f ca="1">IF(E498&lt;&gt;-1,_Media_M + E498*_Sigma,-1)</f>
        <v>-1</v>
      </c>
      <c r="G498" s="3">
        <f t="shared" ca="1" si="104"/>
        <v>50</v>
      </c>
      <c r="H498" s="36">
        <f t="shared" ca="1" si="113"/>
        <v>50</v>
      </c>
      <c r="I498" s="36">
        <f t="shared" ca="1" si="105"/>
        <v>57.768565371586753</v>
      </c>
      <c r="J498" s="35">
        <f t="shared" ca="1" si="114"/>
        <v>107.76856537158676</v>
      </c>
      <c r="K498" s="19">
        <f t="shared" ca="1" si="109"/>
        <v>107.76856537158676</v>
      </c>
      <c r="L498" s="20">
        <f ca="1" xml:space="preserve"> K498*_Precio_cafe</f>
        <v>161.65284805738014</v>
      </c>
      <c r="M498" s="20">
        <f t="shared" ca="1" si="110"/>
        <v>68686.630476435923</v>
      </c>
      <c r="N498" s="20">
        <f ca="1">IF((N497-K498+Y498)&gt;_Max_Stock_Gramos,_Max_Stock_Gramos,N497-K498+Y498)</f>
        <v>1438.8473729081384</v>
      </c>
      <c r="O498" s="20">
        <f ca="1">N498/_GramosXFrasco</f>
        <v>8.4638080759302259</v>
      </c>
      <c r="P498" s="63">
        <f ca="1">(N498/_Max_Stock_Gramos)</f>
        <v>0.84638080759302259</v>
      </c>
      <c r="Q498" s="63"/>
      <c r="R498" s="10">
        <f ca="1">IF((N497-J498)&lt;0,(N497-J498)*_Costo_Faltante,0)</f>
        <v>0</v>
      </c>
      <c r="S498">
        <f>IF(U498=0,X498*_Costo_Frasco,0)</f>
        <v>0</v>
      </c>
      <c r="T498" s="11">
        <f t="shared" ca="1" si="111"/>
        <v>-46577.89173507681</v>
      </c>
      <c r="U498" s="10">
        <f>IF(U497=0,_Proxima_Compra,U497-1)</f>
        <v>1</v>
      </c>
      <c r="V498" s="3">
        <f t="shared" ca="1" si="106"/>
        <v>-1</v>
      </c>
      <c r="W498" s="3">
        <f ca="1">IF(W497&gt;0,W497-1,IF(V498&gt;0,LOOKUP(V498,$R$3:$R$5,$O$3:$O$5),-1))</f>
        <v>-1</v>
      </c>
      <c r="X498" s="25">
        <f t="shared" ca="1" si="107"/>
        <v>0</v>
      </c>
      <c r="Y498" s="28">
        <f ca="1">X498*_GramosXFrasco</f>
        <v>0</v>
      </c>
    </row>
    <row r="499" spans="1:25" x14ac:dyDescent="0.25">
      <c r="A499" s="30">
        <f t="shared" si="108"/>
        <v>483</v>
      </c>
      <c r="B499" s="38">
        <f t="shared" ca="1" si="101"/>
        <v>0.85749903430244323</v>
      </c>
      <c r="C499" s="36">
        <f t="shared" ca="1" si="102"/>
        <v>0.96630537457315846</v>
      </c>
      <c r="D499" s="36">
        <f t="shared" ca="1" si="103"/>
        <v>0.89493366891893167</v>
      </c>
      <c r="E499" s="36">
        <f t="shared" ca="1" si="112"/>
        <v>1.3555188087186127</v>
      </c>
      <c r="F499" s="37">
        <f ca="1">IF(E499&lt;&gt;-1,_Media_M + E499*_Sigma,-1)</f>
        <v>95.332782130779194</v>
      </c>
      <c r="G499" s="3">
        <f t="shared" ca="1" si="104"/>
        <v>-1</v>
      </c>
      <c r="H499" s="36">
        <f t="shared" ca="1" si="113"/>
        <v>95.332782130779194</v>
      </c>
      <c r="I499" s="36">
        <f t="shared" ca="1" si="105"/>
        <v>57.355932128486231</v>
      </c>
      <c r="J499" s="35">
        <f t="shared" ca="1" si="114"/>
        <v>152.68871425926542</v>
      </c>
      <c r="K499" s="19">
        <f t="shared" ca="1" si="109"/>
        <v>152.68871425926542</v>
      </c>
      <c r="L499" s="20">
        <f ca="1" xml:space="preserve"> K499*_Precio_cafe</f>
        <v>229.03307138889812</v>
      </c>
      <c r="M499" s="20">
        <f t="shared" ca="1" si="110"/>
        <v>68915.663547824821</v>
      </c>
      <c r="N499" s="20">
        <f ca="1">IF((N498-K499+Y499)&gt;_Max_Stock_Gramos,_Max_Stock_Gramos,N498-K499+Y499)</f>
        <v>1626.1586586488729</v>
      </c>
      <c r="O499" s="20">
        <f ca="1">N499/_GramosXFrasco</f>
        <v>9.5656391685227824</v>
      </c>
      <c r="P499" s="63">
        <f ca="1">(N499/_Max_Stock_Gramos)</f>
        <v>0.95656391685227815</v>
      </c>
      <c r="Q499" s="63"/>
      <c r="R499" s="10">
        <f ca="1">IF((N498-J499)&lt;0,(N498-J499)*_Costo_Faltante,0)</f>
        <v>0</v>
      </c>
      <c r="S499">
        <f ca="1">IF(U499=0,X499*_Costo_Frasco,0)</f>
        <v>-500</v>
      </c>
      <c r="T499" s="11">
        <f t="shared" ca="1" si="111"/>
        <v>-47077.89173507681</v>
      </c>
      <c r="U499" s="10">
        <f>IF(U498=0,_Proxima_Compra,U498-1)</f>
        <v>0</v>
      </c>
      <c r="V499" s="3">
        <f t="shared" ca="1" si="106"/>
        <v>5.2970182803117161E-2</v>
      </c>
      <c r="W499" s="3">
        <f ca="1">IF(W498&gt;0,W498-1,IF(V499&gt;0,LOOKUP(V499,$R$3:$R$5,$O$3:$O$5),-1))</f>
        <v>0</v>
      </c>
      <c r="X499" s="25">
        <f t="shared" ca="1" si="107"/>
        <v>2</v>
      </c>
      <c r="Y499" s="28">
        <f ca="1">X499*_GramosXFrasco</f>
        <v>340</v>
      </c>
    </row>
    <row r="500" spans="1:25" x14ac:dyDescent="0.25">
      <c r="A500" s="30">
        <f t="shared" si="108"/>
        <v>484</v>
      </c>
      <c r="B500" s="38">
        <f t="shared" ca="1" si="101"/>
        <v>0.84228645123895618</v>
      </c>
      <c r="C500" s="36">
        <f t="shared" ca="1" si="102"/>
        <v>0.38713800194481085</v>
      </c>
      <c r="D500" s="36">
        <f t="shared" ca="1" si="103"/>
        <v>0.17842004243758203</v>
      </c>
      <c r="E500" s="36">
        <f t="shared" ca="1" si="112"/>
        <v>0.28350770278712828</v>
      </c>
      <c r="F500" s="37">
        <f ca="1">IF(E500&lt;&gt;-1,_Media_M + E500*_Sigma,-1)</f>
        <v>79.252615541806918</v>
      </c>
      <c r="G500" s="3">
        <f t="shared" ca="1" si="104"/>
        <v>-1</v>
      </c>
      <c r="H500" s="36">
        <f t="shared" ca="1" si="113"/>
        <v>79.252615541806918</v>
      </c>
      <c r="I500" s="36">
        <f t="shared" ca="1" si="105"/>
        <v>33.795856618319149</v>
      </c>
      <c r="J500" s="35">
        <f t="shared" ca="1" si="114"/>
        <v>113.04847216012607</v>
      </c>
      <c r="K500" s="19">
        <f t="shared" ca="1" si="109"/>
        <v>113.04847216012607</v>
      </c>
      <c r="L500" s="20">
        <f ca="1" xml:space="preserve"> K500*_Precio_cafe</f>
        <v>169.57270824018912</v>
      </c>
      <c r="M500" s="20">
        <f t="shared" ca="1" si="110"/>
        <v>69085.236256065007</v>
      </c>
      <c r="N500" s="20">
        <f ca="1">IF((N499-K500+Y500)&gt;_Max_Stock_Gramos,_Max_Stock_Gramos,N499-K500+Y500)</f>
        <v>1513.1101864887469</v>
      </c>
      <c r="O500" s="20">
        <f ca="1">N500/_GramosXFrasco</f>
        <v>8.9006481558161585</v>
      </c>
      <c r="P500" s="63">
        <f ca="1">(N500/_Max_Stock_Gramos)</f>
        <v>0.89006481558161576</v>
      </c>
      <c r="Q500" s="63"/>
      <c r="R500" s="10">
        <f ca="1">IF((N499-J500)&lt;0,(N499-J500)*_Costo_Faltante,0)</f>
        <v>0</v>
      </c>
      <c r="S500">
        <f>IF(U500=0,X500*_Costo_Frasco,0)</f>
        <v>0</v>
      </c>
      <c r="T500" s="11">
        <f t="shared" ca="1" si="111"/>
        <v>-47077.89173507681</v>
      </c>
      <c r="U500" s="10">
        <f>IF(U499=0,_Proxima_Compra,U499-1)</f>
        <v>2</v>
      </c>
      <c r="V500" s="3">
        <f t="shared" ca="1" si="106"/>
        <v>-1</v>
      </c>
      <c r="W500" s="3">
        <f ca="1">IF(W499&gt;0,W499-1,IF(V500&gt;0,LOOKUP(V500,$R$3:$R$5,$O$3:$O$5),-1))</f>
        <v>-1</v>
      </c>
      <c r="X500" s="25">
        <f t="shared" ca="1" si="107"/>
        <v>0</v>
      </c>
      <c r="Y500" s="28">
        <f ca="1">X500*_GramosXFrasco</f>
        <v>0</v>
      </c>
    </row>
    <row r="501" spans="1:25" x14ac:dyDescent="0.25">
      <c r="A501" s="30">
        <f t="shared" si="108"/>
        <v>485</v>
      </c>
      <c r="B501" s="38">
        <f t="shared" ca="1" si="101"/>
        <v>0.72744821854393471</v>
      </c>
      <c r="C501" s="36">
        <f t="shared" ca="1" si="102"/>
        <v>0.62898869163887916</v>
      </c>
      <c r="D501" s="36">
        <f t="shared" ca="1" si="103"/>
        <v>0.1335629379830191</v>
      </c>
      <c r="E501" s="36">
        <f t="shared" ca="1" si="112"/>
        <v>0.61997266268324713</v>
      </c>
      <c r="F501" s="37">
        <f ca="1">IF(E501&lt;&gt;-1,_Media_M + E501*_Sigma,-1)</f>
        <v>84.299589940248708</v>
      </c>
      <c r="G501" s="3">
        <f t="shared" ca="1" si="104"/>
        <v>-1</v>
      </c>
      <c r="H501" s="36">
        <f t="shared" ca="1" si="113"/>
        <v>84.299589940248708</v>
      </c>
      <c r="I501" s="36">
        <f t="shared" ca="1" si="105"/>
        <v>1.9905504892942838</v>
      </c>
      <c r="J501" s="35">
        <f t="shared" ca="1" si="114"/>
        <v>86.290140429542987</v>
      </c>
      <c r="K501" s="19">
        <f t="shared" ca="1" si="109"/>
        <v>86.290140429542987</v>
      </c>
      <c r="L501" s="20">
        <f ca="1" xml:space="preserve"> K501*_Precio_cafe</f>
        <v>129.43521064431448</v>
      </c>
      <c r="M501" s="20">
        <f t="shared" ca="1" si="110"/>
        <v>69214.671466709318</v>
      </c>
      <c r="N501" s="20">
        <f ca="1">IF((N500-K501+Y501)&gt;_Max_Stock_Gramos,_Max_Stock_Gramos,N500-K501+Y501)</f>
        <v>1426.8200460592038</v>
      </c>
      <c r="O501" s="20">
        <f ca="1">N501/_GramosXFrasco</f>
        <v>8.3930590944659045</v>
      </c>
      <c r="P501" s="63">
        <f ca="1">(N501/_Max_Stock_Gramos)</f>
        <v>0.83930590944659045</v>
      </c>
      <c r="Q501" s="63"/>
      <c r="R501" s="10">
        <f ca="1">IF((N500-J501)&lt;0,(N500-J501)*_Costo_Faltante,0)</f>
        <v>0</v>
      </c>
      <c r="S501">
        <f>IF(U501=0,X501*_Costo_Frasco,0)</f>
        <v>0</v>
      </c>
      <c r="T501" s="11">
        <f t="shared" ca="1" si="111"/>
        <v>-47077.89173507681</v>
      </c>
      <c r="U501" s="10">
        <f>IF(U500=0,_Proxima_Compra,U500-1)</f>
        <v>1</v>
      </c>
      <c r="V501" s="3">
        <f t="shared" ca="1" si="106"/>
        <v>-1</v>
      </c>
      <c r="W501" s="3">
        <f ca="1">IF(W500&gt;0,W500-1,IF(V501&gt;0,LOOKUP(V501,$R$3:$R$5,$O$3:$O$5),-1))</f>
        <v>-1</v>
      </c>
      <c r="X501" s="25">
        <f t="shared" ca="1" si="107"/>
        <v>0</v>
      </c>
      <c r="Y501" s="28">
        <f ca="1">X501*_GramosXFrasco</f>
        <v>0</v>
      </c>
    </row>
    <row r="502" spans="1:25" x14ac:dyDescent="0.25">
      <c r="A502" s="30">
        <f t="shared" si="108"/>
        <v>486</v>
      </c>
      <c r="B502" s="38">
        <f t="shared" ca="1" si="101"/>
        <v>6.1099141242877408E-2</v>
      </c>
      <c r="C502" s="36">
        <f t="shared" ca="1" si="102"/>
        <v>-1</v>
      </c>
      <c r="D502" s="36">
        <f t="shared" ca="1" si="103"/>
        <v>-1</v>
      </c>
      <c r="E502" s="36">
        <f t="shared" ca="1" si="112"/>
        <v>-1</v>
      </c>
      <c r="F502" s="37">
        <f ca="1">IF(E502&lt;&gt;-1,_Media_M + E502*_Sigma,-1)</f>
        <v>-1</v>
      </c>
      <c r="G502" s="3">
        <f t="shared" ca="1" si="104"/>
        <v>50</v>
      </c>
      <c r="H502" s="36">
        <f t="shared" ca="1" si="113"/>
        <v>50</v>
      </c>
      <c r="I502" s="36">
        <f t="shared" ca="1" si="105"/>
        <v>2.8769281143724386</v>
      </c>
      <c r="J502" s="35">
        <f t="shared" ca="1" si="114"/>
        <v>52.87692811437244</v>
      </c>
      <c r="K502" s="19">
        <f t="shared" ca="1" si="109"/>
        <v>52.87692811437244</v>
      </c>
      <c r="L502" s="20">
        <f ca="1" xml:space="preserve"> K502*_Precio_cafe</f>
        <v>79.315392171558656</v>
      </c>
      <c r="M502" s="20">
        <f t="shared" ca="1" si="110"/>
        <v>69293.986858880875</v>
      </c>
      <c r="N502" s="20">
        <f ca="1">IF((N501-K502+Y502)&gt;_Max_Stock_Gramos,_Max_Stock_Gramos,N501-K502+Y502)</f>
        <v>1373.9431179448313</v>
      </c>
      <c r="O502" s="20">
        <f ca="1">N502/_GramosXFrasco</f>
        <v>8.082018340851949</v>
      </c>
      <c r="P502" s="63">
        <f ca="1">(N502/_Max_Stock_Gramos)</f>
        <v>0.80820183408519486</v>
      </c>
      <c r="Q502" s="63"/>
      <c r="R502" s="10">
        <f ca="1">IF((N501-J502)&lt;0,(N501-J502)*_Costo_Faltante,0)</f>
        <v>0</v>
      </c>
      <c r="S502">
        <f ca="1">IF(U502=0,X502*_Costo_Frasco,0)</f>
        <v>0</v>
      </c>
      <c r="T502" s="11">
        <f t="shared" ca="1" si="111"/>
        <v>-47077.89173507681</v>
      </c>
      <c r="U502" s="10">
        <f>IF(U501=0,_Proxima_Compra,U501-1)</f>
        <v>0</v>
      </c>
      <c r="V502" s="3">
        <f t="shared" ca="1" si="106"/>
        <v>0.94328332066155407</v>
      </c>
      <c r="W502" s="3">
        <f ca="1">IF(W501&gt;0,W501-1,IF(V502&gt;0,LOOKUP(V502,$R$3:$R$5,$O$3:$O$5),-1))</f>
        <v>2</v>
      </c>
      <c r="X502" s="25">
        <f t="shared" ca="1" si="107"/>
        <v>0</v>
      </c>
      <c r="Y502" s="28">
        <f ca="1">X502*_GramosXFrasco</f>
        <v>0</v>
      </c>
    </row>
    <row r="503" spans="1:25" x14ac:dyDescent="0.25">
      <c r="A503" s="30">
        <f t="shared" si="108"/>
        <v>487</v>
      </c>
      <c r="B503" s="38">
        <f t="shared" ca="1" si="101"/>
        <v>0.45685224653115497</v>
      </c>
      <c r="C503" s="36">
        <f t="shared" ca="1" si="102"/>
        <v>-1</v>
      </c>
      <c r="D503" s="36">
        <f t="shared" ca="1" si="103"/>
        <v>-1</v>
      </c>
      <c r="E503" s="36">
        <f t="shared" ca="1" si="112"/>
        <v>-1</v>
      </c>
      <c r="F503" s="37">
        <f ca="1">IF(E503&lt;&gt;-1,_Media_M + E503*_Sigma,-1)</f>
        <v>-1</v>
      </c>
      <c r="G503" s="3">
        <f t="shared" ca="1" si="104"/>
        <v>50</v>
      </c>
      <c r="H503" s="36">
        <f t="shared" ca="1" si="113"/>
        <v>50</v>
      </c>
      <c r="I503" s="36">
        <f t="shared" ca="1" si="105"/>
        <v>36.164412419832423</v>
      </c>
      <c r="J503" s="35">
        <f t="shared" ca="1" si="114"/>
        <v>86.164412419832416</v>
      </c>
      <c r="K503" s="19">
        <f t="shared" ca="1" si="109"/>
        <v>86.164412419832416</v>
      </c>
      <c r="L503" s="20">
        <f ca="1" xml:space="preserve"> K503*_Precio_cafe</f>
        <v>129.24661862974864</v>
      </c>
      <c r="M503" s="20">
        <f t="shared" ca="1" si="110"/>
        <v>69423.233477510628</v>
      </c>
      <c r="N503" s="20">
        <f ca="1">IF((N502-K503+Y503)&gt;_Max_Stock_Gramos,_Max_Stock_Gramos,N502-K503+Y503)</f>
        <v>1287.7787055249989</v>
      </c>
      <c r="O503" s="20">
        <f ca="1">N503/_GramosXFrasco</f>
        <v>7.5751688560294053</v>
      </c>
      <c r="P503" s="63">
        <f ca="1">(N503/_Max_Stock_Gramos)</f>
        <v>0.7575168856029405</v>
      </c>
      <c r="Q503" s="63"/>
      <c r="R503" s="10">
        <f ca="1">IF((N502-J503)&lt;0,(N502-J503)*_Costo_Faltante,0)</f>
        <v>0</v>
      </c>
      <c r="S503">
        <f>IF(U503=0,X503*_Costo_Frasco,0)</f>
        <v>0</v>
      </c>
      <c r="T503" s="11">
        <f t="shared" ca="1" si="111"/>
        <v>-47077.89173507681</v>
      </c>
      <c r="U503" s="10">
        <f>IF(U502=0,_Proxima_Compra,U502-1)</f>
        <v>2</v>
      </c>
      <c r="V503" s="3">
        <f t="shared" ca="1" si="106"/>
        <v>-1</v>
      </c>
      <c r="W503" s="3">
        <f ca="1">IF(W502&gt;0,W502-1,IF(V503&gt;0,LOOKUP(V503,$R$3:$R$5,$O$3:$O$5),-1))</f>
        <v>1</v>
      </c>
      <c r="X503" s="25">
        <f t="shared" ca="1" si="107"/>
        <v>0</v>
      </c>
      <c r="Y503" s="28">
        <f ca="1">X503*_GramosXFrasco</f>
        <v>0</v>
      </c>
    </row>
    <row r="504" spans="1:25" x14ac:dyDescent="0.25">
      <c r="A504" s="30">
        <f t="shared" si="108"/>
        <v>488</v>
      </c>
      <c r="B504" s="38">
        <f t="shared" ca="1" si="101"/>
        <v>0.29400634177521179</v>
      </c>
      <c r="C504" s="36">
        <f t="shared" ca="1" si="102"/>
        <v>-1</v>
      </c>
      <c r="D504" s="36">
        <f t="shared" ca="1" si="103"/>
        <v>-1</v>
      </c>
      <c r="E504" s="36">
        <f t="shared" ca="1" si="112"/>
        <v>-1</v>
      </c>
      <c r="F504" s="37">
        <f ca="1">IF(E504&lt;&gt;-1,_Media_M + E504*_Sigma,-1)</f>
        <v>-1</v>
      </c>
      <c r="G504" s="3">
        <f t="shared" ca="1" si="104"/>
        <v>50</v>
      </c>
      <c r="H504" s="36">
        <f t="shared" ca="1" si="113"/>
        <v>50</v>
      </c>
      <c r="I504" s="36">
        <f t="shared" ca="1" si="105"/>
        <v>43.905212740536641</v>
      </c>
      <c r="J504" s="35">
        <f t="shared" ca="1" si="114"/>
        <v>93.905212740536641</v>
      </c>
      <c r="K504" s="19">
        <f t="shared" ca="1" si="109"/>
        <v>93.905212740536641</v>
      </c>
      <c r="L504" s="20">
        <f ca="1" xml:space="preserve"> K504*_Precio_cafe</f>
        <v>140.85781911080497</v>
      </c>
      <c r="M504" s="20">
        <f t="shared" ca="1" si="110"/>
        <v>69564.091296621438</v>
      </c>
      <c r="N504" s="20">
        <f ca="1">IF((N503-K504+Y504)&gt;_Max_Stock_Gramos,_Max_Stock_Gramos,N503-K504+Y504)</f>
        <v>1533.8734927844623</v>
      </c>
      <c r="O504" s="20">
        <f ca="1">N504/_GramosXFrasco</f>
        <v>9.0227852516733069</v>
      </c>
      <c r="P504" s="63">
        <f ca="1">(N504/_Max_Stock_Gramos)</f>
        <v>0.90227852516733076</v>
      </c>
      <c r="Q504" s="63"/>
      <c r="R504" s="10">
        <f ca="1">IF((N503-J504)&lt;0,(N503-J504)*_Costo_Faltante,0)</f>
        <v>0</v>
      </c>
      <c r="S504">
        <f>IF(U504=0,X504*_Costo_Frasco,0)</f>
        <v>0</v>
      </c>
      <c r="T504" s="11">
        <f t="shared" ca="1" si="111"/>
        <v>-47077.89173507681</v>
      </c>
      <c r="U504" s="10">
        <f>IF(U503=0,_Proxima_Compra,U503-1)</f>
        <v>1</v>
      </c>
      <c r="V504" s="3">
        <f t="shared" ca="1" si="106"/>
        <v>-1</v>
      </c>
      <c r="W504" s="3">
        <f ca="1">IF(W503&gt;0,W503-1,IF(V504&gt;0,LOOKUP(V504,$R$3:$R$5,$O$3:$O$5),-1))</f>
        <v>0</v>
      </c>
      <c r="X504" s="25">
        <f t="shared" ca="1" si="107"/>
        <v>2</v>
      </c>
      <c r="Y504" s="28">
        <f ca="1">X504*_GramosXFrasco</f>
        <v>340</v>
      </c>
    </row>
    <row r="505" spans="1:25" x14ac:dyDescent="0.25">
      <c r="A505" s="30">
        <f t="shared" si="108"/>
        <v>489</v>
      </c>
      <c r="B505" s="38">
        <f t="shared" ca="1" si="101"/>
        <v>1.8284797188983015E-2</v>
      </c>
      <c r="C505" s="36">
        <f t="shared" ca="1" si="102"/>
        <v>-1</v>
      </c>
      <c r="D505" s="36">
        <f t="shared" ca="1" si="103"/>
        <v>-1</v>
      </c>
      <c r="E505" s="36">
        <f t="shared" ca="1" si="112"/>
        <v>-1</v>
      </c>
      <c r="F505" s="37">
        <f ca="1">IF(E505&lt;&gt;-1,_Media_M + E505*_Sigma,-1)</f>
        <v>-1</v>
      </c>
      <c r="G505" s="3">
        <f t="shared" ca="1" si="104"/>
        <v>50</v>
      </c>
      <c r="H505" s="36">
        <f t="shared" ca="1" si="113"/>
        <v>50</v>
      </c>
      <c r="I505" s="36">
        <f t="shared" ca="1" si="105"/>
        <v>18.517469801883443</v>
      </c>
      <c r="J505" s="35">
        <f t="shared" ca="1" si="114"/>
        <v>68.517469801883436</v>
      </c>
      <c r="K505" s="19">
        <f t="shared" ca="1" si="109"/>
        <v>68.517469801883436</v>
      </c>
      <c r="L505" s="20">
        <f ca="1" xml:space="preserve"> K505*_Precio_cafe</f>
        <v>102.77620470282515</v>
      </c>
      <c r="M505" s="20">
        <f t="shared" ca="1" si="110"/>
        <v>69666.867501324261</v>
      </c>
      <c r="N505" s="20">
        <f ca="1">IF((N504-K505+Y505)&gt;_Max_Stock_Gramos,_Max_Stock_Gramos,N504-K505+Y505)</f>
        <v>1465.3560229825789</v>
      </c>
      <c r="O505" s="20">
        <f ca="1">N505/_GramosXFrasco</f>
        <v>8.6197413116622297</v>
      </c>
      <c r="P505" s="63">
        <f ca="1">(N505/_Max_Stock_Gramos)</f>
        <v>0.8619741311662229</v>
      </c>
      <c r="Q505" s="63"/>
      <c r="R505" s="10">
        <f ca="1">IF((N504-J505)&lt;0,(N504-J505)*_Costo_Faltante,0)</f>
        <v>0</v>
      </c>
      <c r="S505">
        <f ca="1">IF(U505=0,X505*_Costo_Frasco,0)</f>
        <v>0</v>
      </c>
      <c r="T505" s="11">
        <f t="shared" ca="1" si="111"/>
        <v>-47077.89173507681</v>
      </c>
      <c r="U505" s="10">
        <f>IF(U504=0,_Proxima_Compra,U504-1)</f>
        <v>0</v>
      </c>
      <c r="V505" s="3">
        <f t="shared" ca="1" si="106"/>
        <v>0.53438780447796641</v>
      </c>
      <c r="W505" s="3">
        <f ca="1">IF(W504&gt;0,W504-1,IF(V505&gt;0,LOOKUP(V505,$R$3:$R$5,$O$3:$O$5),-1))</f>
        <v>1</v>
      </c>
      <c r="X505" s="25">
        <f t="shared" ca="1" si="107"/>
        <v>0</v>
      </c>
      <c r="Y505" s="28">
        <f ca="1">X505*_GramosXFrasco</f>
        <v>0</v>
      </c>
    </row>
    <row r="506" spans="1:25" x14ac:dyDescent="0.25">
      <c r="A506" s="30">
        <f t="shared" si="108"/>
        <v>490</v>
      </c>
      <c r="B506" s="38">
        <f t="shared" ca="1" si="101"/>
        <v>0.61096068713852025</v>
      </c>
      <c r="C506" s="36">
        <f t="shared" ca="1" si="102"/>
        <v>0.35451397664524431</v>
      </c>
      <c r="D506" s="36">
        <f t="shared" ca="1" si="103"/>
        <v>0.39331413540753901</v>
      </c>
      <c r="E506" s="36">
        <f t="shared" ca="1" si="112"/>
        <v>-0.48319872508012529</v>
      </c>
      <c r="F506" s="37">
        <f ca="1">IF(E506&lt;&gt;-1,_Media_M + E506*_Sigma,-1)</f>
        <v>67.752019123798121</v>
      </c>
      <c r="G506" s="3">
        <f t="shared" ca="1" si="104"/>
        <v>-1</v>
      </c>
      <c r="H506" s="36">
        <f t="shared" ca="1" si="113"/>
        <v>67.752019123798121</v>
      </c>
      <c r="I506" s="36">
        <f t="shared" ca="1" si="105"/>
        <v>14.741259042156154</v>
      </c>
      <c r="J506" s="35">
        <f t="shared" ca="1" si="114"/>
        <v>82.49327816595428</v>
      </c>
      <c r="K506" s="19">
        <f t="shared" ca="1" si="109"/>
        <v>82.49327816595428</v>
      </c>
      <c r="L506" s="20">
        <f ca="1" xml:space="preserve"> K506*_Precio_cafe</f>
        <v>123.73991724893142</v>
      </c>
      <c r="M506" s="20">
        <f t="shared" ca="1" si="110"/>
        <v>69790.6074185732</v>
      </c>
      <c r="N506" s="20">
        <f ca="1">IF((N505-K506+Y506)&gt;_Max_Stock_Gramos,_Max_Stock_Gramos,N505-K506+Y506)</f>
        <v>1700</v>
      </c>
      <c r="O506" s="20">
        <f ca="1">N506/_GramosXFrasco</f>
        <v>10</v>
      </c>
      <c r="P506" s="63">
        <f ca="1">(N506/_Max_Stock_Gramos)</f>
        <v>1</v>
      </c>
      <c r="Q506" s="63"/>
      <c r="R506" s="10">
        <f ca="1">IF((N505-J506)&lt;0,(N505-J506)*_Costo_Faltante,0)</f>
        <v>0</v>
      </c>
      <c r="S506">
        <f>IF(U506=0,X506*_Costo_Frasco,0)</f>
        <v>0</v>
      </c>
      <c r="T506" s="11">
        <f t="shared" ca="1" si="111"/>
        <v>-47077.89173507681</v>
      </c>
      <c r="U506" s="10">
        <f>IF(U505=0,_Proxima_Compra,U505-1)</f>
        <v>2</v>
      </c>
      <c r="V506" s="3">
        <f t="shared" ca="1" si="106"/>
        <v>-1</v>
      </c>
      <c r="W506" s="3">
        <f ca="1">IF(W505&gt;0,W505-1,IF(V506&gt;0,LOOKUP(V506,$R$3:$R$5,$O$3:$O$5),-1))</f>
        <v>0</v>
      </c>
      <c r="X506" s="25">
        <f t="shared" ca="1" si="107"/>
        <v>2</v>
      </c>
      <c r="Y506" s="28">
        <f ca="1">X506*_GramosXFrasco</f>
        <v>340</v>
      </c>
    </row>
    <row r="507" spans="1:25" x14ac:dyDescent="0.25">
      <c r="A507" s="30">
        <f t="shared" si="108"/>
        <v>491</v>
      </c>
      <c r="B507" s="38">
        <f t="shared" ca="1" si="101"/>
        <v>6.6820968956798898E-3</v>
      </c>
      <c r="C507" s="36">
        <f t="shared" ca="1" si="102"/>
        <v>-1</v>
      </c>
      <c r="D507" s="36">
        <f t="shared" ca="1" si="103"/>
        <v>-1</v>
      </c>
      <c r="E507" s="36">
        <f t="shared" ca="1" si="112"/>
        <v>-1</v>
      </c>
      <c r="F507" s="37">
        <f ca="1">IF(E507&lt;&gt;-1,_Media_M + E507*_Sigma,-1)</f>
        <v>-1</v>
      </c>
      <c r="G507" s="3">
        <f t="shared" ca="1" si="104"/>
        <v>50</v>
      </c>
      <c r="H507" s="36">
        <f t="shared" ca="1" si="113"/>
        <v>50</v>
      </c>
      <c r="I507" s="36">
        <f t="shared" ca="1" si="105"/>
        <v>8.75175100852152</v>
      </c>
      <c r="J507" s="35">
        <f t="shared" ca="1" si="114"/>
        <v>58.751751008521524</v>
      </c>
      <c r="K507" s="19">
        <f t="shared" ca="1" si="109"/>
        <v>58.751751008521524</v>
      </c>
      <c r="L507" s="20">
        <f ca="1" xml:space="preserve"> K507*_Precio_cafe</f>
        <v>88.127626512782285</v>
      </c>
      <c r="M507" s="20">
        <f t="shared" ca="1" si="110"/>
        <v>69878.735045085981</v>
      </c>
      <c r="N507" s="20">
        <f ca="1">IF((N506-K507+Y507)&gt;_Max_Stock_Gramos,_Max_Stock_Gramos,N506-K507+Y507)</f>
        <v>1641.2482489914785</v>
      </c>
      <c r="O507" s="20">
        <f ca="1">N507/_GramosXFrasco</f>
        <v>9.6544014646557557</v>
      </c>
      <c r="P507" s="63">
        <f ca="1">(N507/_Max_Stock_Gramos)</f>
        <v>0.96544014646557552</v>
      </c>
      <c r="Q507" s="63"/>
      <c r="R507" s="10">
        <f ca="1">IF((N506-J507)&lt;0,(N506-J507)*_Costo_Faltante,0)</f>
        <v>0</v>
      </c>
      <c r="S507">
        <f>IF(U507=0,X507*_Costo_Frasco,0)</f>
        <v>0</v>
      </c>
      <c r="T507" s="11">
        <f t="shared" ca="1" si="111"/>
        <v>-47077.89173507681</v>
      </c>
      <c r="U507" s="10">
        <f>IF(U506=0,_Proxima_Compra,U506-1)</f>
        <v>1</v>
      </c>
      <c r="V507" s="3">
        <f t="shared" ca="1" si="106"/>
        <v>-1</v>
      </c>
      <c r="W507" s="3">
        <f ca="1">IF(W506&gt;0,W506-1,IF(V507&gt;0,LOOKUP(V507,$R$3:$R$5,$O$3:$O$5),-1))</f>
        <v>-1</v>
      </c>
      <c r="X507" s="25">
        <f t="shared" ca="1" si="107"/>
        <v>0</v>
      </c>
      <c r="Y507" s="28">
        <f ca="1">X507*_GramosXFrasco</f>
        <v>0</v>
      </c>
    </row>
    <row r="508" spans="1:25" x14ac:dyDescent="0.25">
      <c r="A508" s="30">
        <f t="shared" si="108"/>
        <v>492</v>
      </c>
      <c r="B508" s="38">
        <f t="shared" ca="1" si="101"/>
        <v>0.600476731663935</v>
      </c>
      <c r="C508" s="36">
        <f t="shared" ca="1" si="102"/>
        <v>0.42131342746322431</v>
      </c>
      <c r="D508" s="36">
        <f t="shared" ca="1" si="103"/>
        <v>0.37767615950734057</v>
      </c>
      <c r="E508" s="36">
        <f t="shared" ca="1" si="112"/>
        <v>-0.4955239903273575</v>
      </c>
      <c r="F508" s="37">
        <f ca="1">IF(E508&lt;&gt;-1,_Media_M + E508*_Sigma,-1)</f>
        <v>67.567140145089638</v>
      </c>
      <c r="G508" s="3">
        <f t="shared" ca="1" si="104"/>
        <v>-1</v>
      </c>
      <c r="H508" s="36">
        <f t="shared" ca="1" si="113"/>
        <v>67.567140145089638</v>
      </c>
      <c r="I508" s="36">
        <f t="shared" ca="1" si="105"/>
        <v>16.521244527258531</v>
      </c>
      <c r="J508" s="35">
        <f t="shared" ca="1" si="114"/>
        <v>84.08838467234817</v>
      </c>
      <c r="K508" s="19">
        <f t="shared" ca="1" si="109"/>
        <v>84.08838467234817</v>
      </c>
      <c r="L508" s="20">
        <f ca="1" xml:space="preserve"> K508*_Precio_cafe</f>
        <v>126.13257700852225</v>
      </c>
      <c r="M508" s="20">
        <f t="shared" ca="1" si="110"/>
        <v>70004.867622094505</v>
      </c>
      <c r="N508" s="20">
        <f ca="1">IF((N507-K508+Y508)&gt;_Max_Stock_Gramos,_Max_Stock_Gramos,N507-K508+Y508)</f>
        <v>1700</v>
      </c>
      <c r="O508" s="20">
        <f ca="1">N508/_GramosXFrasco</f>
        <v>10</v>
      </c>
      <c r="P508" s="63">
        <f ca="1">(N508/_Max_Stock_Gramos)</f>
        <v>1</v>
      </c>
      <c r="Q508" s="63"/>
      <c r="R508" s="10">
        <f ca="1">IF((N507-J508)&lt;0,(N507-J508)*_Costo_Faltante,0)</f>
        <v>0</v>
      </c>
      <c r="S508">
        <f ca="1">IF(U508=0,X508*_Costo_Frasco,0)</f>
        <v>-500</v>
      </c>
      <c r="T508" s="11">
        <f t="shared" ca="1" si="111"/>
        <v>-47577.89173507681</v>
      </c>
      <c r="U508" s="10">
        <f>IF(U507=0,_Proxima_Compra,U507-1)</f>
        <v>0</v>
      </c>
      <c r="V508" s="3">
        <f t="shared" ca="1" si="106"/>
        <v>0.3415248323907345</v>
      </c>
      <c r="W508" s="3">
        <f ca="1">IF(W507&gt;0,W507-1,IF(V508&gt;0,LOOKUP(V508,$R$3:$R$5,$O$3:$O$5),-1))</f>
        <v>0</v>
      </c>
      <c r="X508" s="25">
        <f t="shared" ca="1" si="107"/>
        <v>2</v>
      </c>
      <c r="Y508" s="28">
        <f ca="1">X508*_GramosXFrasco</f>
        <v>340</v>
      </c>
    </row>
    <row r="509" spans="1:25" x14ac:dyDescent="0.25">
      <c r="A509" s="30">
        <f t="shared" si="108"/>
        <v>493</v>
      </c>
      <c r="B509" s="38">
        <f t="shared" ca="1" si="101"/>
        <v>0.52208518847962437</v>
      </c>
      <c r="C509" s="36">
        <f t="shared" ca="1" si="102"/>
        <v>0.87301481512587709</v>
      </c>
      <c r="D509" s="36">
        <f t="shared" ca="1" si="103"/>
        <v>0.53108611686476181</v>
      </c>
      <c r="E509" s="36">
        <f t="shared" ca="1" si="112"/>
        <v>-1.3133833150530447</v>
      </c>
      <c r="F509" s="37">
        <f ca="1">IF(E509&lt;&gt;-1,_Media_M + E509*_Sigma,-1)</f>
        <v>55.299250274204326</v>
      </c>
      <c r="G509" s="3">
        <f t="shared" ca="1" si="104"/>
        <v>-1</v>
      </c>
      <c r="H509" s="36">
        <f t="shared" ca="1" si="113"/>
        <v>55.299250274204326</v>
      </c>
      <c r="I509" s="36">
        <f t="shared" ca="1" si="105"/>
        <v>28.11439916225244</v>
      </c>
      <c r="J509" s="35">
        <f t="shared" ca="1" si="114"/>
        <v>83.413649436456765</v>
      </c>
      <c r="K509" s="19">
        <f t="shared" ca="1" si="109"/>
        <v>83.413649436456765</v>
      </c>
      <c r="L509" s="20">
        <f ca="1" xml:space="preserve"> K509*_Precio_cafe</f>
        <v>125.12047415468516</v>
      </c>
      <c r="M509" s="20">
        <f t="shared" ca="1" si="110"/>
        <v>70129.988096249188</v>
      </c>
      <c r="N509" s="20">
        <f ca="1">IF((N508-K509+Y509)&gt;_Max_Stock_Gramos,_Max_Stock_Gramos,N508-K509+Y509)</f>
        <v>1616.5863505635432</v>
      </c>
      <c r="O509" s="20">
        <f ca="1">N509/_GramosXFrasco</f>
        <v>9.5093314739031953</v>
      </c>
      <c r="P509" s="63">
        <f ca="1">(N509/_Max_Stock_Gramos)</f>
        <v>0.95093314739031953</v>
      </c>
      <c r="Q509" s="63"/>
      <c r="R509" s="10">
        <f ca="1">IF((N508-J509)&lt;0,(N508-J509)*_Costo_Faltante,0)</f>
        <v>0</v>
      </c>
      <c r="S509">
        <f>IF(U509=0,X509*_Costo_Frasco,0)</f>
        <v>0</v>
      </c>
      <c r="T509" s="11">
        <f t="shared" ca="1" si="111"/>
        <v>-47577.89173507681</v>
      </c>
      <c r="U509" s="10">
        <f>IF(U508=0,_Proxima_Compra,U508-1)</f>
        <v>2</v>
      </c>
      <c r="V509" s="3">
        <f t="shared" ca="1" si="106"/>
        <v>-1</v>
      </c>
      <c r="W509" s="3">
        <f ca="1">IF(W508&gt;0,W508-1,IF(V509&gt;0,LOOKUP(V509,$R$3:$R$5,$O$3:$O$5),-1))</f>
        <v>-1</v>
      </c>
      <c r="X509" s="25">
        <f t="shared" ca="1" si="107"/>
        <v>0</v>
      </c>
      <c r="Y509" s="28">
        <f ca="1">X509*_GramosXFrasco</f>
        <v>0</v>
      </c>
    </row>
    <row r="510" spans="1:25" x14ac:dyDescent="0.25">
      <c r="A510" s="30">
        <f t="shared" si="108"/>
        <v>494</v>
      </c>
      <c r="B510" s="38">
        <f t="shared" ca="1" si="101"/>
        <v>2.2190853677006239E-2</v>
      </c>
      <c r="C510" s="36">
        <f t="shared" ca="1" si="102"/>
        <v>-1</v>
      </c>
      <c r="D510" s="36">
        <f t="shared" ca="1" si="103"/>
        <v>-1</v>
      </c>
      <c r="E510" s="36">
        <f t="shared" ca="1" si="112"/>
        <v>-1</v>
      </c>
      <c r="F510" s="37">
        <f ca="1">IF(E510&lt;&gt;-1,_Media_M + E510*_Sigma,-1)</f>
        <v>-1</v>
      </c>
      <c r="G510" s="3">
        <f t="shared" ca="1" si="104"/>
        <v>50</v>
      </c>
      <c r="H510" s="36">
        <f t="shared" ca="1" si="113"/>
        <v>50</v>
      </c>
      <c r="I510" s="36">
        <f t="shared" ca="1" si="105"/>
        <v>52.927087389824564</v>
      </c>
      <c r="J510" s="35">
        <f t="shared" ca="1" si="114"/>
        <v>102.92708738982456</v>
      </c>
      <c r="K510" s="19">
        <f t="shared" ca="1" si="109"/>
        <v>102.92708738982456</v>
      </c>
      <c r="L510" s="20">
        <f ca="1" xml:space="preserve"> K510*_Precio_cafe</f>
        <v>154.39063108473684</v>
      </c>
      <c r="M510" s="20">
        <f t="shared" ca="1" si="110"/>
        <v>70284.378727333926</v>
      </c>
      <c r="N510" s="20">
        <f ca="1">IF((N509-K510+Y510)&gt;_Max_Stock_Gramos,_Max_Stock_Gramos,N509-K510+Y510)</f>
        <v>1513.6592631737187</v>
      </c>
      <c r="O510" s="20">
        <f ca="1">N510/_GramosXFrasco</f>
        <v>8.9038780186689337</v>
      </c>
      <c r="P510" s="63">
        <f ca="1">(N510/_Max_Stock_Gramos)</f>
        <v>0.89038780186689337</v>
      </c>
      <c r="Q510" s="63"/>
      <c r="R510" s="10">
        <f ca="1">IF((N509-J510)&lt;0,(N509-J510)*_Costo_Faltante,0)</f>
        <v>0</v>
      </c>
      <c r="S510">
        <f>IF(U510=0,X510*_Costo_Frasco,0)</f>
        <v>0</v>
      </c>
      <c r="T510" s="11">
        <f t="shared" ca="1" si="111"/>
        <v>-47577.89173507681</v>
      </c>
      <c r="U510" s="10">
        <f>IF(U509=0,_Proxima_Compra,U509-1)</f>
        <v>1</v>
      </c>
      <c r="V510" s="3">
        <f t="shared" ca="1" si="106"/>
        <v>-1</v>
      </c>
      <c r="W510" s="3">
        <f ca="1">IF(W509&gt;0,W509-1,IF(V510&gt;0,LOOKUP(V510,$R$3:$R$5,$O$3:$O$5),-1))</f>
        <v>-1</v>
      </c>
      <c r="X510" s="25">
        <f t="shared" ca="1" si="107"/>
        <v>0</v>
      </c>
      <c r="Y510" s="28">
        <f ca="1">X510*_GramosXFrasco</f>
        <v>0</v>
      </c>
    </row>
    <row r="511" spans="1:25" x14ac:dyDescent="0.25">
      <c r="A511" s="30">
        <f t="shared" si="108"/>
        <v>495</v>
      </c>
      <c r="B511" s="38">
        <f t="shared" ca="1" si="101"/>
        <v>0.69158643838240452</v>
      </c>
      <c r="C511" s="36">
        <f t="shared" ca="1" si="102"/>
        <v>6.755202632261037E-3</v>
      </c>
      <c r="D511" s="36">
        <f t="shared" ca="1" si="103"/>
        <v>0.26240993102812527</v>
      </c>
      <c r="E511" s="36">
        <f t="shared" ca="1" si="112"/>
        <v>-5.9768302370996704E-3</v>
      </c>
      <c r="F511" s="37">
        <f ca="1">IF(E511&lt;&gt;-1,_Media_M + E511*_Sigma,-1)</f>
        <v>74.910347546443504</v>
      </c>
      <c r="G511" s="3">
        <f t="shared" ca="1" si="104"/>
        <v>-1</v>
      </c>
      <c r="H511" s="36">
        <f t="shared" ca="1" si="113"/>
        <v>74.910347546443504</v>
      </c>
      <c r="I511" s="36">
        <f t="shared" ca="1" si="105"/>
        <v>11.454264187286407</v>
      </c>
      <c r="J511" s="35">
        <f t="shared" ca="1" si="114"/>
        <v>86.364611733729916</v>
      </c>
      <c r="K511" s="19">
        <f t="shared" ca="1" si="109"/>
        <v>86.364611733729916</v>
      </c>
      <c r="L511" s="20">
        <f ca="1" xml:space="preserve"> K511*_Precio_cafe</f>
        <v>129.54691760059487</v>
      </c>
      <c r="M511" s="20">
        <f t="shared" ca="1" si="110"/>
        <v>70413.925644934527</v>
      </c>
      <c r="N511" s="20">
        <f ca="1">IF((N510-K511+Y511)&gt;_Max_Stock_Gramos,_Max_Stock_Gramos,N510-K511+Y511)</f>
        <v>1427.2946514399889</v>
      </c>
      <c r="O511" s="20">
        <f ca="1">N511/_GramosXFrasco</f>
        <v>8.3958508908234641</v>
      </c>
      <c r="P511" s="63">
        <f ca="1">(N511/_Max_Stock_Gramos)</f>
        <v>0.83958508908234641</v>
      </c>
      <c r="Q511" s="63"/>
      <c r="R511" s="10">
        <f ca="1">IF((N510-J511)&lt;0,(N510-J511)*_Costo_Faltante,0)</f>
        <v>0</v>
      </c>
      <c r="S511">
        <f ca="1">IF(U511=0,X511*_Costo_Frasco,0)</f>
        <v>0</v>
      </c>
      <c r="T511" s="11">
        <f t="shared" ca="1" si="111"/>
        <v>-47577.89173507681</v>
      </c>
      <c r="U511" s="10">
        <f>IF(U510=0,_Proxima_Compra,U510-1)</f>
        <v>0</v>
      </c>
      <c r="V511" s="3">
        <f t="shared" ca="1" si="106"/>
        <v>0.78209402466955369</v>
      </c>
      <c r="W511" s="3">
        <f ca="1">IF(W510&gt;0,W510-1,IF(V511&gt;0,LOOKUP(V511,$R$3:$R$5,$O$3:$O$5),-1))</f>
        <v>2</v>
      </c>
      <c r="X511" s="25">
        <f t="shared" ca="1" si="107"/>
        <v>0</v>
      </c>
      <c r="Y511" s="28">
        <f ca="1">X511*_GramosXFrasco</f>
        <v>0</v>
      </c>
    </row>
    <row r="512" spans="1:25" x14ac:dyDescent="0.25">
      <c r="A512" s="30">
        <f t="shared" si="108"/>
        <v>496</v>
      </c>
      <c r="B512" s="38">
        <f t="shared" ca="1" si="101"/>
        <v>0.91579649052757428</v>
      </c>
      <c r="C512" s="36">
        <f t="shared" ca="1" si="102"/>
        <v>0.73401404583463303</v>
      </c>
      <c r="D512" s="36">
        <f t="shared" ca="1" si="103"/>
        <v>0.90484522138530499</v>
      </c>
      <c r="E512" s="36">
        <f t="shared" ca="1" si="112"/>
        <v>0.88646738905259348</v>
      </c>
      <c r="F512" s="37">
        <f ca="1">IF(E512&lt;&gt;-1,_Media_M + E512*_Sigma,-1)</f>
        <v>88.297010835788896</v>
      </c>
      <c r="G512" s="3">
        <f t="shared" ca="1" si="104"/>
        <v>-1</v>
      </c>
      <c r="H512" s="36">
        <f t="shared" ca="1" si="113"/>
        <v>88.297010835788896</v>
      </c>
      <c r="I512" s="36">
        <f t="shared" ca="1" si="105"/>
        <v>2.110063051477125</v>
      </c>
      <c r="J512" s="35">
        <f t="shared" ca="1" si="114"/>
        <v>90.407073887266023</v>
      </c>
      <c r="K512" s="19">
        <f t="shared" ca="1" si="109"/>
        <v>90.407073887266023</v>
      </c>
      <c r="L512" s="20">
        <f ca="1" xml:space="preserve"> K512*_Precio_cafe</f>
        <v>135.61061083089902</v>
      </c>
      <c r="M512" s="20">
        <f t="shared" ca="1" si="110"/>
        <v>70549.53625576543</v>
      </c>
      <c r="N512" s="20">
        <f ca="1">IF((N511-K512+Y512)&gt;_Max_Stock_Gramos,_Max_Stock_Gramos,N511-K512+Y512)</f>
        <v>1336.8875775527229</v>
      </c>
      <c r="O512" s="20">
        <f ca="1">N512/_GramosXFrasco</f>
        <v>7.8640445738395464</v>
      </c>
      <c r="P512" s="63">
        <f ca="1">(N512/_Max_Stock_Gramos)</f>
        <v>0.78640445738395459</v>
      </c>
      <c r="Q512" s="63"/>
      <c r="R512" s="10">
        <f ca="1">IF((N511-J512)&lt;0,(N511-J512)*_Costo_Faltante,0)</f>
        <v>0</v>
      </c>
      <c r="S512">
        <f>IF(U512=0,X512*_Costo_Frasco,0)</f>
        <v>0</v>
      </c>
      <c r="T512" s="11">
        <f t="shared" ca="1" si="111"/>
        <v>-47577.89173507681</v>
      </c>
      <c r="U512" s="10">
        <f>IF(U511=0,_Proxima_Compra,U511-1)</f>
        <v>2</v>
      </c>
      <c r="V512" s="3">
        <f t="shared" ca="1" si="106"/>
        <v>-1</v>
      </c>
      <c r="W512" s="3">
        <f ca="1">IF(W511&gt;0,W511-1,IF(V512&gt;0,LOOKUP(V512,$R$3:$R$5,$O$3:$O$5),-1))</f>
        <v>1</v>
      </c>
      <c r="X512" s="25">
        <f t="shared" ca="1" si="107"/>
        <v>0</v>
      </c>
      <c r="Y512" s="28">
        <f ca="1">X512*_GramosXFrasco</f>
        <v>0</v>
      </c>
    </row>
    <row r="513" spans="1:25" x14ac:dyDescent="0.25">
      <c r="A513" s="30">
        <f t="shared" si="108"/>
        <v>497</v>
      </c>
      <c r="B513" s="38">
        <f t="shared" ca="1" si="101"/>
        <v>0.69340584588721377</v>
      </c>
      <c r="C513" s="36">
        <f t="shared" ca="1" si="102"/>
        <v>0.62464780782041363</v>
      </c>
      <c r="D513" s="36">
        <f t="shared" ca="1" si="103"/>
        <v>0.42974918125437778</v>
      </c>
      <c r="E513" s="36">
        <f t="shared" ca="1" si="112"/>
        <v>-0.83413968411179773</v>
      </c>
      <c r="F513" s="37">
        <f ca="1">IF(E513&lt;&gt;-1,_Media_M + E513*_Sigma,-1)</f>
        <v>62.487904738323031</v>
      </c>
      <c r="G513" s="3">
        <f t="shared" ca="1" si="104"/>
        <v>-1</v>
      </c>
      <c r="H513" s="36">
        <f t="shared" ca="1" si="113"/>
        <v>62.487904738323031</v>
      </c>
      <c r="I513" s="36">
        <f t="shared" ca="1" si="105"/>
        <v>4.3183184569376101</v>
      </c>
      <c r="J513" s="35">
        <f t="shared" ca="1" si="114"/>
        <v>66.806223195260642</v>
      </c>
      <c r="K513" s="19">
        <f t="shared" ca="1" si="109"/>
        <v>66.806223195260642</v>
      </c>
      <c r="L513" s="20">
        <f ca="1" xml:space="preserve"> K513*_Precio_cafe</f>
        <v>100.20933479289096</v>
      </c>
      <c r="M513" s="20">
        <f t="shared" ca="1" si="110"/>
        <v>70649.745590558319</v>
      </c>
      <c r="N513" s="20">
        <f ca="1">IF((N512-K513+Y513)&gt;_Max_Stock_Gramos,_Max_Stock_Gramos,N512-K513+Y513)</f>
        <v>1610.0813543574623</v>
      </c>
      <c r="O513" s="20">
        <f ca="1">N513/_GramosXFrasco</f>
        <v>9.4710667903380141</v>
      </c>
      <c r="P513" s="63">
        <f ca="1">(N513/_Max_Stock_Gramos)</f>
        <v>0.9471066790338013</v>
      </c>
      <c r="Q513" s="63"/>
      <c r="R513" s="10">
        <f ca="1">IF((N512-J513)&lt;0,(N512-J513)*_Costo_Faltante,0)</f>
        <v>0</v>
      </c>
      <c r="S513">
        <f>IF(U513=0,X513*_Costo_Frasco,0)</f>
        <v>0</v>
      </c>
      <c r="T513" s="11">
        <f t="shared" ca="1" si="111"/>
        <v>-47577.89173507681</v>
      </c>
      <c r="U513" s="10">
        <f>IF(U512=0,_Proxima_Compra,U512-1)</f>
        <v>1</v>
      </c>
      <c r="V513" s="3">
        <f t="shared" ca="1" si="106"/>
        <v>-1</v>
      </c>
      <c r="W513" s="3">
        <f ca="1">IF(W512&gt;0,W512-1,IF(V513&gt;0,LOOKUP(V513,$R$3:$R$5,$O$3:$O$5),-1))</f>
        <v>0</v>
      </c>
      <c r="X513" s="25">
        <f t="shared" ca="1" si="107"/>
        <v>2</v>
      </c>
      <c r="Y513" s="28">
        <f ca="1">X513*_GramosXFrasco</f>
        <v>340</v>
      </c>
    </row>
    <row r="514" spans="1:25" x14ac:dyDescent="0.25">
      <c r="A514" s="30">
        <f t="shared" si="108"/>
        <v>498</v>
      </c>
      <c r="B514" s="38">
        <f t="shared" ca="1" si="101"/>
        <v>0.33200384397422111</v>
      </c>
      <c r="C514" s="36">
        <f t="shared" ca="1" si="102"/>
        <v>-1</v>
      </c>
      <c r="D514" s="36">
        <f t="shared" ca="1" si="103"/>
        <v>-1</v>
      </c>
      <c r="E514" s="36">
        <f t="shared" ca="1" si="112"/>
        <v>-1</v>
      </c>
      <c r="F514" s="37">
        <f ca="1">IF(E514&lt;&gt;-1,_Media_M + E514*_Sigma,-1)</f>
        <v>-1</v>
      </c>
      <c r="G514" s="3">
        <f t="shared" ca="1" si="104"/>
        <v>50</v>
      </c>
      <c r="H514" s="36">
        <f t="shared" ca="1" si="113"/>
        <v>50</v>
      </c>
      <c r="I514" s="36">
        <f t="shared" ca="1" si="105"/>
        <v>42.839971143450128</v>
      </c>
      <c r="J514" s="35">
        <f t="shared" ca="1" si="114"/>
        <v>92.839971143450128</v>
      </c>
      <c r="K514" s="19">
        <f t="shared" ca="1" si="109"/>
        <v>92.839971143450128</v>
      </c>
      <c r="L514" s="20">
        <f ca="1" xml:space="preserve"> K514*_Precio_cafe</f>
        <v>139.25995671517518</v>
      </c>
      <c r="M514" s="20">
        <f t="shared" ca="1" si="110"/>
        <v>70789.005547273497</v>
      </c>
      <c r="N514" s="20">
        <f ca="1">IF((N513-K514+Y514)&gt;_Max_Stock_Gramos,_Max_Stock_Gramos,N513-K514+Y514)</f>
        <v>1700</v>
      </c>
      <c r="O514" s="20">
        <f ca="1">N514/_GramosXFrasco</f>
        <v>10</v>
      </c>
      <c r="P514" s="63">
        <f ca="1">(N514/_Max_Stock_Gramos)</f>
        <v>1</v>
      </c>
      <c r="Q514" s="63"/>
      <c r="R514" s="10">
        <f ca="1">IF((N513-J514)&lt;0,(N513-J514)*_Costo_Faltante,0)</f>
        <v>0</v>
      </c>
      <c r="S514">
        <f ca="1">IF(U514=0,X514*_Costo_Frasco,0)</f>
        <v>-500</v>
      </c>
      <c r="T514" s="11">
        <f t="shared" ca="1" si="111"/>
        <v>-48077.89173507681</v>
      </c>
      <c r="U514" s="10">
        <f>IF(U513=0,_Proxima_Compra,U513-1)</f>
        <v>0</v>
      </c>
      <c r="V514" s="3">
        <f t="shared" ca="1" si="106"/>
        <v>0.31960037966045929</v>
      </c>
      <c r="W514" s="3">
        <f ca="1">IF(W513&gt;0,W513-1,IF(V514&gt;0,LOOKUP(V514,$R$3:$R$5,$O$3:$O$5),-1))</f>
        <v>0</v>
      </c>
      <c r="X514" s="25">
        <f t="shared" ca="1" si="107"/>
        <v>2</v>
      </c>
      <c r="Y514" s="28">
        <f ca="1">X514*_GramosXFrasco</f>
        <v>340</v>
      </c>
    </row>
    <row r="515" spans="1:25" x14ac:dyDescent="0.25">
      <c r="A515" s="30">
        <f t="shared" si="108"/>
        <v>499</v>
      </c>
      <c r="B515" s="38">
        <f t="shared" ca="1" si="101"/>
        <v>0.27815764119545772</v>
      </c>
      <c r="C515" s="36">
        <f t="shared" ca="1" si="102"/>
        <v>-1</v>
      </c>
      <c r="D515" s="36">
        <f t="shared" ca="1" si="103"/>
        <v>-1</v>
      </c>
      <c r="E515" s="36">
        <f t="shared" ca="1" si="112"/>
        <v>-1</v>
      </c>
      <c r="F515" s="37">
        <f ca="1">IF(E515&lt;&gt;-1,_Media_M + E515*_Sigma,-1)</f>
        <v>-1</v>
      </c>
      <c r="G515" s="3">
        <f t="shared" ca="1" si="104"/>
        <v>50</v>
      </c>
      <c r="H515" s="36">
        <f t="shared" ca="1" si="113"/>
        <v>50</v>
      </c>
      <c r="I515" s="36">
        <f t="shared" ca="1" si="105"/>
        <v>4.7594717508919153</v>
      </c>
      <c r="J515" s="35">
        <f t="shared" ca="1" si="114"/>
        <v>54.759471750891919</v>
      </c>
      <c r="K515" s="19">
        <f t="shared" ca="1" si="109"/>
        <v>54.759471750891919</v>
      </c>
      <c r="L515" s="20">
        <f ca="1" xml:space="preserve"> K515*_Precio_cafe</f>
        <v>82.139207626337878</v>
      </c>
      <c r="M515" s="20">
        <f t="shared" ca="1" si="110"/>
        <v>70871.14475489984</v>
      </c>
      <c r="N515" s="20">
        <f ca="1">IF((N514-K515+Y515)&gt;_Max_Stock_Gramos,_Max_Stock_Gramos,N514-K515+Y515)</f>
        <v>1645.2405282491081</v>
      </c>
      <c r="O515" s="20">
        <f ca="1">N515/_GramosXFrasco</f>
        <v>9.6778854602888718</v>
      </c>
      <c r="P515" s="63">
        <f ca="1">(N515/_Max_Stock_Gramos)</f>
        <v>0.96778854602888709</v>
      </c>
      <c r="Q515" s="63"/>
      <c r="R515" s="10">
        <f ca="1">IF((N514-J515)&lt;0,(N514-J515)*_Costo_Faltante,0)</f>
        <v>0</v>
      </c>
      <c r="S515">
        <f>IF(U515=0,X515*_Costo_Frasco,0)</f>
        <v>0</v>
      </c>
      <c r="T515" s="11">
        <f t="shared" ca="1" si="111"/>
        <v>-48077.89173507681</v>
      </c>
      <c r="U515" s="10">
        <f>IF(U514=0,_Proxima_Compra,U514-1)</f>
        <v>2</v>
      </c>
      <c r="V515" s="3">
        <f t="shared" ca="1" si="106"/>
        <v>-1</v>
      </c>
      <c r="W515" s="3">
        <f ca="1">IF(W514&gt;0,W514-1,IF(V515&gt;0,LOOKUP(V515,$R$3:$R$5,$O$3:$O$5),-1))</f>
        <v>-1</v>
      </c>
      <c r="X515" s="25">
        <f t="shared" ca="1" si="107"/>
        <v>0</v>
      </c>
      <c r="Y515" s="28">
        <f ca="1">X515*_GramosXFrasco</f>
        <v>0</v>
      </c>
    </row>
    <row r="516" spans="1:25" x14ac:dyDescent="0.25">
      <c r="A516" s="66">
        <f t="shared" si="108"/>
        <v>500</v>
      </c>
      <c r="B516" s="38">
        <f t="shared" ca="1" si="101"/>
        <v>0.77561276832902659</v>
      </c>
      <c r="C516" s="36">
        <f t="shared" ca="1" si="102"/>
        <v>0.93317412927964472</v>
      </c>
      <c r="D516" s="36">
        <f t="shared" ca="1" si="103"/>
        <v>0.62852362334378387</v>
      </c>
      <c r="E516" s="36">
        <f t="shared" ca="1" si="112"/>
        <v>-1.059736718788421</v>
      </c>
      <c r="F516" s="37">
        <f ca="1">IF(E516&lt;&gt;-1,_Media_M + E516*_Sigma,-1)</f>
        <v>59.103949218173682</v>
      </c>
      <c r="G516" s="3">
        <f t="shared" ca="1" si="104"/>
        <v>-1</v>
      </c>
      <c r="H516" s="36">
        <f t="shared" ca="1" si="113"/>
        <v>59.103949218173682</v>
      </c>
      <c r="I516" s="36">
        <f t="shared" ca="1" si="105"/>
        <v>43.820628485231197</v>
      </c>
      <c r="J516" s="35">
        <f t="shared" ca="1" si="114"/>
        <v>102.92457770340488</v>
      </c>
      <c r="K516" s="19">
        <f t="shared" ca="1" si="109"/>
        <v>102.92457770340488</v>
      </c>
      <c r="L516" s="20">
        <f ca="1" xml:space="preserve"> K516*_Precio_cafe</f>
        <v>154.3868665551073</v>
      </c>
      <c r="M516" s="20">
        <f t="shared" ca="1" si="110"/>
        <v>71025.531621454953</v>
      </c>
      <c r="N516" s="20">
        <f ca="1">IF((N515-K516+Y516)&gt;_Max_Stock_Gramos,_Max_Stock_Gramos,N515-K516+Y516)</f>
        <v>1542.3159505457033</v>
      </c>
      <c r="O516" s="20">
        <f ca="1">N516/_GramosXFrasco</f>
        <v>9.0724467679159027</v>
      </c>
      <c r="P516" s="63">
        <f ca="1">(N516/_Max_Stock_Gramos)</f>
        <v>0.90724467679159015</v>
      </c>
      <c r="Q516" s="63"/>
      <c r="R516" s="10">
        <f ca="1">IF((N515-J516)&lt;0,(N515-J516)*_Costo_Faltante,0)</f>
        <v>0</v>
      </c>
      <c r="S516">
        <f>IF(U516=0,X516*_Costo_Frasco,0)</f>
        <v>0</v>
      </c>
      <c r="T516" s="11">
        <f t="shared" ca="1" si="111"/>
        <v>-48077.89173507681</v>
      </c>
      <c r="U516" s="10">
        <f>IF(U515=0,_Proxima_Compra,U515-1)</f>
        <v>1</v>
      </c>
      <c r="V516" s="3">
        <f t="shared" ca="1" si="106"/>
        <v>-1</v>
      </c>
      <c r="W516" s="3">
        <f ca="1">IF(W515&gt;0,W515-1,IF(V516&gt;0,LOOKUP(V516,$R$3:$R$5,$O$3:$O$5),-1))</f>
        <v>-1</v>
      </c>
      <c r="X516" s="25">
        <f t="shared" ca="1" si="107"/>
        <v>0</v>
      </c>
      <c r="Y516" s="28">
        <f ca="1">X516*_GramosXFrasco</f>
        <v>0</v>
      </c>
    </row>
  </sheetData>
  <mergeCells count="10">
    <mergeCell ref="R14:T14"/>
    <mergeCell ref="B14:J14"/>
    <mergeCell ref="K14:M14"/>
    <mergeCell ref="N14:P14"/>
    <mergeCell ref="K1:L1"/>
    <mergeCell ref="U14:Y14"/>
    <mergeCell ref="E1:I1"/>
    <mergeCell ref="O1:S1"/>
    <mergeCell ref="A1:C1"/>
    <mergeCell ref="AA4:A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_Costo_Faltante</vt:lpstr>
      <vt:lpstr>_Costo_Frasco</vt:lpstr>
      <vt:lpstr>_GramosXFrasco</vt:lpstr>
      <vt:lpstr>_Max_Stock_Gramos</vt:lpstr>
      <vt:lpstr>_Media_M</vt:lpstr>
      <vt:lpstr>_Precio_cafe</vt:lpstr>
      <vt:lpstr>_Proxima_Compra</vt:lpstr>
      <vt:lpstr>_Sigma</vt:lpstr>
      <vt:lpstr>_Stock_Inicial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2020-09-10T17:07:29Z</dcterms:modified>
</cp:coreProperties>
</file>